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filterPrivacy="1"/>
  <xr:revisionPtr revIDLastSave="0" documentId="8_{93EB4654-5370-BA43-8F64-9AA000C2913D}" xr6:coauthVersionLast="47" xr6:coauthVersionMax="47" xr10:uidLastSave="{00000000-0000-0000-0000-000000000000}"/>
  <bookViews>
    <workbookView xWindow="8800" yWindow="1420" windowWidth="52020" windowHeight="23900" tabRatio="818" firstSheet="26" activeTab="43" xr2:uid="{00000000-000D-0000-FFFF-FFFF00000000}"/>
  </bookViews>
  <sheets>
    <sheet name="About" sheetId="9" r:id="rId1"/>
    <sheet name="Note" sheetId="11" r:id="rId2"/>
    <sheet name="InternalLink" sheetId="19" state="hidden" r:id="rId3"/>
    <sheet name="Household_Histo" sheetId="17" state="hidden" r:id="rId4"/>
    <sheet name="Household_Pred" sheetId="16" state="hidden" r:id="rId5"/>
    <sheet name="History Type Share" sheetId="2" r:id="rId6"/>
    <sheet name="Commercial8Fuel" sheetId="3" r:id="rId7"/>
    <sheet name="Energy8Sec" sheetId="1" r:id="rId8"/>
    <sheet name="Private,Public8EndUse" sheetId="50" r:id="rId9"/>
    <sheet name="FloorAreaPer" sheetId="21" state="hidden" r:id="rId10"/>
    <sheet name="DataSum" sheetId="12" state="hidden" r:id="rId11"/>
    <sheet name="Residential8EndUse" sheetId="4" r:id="rId12"/>
    <sheet name="Commercial8EndUse" sheetId="5" r:id="rId13"/>
    <sheet name="Commerical_EndUSE" sheetId="58" r:id="rId14"/>
    <sheet name="Building" sheetId="52" r:id="rId15"/>
    <sheet name="Future Total Energy" sheetId="14" r:id="rId16"/>
    <sheet name="FittingHH" sheetId="28" state="hidden" r:id="rId17"/>
    <sheet name="BTU Conversion Factor" sheetId="13" r:id="rId18"/>
    <sheet name="Future Type Share" sheetId="10" r:id="rId19"/>
    <sheet name="Future EndUse Share" sheetId="20" r:id="rId20"/>
    <sheet name="Commercial_1" sheetId="22" r:id="rId21"/>
    <sheet name="Commercial_2" sheetId="27" r:id="rId22"/>
    <sheet name="Commercial_Final" sheetId="26" r:id="rId23"/>
    <sheet name="Private_1" sheetId="23" r:id="rId24"/>
    <sheet name="Private_2" sheetId="7" r:id="rId25"/>
    <sheet name="Public_1" sheetId="53" r:id="rId26"/>
    <sheet name="Private_Final" sheetId="25" r:id="rId27"/>
    <sheet name="Public_2" sheetId="54" r:id="rId28"/>
    <sheet name="Public_Final" sheetId="55" r:id="rId29"/>
    <sheet name="BCEU-urban-residential-heating" sheetId="35" r:id="rId30"/>
    <sheet name="BCEU-urban-residential-cooling" sheetId="33" r:id="rId31"/>
    <sheet name="BCEU-urban-residential-lighting" sheetId="32" r:id="rId32"/>
    <sheet name="BCEU-urban-residential-appl" sheetId="38" r:id="rId33"/>
    <sheet name="BCEU-urban-residential-other" sheetId="39" r:id="rId34"/>
    <sheet name="BCEU-rural-residential-heating" sheetId="40" r:id="rId35"/>
    <sheet name="BCEU-rural-residential-cooling" sheetId="41" r:id="rId36"/>
    <sheet name="BCEU-rural-residential-lighting" sheetId="42" r:id="rId37"/>
    <sheet name="BCEU-rural-residential-appl" sheetId="43" r:id="rId38"/>
    <sheet name="BCEU-rural-residential-other" sheetId="44" r:id="rId39"/>
    <sheet name="BCEU-commercial-heating" sheetId="45" r:id="rId40"/>
    <sheet name="BCEU-commercial-cooling" sheetId="46" r:id="rId41"/>
    <sheet name="BCEU-commercial-lighting" sheetId="47" r:id="rId42"/>
    <sheet name="BCEU-commercial-appl" sheetId="48" r:id="rId43"/>
    <sheet name="BCEU-commercial-other" sheetId="49" r:id="rId44"/>
    <sheet name="BCEU-all-envelope" sheetId="56" r:id="rId45"/>
  </sheets>
  <externalReferences>
    <externalReference r:id="rId46"/>
    <externalReference r:id="rId47"/>
  </externalReferences>
  <definedNames>
    <definedName name="Average_emission_factor">'[1]Electricity emissions'!$H$38</definedName>
    <definedName name="footnote500011" localSheetId="9">FloorAreaPer!$A$170</definedName>
    <definedName name="_xlnm.Print_Area" localSheetId="14">Building!$A$1:$AN$66</definedName>
    <definedName name="_xlnm.Print_Area" localSheetId="4">Household_Pred!$A$1:$D$27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3" i="20" l="1"/>
  <c r="AR9" i="23"/>
  <c r="AR10" i="23"/>
  <c r="AR11" i="23"/>
  <c r="AR12" i="23"/>
  <c r="AR13" i="23"/>
  <c r="AR14" i="23"/>
  <c r="AR15" i="23"/>
  <c r="AR16" i="23"/>
  <c r="AR17" i="23"/>
  <c r="AR18" i="23"/>
  <c r="AR19" i="23"/>
  <c r="AR20" i="23"/>
  <c r="AR21" i="23"/>
  <c r="AR22" i="23"/>
  <c r="AR23" i="23"/>
  <c r="AR24" i="23"/>
  <c r="AP14" i="23"/>
  <c r="AP15" i="23"/>
  <c r="AP16" i="23"/>
  <c r="AP17" i="23"/>
  <c r="AP18" i="23"/>
  <c r="AP19" i="23"/>
  <c r="AP20" i="23"/>
  <c r="AP21" i="23"/>
  <c r="AP22" i="23"/>
  <c r="AP23" i="23"/>
  <c r="AP24" i="23"/>
  <c r="AV24" i="10"/>
  <c r="AV25" i="10"/>
  <c r="AV26" i="10"/>
  <c r="AV27" i="10"/>
  <c r="AV28" i="10"/>
  <c r="AP28" i="10" s="1"/>
  <c r="AV29" i="10"/>
  <c r="AP29" i="10" s="1"/>
  <c r="AV30" i="10"/>
  <c r="AP30" i="10" s="1"/>
  <c r="AV31" i="10"/>
  <c r="AP31" i="10" s="1"/>
  <c r="AV32" i="10"/>
  <c r="AP32" i="10" s="1"/>
  <c r="AV33" i="10"/>
  <c r="AV34" i="10"/>
  <c r="AV35" i="10"/>
  <c r="AV36" i="10"/>
  <c r="AV37" i="10"/>
  <c r="AV38" i="10"/>
  <c r="AV39" i="10"/>
  <c r="AP39" i="10" s="1"/>
  <c r="AV40" i="10"/>
  <c r="AP40" i="10" s="1"/>
  <c r="AV41" i="10"/>
  <c r="AP41" i="10" s="1"/>
  <c r="AV42" i="10"/>
  <c r="AP42" i="10" s="1"/>
  <c r="AV43" i="10"/>
  <c r="AP43" i="10" s="1"/>
  <c r="AV44" i="10"/>
  <c r="AV45" i="10"/>
  <c r="AV46" i="10"/>
  <c r="AV47" i="10"/>
  <c r="AV48" i="10"/>
  <c r="AV49" i="10"/>
  <c r="AV50" i="10"/>
  <c r="AP50" i="10" s="1"/>
  <c r="AV51" i="10"/>
  <c r="AP51" i="10" s="1"/>
  <c r="AV23" i="10"/>
  <c r="AP24" i="10"/>
  <c r="AP25" i="10"/>
  <c r="AP26" i="10"/>
  <c r="AP27" i="10"/>
  <c r="AP33" i="10"/>
  <c r="AP34" i="10"/>
  <c r="AP35" i="10"/>
  <c r="AP36" i="10"/>
  <c r="AP37" i="10"/>
  <c r="AP38" i="10"/>
  <c r="AP44" i="10"/>
  <c r="AP45" i="10"/>
  <c r="AP46" i="10"/>
  <c r="AP47" i="10"/>
  <c r="AP48" i="10"/>
  <c r="AP49" i="10"/>
  <c r="AP23" i="10"/>
  <c r="AF15" i="22"/>
  <c r="AF16" i="22"/>
  <c r="AF17" i="22"/>
  <c r="AF18" i="22"/>
  <c r="AF19" i="22"/>
  <c r="AF20" i="22"/>
  <c r="AF21" i="22"/>
  <c r="AF22" i="22"/>
  <c r="AF23" i="22"/>
  <c r="AF24" i="22"/>
  <c r="AI9" i="22"/>
  <c r="M20" i="22"/>
  <c r="M21" i="22"/>
  <c r="M22" i="22"/>
  <c r="M23" i="22"/>
  <c r="M24" i="22"/>
  <c r="N15" i="22"/>
  <c r="N16" i="22"/>
  <c r="N17" i="22"/>
  <c r="N18" i="22"/>
  <c r="N19" i="22"/>
  <c r="N20" i="22"/>
  <c r="N21" i="22"/>
  <c r="N22" i="22"/>
  <c r="N23" i="22"/>
  <c r="N24" i="22"/>
  <c r="N14" i="22"/>
  <c r="L16" i="22"/>
  <c r="L17" i="22"/>
  <c r="L18" i="22"/>
  <c r="L19" i="22"/>
  <c r="L20" i="22"/>
  <c r="L21" i="22"/>
  <c r="L22" i="22"/>
  <c r="L23" i="22"/>
  <c r="L24" i="22"/>
  <c r="L14" i="22"/>
  <c r="L15" i="22"/>
  <c r="L5" i="22"/>
  <c r="M15" i="22"/>
  <c r="M16" i="22"/>
  <c r="M17" i="22"/>
  <c r="M18" i="22"/>
  <c r="M19" i="22"/>
  <c r="AH112" i="20"/>
  <c r="AH111" i="20"/>
  <c r="AH110" i="20"/>
  <c r="AH109" i="20"/>
  <c r="AH108" i="20"/>
  <c r="AH107" i="20"/>
  <c r="AH106" i="20"/>
  <c r="AH105" i="20"/>
  <c r="AH104" i="20"/>
  <c r="AH103" i="20"/>
  <c r="AH102" i="20"/>
  <c r="AH101" i="20"/>
  <c r="AH100" i="20"/>
  <c r="AH99" i="20"/>
  <c r="AH98" i="20"/>
  <c r="AH97" i="20"/>
  <c r="AH96" i="20"/>
  <c r="AH95" i="20"/>
  <c r="AH94" i="20"/>
  <c r="AH93" i="20"/>
  <c r="AH92" i="20"/>
  <c r="AH91" i="20"/>
  <c r="AH90" i="20"/>
  <c r="AH89" i="20"/>
  <c r="AH88" i="20"/>
  <c r="AH87" i="20"/>
  <c r="AH86" i="20"/>
  <c r="AH85" i="20"/>
  <c r="AH84" i="20"/>
  <c r="V112" i="20"/>
  <c r="V111" i="20"/>
  <c r="V110" i="20"/>
  <c r="V109" i="20"/>
  <c r="V108" i="20"/>
  <c r="V107" i="20"/>
  <c r="V106" i="20"/>
  <c r="V105" i="20"/>
  <c r="V104" i="20"/>
  <c r="V103" i="20"/>
  <c r="V102" i="20"/>
  <c r="V101" i="20"/>
  <c r="V100" i="20"/>
  <c r="V99" i="20"/>
  <c r="V98" i="20"/>
  <c r="V97" i="20"/>
  <c r="V96" i="20"/>
  <c r="V95" i="20"/>
  <c r="V94" i="20"/>
  <c r="V93" i="20"/>
  <c r="V92" i="20"/>
  <c r="V91" i="20"/>
  <c r="V90" i="20"/>
  <c r="V89" i="20"/>
  <c r="V88" i="20"/>
  <c r="V87" i="20"/>
  <c r="V86" i="20"/>
  <c r="V85" i="20"/>
  <c r="V84" i="20"/>
  <c r="C85" i="20"/>
  <c r="E85" i="20"/>
  <c r="D85" i="20" s="1"/>
  <c r="J85" i="20" s="1"/>
  <c r="F85" i="20"/>
  <c r="G85" i="20"/>
  <c r="H85" i="20"/>
  <c r="I85" i="20"/>
  <c r="C86" i="20"/>
  <c r="E86" i="20"/>
  <c r="D86" i="20" s="1"/>
  <c r="F86" i="20"/>
  <c r="G86" i="20"/>
  <c r="H86" i="20"/>
  <c r="I86" i="20"/>
  <c r="C87" i="20"/>
  <c r="E87" i="20"/>
  <c r="F87" i="20"/>
  <c r="G87" i="20"/>
  <c r="H87" i="20"/>
  <c r="D87" i="20" s="1"/>
  <c r="I87" i="20"/>
  <c r="C88" i="20"/>
  <c r="E88" i="20"/>
  <c r="D88" i="20" s="1"/>
  <c r="J88" i="20" s="1"/>
  <c r="F88" i="20"/>
  <c r="G88" i="20"/>
  <c r="H88" i="20"/>
  <c r="I88" i="20"/>
  <c r="C89" i="20"/>
  <c r="E89" i="20"/>
  <c r="D89" i="20" s="1"/>
  <c r="F89" i="20"/>
  <c r="G89" i="20"/>
  <c r="H89" i="20"/>
  <c r="I89" i="20"/>
  <c r="C90" i="20"/>
  <c r="E90" i="20"/>
  <c r="F90" i="20"/>
  <c r="D90" i="20" s="1"/>
  <c r="G90" i="20"/>
  <c r="H90" i="20"/>
  <c r="I90" i="20"/>
  <c r="C91" i="20"/>
  <c r="E91" i="20"/>
  <c r="D91" i="20" s="1"/>
  <c r="F91" i="20"/>
  <c r="G91" i="20"/>
  <c r="H91" i="20"/>
  <c r="I91" i="20"/>
  <c r="C92" i="20"/>
  <c r="E92" i="20"/>
  <c r="D92" i="20" s="1"/>
  <c r="J92" i="20" s="1"/>
  <c r="F92" i="20"/>
  <c r="G92" i="20"/>
  <c r="H92" i="20"/>
  <c r="I92" i="20"/>
  <c r="C93" i="20"/>
  <c r="D93" i="20"/>
  <c r="J93" i="20" s="1"/>
  <c r="E93" i="20"/>
  <c r="F93" i="20"/>
  <c r="G93" i="20"/>
  <c r="H93" i="20"/>
  <c r="I93" i="20"/>
  <c r="C94" i="20"/>
  <c r="E94" i="20"/>
  <c r="D94" i="20" s="1"/>
  <c r="F94" i="20"/>
  <c r="G94" i="20"/>
  <c r="H94" i="20"/>
  <c r="I94" i="20"/>
  <c r="C95" i="20"/>
  <c r="E95" i="20"/>
  <c r="D95" i="20" s="1"/>
  <c r="J95" i="20" s="1"/>
  <c r="F95" i="20"/>
  <c r="G95" i="20"/>
  <c r="H95" i="20"/>
  <c r="I95" i="20"/>
  <c r="C96" i="20"/>
  <c r="E96" i="20"/>
  <c r="D96" i="20" s="1"/>
  <c r="J96" i="20" s="1"/>
  <c r="F96" i="20"/>
  <c r="G96" i="20"/>
  <c r="H96" i="20"/>
  <c r="I96" i="20"/>
  <c r="C97" i="20"/>
  <c r="E97" i="20"/>
  <c r="D97" i="20" s="1"/>
  <c r="F97" i="20"/>
  <c r="G97" i="20"/>
  <c r="H97" i="20"/>
  <c r="I97" i="20"/>
  <c r="C98" i="20"/>
  <c r="E98" i="20"/>
  <c r="F98" i="20"/>
  <c r="G98" i="20"/>
  <c r="H98" i="20"/>
  <c r="D98" i="20" s="1"/>
  <c r="I98" i="20"/>
  <c r="C99" i="20"/>
  <c r="E99" i="20"/>
  <c r="D99" i="20" s="1"/>
  <c r="J99" i="20" s="1"/>
  <c r="F99" i="20"/>
  <c r="G99" i="20"/>
  <c r="H99" i="20"/>
  <c r="I99" i="20"/>
  <c r="C100" i="20"/>
  <c r="E100" i="20"/>
  <c r="D100" i="20" s="1"/>
  <c r="F100" i="20"/>
  <c r="G100" i="20"/>
  <c r="H100" i="20"/>
  <c r="I100" i="20"/>
  <c r="C101" i="20"/>
  <c r="J101" i="20" s="1"/>
  <c r="E101" i="20"/>
  <c r="F101" i="20"/>
  <c r="D101" i="20" s="1"/>
  <c r="G101" i="20"/>
  <c r="H101" i="20"/>
  <c r="I101" i="20"/>
  <c r="C102" i="20"/>
  <c r="J102" i="20" s="1"/>
  <c r="E102" i="20"/>
  <c r="D102" i="20" s="1"/>
  <c r="F102" i="20"/>
  <c r="G102" i="20"/>
  <c r="H102" i="20"/>
  <c r="I102" i="20"/>
  <c r="C103" i="20"/>
  <c r="E103" i="20"/>
  <c r="D103" i="20" s="1"/>
  <c r="J103" i="20" s="1"/>
  <c r="F103" i="20"/>
  <c r="G103" i="20"/>
  <c r="H103" i="20"/>
  <c r="I103" i="20"/>
  <c r="C104" i="20"/>
  <c r="D104" i="20"/>
  <c r="J104" i="20" s="1"/>
  <c r="E104" i="20"/>
  <c r="F104" i="20"/>
  <c r="G104" i="20"/>
  <c r="H104" i="20"/>
  <c r="I104" i="20"/>
  <c r="C105" i="20"/>
  <c r="E105" i="20"/>
  <c r="D105" i="20" s="1"/>
  <c r="F105" i="20"/>
  <c r="G105" i="20"/>
  <c r="H105" i="20"/>
  <c r="I105" i="20"/>
  <c r="C106" i="20"/>
  <c r="E106" i="20"/>
  <c r="D106" i="20" s="1"/>
  <c r="J106" i="20" s="1"/>
  <c r="F106" i="20"/>
  <c r="G106" i="20"/>
  <c r="H106" i="20"/>
  <c r="I106" i="20"/>
  <c r="C107" i="20"/>
  <c r="E107" i="20"/>
  <c r="D107" i="20" s="1"/>
  <c r="J107" i="20" s="1"/>
  <c r="F107" i="20"/>
  <c r="G107" i="20"/>
  <c r="H107" i="20"/>
  <c r="I107" i="20"/>
  <c r="C108" i="20"/>
  <c r="E108" i="20"/>
  <c r="D108" i="20" s="1"/>
  <c r="F108" i="20"/>
  <c r="G108" i="20"/>
  <c r="H108" i="20"/>
  <c r="I108" i="20"/>
  <c r="C109" i="20"/>
  <c r="E109" i="20"/>
  <c r="D109" i="20" s="1"/>
  <c r="F109" i="20"/>
  <c r="G109" i="20"/>
  <c r="H109" i="20"/>
  <c r="I109" i="20"/>
  <c r="C110" i="20"/>
  <c r="E110" i="20"/>
  <c r="D110" i="20" s="1"/>
  <c r="J110" i="20" s="1"/>
  <c r="F110" i="20"/>
  <c r="G110" i="20"/>
  <c r="H110" i="20"/>
  <c r="I110" i="20"/>
  <c r="C111" i="20"/>
  <c r="J111" i="20" s="1"/>
  <c r="E111" i="20"/>
  <c r="D111" i="20" s="1"/>
  <c r="F111" i="20"/>
  <c r="G111" i="20"/>
  <c r="H111" i="20"/>
  <c r="I111" i="20"/>
  <c r="C112" i="20"/>
  <c r="J112" i="20" s="1"/>
  <c r="E112" i="20"/>
  <c r="F112" i="20"/>
  <c r="D112" i="20" s="1"/>
  <c r="G112" i="20"/>
  <c r="H112" i="20"/>
  <c r="I112" i="20"/>
  <c r="J84" i="20"/>
  <c r="D84" i="20"/>
  <c r="J64" i="20"/>
  <c r="AA84" i="20"/>
  <c r="AL23" i="10"/>
  <c r="AB136" i="20"/>
  <c r="AN126" i="20"/>
  <c r="AO126" i="20"/>
  <c r="AP126" i="20"/>
  <c r="AQ126" i="20"/>
  <c r="AR126" i="20"/>
  <c r="AS126" i="20"/>
  <c r="AN127" i="20"/>
  <c r="AO127" i="20"/>
  <c r="AP127" i="20"/>
  <c r="AQ127" i="20"/>
  <c r="AR127" i="20"/>
  <c r="AS127" i="20"/>
  <c r="AN128" i="20"/>
  <c r="AO128" i="20"/>
  <c r="AP128" i="20"/>
  <c r="AQ128" i="20"/>
  <c r="AR128" i="20"/>
  <c r="AS128" i="20"/>
  <c r="AN129" i="20"/>
  <c r="AO129" i="20"/>
  <c r="AP129" i="20"/>
  <c r="AQ129" i="20"/>
  <c r="AR129" i="20"/>
  <c r="AS129" i="20"/>
  <c r="AN130" i="20"/>
  <c r="AO130" i="20"/>
  <c r="AP130" i="20"/>
  <c r="AQ130" i="20"/>
  <c r="AR130" i="20"/>
  <c r="AS130" i="20"/>
  <c r="AN131" i="20"/>
  <c r="AO131" i="20"/>
  <c r="AP131" i="20"/>
  <c r="AQ131" i="20"/>
  <c r="AR131" i="20"/>
  <c r="AS131" i="20"/>
  <c r="AN132" i="20"/>
  <c r="AO132" i="20"/>
  <c r="AP132" i="20"/>
  <c r="AQ132" i="20"/>
  <c r="AR132" i="20"/>
  <c r="AS132" i="20"/>
  <c r="AN133" i="20"/>
  <c r="AO133" i="20"/>
  <c r="AP133" i="20"/>
  <c r="AQ133" i="20"/>
  <c r="AR133" i="20"/>
  <c r="AS133" i="20"/>
  <c r="AN134" i="20"/>
  <c r="AO134" i="20"/>
  <c r="AP134" i="20"/>
  <c r="AQ134" i="20"/>
  <c r="AR134" i="20"/>
  <c r="AS134" i="20"/>
  <c r="AN135" i="20"/>
  <c r="AO135" i="20"/>
  <c r="AP135" i="20"/>
  <c r="AQ135" i="20"/>
  <c r="AR135" i="20"/>
  <c r="AS135" i="20"/>
  <c r="AT125" i="20"/>
  <c r="AO125" i="20"/>
  <c r="AP125" i="20"/>
  <c r="AQ125" i="20"/>
  <c r="AR125" i="20"/>
  <c r="AS125" i="20"/>
  <c r="AN125" i="20"/>
  <c r="AH125" i="20"/>
  <c r="AC125" i="20"/>
  <c r="AD125" i="20"/>
  <c r="AE125" i="20"/>
  <c r="AF125" i="20"/>
  <c r="AG125" i="20"/>
  <c r="AB125" i="20"/>
  <c r="AB127" i="20"/>
  <c r="AC127" i="20"/>
  <c r="AD127" i="20"/>
  <c r="AE127" i="20"/>
  <c r="AF127" i="20"/>
  <c r="AG127" i="20"/>
  <c r="AB128" i="20"/>
  <c r="AC128" i="20"/>
  <c r="AD128" i="20"/>
  <c r="AE128" i="20"/>
  <c r="AF128" i="20"/>
  <c r="AG128" i="20"/>
  <c r="AB129" i="20"/>
  <c r="AC129" i="20"/>
  <c r="AD129" i="20"/>
  <c r="AE129" i="20"/>
  <c r="AF129" i="20"/>
  <c r="AG129" i="20"/>
  <c r="AB130" i="20"/>
  <c r="AC130" i="20"/>
  <c r="AD130" i="20"/>
  <c r="AE130" i="20"/>
  <c r="AF130" i="20"/>
  <c r="AG130" i="20"/>
  <c r="AB131" i="20"/>
  <c r="AC131" i="20"/>
  <c r="AD131" i="20"/>
  <c r="AE131" i="20"/>
  <c r="AF131" i="20"/>
  <c r="AG131" i="20"/>
  <c r="AB132" i="20"/>
  <c r="AC132" i="20"/>
  <c r="AD132" i="20"/>
  <c r="AE132" i="20"/>
  <c r="AF132" i="20"/>
  <c r="AG132" i="20"/>
  <c r="AB133" i="20"/>
  <c r="AC133" i="20"/>
  <c r="AD133" i="20"/>
  <c r="AE133" i="20"/>
  <c r="AF133" i="20"/>
  <c r="AG133" i="20"/>
  <c r="AB134" i="20"/>
  <c r="AC134" i="20"/>
  <c r="AD134" i="20"/>
  <c r="AE134" i="20"/>
  <c r="AF134" i="20"/>
  <c r="AG134" i="20"/>
  <c r="AB135" i="20"/>
  <c r="AC135" i="20"/>
  <c r="AD135" i="20"/>
  <c r="AE135" i="20"/>
  <c r="AF135" i="20"/>
  <c r="AG135" i="20"/>
  <c r="AC126" i="20"/>
  <c r="AD126" i="20"/>
  <c r="AE126" i="20"/>
  <c r="AF126" i="20"/>
  <c r="AG126" i="20"/>
  <c r="B21" i="58"/>
  <c r="N126" i="20"/>
  <c r="O126" i="20"/>
  <c r="P126" i="20"/>
  <c r="Q126" i="20"/>
  <c r="R126" i="20"/>
  <c r="S126" i="20"/>
  <c r="N127" i="20"/>
  <c r="O127" i="20"/>
  <c r="P127" i="20"/>
  <c r="Q127" i="20"/>
  <c r="R127" i="20"/>
  <c r="S127" i="20"/>
  <c r="N128" i="20"/>
  <c r="O128" i="20"/>
  <c r="P128" i="20"/>
  <c r="Q128" i="20"/>
  <c r="R128" i="20"/>
  <c r="S128" i="20"/>
  <c r="N129" i="20"/>
  <c r="O129" i="20"/>
  <c r="P129" i="20"/>
  <c r="Q129" i="20"/>
  <c r="R129" i="20"/>
  <c r="S129" i="20"/>
  <c r="N130" i="20"/>
  <c r="O130" i="20"/>
  <c r="P130" i="20"/>
  <c r="Q130" i="20"/>
  <c r="R130" i="20"/>
  <c r="S130" i="20"/>
  <c r="N131" i="20"/>
  <c r="O131" i="20"/>
  <c r="P131" i="20"/>
  <c r="Q131" i="20"/>
  <c r="R131" i="20"/>
  <c r="S131" i="20"/>
  <c r="N132" i="20"/>
  <c r="O132" i="20"/>
  <c r="P132" i="20"/>
  <c r="Q132" i="20"/>
  <c r="R132" i="20"/>
  <c r="S132" i="20"/>
  <c r="N133" i="20"/>
  <c r="O133" i="20"/>
  <c r="P133" i="20"/>
  <c r="Q133" i="20"/>
  <c r="R133" i="20"/>
  <c r="S133" i="20"/>
  <c r="N134" i="20"/>
  <c r="O134" i="20"/>
  <c r="P134" i="20"/>
  <c r="Q134" i="20"/>
  <c r="R134" i="20"/>
  <c r="S134" i="20"/>
  <c r="N135" i="20"/>
  <c r="O135" i="20"/>
  <c r="P135" i="20"/>
  <c r="Q135" i="20"/>
  <c r="R135" i="20"/>
  <c r="S135" i="20"/>
  <c r="T125" i="20"/>
  <c r="T126" i="20"/>
  <c r="O125" i="20"/>
  <c r="P125" i="20"/>
  <c r="Q125" i="20"/>
  <c r="R125" i="20"/>
  <c r="S125" i="20"/>
  <c r="N125" i="20"/>
  <c r="D121" i="20"/>
  <c r="E121" i="20"/>
  <c r="F121" i="20"/>
  <c r="G121" i="20"/>
  <c r="H121" i="20"/>
  <c r="I121" i="20"/>
  <c r="D122" i="20"/>
  <c r="E122" i="20"/>
  <c r="F122" i="20"/>
  <c r="G122" i="20"/>
  <c r="H122" i="20"/>
  <c r="I122" i="20"/>
  <c r="D123" i="20"/>
  <c r="E123" i="20"/>
  <c r="F123" i="20"/>
  <c r="G123" i="20"/>
  <c r="H123" i="20"/>
  <c r="I123" i="20"/>
  <c r="D124" i="20"/>
  <c r="E124" i="20"/>
  <c r="F124" i="20"/>
  <c r="G124" i="20"/>
  <c r="H124" i="20"/>
  <c r="I124" i="20"/>
  <c r="D125" i="20"/>
  <c r="E125" i="20"/>
  <c r="F125" i="20"/>
  <c r="G125" i="20"/>
  <c r="H125" i="20"/>
  <c r="I125" i="20"/>
  <c r="D126" i="20"/>
  <c r="E126" i="20"/>
  <c r="F126" i="20"/>
  <c r="G126" i="20"/>
  <c r="H126" i="20"/>
  <c r="I126" i="20"/>
  <c r="D127" i="20"/>
  <c r="E127" i="20"/>
  <c r="F127" i="20"/>
  <c r="G127" i="20"/>
  <c r="H127" i="20"/>
  <c r="I127" i="20"/>
  <c r="D128" i="20"/>
  <c r="E128" i="20"/>
  <c r="F128" i="20"/>
  <c r="G128" i="20"/>
  <c r="H128" i="20"/>
  <c r="I128" i="20"/>
  <c r="D129" i="20"/>
  <c r="E129" i="20"/>
  <c r="F129" i="20"/>
  <c r="G129" i="20"/>
  <c r="H129" i="20"/>
  <c r="I129" i="20"/>
  <c r="D130" i="20"/>
  <c r="E130" i="20"/>
  <c r="F130" i="20"/>
  <c r="G130" i="20"/>
  <c r="H130" i="20"/>
  <c r="I130" i="20"/>
  <c r="D131" i="20"/>
  <c r="E131" i="20"/>
  <c r="F131" i="20"/>
  <c r="G131" i="20"/>
  <c r="H131" i="20"/>
  <c r="I131" i="20"/>
  <c r="D132" i="20"/>
  <c r="E132" i="20"/>
  <c r="F132" i="20"/>
  <c r="G132" i="20"/>
  <c r="H132" i="20"/>
  <c r="I132" i="20"/>
  <c r="D133" i="20"/>
  <c r="E133" i="20"/>
  <c r="F133" i="20"/>
  <c r="G133" i="20"/>
  <c r="H133" i="20"/>
  <c r="I133" i="20"/>
  <c r="D134" i="20"/>
  <c r="E134" i="20"/>
  <c r="F134" i="20"/>
  <c r="G134" i="20"/>
  <c r="H134" i="20"/>
  <c r="I134" i="20"/>
  <c r="D135" i="20"/>
  <c r="E135" i="20"/>
  <c r="F135" i="20"/>
  <c r="G135" i="20"/>
  <c r="H135" i="20"/>
  <c r="I135" i="20"/>
  <c r="E120" i="20"/>
  <c r="F120" i="20"/>
  <c r="G120" i="20"/>
  <c r="H120" i="20"/>
  <c r="I120" i="20"/>
  <c r="D120" i="20"/>
  <c r="AA69" i="20"/>
  <c r="AB69" i="20"/>
  <c r="AC69" i="20"/>
  <c r="AD69" i="20"/>
  <c r="AE69" i="20"/>
  <c r="AF69" i="20"/>
  <c r="AH69" i="20" s="1"/>
  <c r="AG69" i="20"/>
  <c r="AA70" i="20"/>
  <c r="AH70" i="20" s="1"/>
  <c r="AB70" i="20"/>
  <c r="AC70" i="20"/>
  <c r="AD70" i="20"/>
  <c r="AE70" i="20"/>
  <c r="AF70" i="20"/>
  <c r="AG70" i="20"/>
  <c r="AA71" i="20"/>
  <c r="AH71" i="20" s="1"/>
  <c r="AB71" i="20"/>
  <c r="AC71" i="20"/>
  <c r="AD71" i="20"/>
  <c r="AE71" i="20"/>
  <c r="AF71" i="20"/>
  <c r="AG71" i="20"/>
  <c r="AA72" i="20"/>
  <c r="AB72" i="20"/>
  <c r="AC72" i="20"/>
  <c r="AH72" i="20" s="1"/>
  <c r="AD72" i="20"/>
  <c r="AE72" i="20"/>
  <c r="AF72" i="20"/>
  <c r="AG72" i="20"/>
  <c r="AA73" i="20"/>
  <c r="AB73" i="20"/>
  <c r="AC73" i="20"/>
  <c r="AD73" i="20"/>
  <c r="AE73" i="20"/>
  <c r="AF73" i="20"/>
  <c r="AG73" i="20"/>
  <c r="AH73" i="20" s="1"/>
  <c r="AA74" i="20"/>
  <c r="AH74" i="20" s="1"/>
  <c r="AB74" i="20"/>
  <c r="AC74" i="20"/>
  <c r="AD74" i="20"/>
  <c r="AE74" i="20"/>
  <c r="AF74" i="20"/>
  <c r="AG74" i="20"/>
  <c r="AA75" i="20"/>
  <c r="AH75" i="20" s="1"/>
  <c r="AB75" i="20"/>
  <c r="AC75" i="20"/>
  <c r="AD75" i="20"/>
  <c r="AE75" i="20"/>
  <c r="AF75" i="20"/>
  <c r="AG75" i="20"/>
  <c r="AA76" i="20"/>
  <c r="AB76" i="20"/>
  <c r="AC76" i="20"/>
  <c r="AD76" i="20"/>
  <c r="AE76" i="20"/>
  <c r="AH76" i="20" s="1"/>
  <c r="AF76" i="20"/>
  <c r="AG76" i="20"/>
  <c r="AA77" i="20"/>
  <c r="AB77" i="20"/>
  <c r="AC77" i="20"/>
  <c r="AD77" i="20"/>
  <c r="AE77" i="20"/>
  <c r="AF77" i="20"/>
  <c r="AG77" i="20"/>
  <c r="AH77" i="20"/>
  <c r="AA78" i="20"/>
  <c r="AH78" i="20" s="1"/>
  <c r="AB78" i="20"/>
  <c r="AC78" i="20"/>
  <c r="AD78" i="20"/>
  <c r="AE78" i="20"/>
  <c r="AF78" i="20"/>
  <c r="AG78" i="20"/>
  <c r="AA79" i="20"/>
  <c r="AB79" i="20"/>
  <c r="AH79" i="20" s="1"/>
  <c r="AC79" i="20"/>
  <c r="AD79" i="20"/>
  <c r="AE79" i="20"/>
  <c r="AF79" i="20"/>
  <c r="AG79" i="20"/>
  <c r="AA80" i="20"/>
  <c r="AB80" i="20"/>
  <c r="AC80" i="20"/>
  <c r="AD80" i="20"/>
  <c r="AE80" i="20"/>
  <c r="AF80" i="20"/>
  <c r="AG80" i="20"/>
  <c r="AH80" i="20"/>
  <c r="AA81" i="20"/>
  <c r="AH81" i="20" s="1"/>
  <c r="AB81" i="20"/>
  <c r="AC81" i="20"/>
  <c r="AD81" i="20"/>
  <c r="AE81" i="20"/>
  <c r="AF81" i="20"/>
  <c r="AG81" i="20"/>
  <c r="AA82" i="20"/>
  <c r="AH82" i="20" s="1"/>
  <c r="AB82" i="20"/>
  <c r="AC82" i="20"/>
  <c r="AD82" i="20"/>
  <c r="AE82" i="20"/>
  <c r="AF82" i="20"/>
  <c r="AG82" i="20"/>
  <c r="AA83" i="20"/>
  <c r="AB83" i="20"/>
  <c r="AC83" i="20"/>
  <c r="AD83" i="20"/>
  <c r="AH83" i="20" s="1"/>
  <c r="AE83" i="20"/>
  <c r="AF83" i="20"/>
  <c r="AG83" i="20"/>
  <c r="AH68" i="20"/>
  <c r="AG68" i="20"/>
  <c r="AB68" i="20"/>
  <c r="AC68" i="20"/>
  <c r="AD68" i="20"/>
  <c r="AE68" i="20"/>
  <c r="AF68" i="20"/>
  <c r="AA68" i="20"/>
  <c r="J69" i="20"/>
  <c r="J70" i="20"/>
  <c r="J71" i="20"/>
  <c r="J72" i="20"/>
  <c r="J73" i="20"/>
  <c r="J74" i="20"/>
  <c r="J75" i="20"/>
  <c r="J76" i="20"/>
  <c r="J77" i="20"/>
  <c r="J78" i="20"/>
  <c r="J79" i="20"/>
  <c r="J80" i="20"/>
  <c r="J81" i="20"/>
  <c r="J82" i="20"/>
  <c r="J83" i="20"/>
  <c r="O69" i="20"/>
  <c r="P69" i="20"/>
  <c r="Q69" i="20"/>
  <c r="R69" i="20"/>
  <c r="S69" i="20"/>
  <c r="V69" i="20" s="1"/>
  <c r="T69" i="20"/>
  <c r="U69" i="20"/>
  <c r="O70" i="20"/>
  <c r="V70" i="20" s="1"/>
  <c r="P70" i="20"/>
  <c r="Q70" i="20"/>
  <c r="R70" i="20"/>
  <c r="S70" i="20"/>
  <c r="T70" i="20"/>
  <c r="U70" i="20"/>
  <c r="O71" i="20"/>
  <c r="P71" i="20"/>
  <c r="Q71" i="20"/>
  <c r="V71" i="20" s="1"/>
  <c r="R71" i="20"/>
  <c r="S71" i="20"/>
  <c r="T71" i="20"/>
  <c r="U71" i="20"/>
  <c r="O72" i="20"/>
  <c r="V72" i="20" s="1"/>
  <c r="P72" i="20"/>
  <c r="Q72" i="20"/>
  <c r="R72" i="20"/>
  <c r="S72" i="20"/>
  <c r="T72" i="20"/>
  <c r="U72" i="20"/>
  <c r="O73" i="20"/>
  <c r="V73" i="20" s="1"/>
  <c r="P73" i="20"/>
  <c r="Q73" i="20"/>
  <c r="R73" i="20"/>
  <c r="S73" i="20"/>
  <c r="T73" i="20"/>
  <c r="U73" i="20"/>
  <c r="O74" i="20"/>
  <c r="P74" i="20"/>
  <c r="Q74" i="20"/>
  <c r="V74" i="20" s="1"/>
  <c r="R74" i="20"/>
  <c r="S74" i="20"/>
  <c r="T74" i="20"/>
  <c r="U74" i="20"/>
  <c r="O75" i="20"/>
  <c r="V75" i="20" s="1"/>
  <c r="P75" i="20"/>
  <c r="Q75" i="20"/>
  <c r="R75" i="20"/>
  <c r="S75" i="20"/>
  <c r="T75" i="20"/>
  <c r="U75" i="20"/>
  <c r="O76" i="20"/>
  <c r="V76" i="20" s="1"/>
  <c r="P76" i="20"/>
  <c r="Q76" i="20"/>
  <c r="R76" i="20"/>
  <c r="S76" i="20"/>
  <c r="T76" i="20"/>
  <c r="U76" i="20"/>
  <c r="O77" i="20"/>
  <c r="P77" i="20"/>
  <c r="Q77" i="20"/>
  <c r="R77" i="20"/>
  <c r="S77" i="20"/>
  <c r="V77" i="20" s="1"/>
  <c r="T77" i="20"/>
  <c r="U77" i="20"/>
  <c r="O78" i="20"/>
  <c r="P78" i="20"/>
  <c r="Q78" i="20"/>
  <c r="V78" i="20" s="1"/>
  <c r="R78" i="20"/>
  <c r="S78" i="20"/>
  <c r="T78" i="20"/>
  <c r="U78" i="20"/>
  <c r="O79" i="20"/>
  <c r="V79" i="20" s="1"/>
  <c r="P79" i="20"/>
  <c r="Q79" i="20"/>
  <c r="R79" i="20"/>
  <c r="S79" i="20"/>
  <c r="T79" i="20"/>
  <c r="U79" i="20"/>
  <c r="O80" i="20"/>
  <c r="P80" i="20"/>
  <c r="Q80" i="20"/>
  <c r="R80" i="20"/>
  <c r="S80" i="20"/>
  <c r="V80" i="20" s="1"/>
  <c r="T80" i="20"/>
  <c r="U80" i="20"/>
  <c r="O81" i="20"/>
  <c r="V81" i="20" s="1"/>
  <c r="P81" i="20"/>
  <c r="Q81" i="20"/>
  <c r="R81" i="20"/>
  <c r="S81" i="20"/>
  <c r="T81" i="20"/>
  <c r="U81" i="20"/>
  <c r="O82" i="20"/>
  <c r="P82" i="20"/>
  <c r="Q82" i="20"/>
  <c r="V82" i="20" s="1"/>
  <c r="R82" i="20"/>
  <c r="S82" i="20"/>
  <c r="T82" i="20"/>
  <c r="U82" i="20"/>
  <c r="O83" i="20"/>
  <c r="P83" i="20"/>
  <c r="Q83" i="20"/>
  <c r="R83" i="20"/>
  <c r="S83" i="20"/>
  <c r="T83" i="20"/>
  <c r="U83" i="20"/>
  <c r="U68" i="20"/>
  <c r="V83" i="20"/>
  <c r="V68" i="20"/>
  <c r="P68" i="20"/>
  <c r="Q68" i="20"/>
  <c r="R68" i="20"/>
  <c r="S68" i="20"/>
  <c r="T68" i="20"/>
  <c r="O68" i="20"/>
  <c r="J68" i="20"/>
  <c r="I68" i="20"/>
  <c r="D68" i="20"/>
  <c r="E68" i="20"/>
  <c r="F68" i="20"/>
  <c r="G68" i="20"/>
  <c r="H68" i="20"/>
  <c r="C68" i="20"/>
  <c r="V61" i="20"/>
  <c r="V60" i="20"/>
  <c r="V59" i="20"/>
  <c r="V58" i="20"/>
  <c r="V57" i="20"/>
  <c r="V56" i="20"/>
  <c r="V55" i="20"/>
  <c r="V54" i="20"/>
  <c r="V53" i="20"/>
  <c r="V52" i="20"/>
  <c r="V51" i="20"/>
  <c r="V50" i="20"/>
  <c r="V49" i="20"/>
  <c r="V48" i="20"/>
  <c r="V47" i="20"/>
  <c r="V46" i="20"/>
  <c r="V45" i="20"/>
  <c r="V44" i="20"/>
  <c r="V43" i="20"/>
  <c r="V42" i="20"/>
  <c r="V41" i="20"/>
  <c r="V40" i="20"/>
  <c r="V39" i="20"/>
  <c r="V38" i="20"/>
  <c r="V37" i="20"/>
  <c r="V36" i="20"/>
  <c r="V35" i="20"/>
  <c r="V34" i="20"/>
  <c r="V33" i="20"/>
  <c r="AA18" i="20"/>
  <c r="AB18" i="20"/>
  <c r="AC18" i="20"/>
  <c r="AD18" i="20"/>
  <c r="AE18" i="20"/>
  <c r="AF18" i="20"/>
  <c r="AG18" i="20"/>
  <c r="AH18" i="20"/>
  <c r="AA19" i="20"/>
  <c r="AH19" i="20" s="1"/>
  <c r="AB19" i="20"/>
  <c r="AC19" i="20"/>
  <c r="AD19" i="20"/>
  <c r="AE19" i="20"/>
  <c r="AF19" i="20"/>
  <c r="AG19" i="20"/>
  <c r="AA20" i="20"/>
  <c r="AH20" i="20" s="1"/>
  <c r="AB20" i="20"/>
  <c r="AC20" i="20"/>
  <c r="AD20" i="20"/>
  <c r="AE20" i="20"/>
  <c r="AF20" i="20"/>
  <c r="AG20" i="20"/>
  <c r="AA21" i="20"/>
  <c r="AB21" i="20"/>
  <c r="AC21" i="20"/>
  <c r="AD21" i="20"/>
  <c r="AE21" i="20"/>
  <c r="AF21" i="20"/>
  <c r="AG21" i="20"/>
  <c r="AH21" i="20"/>
  <c r="AA22" i="20"/>
  <c r="AB22" i="20"/>
  <c r="AC22" i="20"/>
  <c r="AD22" i="20"/>
  <c r="AE22" i="20"/>
  <c r="AF22" i="20"/>
  <c r="AG22" i="20"/>
  <c r="AH22" i="20"/>
  <c r="AA23" i="20"/>
  <c r="AH23" i="20" s="1"/>
  <c r="AB23" i="20"/>
  <c r="AC23" i="20"/>
  <c r="AD23" i="20"/>
  <c r="AE23" i="20"/>
  <c r="AF23" i="20"/>
  <c r="AG23" i="20"/>
  <c r="AA24" i="20"/>
  <c r="AH24" i="20" s="1"/>
  <c r="AB24" i="20"/>
  <c r="AC24" i="20"/>
  <c r="AD24" i="20"/>
  <c r="AE24" i="20"/>
  <c r="AF24" i="20"/>
  <c r="AG24" i="20"/>
  <c r="AA25" i="20"/>
  <c r="AB25" i="20"/>
  <c r="AC25" i="20"/>
  <c r="AD25" i="20"/>
  <c r="AE25" i="20"/>
  <c r="AF25" i="20"/>
  <c r="AG25" i="20"/>
  <c r="AH25" i="20"/>
  <c r="AA26" i="20"/>
  <c r="AH26" i="20" s="1"/>
  <c r="AB26" i="20"/>
  <c r="AC26" i="20"/>
  <c r="AD26" i="20"/>
  <c r="AE26" i="20"/>
  <c r="AF26" i="20"/>
  <c r="AG26" i="20"/>
  <c r="AA27" i="20"/>
  <c r="AH27" i="20" s="1"/>
  <c r="AB27" i="20"/>
  <c r="AC27" i="20"/>
  <c r="AD27" i="20"/>
  <c r="AE27" i="20"/>
  <c r="AF27" i="20"/>
  <c r="AG27" i="20"/>
  <c r="AA28" i="20"/>
  <c r="AB28" i="20"/>
  <c r="AH28" i="20" s="1"/>
  <c r="AC28" i="20"/>
  <c r="AD28" i="20"/>
  <c r="AE28" i="20"/>
  <c r="AF28" i="20"/>
  <c r="AG28" i="20"/>
  <c r="AA29" i="20"/>
  <c r="AB29" i="20"/>
  <c r="AC29" i="20"/>
  <c r="AD29" i="20"/>
  <c r="AE29" i="20"/>
  <c r="AF29" i="20"/>
  <c r="AG29" i="20"/>
  <c r="AH29" i="20"/>
  <c r="AA30" i="20"/>
  <c r="AH30" i="20" s="1"/>
  <c r="AB30" i="20"/>
  <c r="AC30" i="20"/>
  <c r="AD30" i="20"/>
  <c r="AE30" i="20"/>
  <c r="AF30" i="20"/>
  <c r="AG30" i="20"/>
  <c r="AA31" i="20"/>
  <c r="AH31" i="20" s="1"/>
  <c r="AB31" i="20"/>
  <c r="AC31" i="20"/>
  <c r="AD31" i="20"/>
  <c r="AE31" i="20"/>
  <c r="AF31" i="20"/>
  <c r="AG31" i="20"/>
  <c r="AA32" i="20"/>
  <c r="AB32" i="20"/>
  <c r="AC32" i="20"/>
  <c r="AD32" i="20"/>
  <c r="AE32" i="20"/>
  <c r="AF32" i="20"/>
  <c r="AG32" i="20"/>
  <c r="AH32" i="20"/>
  <c r="AH17" i="20"/>
  <c r="AG17" i="20"/>
  <c r="AB17" i="20"/>
  <c r="AC17" i="20"/>
  <c r="AD17" i="20"/>
  <c r="AE17" i="20"/>
  <c r="AF17" i="20"/>
  <c r="AA17" i="20"/>
  <c r="O18" i="20"/>
  <c r="P18" i="20"/>
  <c r="Q18" i="20"/>
  <c r="R18" i="20"/>
  <c r="S18" i="20"/>
  <c r="T18" i="20"/>
  <c r="U18" i="20"/>
  <c r="V18" i="20"/>
  <c r="O19" i="20"/>
  <c r="V19" i="20" s="1"/>
  <c r="P19" i="20"/>
  <c r="Q19" i="20"/>
  <c r="R19" i="20"/>
  <c r="S19" i="20"/>
  <c r="T19" i="20"/>
  <c r="U19" i="20"/>
  <c r="O20" i="20"/>
  <c r="V20" i="20" s="1"/>
  <c r="P20" i="20"/>
  <c r="Q20" i="20"/>
  <c r="R20" i="20"/>
  <c r="S20" i="20"/>
  <c r="T20" i="20"/>
  <c r="U20" i="20"/>
  <c r="O21" i="20"/>
  <c r="P21" i="20"/>
  <c r="Q21" i="20"/>
  <c r="R21" i="20"/>
  <c r="S21" i="20"/>
  <c r="T21" i="20"/>
  <c r="U21" i="20"/>
  <c r="V21" i="20"/>
  <c r="O22" i="20"/>
  <c r="P22" i="20"/>
  <c r="Q22" i="20"/>
  <c r="R22" i="20"/>
  <c r="S22" i="20"/>
  <c r="T22" i="20"/>
  <c r="U22" i="20"/>
  <c r="V22" i="20"/>
  <c r="O23" i="20"/>
  <c r="V23" i="20" s="1"/>
  <c r="P23" i="20"/>
  <c r="Q23" i="20"/>
  <c r="R23" i="20"/>
  <c r="S23" i="20"/>
  <c r="T23" i="20"/>
  <c r="U23" i="20"/>
  <c r="O24" i="20"/>
  <c r="V24" i="20" s="1"/>
  <c r="P24" i="20"/>
  <c r="Q24" i="20"/>
  <c r="R24" i="20"/>
  <c r="S24" i="20"/>
  <c r="T24" i="20"/>
  <c r="U24" i="20"/>
  <c r="O25" i="20"/>
  <c r="P25" i="20"/>
  <c r="Q25" i="20"/>
  <c r="R25" i="20"/>
  <c r="S25" i="20"/>
  <c r="T25" i="20"/>
  <c r="U25" i="20"/>
  <c r="V25" i="20"/>
  <c r="O26" i="20"/>
  <c r="V26" i="20" s="1"/>
  <c r="P26" i="20"/>
  <c r="Q26" i="20"/>
  <c r="R26" i="20"/>
  <c r="S26" i="20"/>
  <c r="T26" i="20"/>
  <c r="U26" i="20"/>
  <c r="O27" i="20"/>
  <c r="V27" i="20" s="1"/>
  <c r="P27" i="20"/>
  <c r="Q27" i="20"/>
  <c r="R27" i="20"/>
  <c r="S27" i="20"/>
  <c r="T27" i="20"/>
  <c r="U27" i="20"/>
  <c r="O28" i="20"/>
  <c r="P28" i="20"/>
  <c r="V28" i="20" s="1"/>
  <c r="Q28" i="20"/>
  <c r="R28" i="20"/>
  <c r="S28" i="20"/>
  <c r="T28" i="20"/>
  <c r="U28" i="20"/>
  <c r="O29" i="20"/>
  <c r="P29" i="20"/>
  <c r="Q29" i="20"/>
  <c r="R29" i="20"/>
  <c r="S29" i="20"/>
  <c r="T29" i="20"/>
  <c r="U29" i="20"/>
  <c r="V29" i="20"/>
  <c r="O30" i="20"/>
  <c r="V30" i="20" s="1"/>
  <c r="P30" i="20"/>
  <c r="Q30" i="20"/>
  <c r="R30" i="20"/>
  <c r="S30" i="20"/>
  <c r="T30" i="20"/>
  <c r="U30" i="20"/>
  <c r="O31" i="20"/>
  <c r="V31" i="20" s="1"/>
  <c r="P31" i="20"/>
  <c r="Q31" i="20"/>
  <c r="R31" i="20"/>
  <c r="S31" i="20"/>
  <c r="T31" i="20"/>
  <c r="U31" i="20"/>
  <c r="O32" i="20"/>
  <c r="P32" i="20"/>
  <c r="Q32" i="20"/>
  <c r="R32" i="20"/>
  <c r="S32" i="20"/>
  <c r="T32" i="20"/>
  <c r="U32" i="20"/>
  <c r="V32" i="20" s="1"/>
  <c r="V17" i="20"/>
  <c r="U17" i="20"/>
  <c r="P17" i="20"/>
  <c r="Q17" i="20"/>
  <c r="R17" i="20"/>
  <c r="S17" i="20"/>
  <c r="T17" i="20"/>
  <c r="O17" i="20"/>
  <c r="C18" i="20"/>
  <c r="D18" i="20"/>
  <c r="E18" i="20"/>
  <c r="F18" i="20"/>
  <c r="G18" i="20"/>
  <c r="J18" i="20" s="1"/>
  <c r="H18" i="20"/>
  <c r="I18" i="20"/>
  <c r="C19" i="20"/>
  <c r="J19" i="20" s="1"/>
  <c r="D19" i="20"/>
  <c r="E19" i="20"/>
  <c r="F19" i="20"/>
  <c r="G19" i="20"/>
  <c r="H19" i="20"/>
  <c r="I19" i="20"/>
  <c r="C20" i="20"/>
  <c r="J20" i="20" s="1"/>
  <c r="D20" i="20"/>
  <c r="E20" i="20"/>
  <c r="F20" i="20"/>
  <c r="G20" i="20"/>
  <c r="H20" i="20"/>
  <c r="I20" i="20"/>
  <c r="C21" i="20"/>
  <c r="D21" i="20"/>
  <c r="E21" i="20"/>
  <c r="F21" i="20"/>
  <c r="G21" i="20"/>
  <c r="H21" i="20"/>
  <c r="I21" i="20"/>
  <c r="J21" i="20"/>
  <c r="C22" i="20"/>
  <c r="J22" i="20" s="1"/>
  <c r="D22" i="20"/>
  <c r="E22" i="20"/>
  <c r="F22" i="20"/>
  <c r="G22" i="20"/>
  <c r="H22" i="20"/>
  <c r="I22" i="20"/>
  <c r="C23" i="20"/>
  <c r="J23" i="20" s="1"/>
  <c r="D23" i="20"/>
  <c r="E23" i="20"/>
  <c r="F23" i="20"/>
  <c r="G23" i="20"/>
  <c r="H23" i="20"/>
  <c r="I23" i="20"/>
  <c r="C24" i="20"/>
  <c r="J24" i="20" s="1"/>
  <c r="D24" i="20"/>
  <c r="E24" i="20"/>
  <c r="F24" i="20"/>
  <c r="G24" i="20"/>
  <c r="H24" i="20"/>
  <c r="I24" i="20"/>
  <c r="C25" i="20"/>
  <c r="D25" i="20"/>
  <c r="E25" i="20"/>
  <c r="F25" i="20"/>
  <c r="G25" i="20"/>
  <c r="H25" i="20"/>
  <c r="I25" i="20"/>
  <c r="J25" i="20"/>
  <c r="C26" i="20"/>
  <c r="J26" i="20" s="1"/>
  <c r="D26" i="20"/>
  <c r="E26" i="20"/>
  <c r="F26" i="20"/>
  <c r="G26" i="20"/>
  <c r="H26" i="20"/>
  <c r="I26" i="20"/>
  <c r="C27" i="20"/>
  <c r="J27" i="20" s="1"/>
  <c r="D27" i="20"/>
  <c r="E27" i="20"/>
  <c r="F27" i="20"/>
  <c r="G27" i="20"/>
  <c r="H27" i="20"/>
  <c r="I27" i="20"/>
  <c r="C28" i="20"/>
  <c r="D28" i="20"/>
  <c r="E28" i="20"/>
  <c r="F28" i="20"/>
  <c r="G28" i="20"/>
  <c r="H28" i="20"/>
  <c r="I28" i="20"/>
  <c r="J28" i="20"/>
  <c r="C29" i="20"/>
  <c r="D29" i="20"/>
  <c r="E29" i="20"/>
  <c r="F29" i="20"/>
  <c r="G29" i="20"/>
  <c r="J29" i="20" s="1"/>
  <c r="H29" i="20"/>
  <c r="I29" i="20"/>
  <c r="C30" i="20"/>
  <c r="J30" i="20" s="1"/>
  <c r="D30" i="20"/>
  <c r="E30" i="20"/>
  <c r="F30" i="20"/>
  <c r="G30" i="20"/>
  <c r="H30" i="20"/>
  <c r="I30" i="20"/>
  <c r="C31" i="20"/>
  <c r="J31" i="20" s="1"/>
  <c r="D31" i="20"/>
  <c r="E31" i="20"/>
  <c r="F31" i="20"/>
  <c r="G31" i="20"/>
  <c r="H31" i="20"/>
  <c r="I31" i="20"/>
  <c r="C32" i="20"/>
  <c r="D32" i="20"/>
  <c r="E32" i="20"/>
  <c r="F32" i="20"/>
  <c r="G32" i="20"/>
  <c r="H32" i="20"/>
  <c r="I32" i="20"/>
  <c r="J32" i="20"/>
  <c r="J17" i="20"/>
  <c r="I17" i="20"/>
  <c r="D17" i="20"/>
  <c r="E17" i="20"/>
  <c r="F17" i="20"/>
  <c r="G17" i="20"/>
  <c r="H17" i="20"/>
  <c r="C17" i="20"/>
  <c r="AL51" i="10"/>
  <c r="AL8" i="10"/>
  <c r="AL9" i="10"/>
  <c r="AL10" i="10"/>
  <c r="AL11" i="10"/>
  <c r="AL12" i="10"/>
  <c r="AL13" i="10"/>
  <c r="AL14" i="10"/>
  <c r="AL15" i="10"/>
  <c r="AL16" i="10"/>
  <c r="AL17" i="10"/>
  <c r="AL7" i="10"/>
  <c r="AM7" i="10"/>
  <c r="AM22" i="10"/>
  <c r="AL22" i="10" s="1"/>
  <c r="AL55" i="10" s="1"/>
  <c r="AE57" i="50"/>
  <c r="AM19" i="10"/>
  <c r="AL19" i="10" s="1"/>
  <c r="AM20" i="10"/>
  <c r="AL20" i="10" s="1"/>
  <c r="AM21" i="10"/>
  <c r="AL21" i="10" s="1"/>
  <c r="AD51"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23" i="10"/>
  <c r="AD19" i="10"/>
  <c r="AD20" i="10"/>
  <c r="AD21" i="10"/>
  <c r="AD22" i="10"/>
  <c r="AD18" i="10"/>
  <c r="AC19" i="10"/>
  <c r="AC20" i="10"/>
  <c r="AC21" i="10"/>
  <c r="AC22" i="10"/>
  <c r="AB19" i="10"/>
  <c r="AB20" i="10"/>
  <c r="AB21" i="10"/>
  <c r="AB22" i="10"/>
  <c r="X19" i="10"/>
  <c r="X20" i="10"/>
  <c r="X21" i="10"/>
  <c r="X22" i="10"/>
  <c r="X18" i="10"/>
  <c r="AB18" i="10"/>
  <c r="AC18" i="10" s="1"/>
  <c r="R23" i="10"/>
  <c r="R26" i="10"/>
  <c r="R29" i="10"/>
  <c r="R30" i="10"/>
  <c r="R34" i="10"/>
  <c r="R21" i="10"/>
  <c r="O22" i="10"/>
  <c r="O23" i="10"/>
  <c r="O24" i="10"/>
  <c r="O25" i="10"/>
  <c r="O26" i="10"/>
  <c r="O27" i="10"/>
  <c r="O28" i="10"/>
  <c r="O29" i="10"/>
  <c r="O30" i="10"/>
  <c r="O31" i="10"/>
  <c r="O32" i="10"/>
  <c r="O33" i="10"/>
  <c r="O34" i="10"/>
  <c r="O35" i="10"/>
  <c r="O36" i="10"/>
  <c r="O21" i="10"/>
  <c r="O37" i="10"/>
  <c r="O38" i="10"/>
  <c r="O39" i="10"/>
  <c r="O40" i="10"/>
  <c r="O41" i="10"/>
  <c r="O42" i="10"/>
  <c r="O43" i="10"/>
  <c r="O44" i="10"/>
  <c r="O45" i="10"/>
  <c r="O46" i="10"/>
  <c r="O47" i="10"/>
  <c r="O48" i="10"/>
  <c r="O49" i="10"/>
  <c r="O50" i="10"/>
  <c r="O51"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M38" i="10"/>
  <c r="M39" i="10"/>
  <c r="M40" i="10"/>
  <c r="R40" i="10" s="1"/>
  <c r="M41" i="10"/>
  <c r="R41" i="10" s="1"/>
  <c r="M42" i="10"/>
  <c r="M43" i="10"/>
  <c r="M44" i="10"/>
  <c r="M45" i="10"/>
  <c r="R45" i="10" s="1"/>
  <c r="M46" i="10"/>
  <c r="M47" i="10"/>
  <c r="M48" i="10"/>
  <c r="R48" i="10" s="1"/>
  <c r="M49" i="10"/>
  <c r="M50" i="10"/>
  <c r="M51" i="10"/>
  <c r="R51" i="10" s="1"/>
  <c r="M37" i="10"/>
  <c r="R37" i="10" s="1"/>
  <c r="M22" i="10"/>
  <c r="M23" i="10"/>
  <c r="M24" i="10"/>
  <c r="M25" i="10"/>
  <c r="M26" i="10"/>
  <c r="M27" i="10"/>
  <c r="M28" i="10"/>
  <c r="M29" i="10"/>
  <c r="M30" i="10"/>
  <c r="M31" i="10"/>
  <c r="M32" i="10"/>
  <c r="M33" i="10"/>
  <c r="M34" i="10"/>
  <c r="M35" i="10"/>
  <c r="M36" i="10"/>
  <c r="M21" i="10"/>
  <c r="C8" i="10"/>
  <c r="D8" i="10"/>
  <c r="E8" i="10"/>
  <c r="C9" i="10"/>
  <c r="D9" i="10"/>
  <c r="E9" i="10"/>
  <c r="C10" i="10"/>
  <c r="D10" i="10"/>
  <c r="E10" i="10"/>
  <c r="C11" i="10"/>
  <c r="D11" i="10"/>
  <c r="E11" i="10"/>
  <c r="C12" i="10"/>
  <c r="D12" i="10"/>
  <c r="E12" i="10"/>
  <c r="C13" i="10"/>
  <c r="D13" i="10"/>
  <c r="E13" i="10"/>
  <c r="C14" i="10"/>
  <c r="D14" i="10"/>
  <c r="E14" i="10"/>
  <c r="C15" i="10"/>
  <c r="D15" i="10"/>
  <c r="E15" i="10"/>
  <c r="C16" i="10"/>
  <c r="D16" i="10"/>
  <c r="E16" i="10"/>
  <c r="C17" i="10"/>
  <c r="D17" i="10"/>
  <c r="E17" i="10"/>
  <c r="C18" i="10"/>
  <c r="D18" i="10"/>
  <c r="E18" i="10"/>
  <c r="C19" i="10"/>
  <c r="D19" i="10"/>
  <c r="E19" i="10"/>
  <c r="C20" i="10"/>
  <c r="D20" i="10"/>
  <c r="E20" i="10"/>
  <c r="C21" i="10"/>
  <c r="D21" i="10"/>
  <c r="E21" i="10"/>
  <c r="C22" i="10"/>
  <c r="R22" i="10" s="1"/>
  <c r="D22" i="10"/>
  <c r="E22" i="10"/>
  <c r="T22" i="10" s="1"/>
  <c r="C23" i="10"/>
  <c r="D23" i="10"/>
  <c r="S23" i="10" s="1"/>
  <c r="E23" i="10"/>
  <c r="T23" i="10" s="1"/>
  <c r="C24" i="10"/>
  <c r="R24" i="10" s="1"/>
  <c r="D24" i="10"/>
  <c r="E24" i="10"/>
  <c r="C25" i="10"/>
  <c r="R25" i="10" s="1"/>
  <c r="D25" i="10"/>
  <c r="S25" i="10" s="1"/>
  <c r="E25" i="10"/>
  <c r="T25" i="10" s="1"/>
  <c r="C26" i="10"/>
  <c r="D26" i="10"/>
  <c r="E26" i="10"/>
  <c r="T26" i="10" s="1"/>
  <c r="C27" i="10"/>
  <c r="R27" i="10" s="1"/>
  <c r="D27" i="10"/>
  <c r="S27" i="10" s="1"/>
  <c r="E27" i="10"/>
  <c r="T27" i="10" s="1"/>
  <c r="C28" i="10"/>
  <c r="R28" i="10" s="1"/>
  <c r="D28" i="10"/>
  <c r="E28" i="10"/>
  <c r="C29" i="10"/>
  <c r="D29" i="10"/>
  <c r="E29" i="10"/>
  <c r="C30" i="10"/>
  <c r="D30" i="10"/>
  <c r="E30" i="10"/>
  <c r="C31" i="10"/>
  <c r="R31" i="10" s="1"/>
  <c r="D31" i="10"/>
  <c r="S31" i="10" s="1"/>
  <c r="E31" i="10"/>
  <c r="C32" i="10"/>
  <c r="R32" i="10" s="1"/>
  <c r="D32" i="10"/>
  <c r="E32" i="10"/>
  <c r="C33" i="10"/>
  <c r="R33" i="10" s="1"/>
  <c r="D33" i="10"/>
  <c r="E33" i="10"/>
  <c r="T33" i="10" s="1"/>
  <c r="C34" i="10"/>
  <c r="D34" i="10"/>
  <c r="S34" i="10" s="1"/>
  <c r="E34" i="10"/>
  <c r="T34" i="10" s="1"/>
  <c r="C35" i="10"/>
  <c r="R35" i="10" s="1"/>
  <c r="D35" i="10"/>
  <c r="S35" i="10" s="1"/>
  <c r="E35" i="10"/>
  <c r="C36" i="10"/>
  <c r="R36" i="10" s="1"/>
  <c r="D36" i="10"/>
  <c r="S36" i="10" s="1"/>
  <c r="E36" i="10"/>
  <c r="T36" i="10" s="1"/>
  <c r="C37" i="10"/>
  <c r="D37" i="10"/>
  <c r="E37" i="10"/>
  <c r="T37" i="10" s="1"/>
  <c r="C38" i="10"/>
  <c r="R38" i="10" s="1"/>
  <c r="D38" i="10"/>
  <c r="S38" i="10" s="1"/>
  <c r="E38" i="10"/>
  <c r="T38" i="10" s="1"/>
  <c r="C39" i="10"/>
  <c r="R39" i="10" s="1"/>
  <c r="D39" i="10"/>
  <c r="E39" i="10"/>
  <c r="C40" i="10"/>
  <c r="D40" i="10"/>
  <c r="E40" i="10"/>
  <c r="C41" i="10"/>
  <c r="D41" i="10"/>
  <c r="E41" i="10"/>
  <c r="C42" i="10"/>
  <c r="R42" i="10" s="1"/>
  <c r="D42" i="10"/>
  <c r="S42" i="10" s="1"/>
  <c r="E42" i="10"/>
  <c r="T42" i="10" s="1"/>
  <c r="C43" i="10"/>
  <c r="R43" i="10" s="1"/>
  <c r="D43" i="10"/>
  <c r="E43" i="10"/>
  <c r="T43" i="10" s="1"/>
  <c r="C44" i="10"/>
  <c r="R44" i="10" s="1"/>
  <c r="D44" i="10"/>
  <c r="E44" i="10"/>
  <c r="T44" i="10" s="1"/>
  <c r="C45" i="10"/>
  <c r="D45" i="10"/>
  <c r="S45" i="10" s="1"/>
  <c r="E45" i="10"/>
  <c r="T45" i="10" s="1"/>
  <c r="C46" i="10"/>
  <c r="R46" i="10" s="1"/>
  <c r="D46" i="10"/>
  <c r="S46" i="10" s="1"/>
  <c r="E46" i="10"/>
  <c r="C47" i="10"/>
  <c r="R47" i="10" s="1"/>
  <c r="D47" i="10"/>
  <c r="S47" i="10" s="1"/>
  <c r="E47" i="10"/>
  <c r="C48" i="10"/>
  <c r="D48" i="10"/>
  <c r="E48" i="10"/>
  <c r="T48" i="10" s="1"/>
  <c r="C49" i="10"/>
  <c r="R49" i="10" s="1"/>
  <c r="D49" i="10"/>
  <c r="S49" i="10" s="1"/>
  <c r="E49" i="10"/>
  <c r="T49" i="10" s="1"/>
  <c r="C50" i="10"/>
  <c r="R50" i="10" s="1"/>
  <c r="D50" i="10"/>
  <c r="E50" i="10"/>
  <c r="C51" i="10"/>
  <c r="D51" i="10"/>
  <c r="E51" i="10"/>
  <c r="E7" i="10"/>
  <c r="D7" i="10"/>
  <c r="C7" i="10"/>
  <c r="R7" i="10"/>
  <c r="AN19" i="14"/>
  <c r="AL19" i="14"/>
  <c r="Z20" i="14" a="1"/>
  <c r="Z20" i="14" s="1"/>
  <c r="Z19" i="14" a="1"/>
  <c r="Z19" i="14" s="1"/>
  <c r="AB20" i="14" a="1"/>
  <c r="AB20" i="14" s="1"/>
  <c r="AB19" i="14" a="1"/>
  <c r="AB19" i="14" s="1"/>
  <c r="AC10" i="14"/>
  <c r="AC11" i="14"/>
  <c r="AC12" i="14"/>
  <c r="AC13" i="14"/>
  <c r="AC14" i="14"/>
  <c r="AC15" i="14"/>
  <c r="AC16" i="14"/>
  <c r="AC17" i="14"/>
  <c r="AC18" i="14"/>
  <c r="AC9" i="14"/>
  <c r="AC8" i="14"/>
  <c r="AC19" i="14" s="1" a="1"/>
  <c r="AC19" i="14" s="1"/>
  <c r="S55" i="4"/>
  <c r="T55" i="4"/>
  <c r="U55" i="4"/>
  <c r="V55" i="4"/>
  <c r="W55" i="4"/>
  <c r="X55" i="4"/>
  <c r="Y55" i="4"/>
  <c r="S56" i="4"/>
  <c r="T56" i="4"/>
  <c r="U56" i="4"/>
  <c r="V56" i="4"/>
  <c r="W56" i="4"/>
  <c r="X56" i="4"/>
  <c r="Y56" i="4"/>
  <c r="S57" i="4"/>
  <c r="T57" i="4"/>
  <c r="U57" i="4"/>
  <c r="V57" i="4"/>
  <c r="W57" i="4"/>
  <c r="X57" i="4"/>
  <c r="Y57" i="4"/>
  <c r="S58" i="4"/>
  <c r="T58" i="4"/>
  <c r="U58" i="4"/>
  <c r="V58" i="4"/>
  <c r="W58" i="4"/>
  <c r="X58" i="4"/>
  <c r="Y58" i="4"/>
  <c r="S59" i="4"/>
  <c r="T59" i="4"/>
  <c r="U59" i="4"/>
  <c r="V59" i="4"/>
  <c r="W59" i="4"/>
  <c r="X59" i="4"/>
  <c r="Y59" i="4"/>
  <c r="S60" i="4"/>
  <c r="T60" i="4"/>
  <c r="U60" i="4"/>
  <c r="V60" i="4"/>
  <c r="W60" i="4"/>
  <c r="X60" i="4"/>
  <c r="Y60" i="4"/>
  <c r="S61" i="4"/>
  <c r="T61" i="4"/>
  <c r="U61" i="4"/>
  <c r="V61" i="4"/>
  <c r="W61" i="4"/>
  <c r="X61" i="4"/>
  <c r="Y61" i="4"/>
  <c r="S62" i="4"/>
  <c r="T62" i="4"/>
  <c r="U62" i="4"/>
  <c r="V62" i="4"/>
  <c r="W62" i="4"/>
  <c r="X62" i="4"/>
  <c r="Y62" i="4"/>
  <c r="S63" i="4"/>
  <c r="T63" i="4"/>
  <c r="U63" i="4"/>
  <c r="V63" i="4"/>
  <c r="W63" i="4"/>
  <c r="X63" i="4"/>
  <c r="Y63" i="4"/>
  <c r="S64" i="4"/>
  <c r="T64" i="4"/>
  <c r="U64" i="4"/>
  <c r="V64" i="4"/>
  <c r="W64" i="4"/>
  <c r="X64" i="4"/>
  <c r="Y64" i="4"/>
  <c r="S65" i="4"/>
  <c r="T65" i="4"/>
  <c r="U65" i="4"/>
  <c r="V65" i="4"/>
  <c r="W65" i="4"/>
  <c r="X65" i="4"/>
  <c r="Y65" i="4"/>
  <c r="S66" i="4"/>
  <c r="T66" i="4"/>
  <c r="U66" i="4"/>
  <c r="V66" i="4"/>
  <c r="W66" i="4"/>
  <c r="X66" i="4"/>
  <c r="Y66" i="4"/>
  <c r="S67" i="4"/>
  <c r="T67" i="4"/>
  <c r="U67" i="4"/>
  <c r="V67" i="4"/>
  <c r="W67" i="4"/>
  <c r="X67" i="4"/>
  <c r="Y67" i="4"/>
  <c r="S68" i="4"/>
  <c r="T68" i="4"/>
  <c r="U68" i="4"/>
  <c r="V68" i="4"/>
  <c r="W68" i="4"/>
  <c r="X68" i="4"/>
  <c r="Y68" i="4"/>
  <c r="S69" i="4"/>
  <c r="T69" i="4"/>
  <c r="U69" i="4"/>
  <c r="V69" i="4"/>
  <c r="W69" i="4"/>
  <c r="X69" i="4"/>
  <c r="Y69" i="4"/>
  <c r="T54" i="4"/>
  <c r="U54" i="4"/>
  <c r="V54" i="4"/>
  <c r="W54" i="4"/>
  <c r="X54" i="4"/>
  <c r="Y54" i="4"/>
  <c r="S54" i="4"/>
  <c r="O54" i="4"/>
  <c r="O55" i="4"/>
  <c r="O56" i="4"/>
  <c r="O57" i="4"/>
  <c r="O58" i="4"/>
  <c r="O59" i="4"/>
  <c r="H55" i="4"/>
  <c r="I55" i="4"/>
  <c r="J55" i="4"/>
  <c r="K55" i="4"/>
  <c r="L55" i="4"/>
  <c r="M55" i="4"/>
  <c r="N55" i="4"/>
  <c r="H56" i="4"/>
  <c r="I56" i="4"/>
  <c r="J56" i="4"/>
  <c r="K56" i="4"/>
  <c r="L56" i="4"/>
  <c r="M56" i="4"/>
  <c r="N56" i="4"/>
  <c r="H57" i="4"/>
  <c r="I57" i="4"/>
  <c r="J57" i="4"/>
  <c r="K57" i="4"/>
  <c r="L57" i="4"/>
  <c r="M57" i="4"/>
  <c r="N57" i="4"/>
  <c r="H58" i="4"/>
  <c r="I58" i="4"/>
  <c r="J58" i="4"/>
  <c r="K58" i="4"/>
  <c r="L58" i="4"/>
  <c r="M58" i="4"/>
  <c r="N58" i="4"/>
  <c r="H59" i="4"/>
  <c r="I59" i="4"/>
  <c r="J59" i="4"/>
  <c r="K59" i="4"/>
  <c r="L59" i="4"/>
  <c r="M59" i="4"/>
  <c r="N59" i="4"/>
  <c r="H60" i="4"/>
  <c r="I60" i="4"/>
  <c r="J60" i="4"/>
  <c r="K60" i="4"/>
  <c r="L60" i="4"/>
  <c r="M60" i="4"/>
  <c r="N60" i="4"/>
  <c r="H61" i="4"/>
  <c r="I61" i="4"/>
  <c r="J61" i="4"/>
  <c r="K61" i="4"/>
  <c r="L61" i="4"/>
  <c r="M61" i="4"/>
  <c r="N61" i="4"/>
  <c r="H62" i="4"/>
  <c r="I62" i="4"/>
  <c r="J62" i="4"/>
  <c r="K62" i="4"/>
  <c r="L62" i="4"/>
  <c r="M62" i="4"/>
  <c r="N62" i="4"/>
  <c r="H63" i="4"/>
  <c r="I63" i="4"/>
  <c r="J63" i="4"/>
  <c r="K63" i="4"/>
  <c r="L63" i="4"/>
  <c r="M63" i="4"/>
  <c r="N63" i="4"/>
  <c r="H64" i="4"/>
  <c r="I64" i="4"/>
  <c r="J64" i="4"/>
  <c r="K64" i="4"/>
  <c r="L64" i="4"/>
  <c r="M64" i="4"/>
  <c r="N64" i="4"/>
  <c r="H65" i="4"/>
  <c r="I65" i="4"/>
  <c r="J65" i="4"/>
  <c r="K65" i="4"/>
  <c r="L65" i="4"/>
  <c r="M65" i="4"/>
  <c r="N65" i="4"/>
  <c r="H66" i="4"/>
  <c r="I66" i="4"/>
  <c r="J66" i="4"/>
  <c r="K66" i="4"/>
  <c r="L66" i="4"/>
  <c r="M66" i="4"/>
  <c r="N66" i="4"/>
  <c r="H67" i="4"/>
  <c r="I67" i="4"/>
  <c r="J67" i="4"/>
  <c r="K67" i="4"/>
  <c r="L67" i="4"/>
  <c r="M67" i="4"/>
  <c r="N67" i="4"/>
  <c r="H68" i="4"/>
  <c r="I68" i="4"/>
  <c r="J68" i="4"/>
  <c r="K68" i="4"/>
  <c r="L68" i="4"/>
  <c r="M68" i="4"/>
  <c r="N68" i="4"/>
  <c r="H69" i="4"/>
  <c r="I69" i="4"/>
  <c r="J69" i="4"/>
  <c r="K69" i="4"/>
  <c r="L69" i="4"/>
  <c r="M69" i="4"/>
  <c r="N69" i="4"/>
  <c r="I54" i="4"/>
  <c r="J54" i="4"/>
  <c r="K54" i="4"/>
  <c r="L54" i="4"/>
  <c r="M54" i="4"/>
  <c r="N54" i="4"/>
  <c r="H54" i="4"/>
  <c r="O29" i="4"/>
  <c r="O30" i="4"/>
  <c r="O31" i="4"/>
  <c r="O32" i="4"/>
  <c r="O33" i="4"/>
  <c r="O9" i="4"/>
  <c r="O10" i="4"/>
  <c r="O11" i="4"/>
  <c r="O12" i="4"/>
  <c r="H29" i="4"/>
  <c r="I29" i="4"/>
  <c r="J29" i="4"/>
  <c r="K29" i="4"/>
  <c r="L29" i="4"/>
  <c r="M29" i="4"/>
  <c r="N29" i="4"/>
  <c r="H30" i="4"/>
  <c r="I30" i="4"/>
  <c r="J30" i="4"/>
  <c r="K30" i="4"/>
  <c r="L30" i="4"/>
  <c r="M30" i="4"/>
  <c r="N30" i="4"/>
  <c r="H31" i="4"/>
  <c r="I31" i="4"/>
  <c r="J31" i="4"/>
  <c r="K31" i="4"/>
  <c r="L31" i="4"/>
  <c r="M31" i="4"/>
  <c r="N31" i="4"/>
  <c r="H32" i="4"/>
  <c r="I32" i="4"/>
  <c r="J32" i="4"/>
  <c r="K32" i="4"/>
  <c r="L32" i="4"/>
  <c r="M32" i="4"/>
  <c r="N32" i="4"/>
  <c r="H33" i="4"/>
  <c r="I33" i="4"/>
  <c r="J33" i="4"/>
  <c r="K33" i="4"/>
  <c r="L33" i="4"/>
  <c r="M33" i="4"/>
  <c r="N33" i="4"/>
  <c r="H34" i="4"/>
  <c r="I34" i="4"/>
  <c r="J34" i="4"/>
  <c r="K34" i="4"/>
  <c r="L34" i="4"/>
  <c r="M34" i="4"/>
  <c r="N34" i="4"/>
  <c r="H35" i="4"/>
  <c r="I35" i="4"/>
  <c r="J35" i="4"/>
  <c r="K35" i="4"/>
  <c r="L35" i="4"/>
  <c r="M35" i="4"/>
  <c r="N35" i="4"/>
  <c r="H36" i="4"/>
  <c r="I36" i="4"/>
  <c r="J36" i="4"/>
  <c r="K36" i="4"/>
  <c r="L36" i="4"/>
  <c r="M36" i="4"/>
  <c r="N36" i="4"/>
  <c r="H37" i="4"/>
  <c r="I37" i="4"/>
  <c r="J37" i="4"/>
  <c r="K37" i="4"/>
  <c r="L37" i="4"/>
  <c r="M37" i="4"/>
  <c r="N37" i="4"/>
  <c r="H38" i="4"/>
  <c r="I38" i="4"/>
  <c r="J38" i="4"/>
  <c r="K38" i="4"/>
  <c r="L38" i="4"/>
  <c r="M38" i="4"/>
  <c r="N38" i="4"/>
  <c r="H40" i="4"/>
  <c r="I40" i="4"/>
  <c r="J40" i="4"/>
  <c r="K40" i="4"/>
  <c r="L40" i="4"/>
  <c r="M40" i="4"/>
  <c r="N40" i="4"/>
  <c r="H41" i="4"/>
  <c r="I41" i="4"/>
  <c r="J41" i="4"/>
  <c r="K41" i="4"/>
  <c r="L41" i="4"/>
  <c r="M41" i="4"/>
  <c r="N41" i="4"/>
  <c r="H42" i="4"/>
  <c r="I42" i="4"/>
  <c r="J42" i="4"/>
  <c r="K42" i="4"/>
  <c r="L42" i="4"/>
  <c r="M42" i="4"/>
  <c r="N42" i="4"/>
  <c r="H43" i="4"/>
  <c r="I43" i="4"/>
  <c r="J43" i="4"/>
  <c r="K43" i="4"/>
  <c r="L43" i="4"/>
  <c r="M43" i="4"/>
  <c r="N43" i="4"/>
  <c r="I28" i="4"/>
  <c r="J28" i="4"/>
  <c r="K28" i="4"/>
  <c r="L28" i="4"/>
  <c r="M28" i="4"/>
  <c r="N28" i="4"/>
  <c r="H28" i="4"/>
  <c r="H9" i="4"/>
  <c r="I9" i="4"/>
  <c r="J9" i="4"/>
  <c r="K9" i="4"/>
  <c r="L9" i="4"/>
  <c r="M9" i="4"/>
  <c r="N9" i="4"/>
  <c r="H10" i="4"/>
  <c r="I10" i="4"/>
  <c r="J10" i="4"/>
  <c r="K10" i="4"/>
  <c r="L10" i="4"/>
  <c r="M10" i="4"/>
  <c r="N10" i="4"/>
  <c r="H11" i="4"/>
  <c r="I11" i="4"/>
  <c r="J11" i="4"/>
  <c r="K11" i="4"/>
  <c r="L11" i="4"/>
  <c r="M11" i="4"/>
  <c r="N11" i="4"/>
  <c r="H12" i="4"/>
  <c r="I12" i="4"/>
  <c r="J12" i="4"/>
  <c r="K12" i="4"/>
  <c r="L12" i="4"/>
  <c r="M12" i="4"/>
  <c r="N12" i="4"/>
  <c r="H13" i="4"/>
  <c r="I13" i="4"/>
  <c r="J13" i="4"/>
  <c r="K13" i="4"/>
  <c r="L13" i="4"/>
  <c r="M13" i="4"/>
  <c r="N13" i="4"/>
  <c r="H14" i="4"/>
  <c r="I14" i="4"/>
  <c r="J14" i="4"/>
  <c r="K14" i="4"/>
  <c r="L14" i="4"/>
  <c r="M14" i="4"/>
  <c r="N14" i="4"/>
  <c r="H15" i="4"/>
  <c r="I15" i="4"/>
  <c r="J15" i="4"/>
  <c r="K15" i="4"/>
  <c r="L15" i="4"/>
  <c r="M15" i="4"/>
  <c r="N15" i="4"/>
  <c r="H16" i="4"/>
  <c r="I16" i="4"/>
  <c r="J16" i="4"/>
  <c r="K16" i="4"/>
  <c r="L16" i="4"/>
  <c r="M16" i="4"/>
  <c r="N16" i="4"/>
  <c r="H17" i="4"/>
  <c r="I17" i="4"/>
  <c r="J17" i="4"/>
  <c r="K17" i="4"/>
  <c r="L17" i="4"/>
  <c r="M17" i="4"/>
  <c r="N17" i="4"/>
  <c r="H18" i="4"/>
  <c r="I18" i="4"/>
  <c r="J18" i="4"/>
  <c r="K18" i="4"/>
  <c r="L18" i="4"/>
  <c r="M18" i="4"/>
  <c r="N18" i="4"/>
  <c r="H19" i="4"/>
  <c r="I19" i="4"/>
  <c r="J19" i="4"/>
  <c r="K19" i="4"/>
  <c r="L19" i="4"/>
  <c r="M19" i="4"/>
  <c r="N19" i="4"/>
  <c r="H20" i="4"/>
  <c r="I20" i="4"/>
  <c r="J20" i="4"/>
  <c r="K20" i="4"/>
  <c r="L20" i="4"/>
  <c r="M20" i="4"/>
  <c r="N20" i="4"/>
  <c r="H21" i="4"/>
  <c r="I21" i="4"/>
  <c r="J21" i="4"/>
  <c r="K21" i="4"/>
  <c r="L21" i="4"/>
  <c r="M21" i="4"/>
  <c r="N21" i="4"/>
  <c r="H22" i="4"/>
  <c r="I22" i="4"/>
  <c r="J22" i="4"/>
  <c r="K22" i="4"/>
  <c r="L22" i="4"/>
  <c r="M22" i="4"/>
  <c r="N22" i="4"/>
  <c r="H23" i="4"/>
  <c r="I23" i="4"/>
  <c r="J23" i="4"/>
  <c r="K23" i="4"/>
  <c r="L23" i="4"/>
  <c r="M23" i="4"/>
  <c r="N23" i="4"/>
  <c r="I8" i="4"/>
  <c r="J8" i="4"/>
  <c r="K8" i="4"/>
  <c r="L8" i="4"/>
  <c r="M8" i="4"/>
  <c r="N8" i="4"/>
  <c r="H8" i="4"/>
  <c r="D14" i="14"/>
  <c r="D51" i="14" s="1"/>
  <c r="C9" i="14"/>
  <c r="C52" i="14"/>
  <c r="C14" i="14"/>
  <c r="C51" i="14" s="1"/>
  <c r="D9" i="14"/>
  <c r="D52" i="14" s="1"/>
  <c r="BO18" i="14"/>
  <c r="B18" i="14" s="1"/>
  <c r="AV21" i="14"/>
  <c r="BI18" i="14"/>
  <c r="BC18" i="14"/>
  <c r="AW6" i="14"/>
  <c r="AW7" i="14"/>
  <c r="AW8" i="14"/>
  <c r="AW9" i="14"/>
  <c r="AW10" i="14"/>
  <c r="AW11" i="14"/>
  <c r="AW12" i="14"/>
  <c r="AW13" i="14"/>
  <c r="AW14" i="14"/>
  <c r="AW15" i="14"/>
  <c r="AW16" i="14"/>
  <c r="AW17" i="14"/>
  <c r="I37" i="58"/>
  <c r="I35" i="58"/>
  <c r="H3" i="58"/>
  <c r="N28" i="5"/>
  <c r="H41" i="58"/>
  <c r="G41" i="58"/>
  <c r="C41" i="58"/>
  <c r="E41" i="58"/>
  <c r="D41" i="58"/>
  <c r="B41" i="58"/>
  <c r="I41" i="58" s="1"/>
  <c r="F41" i="58"/>
  <c r="H40" i="58"/>
  <c r="G40" i="58"/>
  <c r="C40" i="58"/>
  <c r="E40" i="58"/>
  <c r="D40" i="58"/>
  <c r="B40" i="58"/>
  <c r="I40" i="58" s="1"/>
  <c r="F40" i="58"/>
  <c r="H39" i="58"/>
  <c r="G39" i="58"/>
  <c r="C39" i="58"/>
  <c r="E39" i="58"/>
  <c r="D39" i="58"/>
  <c r="B39" i="58"/>
  <c r="I39" i="58" s="1"/>
  <c r="F39" i="58"/>
  <c r="H38" i="58"/>
  <c r="G38" i="58"/>
  <c r="C38" i="58"/>
  <c r="E38" i="58"/>
  <c r="D38" i="58"/>
  <c r="B38" i="58"/>
  <c r="I38" i="58" s="1"/>
  <c r="F38" i="58"/>
  <c r="H37" i="58"/>
  <c r="G37" i="58"/>
  <c r="C37" i="58"/>
  <c r="E37" i="58"/>
  <c r="D37" i="58"/>
  <c r="B37" i="58"/>
  <c r="F37" i="58"/>
  <c r="H36" i="58"/>
  <c r="G36" i="58"/>
  <c r="C36" i="58"/>
  <c r="I36" i="58" s="1"/>
  <c r="E36" i="58"/>
  <c r="D36" i="58"/>
  <c r="B36" i="58"/>
  <c r="F36" i="58"/>
  <c r="H35" i="58"/>
  <c r="G35" i="58"/>
  <c r="C35" i="58"/>
  <c r="E35" i="58"/>
  <c r="D35" i="58"/>
  <c r="B35" i="58"/>
  <c r="F35" i="58"/>
  <c r="H34" i="58"/>
  <c r="G34" i="58"/>
  <c r="C34" i="58"/>
  <c r="I34" i="58" s="1"/>
  <c r="E34" i="58"/>
  <c r="D34" i="58"/>
  <c r="B34" i="58"/>
  <c r="F34" i="58"/>
  <c r="H33" i="58"/>
  <c r="G33" i="58"/>
  <c r="C33" i="58"/>
  <c r="E33" i="58"/>
  <c r="D33" i="58"/>
  <c r="B33" i="58"/>
  <c r="I33" i="58" s="1"/>
  <c r="F33" i="58"/>
  <c r="H32" i="58"/>
  <c r="G32" i="58"/>
  <c r="C32" i="58"/>
  <c r="E32" i="58"/>
  <c r="D32" i="58"/>
  <c r="B32" i="58"/>
  <c r="F32" i="58"/>
  <c r="I32" i="58" s="1"/>
  <c r="H31" i="58"/>
  <c r="G31" i="58"/>
  <c r="C31" i="58"/>
  <c r="I31" i="58" s="1"/>
  <c r="E31" i="58"/>
  <c r="D31" i="58"/>
  <c r="B31" i="58"/>
  <c r="F31" i="58"/>
  <c r="S41" i="58"/>
  <c r="M55" i="58" s="1"/>
  <c r="S40" i="58"/>
  <c r="P54" i="58" s="1"/>
  <c r="S39" i="58"/>
  <c r="L53" i="58" s="1"/>
  <c r="S38" i="58"/>
  <c r="S37" i="58"/>
  <c r="N51" i="58" s="1"/>
  <c r="S36" i="58"/>
  <c r="N50" i="58" s="1"/>
  <c r="S35" i="58"/>
  <c r="R49" i="58" s="1"/>
  <c r="S34" i="58"/>
  <c r="P48" i="58" s="1"/>
  <c r="S33" i="58"/>
  <c r="R47" i="58" s="1"/>
  <c r="S32" i="58"/>
  <c r="L46" i="58" s="1"/>
  <c r="S31" i="58"/>
  <c r="S13" i="58"/>
  <c r="L27" i="58" s="1"/>
  <c r="S12" i="58"/>
  <c r="P26" i="58" s="1"/>
  <c r="S11" i="58"/>
  <c r="L25" i="58" s="1"/>
  <c r="S10" i="58"/>
  <c r="M24" i="58" s="1"/>
  <c r="S9" i="58"/>
  <c r="N23" i="58" s="1"/>
  <c r="S8" i="58"/>
  <c r="R22" i="58" s="1"/>
  <c r="S7" i="58"/>
  <c r="R21" i="58" s="1"/>
  <c r="S6" i="58"/>
  <c r="N20" i="58" s="1"/>
  <c r="S5" i="58"/>
  <c r="P19" i="58" s="1"/>
  <c r="S4" i="58"/>
  <c r="Q18" i="58" s="1"/>
  <c r="S3" i="58"/>
  <c r="M17" i="58" s="1"/>
  <c r="AC41" i="58"/>
  <c r="AC40" i="58"/>
  <c r="W54" i="58" s="1"/>
  <c r="AC39" i="58"/>
  <c r="AB53" i="58" s="1"/>
  <c r="AC38" i="58"/>
  <c r="AB52" i="58" s="1"/>
  <c r="AC37" i="58"/>
  <c r="AB51" i="58" s="1"/>
  <c r="AC36" i="58"/>
  <c r="AA50" i="58" s="1"/>
  <c r="AC35" i="58"/>
  <c r="AA49" i="58" s="1"/>
  <c r="AC34" i="58"/>
  <c r="X48" i="58" s="1"/>
  <c r="AC33" i="58"/>
  <c r="AB47" i="58" s="1"/>
  <c r="AC32" i="58"/>
  <c r="AB46" i="58" s="1"/>
  <c r="AC31" i="58"/>
  <c r="W45" i="58" s="1"/>
  <c r="AC13" i="58"/>
  <c r="AC12" i="58"/>
  <c r="AA26" i="58" s="1"/>
  <c r="AC11" i="58"/>
  <c r="W25" i="58" s="1"/>
  <c r="AC10" i="58"/>
  <c r="W24" i="58" s="1"/>
  <c r="AC9" i="58"/>
  <c r="AA23" i="58" s="1"/>
  <c r="AC8" i="58"/>
  <c r="W22" i="58" s="1"/>
  <c r="AC7" i="58"/>
  <c r="X21" i="58" s="1"/>
  <c r="AC6" i="58"/>
  <c r="X20" i="58" s="1"/>
  <c r="AC5" i="58"/>
  <c r="X19" i="58" s="1"/>
  <c r="AC4" i="58"/>
  <c r="W18" i="58" s="1"/>
  <c r="AC3" i="58"/>
  <c r="AM41" i="58"/>
  <c r="AL55" i="58" s="1"/>
  <c r="AM40" i="58"/>
  <c r="AG54" i="58" s="1"/>
  <c r="AM39" i="58"/>
  <c r="AL53" i="58" s="1"/>
  <c r="AM38" i="58"/>
  <c r="AL52" i="58" s="1"/>
  <c r="AM37" i="58"/>
  <c r="AK51" i="58" s="1"/>
  <c r="AM36" i="58"/>
  <c r="AM35" i="58"/>
  <c r="AL49" i="58" s="1"/>
  <c r="AM34" i="58"/>
  <c r="AK48" i="58" s="1"/>
  <c r="AM33" i="58"/>
  <c r="AI47" i="58" s="1"/>
  <c r="AM32" i="58"/>
  <c r="AL46" i="58" s="1"/>
  <c r="AM31" i="58"/>
  <c r="AI45" i="58" s="1"/>
  <c r="AM13" i="58"/>
  <c r="AK27" i="58" s="1"/>
  <c r="AM12" i="58"/>
  <c r="AL26" i="58" s="1"/>
  <c r="AM11" i="58"/>
  <c r="AL25" i="58" s="1"/>
  <c r="AM10" i="58"/>
  <c r="AK24" i="58" s="1"/>
  <c r="AM9" i="58"/>
  <c r="AM8" i="58"/>
  <c r="AI22" i="58" s="1"/>
  <c r="AM7" i="58"/>
  <c r="AL21" i="58" s="1"/>
  <c r="AM6" i="58"/>
  <c r="AG20" i="58" s="1"/>
  <c r="AM5" i="58"/>
  <c r="AK19" i="58" s="1"/>
  <c r="AM4" i="58"/>
  <c r="AG18" i="58" s="1"/>
  <c r="AM3" i="58"/>
  <c r="AG17" i="58" s="1"/>
  <c r="AW41" i="58"/>
  <c r="AQ55" i="58" s="1"/>
  <c r="AW40" i="58"/>
  <c r="AU54" i="58" s="1"/>
  <c r="AW39" i="58"/>
  <c r="AV53" i="58" s="1"/>
  <c r="AW38" i="58"/>
  <c r="AU52" i="58" s="1"/>
  <c r="AW37" i="58"/>
  <c r="AR51" i="58" s="1"/>
  <c r="AW36" i="58"/>
  <c r="AV50" i="58" s="1"/>
  <c r="AW35" i="58"/>
  <c r="AT49" i="58" s="1"/>
  <c r="AW34" i="58"/>
  <c r="AQ48" i="58" s="1"/>
  <c r="AW33" i="58"/>
  <c r="AW32" i="58"/>
  <c r="AW31" i="58"/>
  <c r="AV45" i="58" s="1"/>
  <c r="AW13" i="58"/>
  <c r="AV27" i="58" s="1"/>
  <c r="AW12" i="58"/>
  <c r="AR26" i="58" s="1"/>
  <c r="AW11" i="58"/>
  <c r="AQ25" i="58" s="1"/>
  <c r="AW10" i="58"/>
  <c r="AS24" i="58" s="1"/>
  <c r="AW9" i="58"/>
  <c r="AQ23" i="58" s="1"/>
  <c r="AW8" i="58"/>
  <c r="AT22" i="58" s="1"/>
  <c r="AW7" i="58"/>
  <c r="AU21" i="58" s="1"/>
  <c r="AW6" i="58"/>
  <c r="AR20" i="58" s="1"/>
  <c r="AW5" i="58"/>
  <c r="AW4" i="58"/>
  <c r="AW3" i="58"/>
  <c r="BG41" i="58"/>
  <c r="BB55" i="58" s="1"/>
  <c r="BG40" i="58"/>
  <c r="BD54" i="58" s="1"/>
  <c r="BG39" i="58"/>
  <c r="BC53" i="58" s="1"/>
  <c r="BG38" i="58"/>
  <c r="BF52" i="58" s="1"/>
  <c r="BG37" i="58"/>
  <c r="BA51" i="58" s="1"/>
  <c r="BG36" i="58"/>
  <c r="BG35" i="58"/>
  <c r="BF49" i="58" s="1"/>
  <c r="BG34" i="58"/>
  <c r="BG33" i="58"/>
  <c r="BG32" i="58"/>
  <c r="BG31" i="58"/>
  <c r="BE45" i="58" s="1"/>
  <c r="BG13" i="58"/>
  <c r="BE27" i="58" s="1"/>
  <c r="BG12" i="58"/>
  <c r="BF26" i="58" s="1"/>
  <c r="BG11" i="58"/>
  <c r="BF25" i="58" s="1"/>
  <c r="BG10" i="58"/>
  <c r="BA24" i="58" s="1"/>
  <c r="BG9" i="58"/>
  <c r="BG8" i="58"/>
  <c r="BA22" i="58" s="1"/>
  <c r="BG7" i="58"/>
  <c r="BA21" i="58" s="1"/>
  <c r="BG6" i="58"/>
  <c r="BG5" i="58"/>
  <c r="BG4" i="58"/>
  <c r="BE18" i="58" s="1"/>
  <c r="BG3" i="58"/>
  <c r="BB17" i="58" s="1"/>
  <c r="BQ41" i="58"/>
  <c r="BQ40" i="58"/>
  <c r="BQ39" i="58"/>
  <c r="BL53" i="58" s="1"/>
  <c r="BQ38" i="58"/>
  <c r="BQ37" i="58"/>
  <c r="BP51" i="58" s="1"/>
  <c r="BQ36" i="58"/>
  <c r="BK50" i="58" s="1"/>
  <c r="BQ35" i="58"/>
  <c r="BK49" i="58" s="1"/>
  <c r="BQ34" i="58"/>
  <c r="BQ33" i="58"/>
  <c r="BQ32" i="58"/>
  <c r="BQ31" i="58"/>
  <c r="BQ13" i="58"/>
  <c r="BM27" i="58" s="1"/>
  <c r="BQ12" i="58"/>
  <c r="BN26" i="58" s="1"/>
  <c r="BQ11" i="58"/>
  <c r="BM25" i="58" s="1"/>
  <c r="BQ10" i="58"/>
  <c r="BO24" i="58" s="1"/>
  <c r="BQ9" i="58"/>
  <c r="BP23" i="58" s="1"/>
  <c r="BQ8" i="58"/>
  <c r="BP22" i="58" s="1"/>
  <c r="BQ7" i="58"/>
  <c r="BM21" i="58" s="1"/>
  <c r="BQ6" i="58"/>
  <c r="BQ5" i="58"/>
  <c r="BQ4" i="58"/>
  <c r="BQ3" i="58"/>
  <c r="CK41" i="58"/>
  <c r="CJ55" i="58" s="1"/>
  <c r="CK40" i="58"/>
  <c r="CJ54" i="58" s="1"/>
  <c r="CK39" i="58"/>
  <c r="CJ53" i="58" s="1"/>
  <c r="CK38" i="58"/>
  <c r="CJ52" i="58" s="1"/>
  <c r="CK37" i="58"/>
  <c r="CE51" i="58" s="1"/>
  <c r="CK36" i="58"/>
  <c r="CE50" i="58" s="1"/>
  <c r="CK35" i="58"/>
  <c r="CG49" i="58" s="1"/>
  <c r="CK34" i="58"/>
  <c r="CK33" i="58"/>
  <c r="CK32" i="58"/>
  <c r="CK31" i="58"/>
  <c r="CE45" i="58" s="1"/>
  <c r="CK13" i="58"/>
  <c r="CE27" i="58" s="1"/>
  <c r="CK12" i="58"/>
  <c r="CE26" i="58" s="1"/>
  <c r="CK11" i="58"/>
  <c r="CE25" i="58" s="1"/>
  <c r="CK10" i="58"/>
  <c r="CG24" i="58" s="1"/>
  <c r="CK9" i="58"/>
  <c r="CK8" i="58"/>
  <c r="CH22" i="58" s="1"/>
  <c r="CK7" i="58"/>
  <c r="CE21" i="58" s="1"/>
  <c r="CK6" i="58"/>
  <c r="CK5" i="58"/>
  <c r="CK4" i="58"/>
  <c r="CK3" i="58"/>
  <c r="CE17" i="58" s="1"/>
  <c r="CA41" i="58"/>
  <c r="BU55" i="58" s="1"/>
  <c r="CA40" i="58"/>
  <c r="BV54" i="58" s="1"/>
  <c r="CA39" i="58"/>
  <c r="BW53" i="58" s="1"/>
  <c r="CA38" i="58"/>
  <c r="BV52" i="58" s="1"/>
  <c r="CA37" i="58"/>
  <c r="BY51" i="58" s="1"/>
  <c r="CA36" i="58"/>
  <c r="CA35" i="58"/>
  <c r="BZ49" i="58" s="1"/>
  <c r="CA34" i="58"/>
  <c r="CA33" i="58"/>
  <c r="CA32" i="58"/>
  <c r="CA31" i="58"/>
  <c r="CA13" i="58"/>
  <c r="CA12" i="58"/>
  <c r="CA11" i="58"/>
  <c r="BU25" i="58" s="1"/>
  <c r="CA10" i="58"/>
  <c r="CA9" i="58"/>
  <c r="BU23" i="58" s="1"/>
  <c r="CA8" i="58"/>
  <c r="CA7" i="58"/>
  <c r="BZ21" i="58" s="1"/>
  <c r="CA6" i="58"/>
  <c r="CA5" i="58"/>
  <c r="CA4" i="58"/>
  <c r="CA3" i="58"/>
  <c r="BV17" i="58" s="1"/>
  <c r="X27" i="58"/>
  <c r="X17" i="58"/>
  <c r="F4" i="58"/>
  <c r="B4" i="58"/>
  <c r="D4" i="58"/>
  <c r="E4" i="58"/>
  <c r="C4" i="58"/>
  <c r="G4" i="58"/>
  <c r="H4" i="58"/>
  <c r="F5" i="58"/>
  <c r="B5" i="58"/>
  <c r="D5" i="58"/>
  <c r="E5" i="58"/>
  <c r="C5" i="58"/>
  <c r="G5" i="58"/>
  <c r="H5" i="58"/>
  <c r="F6" i="58"/>
  <c r="B6" i="58"/>
  <c r="D6" i="58"/>
  <c r="E6" i="58"/>
  <c r="C6" i="58"/>
  <c r="G6" i="58"/>
  <c r="H6" i="58"/>
  <c r="F7" i="58"/>
  <c r="B7" i="58"/>
  <c r="D7" i="58"/>
  <c r="E7" i="58"/>
  <c r="C7" i="58"/>
  <c r="G7" i="58"/>
  <c r="H7" i="58"/>
  <c r="F8" i="58"/>
  <c r="B8" i="58"/>
  <c r="D8" i="58"/>
  <c r="E8" i="58"/>
  <c r="C8" i="58"/>
  <c r="G8" i="58"/>
  <c r="H8" i="58"/>
  <c r="F9" i="58"/>
  <c r="B9" i="58"/>
  <c r="D9" i="58"/>
  <c r="E9" i="58"/>
  <c r="C9" i="58"/>
  <c r="G9" i="58"/>
  <c r="H9" i="58"/>
  <c r="F10" i="58"/>
  <c r="B10" i="58"/>
  <c r="D10" i="58"/>
  <c r="E10" i="58"/>
  <c r="C10" i="58"/>
  <c r="G10" i="58"/>
  <c r="H10" i="58"/>
  <c r="F11" i="58"/>
  <c r="B11" i="58"/>
  <c r="D11" i="58"/>
  <c r="E11" i="58"/>
  <c r="C11" i="58"/>
  <c r="G11" i="58"/>
  <c r="H11" i="58"/>
  <c r="F12" i="58"/>
  <c r="B12" i="58"/>
  <c r="D12" i="58"/>
  <c r="E12" i="58"/>
  <c r="C12" i="58"/>
  <c r="G12" i="58"/>
  <c r="H12" i="58"/>
  <c r="F13" i="58"/>
  <c r="B13" i="58"/>
  <c r="D13" i="58"/>
  <c r="E13" i="58"/>
  <c r="C13" i="58"/>
  <c r="G13" i="58"/>
  <c r="H13" i="58"/>
  <c r="B3" i="58"/>
  <c r="D3" i="58"/>
  <c r="E3" i="58"/>
  <c r="C3" i="58"/>
  <c r="G3" i="58"/>
  <c r="F3" i="58"/>
  <c r="R17" i="58"/>
  <c r="M45" i="58"/>
  <c r="L52" i="58"/>
  <c r="L59" i="58"/>
  <c r="F59" i="58" s="1"/>
  <c r="M59" i="58"/>
  <c r="N59" i="58"/>
  <c r="P59" i="58"/>
  <c r="Q59" i="58"/>
  <c r="R59" i="58"/>
  <c r="L60" i="58"/>
  <c r="M60" i="58"/>
  <c r="N60" i="58"/>
  <c r="P60" i="58"/>
  <c r="Q60" i="58"/>
  <c r="R60" i="58"/>
  <c r="L61" i="58"/>
  <c r="F61" i="58" s="1"/>
  <c r="M61" i="58"/>
  <c r="N61" i="58"/>
  <c r="P61" i="58"/>
  <c r="Q61" i="58"/>
  <c r="R61" i="58"/>
  <c r="L62" i="58"/>
  <c r="M62" i="58"/>
  <c r="N62" i="58"/>
  <c r="P62" i="58"/>
  <c r="Q62" i="58"/>
  <c r="R62" i="58"/>
  <c r="L63" i="58"/>
  <c r="F63" i="58" s="1"/>
  <c r="M63" i="58"/>
  <c r="N63" i="58"/>
  <c r="P63" i="58"/>
  <c r="Q63" i="58"/>
  <c r="R63" i="58"/>
  <c r="L64" i="58"/>
  <c r="F64" i="58" s="1"/>
  <c r="M64" i="58"/>
  <c r="N64" i="58"/>
  <c r="P64" i="58"/>
  <c r="Q64" i="58"/>
  <c r="R64" i="58"/>
  <c r="L65" i="58"/>
  <c r="M65" i="58"/>
  <c r="N65" i="58"/>
  <c r="P65" i="58"/>
  <c r="Q65" i="58"/>
  <c r="R65" i="58"/>
  <c r="L66" i="58"/>
  <c r="F66" i="58" s="1"/>
  <c r="M66" i="58"/>
  <c r="N66" i="58"/>
  <c r="P66" i="58"/>
  <c r="Q66" i="58"/>
  <c r="R66" i="58"/>
  <c r="L67" i="58"/>
  <c r="F67" i="58" s="1"/>
  <c r="M67" i="58"/>
  <c r="N67" i="58"/>
  <c r="P67" i="58"/>
  <c r="Q67" i="58"/>
  <c r="R67" i="58"/>
  <c r="L68" i="58"/>
  <c r="F68" i="58" s="1"/>
  <c r="M68" i="58"/>
  <c r="N68" i="58"/>
  <c r="P68" i="58"/>
  <c r="Q68" i="58"/>
  <c r="R68" i="58"/>
  <c r="L69" i="58"/>
  <c r="F69" i="58" s="1"/>
  <c r="M69" i="58"/>
  <c r="N69" i="58"/>
  <c r="P69" i="58"/>
  <c r="Q69" i="58"/>
  <c r="R69" i="58"/>
  <c r="AA55" i="58"/>
  <c r="CJ69" i="58"/>
  <c r="CI69" i="58"/>
  <c r="CH69" i="58"/>
  <c r="CG69" i="58"/>
  <c r="CF69" i="58"/>
  <c r="CE69" i="58"/>
  <c r="CJ68" i="58"/>
  <c r="CI68" i="58"/>
  <c r="CH68" i="58"/>
  <c r="CG68" i="58"/>
  <c r="CF68" i="58"/>
  <c r="CE68" i="58"/>
  <c r="CJ67" i="58"/>
  <c r="CI67" i="58"/>
  <c r="CH67" i="58"/>
  <c r="CG67" i="58"/>
  <c r="CF67" i="58"/>
  <c r="CE67" i="58"/>
  <c r="CJ66" i="58"/>
  <c r="CI66" i="58"/>
  <c r="CH66" i="58"/>
  <c r="CG66" i="58"/>
  <c r="CF66" i="58"/>
  <c r="CE66" i="58"/>
  <c r="CJ65" i="58"/>
  <c r="CI65" i="58"/>
  <c r="CH65" i="58"/>
  <c r="CG65" i="58"/>
  <c r="CF65" i="58"/>
  <c r="CE65" i="58"/>
  <c r="CJ64" i="58"/>
  <c r="CI64" i="58"/>
  <c r="CH64" i="58"/>
  <c r="CG64" i="58"/>
  <c r="CF64" i="58"/>
  <c r="CE64" i="58"/>
  <c r="CJ63" i="58"/>
  <c r="CI63" i="58"/>
  <c r="CH63" i="58"/>
  <c r="CG63" i="58"/>
  <c r="CF63" i="58"/>
  <c r="CE63" i="58"/>
  <c r="CJ62" i="58"/>
  <c r="CI62" i="58"/>
  <c r="CH62" i="58"/>
  <c r="CG62" i="58"/>
  <c r="CF62" i="58"/>
  <c r="CE62" i="58"/>
  <c r="CJ61" i="58"/>
  <c r="CI61" i="58"/>
  <c r="CH61" i="58"/>
  <c r="CG61" i="58"/>
  <c r="CF61" i="58"/>
  <c r="CE61" i="58"/>
  <c r="CJ60" i="58"/>
  <c r="CI60" i="58"/>
  <c r="CH60" i="58"/>
  <c r="CG60" i="58"/>
  <c r="CF60" i="58"/>
  <c r="CE60" i="58"/>
  <c r="CJ59" i="58"/>
  <c r="CI59" i="58"/>
  <c r="CH59" i="58"/>
  <c r="CG59" i="58"/>
  <c r="CF59" i="58"/>
  <c r="CE59" i="58"/>
  <c r="BZ69" i="58"/>
  <c r="BY69" i="58"/>
  <c r="BW69" i="58"/>
  <c r="BV69" i="58"/>
  <c r="BU69" i="58"/>
  <c r="BZ68" i="58"/>
  <c r="BY68" i="58"/>
  <c r="BW68" i="58"/>
  <c r="BV68" i="58"/>
  <c r="BU68" i="58"/>
  <c r="BZ67" i="58"/>
  <c r="BY67" i="58"/>
  <c r="BW67" i="58"/>
  <c r="BV67" i="58"/>
  <c r="BU67" i="58"/>
  <c r="BZ66" i="58"/>
  <c r="BY66" i="58"/>
  <c r="BW66" i="58"/>
  <c r="BV66" i="58"/>
  <c r="BU66" i="58"/>
  <c r="BZ65" i="58"/>
  <c r="BY65" i="58"/>
  <c r="BW65" i="58"/>
  <c r="BV65" i="58"/>
  <c r="BU65" i="58"/>
  <c r="BZ64" i="58"/>
  <c r="BY64" i="58"/>
  <c r="BW64" i="58"/>
  <c r="BV64" i="58"/>
  <c r="BU64" i="58"/>
  <c r="BZ63" i="58"/>
  <c r="BY63" i="58"/>
  <c r="BW63" i="58"/>
  <c r="BV63" i="58"/>
  <c r="BU63" i="58"/>
  <c r="BZ62" i="58"/>
  <c r="BY62" i="58"/>
  <c r="BW62" i="58"/>
  <c r="BV62" i="58"/>
  <c r="BU62" i="58"/>
  <c r="BZ61" i="58"/>
  <c r="BY61" i="58"/>
  <c r="BW61" i="58"/>
  <c r="BV61" i="58"/>
  <c r="BU61" i="58"/>
  <c r="BZ60" i="58"/>
  <c r="BY60" i="58"/>
  <c r="BW60" i="58"/>
  <c r="BV60" i="58"/>
  <c r="BU60" i="58"/>
  <c r="BZ59" i="58"/>
  <c r="BY59" i="58"/>
  <c r="BW59" i="58"/>
  <c r="BV59" i="58"/>
  <c r="BU59" i="58"/>
  <c r="BP69" i="58"/>
  <c r="BO69" i="58"/>
  <c r="BN69" i="58"/>
  <c r="BM69" i="58"/>
  <c r="BL69" i="58"/>
  <c r="BK69" i="58"/>
  <c r="BP68" i="58"/>
  <c r="BO68" i="58"/>
  <c r="BN68" i="58"/>
  <c r="BM68" i="58"/>
  <c r="BL68" i="58"/>
  <c r="BK68" i="58"/>
  <c r="BP67" i="58"/>
  <c r="BO67" i="58"/>
  <c r="BN67" i="58"/>
  <c r="BM67" i="58"/>
  <c r="BL67" i="58"/>
  <c r="BK67" i="58"/>
  <c r="BP66" i="58"/>
  <c r="BO66" i="58"/>
  <c r="BN66" i="58"/>
  <c r="BM66" i="58"/>
  <c r="BL66" i="58"/>
  <c r="BK66" i="58"/>
  <c r="BP65" i="58"/>
  <c r="BO65" i="58"/>
  <c r="BN65" i="58"/>
  <c r="BM65" i="58"/>
  <c r="BL65" i="58"/>
  <c r="BK65" i="58"/>
  <c r="BP64" i="58"/>
  <c r="BO64" i="58"/>
  <c r="BN64" i="58"/>
  <c r="BM64" i="58"/>
  <c r="BL64" i="58"/>
  <c r="BK64" i="58"/>
  <c r="BP63" i="58"/>
  <c r="BO63" i="58"/>
  <c r="BN63" i="58"/>
  <c r="BM63" i="58"/>
  <c r="BL63" i="58"/>
  <c r="BK63" i="58"/>
  <c r="BP62" i="58"/>
  <c r="BO62" i="58"/>
  <c r="BN62" i="58"/>
  <c r="BM62" i="58"/>
  <c r="BL62" i="58"/>
  <c r="BK62" i="58"/>
  <c r="BP61" i="58"/>
  <c r="BO61" i="58"/>
  <c r="BN61" i="58"/>
  <c r="BM61" i="58"/>
  <c r="BL61" i="58"/>
  <c r="BK61" i="58"/>
  <c r="BP60" i="58"/>
  <c r="BO60" i="58"/>
  <c r="BN60" i="58"/>
  <c r="BM60" i="58"/>
  <c r="BL60" i="58"/>
  <c r="BK60" i="58"/>
  <c r="BP59" i="58"/>
  <c r="BO59" i="58"/>
  <c r="BN59" i="58"/>
  <c r="BM59" i="58"/>
  <c r="BL59" i="58"/>
  <c r="BK59" i="58"/>
  <c r="BF69" i="58"/>
  <c r="BE69" i="58"/>
  <c r="BD69" i="58"/>
  <c r="BC69" i="58"/>
  <c r="BB69" i="58"/>
  <c r="BA69" i="58"/>
  <c r="BF68" i="58"/>
  <c r="BE68" i="58"/>
  <c r="BD68" i="58"/>
  <c r="BC68" i="58"/>
  <c r="BB68" i="58"/>
  <c r="BA68" i="58"/>
  <c r="BF67" i="58"/>
  <c r="BE67" i="58"/>
  <c r="BD67" i="58"/>
  <c r="BC67" i="58"/>
  <c r="BB67" i="58"/>
  <c r="BA67" i="58"/>
  <c r="BF66" i="58"/>
  <c r="BE66" i="58"/>
  <c r="BD66" i="58"/>
  <c r="BC66" i="58"/>
  <c r="BB66" i="58"/>
  <c r="BA66" i="58"/>
  <c r="BF65" i="58"/>
  <c r="BE65" i="58"/>
  <c r="BD65" i="58"/>
  <c r="BC65" i="58"/>
  <c r="BB65" i="58"/>
  <c r="BA65" i="58"/>
  <c r="BF64" i="58"/>
  <c r="BE64" i="58"/>
  <c r="BD64" i="58"/>
  <c r="BC64" i="58"/>
  <c r="BB64" i="58"/>
  <c r="BA64" i="58"/>
  <c r="BF63" i="58"/>
  <c r="BE63" i="58"/>
  <c r="BD63" i="58"/>
  <c r="BC63" i="58"/>
  <c r="BB63" i="58"/>
  <c r="BA63" i="58"/>
  <c r="BF62" i="58"/>
  <c r="BE62" i="58"/>
  <c r="BD62" i="58"/>
  <c r="BC62" i="58"/>
  <c r="BB62" i="58"/>
  <c r="BA62" i="58"/>
  <c r="BF61" i="58"/>
  <c r="BE61" i="58"/>
  <c r="BD61" i="58"/>
  <c r="BC61" i="58"/>
  <c r="BB61" i="58"/>
  <c r="BA61" i="58"/>
  <c r="BF60" i="58"/>
  <c r="BE60" i="58"/>
  <c r="BD60" i="58"/>
  <c r="BC60" i="58"/>
  <c r="BB60" i="58"/>
  <c r="BA60" i="58"/>
  <c r="BF59" i="58"/>
  <c r="BE59" i="58"/>
  <c r="BD59" i="58"/>
  <c r="BC59" i="58"/>
  <c r="BB59" i="58"/>
  <c r="BA59" i="58"/>
  <c r="AV59" i="58"/>
  <c r="AV60" i="58"/>
  <c r="AV61" i="58"/>
  <c r="AV62" i="58"/>
  <c r="AV63" i="58"/>
  <c r="AV64" i="58"/>
  <c r="AV65" i="58"/>
  <c r="AV66" i="58"/>
  <c r="AV67" i="58"/>
  <c r="AV68" i="58"/>
  <c r="AV69" i="58"/>
  <c r="AU69" i="58"/>
  <c r="AT69" i="58"/>
  <c r="AS69" i="58"/>
  <c r="AR69" i="58"/>
  <c r="AQ69" i="58"/>
  <c r="AU68" i="58"/>
  <c r="AT68" i="58"/>
  <c r="AS68" i="58"/>
  <c r="AR68" i="58"/>
  <c r="AQ68" i="58"/>
  <c r="AU67" i="58"/>
  <c r="AT67" i="58"/>
  <c r="AS67" i="58"/>
  <c r="AR67" i="58"/>
  <c r="AQ67" i="58"/>
  <c r="AU66" i="58"/>
  <c r="AT66" i="58"/>
  <c r="AS66" i="58"/>
  <c r="AR66" i="58"/>
  <c r="AQ66" i="58"/>
  <c r="AU65" i="58"/>
  <c r="AT65" i="58"/>
  <c r="AS65" i="58"/>
  <c r="AR65" i="58"/>
  <c r="AQ65" i="58"/>
  <c r="AU64" i="58"/>
  <c r="AT64" i="58"/>
  <c r="AS64" i="58"/>
  <c r="AR64" i="58"/>
  <c r="AQ64" i="58"/>
  <c r="AU63" i="58"/>
  <c r="AT63" i="58"/>
  <c r="AS63" i="58"/>
  <c r="AR63" i="58"/>
  <c r="AQ63" i="58"/>
  <c r="AU62" i="58"/>
  <c r="AT62" i="58"/>
  <c r="AS62" i="58"/>
  <c r="AR62" i="58"/>
  <c r="AQ62" i="58"/>
  <c r="AU61" i="58"/>
  <c r="AT61" i="58"/>
  <c r="AS61" i="58"/>
  <c r="AR61" i="58"/>
  <c r="AQ61" i="58"/>
  <c r="AU60" i="58"/>
  <c r="AT60" i="58"/>
  <c r="AS60" i="58"/>
  <c r="AR60" i="58"/>
  <c r="AQ60" i="58"/>
  <c r="AU59" i="58"/>
  <c r="AT59" i="58"/>
  <c r="AS59" i="58"/>
  <c r="AR59" i="58"/>
  <c r="AQ59" i="58"/>
  <c r="AH59" i="58"/>
  <c r="AI59" i="58"/>
  <c r="AK59" i="58"/>
  <c r="AL59" i="58"/>
  <c r="AH60" i="58"/>
  <c r="AI60" i="58"/>
  <c r="AK60" i="58"/>
  <c r="AL60" i="58"/>
  <c r="AH61" i="58"/>
  <c r="AI61" i="58"/>
  <c r="AK61" i="58"/>
  <c r="AL61" i="58"/>
  <c r="AH62" i="58"/>
  <c r="AI62" i="58"/>
  <c r="AK62" i="58"/>
  <c r="AL62" i="58"/>
  <c r="AH63" i="58"/>
  <c r="AI63" i="58"/>
  <c r="AK63" i="58"/>
  <c r="AL63" i="58"/>
  <c r="AH64" i="58"/>
  <c r="AI64" i="58"/>
  <c r="AK64" i="58"/>
  <c r="AL64" i="58"/>
  <c r="AH65" i="58"/>
  <c r="AI65" i="58"/>
  <c r="AK65" i="58"/>
  <c r="AL65" i="58"/>
  <c r="AH66" i="58"/>
  <c r="AI66" i="58"/>
  <c r="AK66" i="58"/>
  <c r="AL66" i="58"/>
  <c r="AH67" i="58"/>
  <c r="AI67" i="58"/>
  <c r="AK67" i="58"/>
  <c r="AL67" i="58"/>
  <c r="AH68" i="58"/>
  <c r="AI68" i="58"/>
  <c r="AK68" i="58"/>
  <c r="AL68" i="58"/>
  <c r="AH69" i="58"/>
  <c r="AI69" i="58"/>
  <c r="AK69" i="58"/>
  <c r="AL69" i="58"/>
  <c r="AG69" i="58"/>
  <c r="AG68" i="58"/>
  <c r="AG67" i="58"/>
  <c r="AG66" i="58"/>
  <c r="AG65" i="58"/>
  <c r="AG64" i="58"/>
  <c r="AG63" i="58"/>
  <c r="AG62" i="58"/>
  <c r="AG61" i="58"/>
  <c r="AG60" i="58"/>
  <c r="AG59" i="58"/>
  <c r="X59" i="58"/>
  <c r="AA59" i="58"/>
  <c r="AB59" i="58"/>
  <c r="X60" i="58"/>
  <c r="AA60" i="58"/>
  <c r="AB60" i="58"/>
  <c r="X61" i="58"/>
  <c r="AA61" i="58"/>
  <c r="AB61" i="58"/>
  <c r="X62" i="58"/>
  <c r="AA62" i="58"/>
  <c r="AB62" i="58"/>
  <c r="X63" i="58"/>
  <c r="AA63" i="58"/>
  <c r="AB63" i="58"/>
  <c r="X64" i="58"/>
  <c r="AA64" i="58"/>
  <c r="AB64" i="58"/>
  <c r="X65" i="58"/>
  <c r="AA65" i="58"/>
  <c r="AB65" i="58"/>
  <c r="X66" i="58"/>
  <c r="AA66" i="58"/>
  <c r="AB66" i="58"/>
  <c r="X67" i="58"/>
  <c r="AA67" i="58"/>
  <c r="AB67" i="58"/>
  <c r="X68" i="58"/>
  <c r="AA68" i="58"/>
  <c r="AB68" i="58"/>
  <c r="X69" i="58"/>
  <c r="AA69" i="58"/>
  <c r="AB69" i="58"/>
  <c r="W69" i="58"/>
  <c r="W68" i="58"/>
  <c r="W67" i="58"/>
  <c r="W66" i="58"/>
  <c r="W65" i="58"/>
  <c r="W64" i="58"/>
  <c r="W63" i="58"/>
  <c r="W62" i="58"/>
  <c r="W61" i="58"/>
  <c r="W60" i="58"/>
  <c r="W59" i="58"/>
  <c r="BV27" i="58"/>
  <c r="BW26" i="58"/>
  <c r="BP54" i="58"/>
  <c r="J108" i="20" l="1"/>
  <c r="J90" i="20"/>
  <c r="J97" i="20"/>
  <c r="J86" i="20"/>
  <c r="J109" i="20"/>
  <c r="J100" i="20"/>
  <c r="J91" i="20"/>
  <c r="J98" i="20"/>
  <c r="J89" i="20"/>
  <c r="J105" i="20"/>
  <c r="J87" i="20"/>
  <c r="J94" i="20"/>
  <c r="AB84" i="20"/>
  <c r="AL34" i="10"/>
  <c r="AL45" i="10"/>
  <c r="AL38" i="10"/>
  <c r="AL40" i="10"/>
  <c r="AL24" i="10"/>
  <c r="AL35" i="10"/>
  <c r="AL46" i="10"/>
  <c r="AL39" i="10"/>
  <c r="AL25" i="10"/>
  <c r="AL36" i="10"/>
  <c r="AL47" i="10"/>
  <c r="AL49" i="10"/>
  <c r="AL26" i="10"/>
  <c r="AL37" i="10"/>
  <c r="AL48" i="10"/>
  <c r="AL50" i="10"/>
  <c r="AL41" i="10"/>
  <c r="AL27" i="10"/>
  <c r="AL28" i="10"/>
  <c r="AL29" i="10"/>
  <c r="AL30" i="10"/>
  <c r="AL31" i="10"/>
  <c r="AL42" i="10"/>
  <c r="AL32" i="10"/>
  <c r="AL43" i="10"/>
  <c r="AL33" i="10"/>
  <c r="AL44" i="10"/>
  <c r="AM18" i="10"/>
  <c r="AL18" i="10" s="1"/>
  <c r="AB23" i="10"/>
  <c r="T46" i="10"/>
  <c r="T35" i="10"/>
  <c r="T24" i="10"/>
  <c r="S48" i="10"/>
  <c r="S37" i="10"/>
  <c r="S26" i="10"/>
  <c r="S44" i="10"/>
  <c r="S33" i="10"/>
  <c r="S22" i="10"/>
  <c r="T31" i="10"/>
  <c r="S51" i="10"/>
  <c r="T47" i="10"/>
  <c r="S40" i="10"/>
  <c r="S29" i="10"/>
  <c r="T40" i="10"/>
  <c r="T29" i="10"/>
  <c r="T32" i="10"/>
  <c r="T21" i="10"/>
  <c r="T30" i="10"/>
  <c r="S41" i="10"/>
  <c r="S30" i="10"/>
  <c r="T50" i="10"/>
  <c r="S43" i="10"/>
  <c r="T39" i="10"/>
  <c r="S32" i="10"/>
  <c r="T28" i="10"/>
  <c r="S21" i="10"/>
  <c r="S24" i="10"/>
  <c r="T41" i="10"/>
  <c r="T51" i="10"/>
  <c r="S50" i="10"/>
  <c r="S39" i="10"/>
  <c r="S28" i="10"/>
  <c r="Z21" i="14" a="1"/>
  <c r="Z21" i="14" s="1"/>
  <c r="AB21" i="14" a="1"/>
  <c r="AB21" i="14" s="1"/>
  <c r="AB22" i="14" a="1"/>
  <c r="AB22" i="14" s="1"/>
  <c r="AC20" i="14" a="1"/>
  <c r="AC20" i="14" s="1"/>
  <c r="AC21" i="14" s="1" a="1"/>
  <c r="AC21" i="14" s="1"/>
  <c r="I11" i="58"/>
  <c r="I3" i="58"/>
  <c r="D17" i="58" s="1"/>
  <c r="I12" i="58"/>
  <c r="C26" i="58" s="1"/>
  <c r="I21" i="5" s="1"/>
  <c r="I6" i="58"/>
  <c r="H20" i="58" s="1"/>
  <c r="I9" i="58"/>
  <c r="F23" i="58" s="1"/>
  <c r="L18" i="5" s="1"/>
  <c r="I7" i="58"/>
  <c r="E21" i="58" s="1"/>
  <c r="K16" i="5" s="1"/>
  <c r="I10" i="58"/>
  <c r="F24" i="58" s="1"/>
  <c r="L19" i="5" s="1"/>
  <c r="I13" i="58"/>
  <c r="I5" i="58"/>
  <c r="I8" i="58"/>
  <c r="C22" i="58" s="1"/>
  <c r="I17" i="5" s="1"/>
  <c r="I4" i="58"/>
  <c r="F18" i="58" s="1"/>
  <c r="L13" i="5" s="1"/>
  <c r="E17" i="58"/>
  <c r="AC63" i="58"/>
  <c r="C62" i="58"/>
  <c r="AM63" i="58"/>
  <c r="AC67" i="58"/>
  <c r="AA81" i="58" s="1"/>
  <c r="E62" i="58"/>
  <c r="AC69" i="58"/>
  <c r="AA83" i="58" s="1"/>
  <c r="B61" i="58"/>
  <c r="C64" i="58"/>
  <c r="H69" i="58"/>
  <c r="G69" i="58"/>
  <c r="H67" i="58"/>
  <c r="AM64" i="58"/>
  <c r="AK78" i="58" s="1"/>
  <c r="BQ65" i="58"/>
  <c r="BN79" i="58" s="1"/>
  <c r="BQ67" i="58"/>
  <c r="AC66" i="58"/>
  <c r="X80" i="58" s="1"/>
  <c r="AW67" i="58"/>
  <c r="AM67" i="58"/>
  <c r="AL81" i="58" s="1"/>
  <c r="BG64" i="58"/>
  <c r="BE78" i="58" s="1"/>
  <c r="BQ64" i="58"/>
  <c r="CK64" i="58"/>
  <c r="CF78" i="58" s="1"/>
  <c r="AC68" i="58"/>
  <c r="AB82" i="58" s="1"/>
  <c r="E59" i="58"/>
  <c r="AW63" i="58"/>
  <c r="AV77" i="58" s="1"/>
  <c r="CA63" i="58"/>
  <c r="G64" i="58"/>
  <c r="E60" i="58"/>
  <c r="AW60" i="58"/>
  <c r="AR74" i="58" s="1"/>
  <c r="BG69" i="58"/>
  <c r="BA83" i="58" s="1"/>
  <c r="BQ69" i="58"/>
  <c r="BN83" i="58" s="1"/>
  <c r="CA60" i="58"/>
  <c r="BV74" i="58" s="1"/>
  <c r="CK69" i="58"/>
  <c r="CG83" i="58" s="1"/>
  <c r="H62" i="58"/>
  <c r="B59" i="58"/>
  <c r="E69" i="58"/>
  <c r="G65" i="58"/>
  <c r="AM59" i="58"/>
  <c r="AG73" i="58" s="1"/>
  <c r="AC60" i="58"/>
  <c r="AM68" i="58"/>
  <c r="AL82" i="58" s="1"/>
  <c r="E67" i="58"/>
  <c r="AW61" i="58"/>
  <c r="D69" i="58"/>
  <c r="H63" i="58"/>
  <c r="AC59" i="58"/>
  <c r="AB73" i="58" s="1"/>
  <c r="D67" i="58"/>
  <c r="AM61" i="58"/>
  <c r="H68" i="58"/>
  <c r="C61" i="58"/>
  <c r="S64" i="58"/>
  <c r="L78" i="58" s="1"/>
  <c r="B60" i="58"/>
  <c r="G61" i="58"/>
  <c r="AM69" i="58"/>
  <c r="AW64" i="58"/>
  <c r="AV78" i="58" s="1"/>
  <c r="AW68" i="58"/>
  <c r="AR82" i="58" s="1"/>
  <c r="BG63" i="58"/>
  <c r="BE77" i="58" s="1"/>
  <c r="BG65" i="58"/>
  <c r="BE79" i="58" s="1"/>
  <c r="BG68" i="58"/>
  <c r="BQ63" i="58"/>
  <c r="BQ68" i="58"/>
  <c r="BM82" i="58" s="1"/>
  <c r="CA61" i="58"/>
  <c r="BW75" i="58" s="1"/>
  <c r="CA64" i="58"/>
  <c r="BV78" i="58" s="1"/>
  <c r="CK63" i="58"/>
  <c r="CF77" i="58" s="1"/>
  <c r="CK65" i="58"/>
  <c r="CK68" i="58"/>
  <c r="CH82" i="58" s="1"/>
  <c r="G68" i="58"/>
  <c r="S63" i="58"/>
  <c r="R77" i="58" s="1"/>
  <c r="D61" i="58"/>
  <c r="C59" i="58"/>
  <c r="G67" i="58"/>
  <c r="C67" i="58"/>
  <c r="E64" i="58"/>
  <c r="C65" i="58"/>
  <c r="AC62" i="58"/>
  <c r="AB76" i="58" s="1"/>
  <c r="AC65" i="58"/>
  <c r="X79" i="58" s="1"/>
  <c r="AM62" i="58"/>
  <c r="AH76" i="58" s="1"/>
  <c r="E66" i="58"/>
  <c r="D66" i="58"/>
  <c r="AC64" i="58"/>
  <c r="AB78" i="58" s="1"/>
  <c r="E63" i="58"/>
  <c r="AW62" i="58"/>
  <c r="D64" i="58"/>
  <c r="BG67" i="58"/>
  <c r="BB81" i="58" s="1"/>
  <c r="CA62" i="58"/>
  <c r="CK67" i="58"/>
  <c r="CJ81" i="58" s="1"/>
  <c r="G66" i="58"/>
  <c r="D59" i="58"/>
  <c r="S62" i="58"/>
  <c r="M76" i="58" s="1"/>
  <c r="F62" i="58"/>
  <c r="S67" i="58"/>
  <c r="L81" i="58" s="1"/>
  <c r="G47" i="58"/>
  <c r="AW59" i="58"/>
  <c r="AU73" i="58" s="1"/>
  <c r="BG59" i="58"/>
  <c r="BQ59" i="58"/>
  <c r="BP73" i="58" s="1"/>
  <c r="CK59" i="58"/>
  <c r="S69" i="58"/>
  <c r="L83" i="58" s="1"/>
  <c r="B69" i="58"/>
  <c r="G63" i="58"/>
  <c r="H61" i="58"/>
  <c r="S60" i="58"/>
  <c r="Q74" i="58" s="1"/>
  <c r="S68" i="58"/>
  <c r="P82" i="58" s="1"/>
  <c r="B67" i="58"/>
  <c r="AM60" i="58"/>
  <c r="AL74" i="58" s="1"/>
  <c r="E61" i="58"/>
  <c r="BG61" i="58"/>
  <c r="BQ61" i="58"/>
  <c r="BP75" i="58" s="1"/>
  <c r="CK61" i="58"/>
  <c r="CE75" i="58" s="1"/>
  <c r="D65" i="58"/>
  <c r="C63" i="58"/>
  <c r="H59" i="58"/>
  <c r="AC61" i="58"/>
  <c r="W75" i="58" s="1"/>
  <c r="AW66" i="58"/>
  <c r="AV80" i="58" s="1"/>
  <c r="B65" i="58"/>
  <c r="D63" i="58"/>
  <c r="G59" i="58"/>
  <c r="B63" i="58"/>
  <c r="H64" i="58"/>
  <c r="B64" i="58"/>
  <c r="S61" i="58"/>
  <c r="M75" i="58" s="1"/>
  <c r="E68" i="58"/>
  <c r="BG60" i="58"/>
  <c r="BA74" i="58" s="1"/>
  <c r="BQ60" i="58"/>
  <c r="BP74" i="58" s="1"/>
  <c r="CK60" i="58"/>
  <c r="B68" i="58"/>
  <c r="H60" i="58"/>
  <c r="F51" i="58"/>
  <c r="L39" i="5" s="1"/>
  <c r="F55" i="58"/>
  <c r="L43" i="5" s="1"/>
  <c r="C66" i="58"/>
  <c r="AM66" i="58"/>
  <c r="AK80" i="58" s="1"/>
  <c r="E65" i="58"/>
  <c r="G62" i="58"/>
  <c r="AW69" i="58"/>
  <c r="AT83" i="58" s="1"/>
  <c r="BG62" i="58"/>
  <c r="BF76" i="58" s="1"/>
  <c r="BQ62" i="58"/>
  <c r="BO76" i="58" s="1"/>
  <c r="CA67" i="58"/>
  <c r="CK62" i="58"/>
  <c r="G60" i="58"/>
  <c r="H66" i="58"/>
  <c r="C68" i="58"/>
  <c r="D68" i="58"/>
  <c r="AM65" i="58"/>
  <c r="AK79" i="58" s="1"/>
  <c r="AW65" i="58"/>
  <c r="AU79" i="58" s="1"/>
  <c r="D62" i="58"/>
  <c r="C60" i="58"/>
  <c r="F65" i="58"/>
  <c r="S65" i="58"/>
  <c r="P79" i="58" s="1"/>
  <c r="F60" i="58"/>
  <c r="D53" i="58"/>
  <c r="J41" i="5" s="1"/>
  <c r="BG66" i="58"/>
  <c r="BC80" i="58" s="1"/>
  <c r="BQ66" i="58"/>
  <c r="BK80" i="58" s="1"/>
  <c r="CK66" i="58"/>
  <c r="C69" i="58"/>
  <c r="H65" i="58"/>
  <c r="B62" i="58"/>
  <c r="D60" i="58"/>
  <c r="B66" i="58"/>
  <c r="C52" i="58"/>
  <c r="I40" i="5" s="1"/>
  <c r="CA69" i="58"/>
  <c r="BY83" i="58" s="1"/>
  <c r="S66" i="58"/>
  <c r="L80" i="58" s="1"/>
  <c r="G49" i="58"/>
  <c r="CA65" i="58"/>
  <c r="BU79" i="58" s="1"/>
  <c r="S59" i="58"/>
  <c r="L73" i="58" s="1"/>
  <c r="B45" i="58"/>
  <c r="CA59" i="58"/>
  <c r="BU73" i="58" s="1"/>
  <c r="C46" i="58"/>
  <c r="I34" i="5" s="1"/>
  <c r="CA68" i="58"/>
  <c r="B48" i="58"/>
  <c r="CA66" i="58"/>
  <c r="BU80" i="58" s="1"/>
  <c r="B54" i="58"/>
  <c r="X18" i="58"/>
  <c r="N18" i="58"/>
  <c r="M18" i="58"/>
  <c r="L18" i="58"/>
  <c r="Q17" i="58"/>
  <c r="L17" i="58"/>
  <c r="R19" i="58"/>
  <c r="P18" i="58"/>
  <c r="Q19" i="58"/>
  <c r="N19" i="58"/>
  <c r="Q45" i="58"/>
  <c r="M19" i="58"/>
  <c r="L19" i="58"/>
  <c r="R18" i="58"/>
  <c r="AK18" i="58"/>
  <c r="P17" i="58"/>
  <c r="N17" i="58"/>
  <c r="L20" i="58"/>
  <c r="R20" i="58"/>
  <c r="M20" i="58"/>
  <c r="L48" i="58"/>
  <c r="CI55" i="58"/>
  <c r="AI18" i="58"/>
  <c r="P49" i="58"/>
  <c r="P27" i="58"/>
  <c r="N47" i="58"/>
  <c r="Q20" i="58"/>
  <c r="M47" i="58"/>
  <c r="P20" i="58"/>
  <c r="AA18" i="58"/>
  <c r="P21" i="58"/>
  <c r="Q47" i="58"/>
  <c r="N21" i="58"/>
  <c r="M21" i="58"/>
  <c r="P47" i="58"/>
  <c r="BL27" i="58"/>
  <c r="P50" i="58"/>
  <c r="AG46" i="58"/>
  <c r="L23" i="58"/>
  <c r="M54" i="58"/>
  <c r="L21" i="58"/>
  <c r="N49" i="58"/>
  <c r="BF24" i="58"/>
  <c r="CI52" i="58"/>
  <c r="R50" i="58"/>
  <c r="N48" i="58"/>
  <c r="BE24" i="58"/>
  <c r="CI54" i="58"/>
  <c r="Q50" i="58"/>
  <c r="M48" i="58"/>
  <c r="N27" i="58"/>
  <c r="L49" i="58"/>
  <c r="AA17" i="58"/>
  <c r="AR27" i="58"/>
  <c r="CJ17" i="58"/>
  <c r="Q52" i="58"/>
  <c r="L47" i="58"/>
  <c r="BU27" i="58"/>
  <c r="M49" i="58"/>
  <c r="AB77" i="58"/>
  <c r="AR76" i="58"/>
  <c r="BM81" i="58"/>
  <c r="AB54" i="58"/>
  <c r="AQ27" i="58"/>
  <c r="CI17" i="58"/>
  <c r="P52" i="58"/>
  <c r="R48" i="58"/>
  <c r="BK27" i="58"/>
  <c r="AB17" i="58"/>
  <c r="AS27" i="58"/>
  <c r="W55" i="58"/>
  <c r="CH17" i="58"/>
  <c r="N52" i="58"/>
  <c r="Q48" i="58"/>
  <c r="R27" i="58"/>
  <c r="AU27" i="58"/>
  <c r="AT27" i="58"/>
  <c r="BZ26" i="58"/>
  <c r="X55" i="58"/>
  <c r="CH52" i="58"/>
  <c r="L51" i="58"/>
  <c r="Q27" i="58"/>
  <c r="AH18" i="58"/>
  <c r="AH46" i="58"/>
  <c r="AB18" i="58"/>
  <c r="AA54" i="58"/>
  <c r="AL18" i="58"/>
  <c r="AG52" i="58"/>
  <c r="AV54" i="58"/>
  <c r="BW17" i="58"/>
  <c r="CG52" i="58"/>
  <c r="BK51" i="58"/>
  <c r="L55" i="58"/>
  <c r="R45" i="58"/>
  <c r="P24" i="58"/>
  <c r="X45" i="58"/>
  <c r="AI46" i="58"/>
  <c r="R55" i="58"/>
  <c r="Q46" i="58"/>
  <c r="AB45" i="58"/>
  <c r="AI17" i="58"/>
  <c r="AK46" i="58"/>
  <c r="AV23" i="58"/>
  <c r="BP26" i="58"/>
  <c r="CG17" i="58"/>
  <c r="BY53" i="58"/>
  <c r="Q55" i="58"/>
  <c r="P46" i="58"/>
  <c r="M27" i="58"/>
  <c r="R46" i="58"/>
  <c r="AK17" i="58"/>
  <c r="W52" i="58"/>
  <c r="AH17" i="58"/>
  <c r="AU23" i="58"/>
  <c r="BO26" i="58"/>
  <c r="CH24" i="58"/>
  <c r="BZ53" i="58"/>
  <c r="P55" i="58"/>
  <c r="N46" i="58"/>
  <c r="AB55" i="58"/>
  <c r="W17" i="58"/>
  <c r="X52" i="58"/>
  <c r="AL27" i="58"/>
  <c r="AL47" i="58"/>
  <c r="AR48" i="58"/>
  <c r="CG45" i="58"/>
  <c r="BZ55" i="58"/>
  <c r="N55" i="58"/>
  <c r="M46" i="58"/>
  <c r="M26" i="58"/>
  <c r="L45" i="58"/>
  <c r="AA52" i="58"/>
  <c r="AI26" i="58"/>
  <c r="AL48" i="58"/>
  <c r="CH45" i="58"/>
  <c r="Q24" i="58"/>
  <c r="R53" i="58"/>
  <c r="Q22" i="58"/>
  <c r="L24" i="58"/>
  <c r="P53" i="58"/>
  <c r="N22" i="58"/>
  <c r="N54" i="58"/>
  <c r="R52" i="58"/>
  <c r="M51" i="58"/>
  <c r="Q49" i="58"/>
  <c r="N26" i="58"/>
  <c r="R24" i="58"/>
  <c r="M23" i="58"/>
  <c r="Q21" i="58"/>
  <c r="R25" i="58"/>
  <c r="Q53" i="58"/>
  <c r="Q25" i="58"/>
  <c r="P25" i="58"/>
  <c r="N53" i="58"/>
  <c r="R51" i="58"/>
  <c r="M50" i="58"/>
  <c r="P45" i="58"/>
  <c r="N25" i="58"/>
  <c r="R23" i="58"/>
  <c r="M22" i="58"/>
  <c r="R54" i="58"/>
  <c r="M53" i="58"/>
  <c r="Q51" i="58"/>
  <c r="L50" i="58"/>
  <c r="N45" i="58"/>
  <c r="R26" i="58"/>
  <c r="M25" i="58"/>
  <c r="Q23" i="58"/>
  <c r="L22" i="58"/>
  <c r="N24" i="58"/>
  <c r="M52" i="58"/>
  <c r="P22" i="58"/>
  <c r="Q54" i="58"/>
  <c r="P51" i="58"/>
  <c r="Q26" i="58"/>
  <c r="P23" i="58"/>
  <c r="L54" i="58"/>
  <c r="L26" i="58"/>
  <c r="AV49" i="58"/>
  <c r="AQ50" i="58"/>
  <c r="BL51" i="58"/>
  <c r="BC24" i="58"/>
  <c r="AK77" i="58"/>
  <c r="AB48" i="58"/>
  <c r="AL17" i="58"/>
  <c r="AG19" i="58"/>
  <c r="AL45" i="58"/>
  <c r="AQ24" i="58"/>
  <c r="AU53" i="58"/>
  <c r="BF27" i="58"/>
  <c r="BF45" i="58"/>
  <c r="BU17" i="58"/>
  <c r="BK21" i="58"/>
  <c r="BW21" i="58"/>
  <c r="CI24" i="58"/>
  <c r="CF52" i="58"/>
  <c r="AH52" i="58"/>
  <c r="AT23" i="58"/>
  <c r="CH21" i="58"/>
  <c r="AR22" i="58"/>
  <c r="AK54" i="58"/>
  <c r="BZ24" i="58"/>
  <c r="BM53" i="58"/>
  <c r="X46" i="58"/>
  <c r="AH21" i="58"/>
  <c r="AG48" i="58"/>
  <c r="AL54" i="58"/>
  <c r="AU25" i="58"/>
  <c r="AV21" i="58"/>
  <c r="AV51" i="58"/>
  <c r="BE17" i="58"/>
  <c r="BB22" i="58"/>
  <c r="BA53" i="58"/>
  <c r="BN23" i="58"/>
  <c r="BY24" i="58"/>
  <c r="CF17" i="58"/>
  <c r="CI45" i="58"/>
  <c r="BN53" i="58"/>
  <c r="BV21" i="58"/>
  <c r="W26" i="58"/>
  <c r="CG21" i="58"/>
  <c r="AT51" i="58"/>
  <c r="BN51" i="58"/>
  <c r="AV25" i="58"/>
  <c r="AU51" i="58"/>
  <c r="BO23" i="58"/>
  <c r="AB22" i="58"/>
  <c r="AA46" i="58"/>
  <c r="AG21" i="58"/>
  <c r="AH48" i="58"/>
  <c r="AG55" i="58"/>
  <c r="AT25" i="58"/>
  <c r="AS20" i="58"/>
  <c r="AQ52" i="58"/>
  <c r="BD17" i="58"/>
  <c r="BB21" i="58"/>
  <c r="BB53" i="58"/>
  <c r="BM23" i="58"/>
  <c r="CF25" i="58"/>
  <c r="CJ45" i="58"/>
  <c r="BU50" i="58"/>
  <c r="BN54" i="58"/>
  <c r="BB49" i="58"/>
  <c r="BU21" i="58"/>
  <c r="AI52" i="58"/>
  <c r="BC49" i="58"/>
  <c r="BD24" i="58"/>
  <c r="BM51" i="58"/>
  <c r="BE52" i="58"/>
  <c r="W46" i="58"/>
  <c r="BC22" i="58"/>
  <c r="AL20" i="58"/>
  <c r="AI48" i="58"/>
  <c r="AH55" i="58"/>
  <c r="AS25" i="58"/>
  <c r="AR52" i="58"/>
  <c r="BC17" i="58"/>
  <c r="BF18" i="58"/>
  <c r="BL23" i="58"/>
  <c r="CE49" i="58"/>
  <c r="BV50" i="58"/>
  <c r="BO54" i="58"/>
  <c r="BA49" i="58"/>
  <c r="AH54" i="58"/>
  <c r="AS23" i="58"/>
  <c r="AR50" i="58"/>
  <c r="BD52" i="58"/>
  <c r="AB26" i="58"/>
  <c r="AI54" i="58"/>
  <c r="X26" i="58"/>
  <c r="AI21" i="58"/>
  <c r="AQ22" i="58"/>
  <c r="AA48" i="58"/>
  <c r="AH19" i="58"/>
  <c r="AR25" i="58"/>
  <c r="AQ45" i="58"/>
  <c r="AT53" i="58"/>
  <c r="BK23" i="58"/>
  <c r="BW23" i="58"/>
  <c r="CJ24" i="58"/>
  <c r="CE52" i="58"/>
  <c r="BW52" i="58"/>
  <c r="AU46" i="58"/>
  <c r="AQ46" i="58"/>
  <c r="AV46" i="58"/>
  <c r="AT46" i="58"/>
  <c r="BN18" i="58"/>
  <c r="BO18" i="58"/>
  <c r="BP18" i="58"/>
  <c r="BM18" i="58"/>
  <c r="BK18" i="58"/>
  <c r="BL18" i="58"/>
  <c r="CH46" i="58"/>
  <c r="CG46" i="58"/>
  <c r="CF46" i="58"/>
  <c r="CE46" i="58"/>
  <c r="CI46" i="58"/>
  <c r="CJ46" i="58"/>
  <c r="AS46" i="58"/>
  <c r="AH23" i="58"/>
  <c r="AK23" i="58"/>
  <c r="AL23" i="58"/>
  <c r="AR17" i="58"/>
  <c r="AQ17" i="58"/>
  <c r="AS17" i="58"/>
  <c r="AT17" i="58"/>
  <c r="AU17" i="58"/>
  <c r="AV17" i="58"/>
  <c r="BW18" i="58"/>
  <c r="BY18" i="58"/>
  <c r="BZ18" i="58"/>
  <c r="BV18" i="58"/>
  <c r="BU18" i="58"/>
  <c r="AU19" i="58"/>
  <c r="AQ19" i="58"/>
  <c r="AR19" i="58"/>
  <c r="AS19" i="58"/>
  <c r="AT19" i="58"/>
  <c r="AV19" i="58"/>
  <c r="BF47" i="58"/>
  <c r="BA47" i="58"/>
  <c r="BE47" i="58"/>
  <c r="BD47" i="58"/>
  <c r="BC47" i="58"/>
  <c r="BB47" i="58"/>
  <c r="BU19" i="58"/>
  <c r="BV19" i="58"/>
  <c r="BW19" i="58"/>
  <c r="BZ19" i="58"/>
  <c r="BY19" i="58"/>
  <c r="CJ19" i="58"/>
  <c r="CG19" i="58"/>
  <c r="CH19" i="58"/>
  <c r="CI19" i="58"/>
  <c r="CE19" i="58"/>
  <c r="CF19" i="58"/>
  <c r="BM77" i="58"/>
  <c r="BV77" i="58"/>
  <c r="W49" i="58"/>
  <c r="AV18" i="58"/>
  <c r="AQ18" i="58"/>
  <c r="AR18" i="58"/>
  <c r="AU18" i="58"/>
  <c r="AT18" i="58"/>
  <c r="W23" i="58"/>
  <c r="AB23" i="58"/>
  <c r="X23" i="58"/>
  <c r="AH50" i="58"/>
  <c r="AI50" i="58"/>
  <c r="AL50" i="58"/>
  <c r="AK50" i="58"/>
  <c r="BP46" i="58"/>
  <c r="BO46" i="58"/>
  <c r="BM46" i="58"/>
  <c r="BL46" i="58"/>
  <c r="BK46" i="58"/>
  <c r="BN46" i="58"/>
  <c r="AU47" i="58"/>
  <c r="AT47" i="58"/>
  <c r="AS47" i="58"/>
  <c r="AR47" i="58"/>
  <c r="AQ47" i="58"/>
  <c r="AV47" i="58"/>
  <c r="BY47" i="58"/>
  <c r="BW47" i="58"/>
  <c r="BV47" i="58"/>
  <c r="BZ47" i="58"/>
  <c r="BU47" i="58"/>
  <c r="BP48" i="58"/>
  <c r="BO48" i="58"/>
  <c r="BN48" i="58"/>
  <c r="BM48" i="58"/>
  <c r="BL48" i="58"/>
  <c r="BK48" i="58"/>
  <c r="CF79" i="58"/>
  <c r="AS18" i="58"/>
  <c r="BF46" i="58"/>
  <c r="BE46" i="58"/>
  <c r="BD46" i="58"/>
  <c r="BC46" i="58"/>
  <c r="BB46" i="58"/>
  <c r="BA46" i="58"/>
  <c r="BU46" i="58"/>
  <c r="BY46" i="58"/>
  <c r="BW46" i="58"/>
  <c r="BV46" i="58"/>
  <c r="BZ46" i="58"/>
  <c r="BK19" i="58"/>
  <c r="BN19" i="58"/>
  <c r="BL19" i="58"/>
  <c r="BM19" i="58"/>
  <c r="BP19" i="58"/>
  <c r="BO19" i="58"/>
  <c r="AU48" i="58"/>
  <c r="AS48" i="58"/>
  <c r="AV48" i="58"/>
  <c r="AT48" i="58"/>
  <c r="BD48" i="58"/>
  <c r="BC48" i="58"/>
  <c r="BB48" i="58"/>
  <c r="BA48" i="58"/>
  <c r="BE48" i="58"/>
  <c r="BF48" i="58"/>
  <c r="BV20" i="58"/>
  <c r="BW20" i="58"/>
  <c r="BY20" i="58"/>
  <c r="BU20" i="58"/>
  <c r="BZ20" i="58"/>
  <c r="BY48" i="58"/>
  <c r="BW48" i="58"/>
  <c r="BV48" i="58"/>
  <c r="BU48" i="58"/>
  <c r="BZ48" i="58"/>
  <c r="CF48" i="58"/>
  <c r="CE48" i="58"/>
  <c r="CG48" i="58"/>
  <c r="CJ48" i="58"/>
  <c r="CI48" i="58"/>
  <c r="CH48" i="58"/>
  <c r="AG50" i="58"/>
  <c r="AI49" i="58"/>
  <c r="AH49" i="58"/>
  <c r="AG49" i="58"/>
  <c r="AK49" i="58"/>
  <c r="BA18" i="58"/>
  <c r="BB18" i="58"/>
  <c r="BC18" i="58"/>
  <c r="BD18" i="58"/>
  <c r="CF18" i="58"/>
  <c r="CG18" i="58"/>
  <c r="CH18" i="58"/>
  <c r="CI18" i="58"/>
  <c r="CE18" i="58"/>
  <c r="CJ18" i="58"/>
  <c r="BE19" i="58"/>
  <c r="BF19" i="58"/>
  <c r="BD19" i="58"/>
  <c r="BB19" i="58"/>
  <c r="BC19" i="58"/>
  <c r="BA19" i="58"/>
  <c r="BK47" i="58"/>
  <c r="BL47" i="58"/>
  <c r="BP47" i="58"/>
  <c r="BO47" i="58"/>
  <c r="BN47" i="58"/>
  <c r="BM47" i="58"/>
  <c r="CJ47" i="58"/>
  <c r="CI47" i="58"/>
  <c r="CH47" i="58"/>
  <c r="CG47" i="58"/>
  <c r="CF47" i="58"/>
  <c r="CE47" i="58"/>
  <c r="AG75" i="58"/>
  <c r="AU20" i="58"/>
  <c r="AV20" i="58"/>
  <c r="AQ20" i="58"/>
  <c r="AT20" i="58"/>
  <c r="BA20" i="58"/>
  <c r="BB20" i="58"/>
  <c r="BC20" i="58"/>
  <c r="BD20" i="58"/>
  <c r="BE20" i="58"/>
  <c r="BF20" i="58"/>
  <c r="BM20" i="58"/>
  <c r="BN20" i="58"/>
  <c r="BO20" i="58"/>
  <c r="BP20" i="58"/>
  <c r="BL20" i="58"/>
  <c r="BK20" i="58"/>
  <c r="CE20" i="58"/>
  <c r="CF20" i="58"/>
  <c r="CG20" i="58"/>
  <c r="CH20" i="58"/>
  <c r="CI20" i="58"/>
  <c r="CJ20" i="58"/>
  <c r="AR46" i="58"/>
  <c r="CF21" i="58"/>
  <c r="CF49" i="58"/>
  <c r="BC50" i="58"/>
  <c r="BB50" i="58"/>
  <c r="BA50" i="58"/>
  <c r="BD50" i="58"/>
  <c r="BU22" i="58"/>
  <c r="BV22" i="58"/>
  <c r="BW22" i="58"/>
  <c r="CE22" i="58"/>
  <c r="CF22" i="58"/>
  <c r="CG22" i="58"/>
  <c r="AK20" i="58"/>
  <c r="BW50" i="58"/>
  <c r="CI23" i="58"/>
  <c r="CJ23" i="58"/>
  <c r="CH23" i="58"/>
  <c r="AV55" i="58"/>
  <c r="AU55" i="58"/>
  <c r="BF55" i="58"/>
  <c r="BE55" i="58"/>
  <c r="BD55" i="58"/>
  <c r="BC55" i="58"/>
  <c r="BP55" i="58"/>
  <c r="BO55" i="58"/>
  <c r="BN55" i="58"/>
  <c r="BA17" i="58"/>
  <c r="BF17" i="58"/>
  <c r="BA45" i="58"/>
  <c r="BB45" i="58"/>
  <c r="BL17" i="58"/>
  <c r="BM17" i="58"/>
  <c r="BM45" i="58"/>
  <c r="BL45" i="58"/>
  <c r="BK45" i="58"/>
  <c r="BN45" i="58"/>
  <c r="BZ45" i="58"/>
  <c r="BY45" i="58"/>
  <c r="BW45" i="58"/>
  <c r="BY76" i="58"/>
  <c r="X54" i="58"/>
  <c r="AK21" i="58"/>
  <c r="AI19" i="58"/>
  <c r="AK45" i="58"/>
  <c r="AK47" i="58"/>
  <c r="AL51" i="58"/>
  <c r="AQ26" i="58"/>
  <c r="AR24" i="58"/>
  <c r="AS22" i="58"/>
  <c r="AU49" i="58"/>
  <c r="AS51" i="58"/>
  <c r="AS53" i="58"/>
  <c r="BA26" i="58"/>
  <c r="BD22" i="58"/>
  <c r="BD45" i="58"/>
  <c r="BD51" i="58"/>
  <c r="BA55" i="58"/>
  <c r="BL21" i="58"/>
  <c r="BY17" i="58"/>
  <c r="CF26" i="58"/>
  <c r="CI22" i="58"/>
  <c r="CF45" i="58"/>
  <c r="CH54" i="58"/>
  <c r="BY55" i="58"/>
  <c r="BP49" i="58"/>
  <c r="CJ49" i="58"/>
  <c r="CI49" i="58"/>
  <c r="CH49" i="58"/>
  <c r="AB21" i="58"/>
  <c r="W53" i="58"/>
  <c r="AI20" i="58"/>
  <c r="AG53" i="58"/>
  <c r="AV26" i="58"/>
  <c r="AR23" i="58"/>
  <c r="AS21" i="58"/>
  <c r="AR45" i="58"/>
  <c r="AT50" i="58"/>
  <c r="AS52" i="58"/>
  <c r="AR55" i="58"/>
  <c r="BB24" i="58"/>
  <c r="BE50" i="58"/>
  <c r="BN25" i="58"/>
  <c r="BY26" i="58"/>
  <c r="BV23" i="58"/>
  <c r="CF50" i="58"/>
  <c r="BU54" i="58"/>
  <c r="BO45" i="58"/>
  <c r="BO51" i="58"/>
  <c r="BK55" i="58"/>
  <c r="AA22" i="58"/>
  <c r="AK52" i="58"/>
  <c r="BD49" i="58"/>
  <c r="X22" i="58"/>
  <c r="AT21" i="58"/>
  <c r="AS50" i="58"/>
  <c r="BE49" i="58"/>
  <c r="BB52" i="58"/>
  <c r="BA52" i="58"/>
  <c r="BC52" i="58"/>
  <c r="BK24" i="58"/>
  <c r="BL24" i="58"/>
  <c r="BM24" i="58"/>
  <c r="BN24" i="58"/>
  <c r="BN52" i="58"/>
  <c r="BM52" i="58"/>
  <c r="BL52" i="58"/>
  <c r="BK52" i="58"/>
  <c r="BO52" i="58"/>
  <c r="BU24" i="58"/>
  <c r="BV24" i="58"/>
  <c r="BW24" i="58"/>
  <c r="BZ52" i="58"/>
  <c r="BY52" i="58"/>
  <c r="CE24" i="58"/>
  <c r="CF24" i="58"/>
  <c r="W21" i="58"/>
  <c r="AA21" i="58"/>
  <c r="X53" i="58"/>
  <c r="AH20" i="58"/>
  <c r="AL83" i="58"/>
  <c r="AG51" i="58"/>
  <c r="AH53" i="58"/>
  <c r="AI55" i="58"/>
  <c r="AU26" i="58"/>
  <c r="AV24" i="58"/>
  <c r="AR21" i="58"/>
  <c r="AS45" i="58"/>
  <c r="AQ49" i="58"/>
  <c r="AU50" i="58"/>
  <c r="AT52" i="58"/>
  <c r="AS55" i="58"/>
  <c r="BE26" i="58"/>
  <c r="BF50" i="58"/>
  <c r="BC54" i="58"/>
  <c r="BK17" i="58"/>
  <c r="BP21" i="58"/>
  <c r="CJ26" i="58"/>
  <c r="CG23" i="58"/>
  <c r="CG50" i="58"/>
  <c r="BP45" i="58"/>
  <c r="BL49" i="58"/>
  <c r="BL55" i="58"/>
  <c r="CJ21" i="58"/>
  <c r="CI21" i="58"/>
  <c r="BL22" i="58"/>
  <c r="BM22" i="58"/>
  <c r="BN22" i="58"/>
  <c r="BO22" i="58"/>
  <c r="BK22" i="58"/>
  <c r="BC23" i="58"/>
  <c r="BD23" i="58"/>
  <c r="BE23" i="58"/>
  <c r="BF23" i="58"/>
  <c r="BB23" i="58"/>
  <c r="CI51" i="58"/>
  <c r="CH51" i="58"/>
  <c r="CG51" i="58"/>
  <c r="CF51" i="58"/>
  <c r="CJ51" i="58"/>
  <c r="BB25" i="58"/>
  <c r="BC25" i="58"/>
  <c r="BD25" i="58"/>
  <c r="BE25" i="58"/>
  <c r="BA25" i="58"/>
  <c r="BF53" i="58"/>
  <c r="BE53" i="58"/>
  <c r="BD53" i="58"/>
  <c r="BP25" i="58"/>
  <c r="BO25" i="58"/>
  <c r="BP53" i="58"/>
  <c r="BO53" i="58"/>
  <c r="BY25" i="58"/>
  <c r="BZ25" i="58"/>
  <c r="BU53" i="58"/>
  <c r="BV53" i="58"/>
  <c r="CH25" i="58"/>
  <c r="CI25" i="58"/>
  <c r="CJ25" i="58"/>
  <c r="CG25" i="58"/>
  <c r="CH53" i="58"/>
  <c r="CG53" i="58"/>
  <c r="CF53" i="58"/>
  <c r="CE53" i="58"/>
  <c r="CI53" i="58"/>
  <c r="AA53" i="58"/>
  <c r="AG45" i="58"/>
  <c r="AG47" i="58"/>
  <c r="AH51" i="58"/>
  <c r="AI53" i="58"/>
  <c r="AK55" i="58"/>
  <c r="AT26" i="58"/>
  <c r="AU24" i="58"/>
  <c r="AV22" i="58"/>
  <c r="AQ21" i="58"/>
  <c r="AT45" i="58"/>
  <c r="AR49" i="58"/>
  <c r="AV52" i="58"/>
  <c r="AT55" i="58"/>
  <c r="BD26" i="58"/>
  <c r="BA23" i="58"/>
  <c r="BP17" i="58"/>
  <c r="BL25" i="58"/>
  <c r="BO21" i="58"/>
  <c r="BZ22" i="58"/>
  <c r="CI26" i="58"/>
  <c r="CF23" i="58"/>
  <c r="CH50" i="58"/>
  <c r="CE54" i="58"/>
  <c r="BV55" i="58"/>
  <c r="BM49" i="58"/>
  <c r="BP52" i="58"/>
  <c r="BM55" i="58"/>
  <c r="BD21" i="58"/>
  <c r="BE21" i="58"/>
  <c r="BF21" i="58"/>
  <c r="BC21" i="58"/>
  <c r="BW49" i="58"/>
  <c r="BV49" i="58"/>
  <c r="BU49" i="58"/>
  <c r="BY49" i="58"/>
  <c r="BO50" i="58"/>
  <c r="BN50" i="58"/>
  <c r="BM50" i="58"/>
  <c r="BL50" i="58"/>
  <c r="BP50" i="58"/>
  <c r="BF51" i="58"/>
  <c r="BE51" i="58"/>
  <c r="BV51" i="58"/>
  <c r="BU51" i="58"/>
  <c r="BW51" i="58"/>
  <c r="AS54" i="58"/>
  <c r="AR54" i="58"/>
  <c r="AQ54" i="58"/>
  <c r="AT54" i="58"/>
  <c r="BA54" i="58"/>
  <c r="BB54" i="58"/>
  <c r="BK26" i="58"/>
  <c r="BL26" i="58"/>
  <c r="BM26" i="58"/>
  <c r="BL54" i="58"/>
  <c r="BK54" i="58"/>
  <c r="BM54" i="58"/>
  <c r="BU26" i="58"/>
  <c r="BV26" i="58"/>
  <c r="BZ54" i="58"/>
  <c r="BY54" i="58"/>
  <c r="BW54" i="58"/>
  <c r="AG22" i="58"/>
  <c r="AL19" i="58"/>
  <c r="AH45" i="58"/>
  <c r="AH47" i="58"/>
  <c r="AI51" i="58"/>
  <c r="AK53" i="58"/>
  <c r="AS26" i="58"/>
  <c r="AT24" i="58"/>
  <c r="AU22" i="58"/>
  <c r="AU45" i="58"/>
  <c r="AS49" i="58"/>
  <c r="AQ51" i="58"/>
  <c r="AQ53" i="58"/>
  <c r="BC26" i="58"/>
  <c r="BF22" i="58"/>
  <c r="BB51" i="58"/>
  <c r="BE54" i="58"/>
  <c r="BO17" i="58"/>
  <c r="BK25" i="58"/>
  <c r="BN21" i="58"/>
  <c r="BW25" i="58"/>
  <c r="BY22" i="58"/>
  <c r="CH26" i="58"/>
  <c r="CE23" i="58"/>
  <c r="CI50" i="58"/>
  <c r="CF54" i="58"/>
  <c r="BU45" i="58"/>
  <c r="BZ51" i="58"/>
  <c r="BW55" i="58"/>
  <c r="BN49" i="58"/>
  <c r="BZ50" i="58"/>
  <c r="BY50" i="58"/>
  <c r="BZ23" i="58"/>
  <c r="BY23" i="58"/>
  <c r="BA27" i="58"/>
  <c r="BB27" i="58"/>
  <c r="BC27" i="58"/>
  <c r="BD27" i="58"/>
  <c r="BO27" i="58"/>
  <c r="BP27" i="58"/>
  <c r="BN27" i="58"/>
  <c r="BY27" i="58"/>
  <c r="BZ27" i="58"/>
  <c r="BW27" i="58"/>
  <c r="CG27" i="58"/>
  <c r="CH27" i="58"/>
  <c r="CI27" i="58"/>
  <c r="CJ27" i="58"/>
  <c r="CF27" i="58"/>
  <c r="CG55" i="58"/>
  <c r="CF55" i="58"/>
  <c r="CE55" i="58"/>
  <c r="CH55" i="58"/>
  <c r="AR53" i="58"/>
  <c r="BB26" i="58"/>
  <c r="BE22" i="58"/>
  <c r="BC45" i="58"/>
  <c r="BC51" i="58"/>
  <c r="BF54" i="58"/>
  <c r="BN17" i="58"/>
  <c r="BP24" i="58"/>
  <c r="BZ17" i="58"/>
  <c r="BV25" i="58"/>
  <c r="BY21" i="58"/>
  <c r="CG26" i="58"/>
  <c r="CJ22" i="58"/>
  <c r="CJ50" i="58"/>
  <c r="CG54" i="58"/>
  <c r="BV45" i="58"/>
  <c r="BU52" i="58"/>
  <c r="BO49" i="58"/>
  <c r="BK53" i="58"/>
  <c r="AB25" i="58"/>
  <c r="AA25" i="58"/>
  <c r="W19" i="58"/>
  <c r="AA24" i="58"/>
  <c r="AB20" i="58"/>
  <c r="X25" i="58"/>
  <c r="AB24" i="58"/>
  <c r="AB27" i="58"/>
  <c r="X24" i="58"/>
  <c r="AA20" i="58"/>
  <c r="W20" i="58"/>
  <c r="W27" i="58"/>
  <c r="AA27" i="58"/>
  <c r="AB19" i="58"/>
  <c r="AA19" i="58"/>
  <c r="W48" i="58"/>
  <c r="AB50" i="58"/>
  <c r="AA45" i="58"/>
  <c r="W51" i="58"/>
  <c r="X51" i="58"/>
  <c r="X49" i="58"/>
  <c r="W47" i="58"/>
  <c r="AB49" i="58"/>
  <c r="AA51" i="58"/>
  <c r="X47" i="58"/>
  <c r="W50" i="58"/>
  <c r="AA47" i="58"/>
  <c r="X50" i="58"/>
  <c r="AG24" i="58"/>
  <c r="AK26" i="58"/>
  <c r="AI24" i="58"/>
  <c r="AH22" i="58"/>
  <c r="AI27" i="58"/>
  <c r="AH25" i="58"/>
  <c r="AG23" i="58"/>
  <c r="AG26" i="58"/>
  <c r="AK25" i="58"/>
  <c r="AI25" i="58"/>
  <c r="AH27" i="58"/>
  <c r="AG25" i="58"/>
  <c r="AL22" i="58"/>
  <c r="AG27" i="58"/>
  <c r="AL24" i="58"/>
  <c r="AK22" i="58"/>
  <c r="AH24" i="58"/>
  <c r="AH26" i="58"/>
  <c r="AI23" i="58"/>
  <c r="BF73" i="58"/>
  <c r="BF82" i="58"/>
  <c r="BN78" i="58"/>
  <c r="CE73" i="58"/>
  <c r="AQ75" i="58"/>
  <c r="CH74" i="58"/>
  <c r="M54" i="5"/>
  <c r="I54" i="5"/>
  <c r="J54" i="5"/>
  <c r="K54" i="5"/>
  <c r="L54" i="5"/>
  <c r="X54" i="5"/>
  <c r="N6" i="5"/>
  <c r="BN6" i="50"/>
  <c r="AS111" i="50"/>
  <c r="AT111" i="50"/>
  <c r="AU111" i="50"/>
  <c r="AV111" i="50"/>
  <c r="AW111" i="50"/>
  <c r="AX111" i="50"/>
  <c r="AY111" i="50"/>
  <c r="AZ111" i="50"/>
  <c r="AS112" i="50"/>
  <c r="AT112" i="50"/>
  <c r="AU112" i="50"/>
  <c r="AV112" i="50"/>
  <c r="AW112" i="50"/>
  <c r="AX112" i="50"/>
  <c r="AY112" i="50"/>
  <c r="AZ112" i="50"/>
  <c r="AS113" i="50"/>
  <c r="AT113" i="50"/>
  <c r="AU113" i="50"/>
  <c r="AV113" i="50"/>
  <c r="AW113" i="50"/>
  <c r="AX113" i="50"/>
  <c r="AY113" i="50"/>
  <c r="AZ113" i="50"/>
  <c r="AS114" i="50"/>
  <c r="AT114" i="50"/>
  <c r="AU114" i="50"/>
  <c r="AV114" i="50"/>
  <c r="AW114" i="50"/>
  <c r="AX114" i="50"/>
  <c r="AY114" i="50"/>
  <c r="AZ114" i="50"/>
  <c r="AT110" i="50"/>
  <c r="AU110" i="50"/>
  <c r="AV110" i="50"/>
  <c r="AW110" i="50"/>
  <c r="AX110" i="50"/>
  <c r="AY110" i="50"/>
  <c r="AZ110" i="50"/>
  <c r="AS110" i="50"/>
  <c r="P112" i="50"/>
  <c r="AZ106" i="50"/>
  <c r="AY106" i="50"/>
  <c r="AX106" i="50"/>
  <c r="AW106" i="50"/>
  <c r="AV106" i="50"/>
  <c r="AU106" i="50"/>
  <c r="AT106" i="50"/>
  <c r="AS106" i="50"/>
  <c r="AZ105" i="50"/>
  <c r="AY105" i="50"/>
  <c r="AX105" i="50"/>
  <c r="AW105" i="50"/>
  <c r="AV105" i="50"/>
  <c r="AU105" i="50"/>
  <c r="AT105" i="50"/>
  <c r="AS105" i="50"/>
  <c r="AZ104" i="50"/>
  <c r="AY104" i="50"/>
  <c r="AX104" i="50"/>
  <c r="AW104" i="50"/>
  <c r="AV104" i="50"/>
  <c r="AU104" i="50"/>
  <c r="AT104" i="50"/>
  <c r="AS104" i="50"/>
  <c r="AZ103" i="50"/>
  <c r="AY103" i="50"/>
  <c r="AX103" i="50"/>
  <c r="AW103" i="50"/>
  <c r="AV103" i="50"/>
  <c r="AU103" i="50"/>
  <c r="AT103" i="50"/>
  <c r="AS103" i="50"/>
  <c r="AZ102" i="50"/>
  <c r="AY102" i="50"/>
  <c r="AX102" i="50"/>
  <c r="AW102" i="50"/>
  <c r="AV102" i="50"/>
  <c r="AU102" i="50"/>
  <c r="AT102" i="50"/>
  <c r="AS102" i="50"/>
  <c r="AZ101" i="50"/>
  <c r="AY101" i="50"/>
  <c r="AX101" i="50"/>
  <c r="AW101" i="50"/>
  <c r="AV101" i="50"/>
  <c r="AU101" i="50"/>
  <c r="AT101" i="50"/>
  <c r="AS101" i="50"/>
  <c r="AZ100" i="50"/>
  <c r="AY100" i="50"/>
  <c r="AX100" i="50"/>
  <c r="AW100" i="50"/>
  <c r="AV100" i="50"/>
  <c r="AU100" i="50"/>
  <c r="BP100" i="50" s="1"/>
  <c r="AT100" i="50"/>
  <c r="AS100" i="50"/>
  <c r="AZ99" i="50"/>
  <c r="AY99" i="50"/>
  <c r="AX99" i="50"/>
  <c r="AW99" i="50"/>
  <c r="AV99" i="50"/>
  <c r="AU99" i="50"/>
  <c r="AT99" i="50"/>
  <c r="AS99" i="50"/>
  <c r="AZ98" i="50"/>
  <c r="AY98" i="50"/>
  <c r="AX98" i="50"/>
  <c r="AW98" i="50"/>
  <c r="AV98" i="50"/>
  <c r="AU98" i="50"/>
  <c r="AT98" i="50"/>
  <c r="AS98" i="50"/>
  <c r="AZ97" i="50"/>
  <c r="AY97" i="50"/>
  <c r="AX97" i="50"/>
  <c r="AW97" i="50"/>
  <c r="AV97" i="50"/>
  <c r="AU97" i="50"/>
  <c r="AT97" i="50"/>
  <c r="AS97" i="50"/>
  <c r="AZ96" i="50"/>
  <c r="AY96" i="50"/>
  <c r="AX96" i="50"/>
  <c r="AW96" i="50"/>
  <c r="AV96" i="50"/>
  <c r="AU96" i="50"/>
  <c r="AT96" i="50"/>
  <c r="AS96" i="50"/>
  <c r="AZ95" i="50"/>
  <c r="AY95" i="50"/>
  <c r="AX95" i="50"/>
  <c r="AW95" i="50"/>
  <c r="AV95" i="50"/>
  <c r="AU95" i="50"/>
  <c r="AT95" i="50"/>
  <c r="AS95" i="50"/>
  <c r="AZ94" i="50"/>
  <c r="AY94" i="50"/>
  <c r="AX94" i="50"/>
  <c r="AW94" i="50"/>
  <c r="AV94" i="50"/>
  <c r="AU94" i="50"/>
  <c r="AT94" i="50"/>
  <c r="AS94" i="50"/>
  <c r="AZ93" i="50"/>
  <c r="AY93" i="50"/>
  <c r="AX93" i="50"/>
  <c r="AW93" i="50"/>
  <c r="AV93" i="50"/>
  <c r="AU93" i="50"/>
  <c r="AT93" i="50"/>
  <c r="AS93" i="50"/>
  <c r="AZ92" i="50"/>
  <c r="AY92" i="50"/>
  <c r="AX92" i="50"/>
  <c r="AW92" i="50"/>
  <c r="AV92" i="50"/>
  <c r="AU92" i="50"/>
  <c r="AT92" i="50"/>
  <c r="AS92" i="50"/>
  <c r="AZ91" i="50"/>
  <c r="AY91" i="50"/>
  <c r="AX91" i="50"/>
  <c r="AW91" i="50"/>
  <c r="AV91" i="50"/>
  <c r="AU91" i="50"/>
  <c r="AT91" i="50"/>
  <c r="AS91" i="50"/>
  <c r="AO106" i="50"/>
  <c r="AN106" i="50"/>
  <c r="AM106" i="50"/>
  <c r="AL106" i="50"/>
  <c r="AK106" i="50"/>
  <c r="AJ106" i="50"/>
  <c r="AI106" i="50"/>
  <c r="AH106" i="50"/>
  <c r="AO105" i="50"/>
  <c r="AN105" i="50"/>
  <c r="AM105" i="50"/>
  <c r="AL105" i="50"/>
  <c r="AK105" i="50"/>
  <c r="AJ105" i="50"/>
  <c r="AI105" i="50"/>
  <c r="AH105" i="50"/>
  <c r="AO104" i="50"/>
  <c r="AN104" i="50"/>
  <c r="AM104" i="50"/>
  <c r="AL104" i="50"/>
  <c r="AK104" i="50"/>
  <c r="AJ104" i="50"/>
  <c r="AI104" i="50"/>
  <c r="AH104" i="50"/>
  <c r="AO103" i="50"/>
  <c r="AN103" i="50"/>
  <c r="AM103" i="50"/>
  <c r="AL103" i="50"/>
  <c r="AK103" i="50"/>
  <c r="AJ103" i="50"/>
  <c r="AI103" i="50"/>
  <c r="AH103" i="50"/>
  <c r="AO102" i="50"/>
  <c r="AN102" i="50"/>
  <c r="AM102" i="50"/>
  <c r="AL102" i="50"/>
  <c r="AK102" i="50"/>
  <c r="AJ102" i="50"/>
  <c r="AI102" i="50"/>
  <c r="AH102" i="50"/>
  <c r="AO101" i="50"/>
  <c r="AN101" i="50"/>
  <c r="AM101" i="50"/>
  <c r="AL101" i="50"/>
  <c r="AK101" i="50"/>
  <c r="AJ101" i="50"/>
  <c r="AI101" i="50"/>
  <c r="AH101" i="50"/>
  <c r="AO100" i="50"/>
  <c r="AN100" i="50"/>
  <c r="AM100" i="50"/>
  <c r="AL100" i="50"/>
  <c r="AK100" i="50"/>
  <c r="AJ100" i="50"/>
  <c r="AI100" i="50"/>
  <c r="AH100" i="50"/>
  <c r="AO99" i="50"/>
  <c r="AN99" i="50"/>
  <c r="AM99" i="50"/>
  <c r="AL99" i="50"/>
  <c r="AK99" i="50"/>
  <c r="AJ99" i="50"/>
  <c r="AI99" i="50"/>
  <c r="AH99" i="50"/>
  <c r="AO98" i="50"/>
  <c r="AN98" i="50"/>
  <c r="AM98" i="50"/>
  <c r="AL98" i="50"/>
  <c r="AK98" i="50"/>
  <c r="AJ98" i="50"/>
  <c r="AI98" i="50"/>
  <c r="AH98" i="50"/>
  <c r="AO97" i="50"/>
  <c r="AN97" i="50"/>
  <c r="AM97" i="50"/>
  <c r="AL97" i="50"/>
  <c r="AK97" i="50"/>
  <c r="AJ97" i="50"/>
  <c r="AI97" i="50"/>
  <c r="AH97" i="50"/>
  <c r="AO96" i="50"/>
  <c r="AN96" i="50"/>
  <c r="AM96" i="50"/>
  <c r="AL96" i="50"/>
  <c r="AK96" i="50"/>
  <c r="AJ96" i="50"/>
  <c r="AI96" i="50"/>
  <c r="AH96" i="50"/>
  <c r="AO95" i="50"/>
  <c r="AN95" i="50"/>
  <c r="AM95" i="50"/>
  <c r="AL95" i="50"/>
  <c r="AK95" i="50"/>
  <c r="AJ95" i="50"/>
  <c r="AI95" i="50"/>
  <c r="AH95" i="50"/>
  <c r="AO94" i="50"/>
  <c r="AN94" i="50"/>
  <c r="AM94" i="50"/>
  <c r="AL94" i="50"/>
  <c r="AK94" i="50"/>
  <c r="AJ94" i="50"/>
  <c r="AI94" i="50"/>
  <c r="AH94" i="50"/>
  <c r="AO93" i="50"/>
  <c r="AN93" i="50"/>
  <c r="AM93" i="50"/>
  <c r="AL93" i="50"/>
  <c r="AK93" i="50"/>
  <c r="AJ93" i="50"/>
  <c r="AI93" i="50"/>
  <c r="AH93" i="50"/>
  <c r="AO92" i="50"/>
  <c r="AN92" i="50"/>
  <c r="AM92" i="50"/>
  <c r="AL92" i="50"/>
  <c r="AK92" i="50"/>
  <c r="AJ92" i="50"/>
  <c r="AI92" i="50"/>
  <c r="AH92" i="50"/>
  <c r="AO91" i="50"/>
  <c r="AN91" i="50"/>
  <c r="AM91" i="50"/>
  <c r="AL91" i="50"/>
  <c r="AK91" i="50"/>
  <c r="AJ91" i="50"/>
  <c r="AI91" i="50"/>
  <c r="AH91" i="50"/>
  <c r="AD106" i="50"/>
  <c r="AC106" i="50"/>
  <c r="AB106" i="50"/>
  <c r="CC106" i="50" s="1"/>
  <c r="AA106" i="50"/>
  <c r="CB106" i="50" s="1"/>
  <c r="Z106" i="50"/>
  <c r="CA106" i="50" s="1"/>
  <c r="Y106" i="50"/>
  <c r="X106" i="50"/>
  <c r="BY106" i="50" s="1"/>
  <c r="W106" i="50"/>
  <c r="BX106" i="50" s="1"/>
  <c r="AD105" i="50"/>
  <c r="AC105" i="50"/>
  <c r="AB105" i="50"/>
  <c r="CC105" i="50" s="1"/>
  <c r="AA105" i="50"/>
  <c r="CB105" i="50" s="1"/>
  <c r="Z105" i="50"/>
  <c r="CA105" i="50" s="1"/>
  <c r="Y105" i="50"/>
  <c r="BZ105" i="50" s="1"/>
  <c r="X105" i="50"/>
  <c r="BY105" i="50" s="1"/>
  <c r="W105" i="50"/>
  <c r="BX105" i="50" s="1"/>
  <c r="AD104" i="50"/>
  <c r="AC104" i="50"/>
  <c r="AB104" i="50"/>
  <c r="AA104" i="50"/>
  <c r="CB104" i="50" s="1"/>
  <c r="Z104" i="50"/>
  <c r="Y104" i="50"/>
  <c r="BZ104" i="50" s="1"/>
  <c r="X104" i="50"/>
  <c r="BY104" i="50" s="1"/>
  <c r="W104" i="50"/>
  <c r="BX104" i="50" s="1"/>
  <c r="AD103" i="50"/>
  <c r="AC103" i="50"/>
  <c r="AB103" i="50"/>
  <c r="CC103" i="50" s="1"/>
  <c r="AA103" i="50"/>
  <c r="CB103" i="50" s="1"/>
  <c r="Z103" i="50"/>
  <c r="Y103" i="50"/>
  <c r="X103" i="50"/>
  <c r="BY103" i="50" s="1"/>
  <c r="W103" i="50"/>
  <c r="AD102" i="50"/>
  <c r="AC102" i="50"/>
  <c r="AB102" i="50"/>
  <c r="AA102" i="50"/>
  <c r="CB102" i="50" s="1"/>
  <c r="Z102" i="50"/>
  <c r="CA102" i="50" s="1"/>
  <c r="Y102" i="50"/>
  <c r="BZ102" i="50" s="1"/>
  <c r="X102" i="50"/>
  <c r="W102" i="50"/>
  <c r="BX102" i="50" s="1"/>
  <c r="AD101" i="50"/>
  <c r="AC101" i="50"/>
  <c r="AB101" i="50"/>
  <c r="AA101" i="50"/>
  <c r="CB101" i="50" s="1"/>
  <c r="Z101" i="50"/>
  <c r="CA101" i="50" s="1"/>
  <c r="Y101" i="50"/>
  <c r="BZ101" i="50" s="1"/>
  <c r="X101" i="50"/>
  <c r="BY101" i="50" s="1"/>
  <c r="W101" i="50"/>
  <c r="AD100" i="50"/>
  <c r="AC100" i="50"/>
  <c r="AB100" i="50"/>
  <c r="CC100" i="50" s="1"/>
  <c r="AA100" i="50"/>
  <c r="Z100" i="50"/>
  <c r="Y100" i="50"/>
  <c r="X100" i="50"/>
  <c r="BY100" i="50" s="1"/>
  <c r="W100" i="50"/>
  <c r="AD99" i="50"/>
  <c r="AC99" i="50"/>
  <c r="AB99" i="50"/>
  <c r="CC99" i="50" s="1"/>
  <c r="AA99" i="50"/>
  <c r="CB99" i="50" s="1"/>
  <c r="Z99" i="50"/>
  <c r="Y99" i="50"/>
  <c r="BZ99" i="50" s="1"/>
  <c r="X99" i="50"/>
  <c r="BY99" i="50" s="1"/>
  <c r="W99" i="50"/>
  <c r="BX99" i="50" s="1"/>
  <c r="AD98" i="50"/>
  <c r="AC98" i="50"/>
  <c r="AB98" i="50"/>
  <c r="CC98" i="50" s="1"/>
  <c r="AA98" i="50"/>
  <c r="CB98" i="50" s="1"/>
  <c r="Z98" i="50"/>
  <c r="CA98" i="50" s="1"/>
  <c r="Y98" i="50"/>
  <c r="BZ98" i="50" s="1"/>
  <c r="X98" i="50"/>
  <c r="BY98" i="50" s="1"/>
  <c r="W98" i="50"/>
  <c r="AD97" i="50"/>
  <c r="AC97" i="50"/>
  <c r="AB97" i="50"/>
  <c r="CC97" i="50" s="1"/>
  <c r="AA97" i="50"/>
  <c r="Z97" i="50"/>
  <c r="CA97" i="50" s="1"/>
  <c r="Y97" i="50"/>
  <c r="BZ97" i="50" s="1"/>
  <c r="X97" i="50"/>
  <c r="BY97" i="50" s="1"/>
  <c r="W97" i="50"/>
  <c r="AD96" i="50"/>
  <c r="AC96" i="50"/>
  <c r="AB96" i="50"/>
  <c r="CC96" i="50" s="1"/>
  <c r="AA96" i="50"/>
  <c r="CB96" i="50" s="1"/>
  <c r="Z96" i="50"/>
  <c r="CA96" i="50" s="1"/>
  <c r="Y96" i="50"/>
  <c r="BZ96" i="50" s="1"/>
  <c r="X96" i="50"/>
  <c r="BY96" i="50" s="1"/>
  <c r="W96" i="50"/>
  <c r="AD95" i="50"/>
  <c r="CD95" i="50" s="1"/>
  <c r="AC95" i="50"/>
  <c r="AB95" i="50"/>
  <c r="CC95" i="50" s="1"/>
  <c r="AA95" i="50"/>
  <c r="CB95" i="50" s="1"/>
  <c r="Z95" i="50"/>
  <c r="CA95" i="50" s="1"/>
  <c r="Y95" i="50"/>
  <c r="X95" i="50"/>
  <c r="BY95" i="50" s="1"/>
  <c r="W95" i="50"/>
  <c r="BX95" i="50" s="1"/>
  <c r="AC94" i="50"/>
  <c r="AC93" i="50"/>
  <c r="AC92" i="50"/>
  <c r="AC91" i="50"/>
  <c r="L92" i="50"/>
  <c r="M92" i="50"/>
  <c r="N92" i="50"/>
  <c r="O92" i="50"/>
  <c r="P92" i="50"/>
  <c r="Q92" i="50"/>
  <c r="R92" i="50"/>
  <c r="S92" i="50"/>
  <c r="L93" i="50"/>
  <c r="M93" i="50"/>
  <c r="N93" i="50"/>
  <c r="O93" i="50"/>
  <c r="P93" i="50"/>
  <c r="Q93" i="50"/>
  <c r="R93" i="50"/>
  <c r="S93" i="50"/>
  <c r="L94" i="50"/>
  <c r="M94" i="50"/>
  <c r="N94" i="50"/>
  <c r="O94" i="50"/>
  <c r="P94" i="50"/>
  <c r="Q94" i="50"/>
  <c r="R94" i="50"/>
  <c r="S94" i="50"/>
  <c r="L95" i="50"/>
  <c r="M95" i="50"/>
  <c r="N95" i="50"/>
  <c r="O95" i="50"/>
  <c r="P95" i="50"/>
  <c r="Q95" i="50"/>
  <c r="R95" i="50"/>
  <c r="S95" i="50"/>
  <c r="L96" i="50"/>
  <c r="M96" i="50"/>
  <c r="N96" i="50"/>
  <c r="O96" i="50"/>
  <c r="P96" i="50"/>
  <c r="Q96" i="50"/>
  <c r="R96" i="50"/>
  <c r="S96" i="50"/>
  <c r="L97" i="50"/>
  <c r="M97" i="50"/>
  <c r="N97" i="50"/>
  <c r="O97" i="50"/>
  <c r="P97" i="50"/>
  <c r="Q97" i="50"/>
  <c r="R97" i="50"/>
  <c r="S97" i="50"/>
  <c r="L98" i="50"/>
  <c r="M98" i="50"/>
  <c r="N98" i="50"/>
  <c r="O98" i="50"/>
  <c r="P98" i="50"/>
  <c r="Q98" i="50"/>
  <c r="R98" i="50"/>
  <c r="S98" i="50"/>
  <c r="L99" i="50"/>
  <c r="M99" i="50"/>
  <c r="N99" i="50"/>
  <c r="O99" i="50"/>
  <c r="P99" i="50"/>
  <c r="Q99" i="50"/>
  <c r="R99" i="50"/>
  <c r="S99" i="50"/>
  <c r="L100" i="50"/>
  <c r="M100" i="50"/>
  <c r="N100" i="50"/>
  <c r="O100" i="50"/>
  <c r="P100" i="50"/>
  <c r="Q100" i="50"/>
  <c r="R100" i="50"/>
  <c r="S100" i="50"/>
  <c r="L101" i="50"/>
  <c r="M101" i="50"/>
  <c r="N101" i="50"/>
  <c r="O101" i="50"/>
  <c r="P101" i="50"/>
  <c r="Q101" i="50"/>
  <c r="R101" i="50"/>
  <c r="S101" i="50"/>
  <c r="L102" i="50"/>
  <c r="M102" i="50"/>
  <c r="N102" i="50"/>
  <c r="O102" i="50"/>
  <c r="P102" i="50"/>
  <c r="Q102" i="50"/>
  <c r="R102" i="50"/>
  <c r="S102" i="50"/>
  <c r="L103" i="50"/>
  <c r="M103" i="50"/>
  <c r="N103" i="50"/>
  <c r="O103" i="50"/>
  <c r="P103" i="50"/>
  <c r="Q103" i="50"/>
  <c r="R103" i="50"/>
  <c r="S103" i="50"/>
  <c r="L104" i="50"/>
  <c r="M104" i="50"/>
  <c r="N104" i="50"/>
  <c r="O104" i="50"/>
  <c r="P104" i="50"/>
  <c r="Q104" i="50"/>
  <c r="R104" i="50"/>
  <c r="S104" i="50"/>
  <c r="L105" i="50"/>
  <c r="M105" i="50"/>
  <c r="BE105" i="50" s="1"/>
  <c r="N105" i="50"/>
  <c r="O105" i="50"/>
  <c r="P105" i="50"/>
  <c r="Q105" i="50"/>
  <c r="R105" i="50"/>
  <c r="S105" i="50"/>
  <c r="L106" i="50"/>
  <c r="M106" i="50"/>
  <c r="N106" i="50"/>
  <c r="O106" i="50"/>
  <c r="P106" i="50"/>
  <c r="Q106" i="50"/>
  <c r="R106" i="50"/>
  <c r="S106" i="50"/>
  <c r="M91" i="50"/>
  <c r="N91" i="50"/>
  <c r="O91" i="50"/>
  <c r="P91" i="50"/>
  <c r="Q91" i="50"/>
  <c r="R91" i="50"/>
  <c r="S91" i="50"/>
  <c r="L91" i="50"/>
  <c r="CC102" i="50"/>
  <c r="G65" i="50"/>
  <c r="B65" i="50"/>
  <c r="C65" i="50"/>
  <c r="D65" i="50"/>
  <c r="E65" i="50"/>
  <c r="F65" i="50"/>
  <c r="H65" i="50"/>
  <c r="CD61" i="50"/>
  <c r="CC61" i="50"/>
  <c r="CB61" i="50"/>
  <c r="CA61" i="50"/>
  <c r="BZ61" i="50"/>
  <c r="BY61" i="50"/>
  <c r="BX61" i="50"/>
  <c r="CD60" i="50"/>
  <c r="CC60" i="50"/>
  <c r="CB60" i="50"/>
  <c r="CA60" i="50"/>
  <c r="BZ60" i="50"/>
  <c r="BY60" i="50"/>
  <c r="BX60" i="50"/>
  <c r="CD59" i="50"/>
  <c r="CC59" i="50"/>
  <c r="CB59" i="50"/>
  <c r="CA59" i="50"/>
  <c r="BZ59" i="50"/>
  <c r="BY59" i="50"/>
  <c r="BX59" i="50"/>
  <c r="CD58" i="50"/>
  <c r="CC58" i="50"/>
  <c r="CB58" i="50"/>
  <c r="CA58" i="50"/>
  <c r="BZ58" i="50"/>
  <c r="BY58" i="50"/>
  <c r="BX58" i="50"/>
  <c r="CD57" i="50"/>
  <c r="CC57" i="50"/>
  <c r="CB57" i="50"/>
  <c r="CA57" i="50"/>
  <c r="BZ57" i="50"/>
  <c r="BY57" i="50"/>
  <c r="BX57" i="50"/>
  <c r="CD56" i="50"/>
  <c r="CC56" i="50"/>
  <c r="CB56" i="50"/>
  <c r="CA56" i="50"/>
  <c r="BZ56" i="50"/>
  <c r="BY56" i="50"/>
  <c r="BX56" i="50"/>
  <c r="CD55" i="50"/>
  <c r="CC55" i="50"/>
  <c r="CB55" i="50"/>
  <c r="CA55" i="50"/>
  <c r="BZ55" i="50"/>
  <c r="BY55" i="50"/>
  <c r="BX55" i="50"/>
  <c r="CD54" i="50"/>
  <c r="CC54" i="50"/>
  <c r="CB54" i="50"/>
  <c r="CA54" i="50"/>
  <c r="BZ54" i="50"/>
  <c r="BY54" i="50"/>
  <c r="BX54" i="50"/>
  <c r="CD53" i="50"/>
  <c r="CC53" i="50"/>
  <c r="CB53" i="50"/>
  <c r="CA53" i="50"/>
  <c r="BZ53" i="50"/>
  <c r="BY53" i="50"/>
  <c r="BX53" i="50"/>
  <c r="CD52" i="50"/>
  <c r="CC52" i="50"/>
  <c r="CB52" i="50"/>
  <c r="CA52" i="50"/>
  <c r="BZ52" i="50"/>
  <c r="BY52" i="50"/>
  <c r="BX52" i="50"/>
  <c r="CD51" i="50"/>
  <c r="CC51" i="50"/>
  <c r="CB51" i="50"/>
  <c r="CA51" i="50"/>
  <c r="BZ51" i="50"/>
  <c r="BY51" i="50"/>
  <c r="BX51" i="50"/>
  <c r="CD50" i="50"/>
  <c r="CC50" i="50"/>
  <c r="CB50" i="50"/>
  <c r="CA50" i="50"/>
  <c r="BZ50" i="50"/>
  <c r="BY50" i="50"/>
  <c r="BX50" i="50"/>
  <c r="BT61" i="50"/>
  <c r="BS61" i="50"/>
  <c r="BR61" i="50"/>
  <c r="BQ61" i="50"/>
  <c r="BP61" i="50"/>
  <c r="BO61" i="50"/>
  <c r="BN61" i="50"/>
  <c r="BT60" i="50"/>
  <c r="BS60" i="50"/>
  <c r="BR60" i="50"/>
  <c r="BQ60" i="50"/>
  <c r="BP60" i="50"/>
  <c r="BO60" i="50"/>
  <c r="BN60" i="50"/>
  <c r="BT59" i="50"/>
  <c r="BS59" i="50"/>
  <c r="BR59" i="50"/>
  <c r="BQ59" i="50"/>
  <c r="BP59" i="50"/>
  <c r="BO59" i="50"/>
  <c r="BN59" i="50"/>
  <c r="BT58" i="50"/>
  <c r="BS58" i="50"/>
  <c r="BR58" i="50"/>
  <c r="BQ58" i="50"/>
  <c r="BP58" i="50"/>
  <c r="BO58" i="50"/>
  <c r="BN58" i="50"/>
  <c r="BT57" i="50"/>
  <c r="BS57" i="50"/>
  <c r="BR57" i="50"/>
  <c r="BQ57" i="50"/>
  <c r="BP57" i="50"/>
  <c r="BO57" i="50"/>
  <c r="BN57" i="50"/>
  <c r="BT56" i="50"/>
  <c r="BS56" i="50"/>
  <c r="BR56" i="50"/>
  <c r="BQ56" i="50"/>
  <c r="BP56" i="50"/>
  <c r="BO56" i="50"/>
  <c r="BN56" i="50"/>
  <c r="BT55" i="50"/>
  <c r="BS55" i="50"/>
  <c r="BR55" i="50"/>
  <c r="BQ55" i="50"/>
  <c r="BP55" i="50"/>
  <c r="BO55" i="50"/>
  <c r="BN55" i="50"/>
  <c r="BT54" i="50"/>
  <c r="BS54" i="50"/>
  <c r="BR54" i="50"/>
  <c r="BQ54" i="50"/>
  <c r="BP54" i="50"/>
  <c r="BO54" i="50"/>
  <c r="BN54" i="50"/>
  <c r="BT53" i="50"/>
  <c r="BS53" i="50"/>
  <c r="BR53" i="50"/>
  <c r="BQ53" i="50"/>
  <c r="BP53" i="50"/>
  <c r="BO53" i="50"/>
  <c r="BN53" i="50"/>
  <c r="BT52" i="50"/>
  <c r="BS52" i="50"/>
  <c r="BR52" i="50"/>
  <c r="BQ52" i="50"/>
  <c r="BP52" i="50"/>
  <c r="BO52" i="50"/>
  <c r="BN52" i="50"/>
  <c r="BT51" i="50"/>
  <c r="BS51" i="50"/>
  <c r="BR51" i="50"/>
  <c r="BQ51" i="50"/>
  <c r="BP51" i="50"/>
  <c r="BO51" i="50"/>
  <c r="BN51" i="50"/>
  <c r="BT50" i="50"/>
  <c r="BS50" i="50"/>
  <c r="BR50" i="50"/>
  <c r="BQ50" i="50"/>
  <c r="BP50" i="50"/>
  <c r="BO50" i="50"/>
  <c r="BN50" i="50"/>
  <c r="BT49" i="50"/>
  <c r="BS49" i="50"/>
  <c r="BR49" i="50"/>
  <c r="BQ49" i="50"/>
  <c r="BP49" i="50"/>
  <c r="BO49" i="50"/>
  <c r="BN49" i="50"/>
  <c r="BT48" i="50"/>
  <c r="BS48" i="50"/>
  <c r="BR48" i="50"/>
  <c r="BQ48" i="50"/>
  <c r="BP48" i="50"/>
  <c r="BO48" i="50"/>
  <c r="BN48" i="50"/>
  <c r="BT47" i="50"/>
  <c r="BS47" i="50"/>
  <c r="BR47" i="50"/>
  <c r="BQ47" i="50"/>
  <c r="BP47" i="50"/>
  <c r="BO47" i="50"/>
  <c r="BN47" i="50"/>
  <c r="BT46" i="50"/>
  <c r="BS46" i="50"/>
  <c r="BR46" i="50"/>
  <c r="BQ46" i="50"/>
  <c r="BP46" i="50"/>
  <c r="BO46" i="50"/>
  <c r="BN46" i="50"/>
  <c r="CD10" i="50"/>
  <c r="CD11" i="50"/>
  <c r="CD12" i="50"/>
  <c r="CD13" i="50"/>
  <c r="CD14" i="50"/>
  <c r="CD15" i="50"/>
  <c r="CD16" i="50"/>
  <c r="CD17" i="50"/>
  <c r="CD18" i="50"/>
  <c r="CD19" i="50"/>
  <c r="CD20" i="50"/>
  <c r="CD21" i="50"/>
  <c r="BY10" i="50"/>
  <c r="BZ10" i="50"/>
  <c r="CA10" i="50"/>
  <c r="CB10" i="50"/>
  <c r="CC10" i="50"/>
  <c r="BY11" i="50"/>
  <c r="BZ11" i="50"/>
  <c r="CA11" i="50"/>
  <c r="CB11" i="50"/>
  <c r="CC11" i="50"/>
  <c r="BY12" i="50"/>
  <c r="BZ12" i="50"/>
  <c r="CA12" i="50"/>
  <c r="CB12" i="50"/>
  <c r="CC12" i="50"/>
  <c r="BY13" i="50"/>
  <c r="BZ13" i="50"/>
  <c r="CA13" i="50"/>
  <c r="CB13" i="50"/>
  <c r="CC13" i="50"/>
  <c r="BY14" i="50"/>
  <c r="BZ14" i="50"/>
  <c r="CA14" i="50"/>
  <c r="CB14" i="50"/>
  <c r="CC14" i="50"/>
  <c r="BY15" i="50"/>
  <c r="BZ15" i="50"/>
  <c r="CA15" i="50"/>
  <c r="CB15" i="50"/>
  <c r="CC15" i="50"/>
  <c r="BY16" i="50"/>
  <c r="BZ16" i="50"/>
  <c r="CA16" i="50"/>
  <c r="CB16" i="50"/>
  <c r="CC16" i="50"/>
  <c r="BY17" i="50"/>
  <c r="BZ17" i="50"/>
  <c r="CA17" i="50"/>
  <c r="CB17" i="50"/>
  <c r="CC17" i="50"/>
  <c r="BY18" i="50"/>
  <c r="BZ18" i="50"/>
  <c r="CA18" i="50"/>
  <c r="CB18" i="50"/>
  <c r="CC18" i="50"/>
  <c r="BY19" i="50"/>
  <c r="BZ19" i="50"/>
  <c r="CA19" i="50"/>
  <c r="CB19" i="50"/>
  <c r="CC19" i="50"/>
  <c r="BY20" i="50"/>
  <c r="BZ20" i="50"/>
  <c r="CA20" i="50"/>
  <c r="CB20" i="50"/>
  <c r="CC20" i="50"/>
  <c r="BY21" i="50"/>
  <c r="BZ21" i="50"/>
  <c r="CA21" i="50"/>
  <c r="CB21" i="50"/>
  <c r="CC21" i="50"/>
  <c r="BX10" i="50"/>
  <c r="BX11" i="50"/>
  <c r="BX12" i="50"/>
  <c r="BX13" i="50"/>
  <c r="BX14" i="50"/>
  <c r="BX15" i="50"/>
  <c r="BX16" i="50"/>
  <c r="BX17" i="50"/>
  <c r="BX18" i="50"/>
  <c r="BX19" i="50"/>
  <c r="BX20" i="50"/>
  <c r="BX21" i="50"/>
  <c r="BT7" i="50"/>
  <c r="BT8" i="50"/>
  <c r="BT9" i="50"/>
  <c r="BT10" i="50"/>
  <c r="BT11" i="50"/>
  <c r="BT12" i="50"/>
  <c r="BT13" i="50"/>
  <c r="BT14" i="50"/>
  <c r="BT15" i="50"/>
  <c r="BT16" i="50"/>
  <c r="BT17" i="50"/>
  <c r="BT18" i="50"/>
  <c r="BT19" i="50"/>
  <c r="BT20" i="50"/>
  <c r="BT21" i="50"/>
  <c r="BT6" i="50"/>
  <c r="BO6" i="50"/>
  <c r="BP6" i="50"/>
  <c r="BQ6" i="50"/>
  <c r="BR6" i="50"/>
  <c r="BS6" i="50"/>
  <c r="BO7" i="50"/>
  <c r="BP7" i="50"/>
  <c r="BQ7" i="50"/>
  <c r="BR7" i="50"/>
  <c r="BS7" i="50"/>
  <c r="BO8" i="50"/>
  <c r="BP8" i="50"/>
  <c r="BQ8" i="50"/>
  <c r="BR8" i="50"/>
  <c r="BS8" i="50"/>
  <c r="BO9" i="50"/>
  <c r="BP9" i="50"/>
  <c r="BQ9" i="50"/>
  <c r="BR9" i="50"/>
  <c r="BS9" i="50"/>
  <c r="BO10" i="50"/>
  <c r="BP10" i="50"/>
  <c r="BQ10" i="50"/>
  <c r="BR10" i="50"/>
  <c r="BS10" i="50"/>
  <c r="BO11" i="50"/>
  <c r="BP11" i="50"/>
  <c r="BQ11" i="50"/>
  <c r="BR11" i="50"/>
  <c r="BS11" i="50"/>
  <c r="BO12" i="50"/>
  <c r="BP12" i="50"/>
  <c r="BQ12" i="50"/>
  <c r="BR12" i="50"/>
  <c r="BS12" i="50"/>
  <c r="BO13" i="50"/>
  <c r="BP13" i="50"/>
  <c r="BQ13" i="50"/>
  <c r="BR13" i="50"/>
  <c r="BS13" i="50"/>
  <c r="BO14" i="50"/>
  <c r="BP14" i="50"/>
  <c r="BQ14" i="50"/>
  <c r="BR14" i="50"/>
  <c r="BS14" i="50"/>
  <c r="BO15" i="50"/>
  <c r="BP15" i="50"/>
  <c r="BQ15" i="50"/>
  <c r="BR15" i="50"/>
  <c r="BS15" i="50"/>
  <c r="BO16" i="50"/>
  <c r="BP16" i="50"/>
  <c r="BQ16" i="50"/>
  <c r="BR16" i="50"/>
  <c r="BS16" i="50"/>
  <c r="BO17" i="50"/>
  <c r="BP17" i="50"/>
  <c r="BQ17" i="50"/>
  <c r="BR17" i="50"/>
  <c r="BS17" i="50"/>
  <c r="BO18" i="50"/>
  <c r="BP18" i="50"/>
  <c r="BQ18" i="50"/>
  <c r="BR18" i="50"/>
  <c r="BS18" i="50"/>
  <c r="BO19" i="50"/>
  <c r="BP19" i="50"/>
  <c r="BQ19" i="50"/>
  <c r="BR19" i="50"/>
  <c r="BS19" i="50"/>
  <c r="BO20" i="50"/>
  <c r="BP20" i="50"/>
  <c r="BQ20" i="50"/>
  <c r="BR20" i="50"/>
  <c r="BS20" i="50"/>
  <c r="BO21" i="50"/>
  <c r="BP21" i="50"/>
  <c r="BQ21" i="50"/>
  <c r="BR21" i="50"/>
  <c r="BS21" i="50"/>
  <c r="BN7" i="50"/>
  <c r="BN8" i="50"/>
  <c r="BN9" i="50"/>
  <c r="BN10" i="50"/>
  <c r="BN11" i="50"/>
  <c r="BN12" i="50"/>
  <c r="BN13" i="50"/>
  <c r="BN14" i="50"/>
  <c r="BN15" i="50"/>
  <c r="BN16" i="50"/>
  <c r="BN17" i="50"/>
  <c r="BN18" i="50"/>
  <c r="BN19" i="50"/>
  <c r="BN20" i="50"/>
  <c r="BN21" i="50"/>
  <c r="I65" i="50"/>
  <c r="AP61" i="50"/>
  <c r="AJ81" i="50" s="1"/>
  <c r="AP60" i="50"/>
  <c r="AJ80" i="50" s="1"/>
  <c r="AP59" i="50"/>
  <c r="AP58" i="50"/>
  <c r="AH78" i="50" s="1"/>
  <c r="AP57" i="50"/>
  <c r="AJ77" i="50" s="1"/>
  <c r="AP56" i="50"/>
  <c r="AO76" i="50" s="1"/>
  <c r="AP55" i="50"/>
  <c r="AJ75" i="50" s="1"/>
  <c r="AP54" i="50"/>
  <c r="AP53" i="50"/>
  <c r="AH73" i="50" s="1"/>
  <c r="AP52" i="50"/>
  <c r="AO72" i="50" s="1"/>
  <c r="AP51" i="50"/>
  <c r="AP50" i="50"/>
  <c r="AP49" i="50"/>
  <c r="AI69" i="50" s="1"/>
  <c r="AP48" i="50"/>
  <c r="AP47" i="50"/>
  <c r="AM111" i="50" s="1"/>
  <c r="AP46" i="50"/>
  <c r="AI110" i="50" s="1"/>
  <c r="AE61" i="50"/>
  <c r="AC81" i="50" s="1"/>
  <c r="AE60" i="50"/>
  <c r="AC80" i="50" s="1"/>
  <c r="AE59" i="50"/>
  <c r="AE58" i="50"/>
  <c r="AC78" i="50" s="1"/>
  <c r="AC77" i="50"/>
  <c r="AE56" i="50"/>
  <c r="AC76" i="50" s="1"/>
  <c r="AE55" i="50"/>
  <c r="AC75" i="50" s="1"/>
  <c r="AE54" i="50"/>
  <c r="AC74" i="50" s="1"/>
  <c r="AE53" i="50"/>
  <c r="AE52" i="50"/>
  <c r="AC72" i="50" s="1"/>
  <c r="AE51" i="50"/>
  <c r="AC71" i="50" s="1"/>
  <c r="AE50" i="50"/>
  <c r="AD114" i="50" s="1"/>
  <c r="T46" i="50"/>
  <c r="O110" i="50" s="1"/>
  <c r="T47" i="50"/>
  <c r="N111" i="50" s="1"/>
  <c r="T48" i="50"/>
  <c r="Q112" i="50" s="1"/>
  <c r="T49" i="50"/>
  <c r="T50" i="50"/>
  <c r="T61" i="50"/>
  <c r="R81" i="50" s="1"/>
  <c r="T60" i="50"/>
  <c r="R80" i="50" s="1"/>
  <c r="T59" i="50"/>
  <c r="T58" i="50"/>
  <c r="R78" i="50" s="1"/>
  <c r="T57" i="50"/>
  <c r="R77" i="50" s="1"/>
  <c r="T56" i="50"/>
  <c r="R76" i="50" s="1"/>
  <c r="T55" i="50"/>
  <c r="R75" i="50" s="1"/>
  <c r="T54" i="50"/>
  <c r="R74" i="50" s="1"/>
  <c r="T53" i="50"/>
  <c r="R73" i="50" s="1"/>
  <c r="T52" i="50"/>
  <c r="R72" i="50" s="1"/>
  <c r="T51" i="50"/>
  <c r="R71" i="50" s="1"/>
  <c r="BJ61" i="50"/>
  <c r="H61" i="50" s="1"/>
  <c r="BI61" i="50"/>
  <c r="F61" i="50" s="1"/>
  <c r="BH61" i="50"/>
  <c r="E61" i="50" s="1"/>
  <c r="BG61" i="50"/>
  <c r="D61" i="50" s="1"/>
  <c r="BF61" i="50"/>
  <c r="C61" i="50" s="1"/>
  <c r="BE61" i="50"/>
  <c r="B61" i="50" s="1"/>
  <c r="BD61" i="50"/>
  <c r="G61" i="50" s="1"/>
  <c r="BJ60" i="50"/>
  <c r="H60" i="50" s="1"/>
  <c r="BI60" i="50"/>
  <c r="F60" i="50" s="1"/>
  <c r="BH60" i="50"/>
  <c r="E60" i="50" s="1"/>
  <c r="BG60" i="50"/>
  <c r="D60" i="50" s="1"/>
  <c r="BF60" i="50"/>
  <c r="C60" i="50" s="1"/>
  <c r="BE60" i="50"/>
  <c r="B60" i="50" s="1"/>
  <c r="BD60" i="50"/>
  <c r="G60" i="50" s="1"/>
  <c r="BJ59" i="50"/>
  <c r="H59" i="50" s="1"/>
  <c r="BI59" i="50"/>
  <c r="F59" i="50" s="1"/>
  <c r="BH59" i="50"/>
  <c r="E59" i="50" s="1"/>
  <c r="BG59" i="50"/>
  <c r="D59" i="50" s="1"/>
  <c r="BF59" i="50"/>
  <c r="C59" i="50" s="1"/>
  <c r="BE59" i="50"/>
  <c r="B59" i="50" s="1"/>
  <c r="BD59" i="50"/>
  <c r="G59" i="50" s="1"/>
  <c r="BJ58" i="50"/>
  <c r="H58" i="50" s="1"/>
  <c r="BI58" i="50"/>
  <c r="F58" i="50" s="1"/>
  <c r="BH58" i="50"/>
  <c r="E58" i="50" s="1"/>
  <c r="BG58" i="50"/>
  <c r="D58" i="50" s="1"/>
  <c r="BF58" i="50"/>
  <c r="C58" i="50" s="1"/>
  <c r="BE58" i="50"/>
  <c r="B58" i="50" s="1"/>
  <c r="BD58" i="50"/>
  <c r="BJ57" i="50"/>
  <c r="H57" i="50" s="1"/>
  <c r="BI57" i="50"/>
  <c r="F57" i="50" s="1"/>
  <c r="BH57" i="50"/>
  <c r="E57" i="50" s="1"/>
  <c r="BG57" i="50"/>
  <c r="D57" i="50" s="1"/>
  <c r="BF57" i="50"/>
  <c r="BE57" i="50"/>
  <c r="B57" i="50" s="1"/>
  <c r="BD57" i="50"/>
  <c r="G57" i="50" s="1"/>
  <c r="BJ56" i="50"/>
  <c r="H56" i="50" s="1"/>
  <c r="BI56" i="50"/>
  <c r="F56" i="50" s="1"/>
  <c r="BH56" i="50"/>
  <c r="E56" i="50" s="1"/>
  <c r="BG56" i="50"/>
  <c r="D56" i="50" s="1"/>
  <c r="BF56" i="50"/>
  <c r="C56" i="50" s="1"/>
  <c r="BE56" i="50"/>
  <c r="BD56" i="50"/>
  <c r="G56" i="50" s="1"/>
  <c r="BJ55" i="50"/>
  <c r="H55" i="50" s="1"/>
  <c r="BI55" i="50"/>
  <c r="F55" i="50" s="1"/>
  <c r="BH55" i="50"/>
  <c r="E55" i="50" s="1"/>
  <c r="BG55" i="50"/>
  <c r="D55" i="50" s="1"/>
  <c r="BF55" i="50"/>
  <c r="C55" i="50" s="1"/>
  <c r="BE55" i="50"/>
  <c r="B55" i="50" s="1"/>
  <c r="BD55" i="50"/>
  <c r="G55" i="50" s="1"/>
  <c r="BJ54" i="50"/>
  <c r="H54" i="50" s="1"/>
  <c r="BI54" i="50"/>
  <c r="F54" i="50" s="1"/>
  <c r="BH54" i="50"/>
  <c r="E54" i="50" s="1"/>
  <c r="BG54" i="50"/>
  <c r="D54" i="50" s="1"/>
  <c r="BF54" i="50"/>
  <c r="C54" i="50" s="1"/>
  <c r="BE54" i="50"/>
  <c r="B54" i="50" s="1"/>
  <c r="BD54" i="50"/>
  <c r="G54" i="50" s="1"/>
  <c r="BJ53" i="50"/>
  <c r="H53" i="50" s="1"/>
  <c r="BI53" i="50"/>
  <c r="F53" i="50" s="1"/>
  <c r="BH53" i="50"/>
  <c r="E53" i="50" s="1"/>
  <c r="BG53" i="50"/>
  <c r="D53" i="50" s="1"/>
  <c r="BF53" i="50"/>
  <c r="C53" i="50" s="1"/>
  <c r="BE53" i="50"/>
  <c r="B53" i="50" s="1"/>
  <c r="BD53" i="50"/>
  <c r="G53" i="50" s="1"/>
  <c r="BJ52" i="50"/>
  <c r="H52" i="50" s="1"/>
  <c r="BI52" i="50"/>
  <c r="F52" i="50" s="1"/>
  <c r="BH52" i="50"/>
  <c r="E52" i="50" s="1"/>
  <c r="BG52" i="50"/>
  <c r="D52" i="50" s="1"/>
  <c r="BF52" i="50"/>
  <c r="C52" i="50" s="1"/>
  <c r="BE52" i="50"/>
  <c r="B52" i="50" s="1"/>
  <c r="BD52" i="50"/>
  <c r="G52" i="50" s="1"/>
  <c r="BJ51" i="50"/>
  <c r="H51" i="50" s="1"/>
  <c r="BI51" i="50"/>
  <c r="F51" i="50" s="1"/>
  <c r="BH51" i="50"/>
  <c r="E51" i="50" s="1"/>
  <c r="BG51" i="50"/>
  <c r="D51" i="50" s="1"/>
  <c r="BF51" i="50"/>
  <c r="C51" i="50" s="1"/>
  <c r="BE51" i="50"/>
  <c r="B51" i="50" s="1"/>
  <c r="BD51" i="50"/>
  <c r="BJ50" i="50"/>
  <c r="H50" i="50" s="1"/>
  <c r="BI50" i="50"/>
  <c r="F50" i="50" s="1"/>
  <c r="BH50" i="50"/>
  <c r="E50" i="50" s="1"/>
  <c r="BG50" i="50"/>
  <c r="D50" i="50" s="1"/>
  <c r="BF50" i="50"/>
  <c r="C50" i="50" s="1"/>
  <c r="BE50" i="50"/>
  <c r="B50" i="50" s="1"/>
  <c r="BD50" i="50"/>
  <c r="G50" i="50" s="1"/>
  <c r="BA51" i="50"/>
  <c r="AY70" i="50"/>
  <c r="AX70" i="50"/>
  <c r="AW70" i="50"/>
  <c r="AV70" i="50"/>
  <c r="AU70" i="50"/>
  <c r="AT70" i="50"/>
  <c r="AS70" i="50"/>
  <c r="AY69" i="50"/>
  <c r="AX69" i="50"/>
  <c r="AW69" i="50"/>
  <c r="AV69" i="50"/>
  <c r="AU69" i="50"/>
  <c r="AT69" i="50"/>
  <c r="AS69" i="50"/>
  <c r="AY68" i="50"/>
  <c r="AX68" i="50"/>
  <c r="AW68" i="50"/>
  <c r="AV68" i="50"/>
  <c r="AU68" i="50"/>
  <c r="AT68" i="50"/>
  <c r="AS68" i="50"/>
  <c r="AY67" i="50"/>
  <c r="AX67" i="50"/>
  <c r="AW67" i="50"/>
  <c r="AV67" i="50"/>
  <c r="AU67" i="50"/>
  <c r="AT67" i="50"/>
  <c r="AS67" i="50"/>
  <c r="AY66" i="50"/>
  <c r="AX66" i="50"/>
  <c r="AW66" i="50"/>
  <c r="AV66" i="50"/>
  <c r="AU66" i="50"/>
  <c r="AT66" i="50"/>
  <c r="AS66" i="50"/>
  <c r="AT26" i="50"/>
  <c r="AU26" i="50"/>
  <c r="AV26" i="50"/>
  <c r="AW26" i="50"/>
  <c r="AX26" i="50"/>
  <c r="AY26" i="50"/>
  <c r="AT27" i="50"/>
  <c r="AU27" i="50"/>
  <c r="AV27" i="50"/>
  <c r="AW27" i="50"/>
  <c r="AX27" i="50"/>
  <c r="AY27" i="50"/>
  <c r="AT28" i="50"/>
  <c r="AU28" i="50"/>
  <c r="AV28" i="50"/>
  <c r="AW28" i="50"/>
  <c r="AX28" i="50"/>
  <c r="AY28" i="50"/>
  <c r="AT29" i="50"/>
  <c r="AU29" i="50"/>
  <c r="AV29" i="50"/>
  <c r="AW29" i="50"/>
  <c r="AX29" i="50"/>
  <c r="AY29" i="50"/>
  <c r="AT30" i="50"/>
  <c r="AU30" i="50"/>
  <c r="AV30" i="50"/>
  <c r="AW30" i="50"/>
  <c r="AX30" i="50"/>
  <c r="AY30" i="50"/>
  <c r="AS26" i="50"/>
  <c r="AS27" i="50"/>
  <c r="AS28" i="50"/>
  <c r="AS29" i="50"/>
  <c r="AS30" i="50"/>
  <c r="BA61" i="50"/>
  <c r="AS81" i="50" s="1"/>
  <c r="BA60" i="50"/>
  <c r="BA59" i="50"/>
  <c r="BA58" i="50"/>
  <c r="AX78" i="50" s="1"/>
  <c r="BA57" i="50"/>
  <c r="AV77" i="50" s="1"/>
  <c r="BA56" i="50"/>
  <c r="AT76" i="50" s="1"/>
  <c r="BA55" i="50"/>
  <c r="AX75" i="50" s="1"/>
  <c r="BA54" i="50"/>
  <c r="AU74" i="50" s="1"/>
  <c r="BA53" i="50"/>
  <c r="AY73" i="50" s="1"/>
  <c r="BA52" i="50"/>
  <c r="AP11" i="50"/>
  <c r="W30" i="50"/>
  <c r="X30" i="50"/>
  <c r="D72" i="20" s="1"/>
  <c r="Y30" i="50"/>
  <c r="E72" i="20" s="1"/>
  <c r="Z30" i="50"/>
  <c r="F72" i="20" s="1"/>
  <c r="AA30" i="50"/>
  <c r="G72" i="20" s="1"/>
  <c r="AB30" i="50"/>
  <c r="H72" i="20" s="1"/>
  <c r="AC30" i="50"/>
  <c r="AD30" i="50"/>
  <c r="AE13" i="50"/>
  <c r="AP13" i="50"/>
  <c r="BA13" i="50"/>
  <c r="AW117" i="50" s="1"/>
  <c r="R30" i="50"/>
  <c r="R29" i="50"/>
  <c r="R28" i="50"/>
  <c r="R27" i="50"/>
  <c r="R26" i="50"/>
  <c r="BJ21" i="50"/>
  <c r="H21" i="50" s="1"/>
  <c r="BD21" i="50"/>
  <c r="G21" i="50" s="1"/>
  <c r="BA21" i="50"/>
  <c r="BA20" i="50"/>
  <c r="BA19" i="50"/>
  <c r="BA18" i="50"/>
  <c r="BA17" i="50"/>
  <c r="BA16" i="50"/>
  <c r="BA15" i="50"/>
  <c r="BA14" i="50"/>
  <c r="BA12" i="50"/>
  <c r="BA11" i="50"/>
  <c r="AN26" i="50"/>
  <c r="AN27" i="50"/>
  <c r="AN28" i="50"/>
  <c r="AN29" i="50"/>
  <c r="AN30" i="50"/>
  <c r="I25" i="50"/>
  <c r="H25" i="50"/>
  <c r="F25" i="50"/>
  <c r="E25" i="50"/>
  <c r="D25" i="50"/>
  <c r="C25" i="50"/>
  <c r="B25" i="50"/>
  <c r="G25" i="50"/>
  <c r="BA30" i="50"/>
  <c r="AZ30" i="50"/>
  <c r="AZ29" i="50"/>
  <c r="AZ28" i="50"/>
  <c r="AZ27" i="50"/>
  <c r="AZ26" i="50"/>
  <c r="BD10" i="50"/>
  <c r="G10" i="50" s="1"/>
  <c r="BE10" i="50"/>
  <c r="B10" i="50" s="1"/>
  <c r="BF10" i="50"/>
  <c r="C10" i="50" s="1"/>
  <c r="BG10" i="50"/>
  <c r="D10" i="50" s="1"/>
  <c r="BH10" i="50"/>
  <c r="E10" i="50" s="1"/>
  <c r="BI10" i="50"/>
  <c r="F10" i="50" s="1"/>
  <c r="BJ10" i="50"/>
  <c r="H10" i="50" s="1"/>
  <c r="BD11" i="50"/>
  <c r="G11" i="50" s="1"/>
  <c r="BE11" i="50"/>
  <c r="B11" i="50" s="1"/>
  <c r="BF11" i="50"/>
  <c r="C11" i="50" s="1"/>
  <c r="BG11" i="50"/>
  <c r="D11" i="50" s="1"/>
  <c r="BH11" i="50"/>
  <c r="E11" i="50" s="1"/>
  <c r="BI11" i="50"/>
  <c r="F11" i="50" s="1"/>
  <c r="BJ11" i="50"/>
  <c r="H11" i="50" s="1"/>
  <c r="BD12" i="50"/>
  <c r="G12" i="50" s="1"/>
  <c r="BE12" i="50"/>
  <c r="B12" i="50" s="1"/>
  <c r="BF12" i="50"/>
  <c r="C12" i="50" s="1"/>
  <c r="BG12" i="50"/>
  <c r="D12" i="50" s="1"/>
  <c r="BH12" i="50"/>
  <c r="E12" i="50" s="1"/>
  <c r="BI12" i="50"/>
  <c r="F12" i="50" s="1"/>
  <c r="BJ12" i="50"/>
  <c r="H12" i="50" s="1"/>
  <c r="BD13" i="50"/>
  <c r="G13" i="50" s="1"/>
  <c r="BE13" i="50"/>
  <c r="B13" i="50" s="1"/>
  <c r="BF13" i="50"/>
  <c r="C13" i="50" s="1"/>
  <c r="BG13" i="50"/>
  <c r="D13" i="50" s="1"/>
  <c r="BH13" i="50"/>
  <c r="E13" i="50" s="1"/>
  <c r="BI13" i="50"/>
  <c r="F13" i="50" s="1"/>
  <c r="BJ13" i="50"/>
  <c r="H13" i="50" s="1"/>
  <c r="BD14" i="50"/>
  <c r="G14" i="50" s="1"/>
  <c r="BE14" i="50"/>
  <c r="B14" i="50" s="1"/>
  <c r="BF14" i="50"/>
  <c r="C14" i="50" s="1"/>
  <c r="BG14" i="50"/>
  <c r="D14" i="50" s="1"/>
  <c r="BH14" i="50"/>
  <c r="E14" i="50" s="1"/>
  <c r="BI14" i="50"/>
  <c r="F14" i="50" s="1"/>
  <c r="BJ14" i="50"/>
  <c r="H14" i="50" s="1"/>
  <c r="BD15" i="50"/>
  <c r="G15" i="50" s="1"/>
  <c r="BE15" i="50"/>
  <c r="B15" i="50" s="1"/>
  <c r="BF15" i="50"/>
  <c r="C15" i="50" s="1"/>
  <c r="BG15" i="50"/>
  <c r="D15" i="50" s="1"/>
  <c r="BH15" i="50"/>
  <c r="E15" i="50" s="1"/>
  <c r="BI15" i="50"/>
  <c r="F15" i="50" s="1"/>
  <c r="BJ15" i="50"/>
  <c r="H15" i="50" s="1"/>
  <c r="BD16" i="50"/>
  <c r="BE16" i="50"/>
  <c r="B16" i="50" s="1"/>
  <c r="BF16" i="50"/>
  <c r="C16" i="50" s="1"/>
  <c r="BG16" i="50"/>
  <c r="D16" i="50" s="1"/>
  <c r="BH16" i="50"/>
  <c r="E16" i="50" s="1"/>
  <c r="BI16" i="50"/>
  <c r="F16" i="50" s="1"/>
  <c r="BJ16" i="50"/>
  <c r="H16" i="50" s="1"/>
  <c r="BD17" i="50"/>
  <c r="BE17" i="50"/>
  <c r="B17" i="50" s="1"/>
  <c r="BF17" i="50"/>
  <c r="C17" i="50" s="1"/>
  <c r="BG17" i="50"/>
  <c r="D17" i="50" s="1"/>
  <c r="BH17" i="50"/>
  <c r="E17" i="50" s="1"/>
  <c r="BI17" i="50"/>
  <c r="F17" i="50" s="1"/>
  <c r="BJ17" i="50"/>
  <c r="H17" i="50" s="1"/>
  <c r="BD18" i="50"/>
  <c r="BE18" i="50"/>
  <c r="B18" i="50" s="1"/>
  <c r="BF18" i="50"/>
  <c r="C18" i="50" s="1"/>
  <c r="BG18" i="50"/>
  <c r="D18" i="50" s="1"/>
  <c r="BH18" i="50"/>
  <c r="E18" i="50" s="1"/>
  <c r="BI18" i="50"/>
  <c r="F18" i="50" s="1"/>
  <c r="BJ18" i="50"/>
  <c r="H18" i="50" s="1"/>
  <c r="BD19" i="50"/>
  <c r="BE19" i="50"/>
  <c r="B19" i="50" s="1"/>
  <c r="BF19" i="50"/>
  <c r="C19" i="50" s="1"/>
  <c r="BG19" i="50"/>
  <c r="D19" i="50" s="1"/>
  <c r="BH19" i="50"/>
  <c r="E19" i="50" s="1"/>
  <c r="BI19" i="50"/>
  <c r="F19" i="50" s="1"/>
  <c r="BJ19" i="50"/>
  <c r="H19" i="50" s="1"/>
  <c r="BD20" i="50"/>
  <c r="BE20" i="50"/>
  <c r="B20" i="50" s="1"/>
  <c r="BF20" i="50"/>
  <c r="C20" i="50" s="1"/>
  <c r="BG20" i="50"/>
  <c r="D20" i="50" s="1"/>
  <c r="BH20" i="50"/>
  <c r="E20" i="50" s="1"/>
  <c r="BI20" i="50"/>
  <c r="F20" i="50" s="1"/>
  <c r="BJ20" i="50"/>
  <c r="H20" i="50" s="1"/>
  <c r="BE21" i="50"/>
  <c r="B21" i="50" s="1"/>
  <c r="BF21" i="50"/>
  <c r="C21" i="50" s="1"/>
  <c r="BG21" i="50"/>
  <c r="D21" i="50" s="1"/>
  <c r="BH21" i="50"/>
  <c r="E21" i="50" s="1"/>
  <c r="BI21" i="50"/>
  <c r="F21" i="50" s="1"/>
  <c r="AP21" i="50"/>
  <c r="AP20" i="50"/>
  <c r="AP19" i="50"/>
  <c r="AP18" i="50"/>
  <c r="AP17" i="50"/>
  <c r="AP16" i="50"/>
  <c r="AP15" i="50"/>
  <c r="AP14" i="50"/>
  <c r="AH118" i="50" s="1"/>
  <c r="AP12" i="50"/>
  <c r="AE11" i="50"/>
  <c r="AE12" i="50"/>
  <c r="AE14" i="50"/>
  <c r="AE15" i="50"/>
  <c r="AE16" i="50"/>
  <c r="AE17" i="50"/>
  <c r="AE18" i="50"/>
  <c r="Y122" i="50" s="1"/>
  <c r="AE19" i="50"/>
  <c r="AE20" i="50"/>
  <c r="AE21" i="50"/>
  <c r="AC125" i="50" s="1"/>
  <c r="T11" i="50"/>
  <c r="T12" i="50"/>
  <c r="T13" i="50"/>
  <c r="T14" i="50"/>
  <c r="T15" i="50"/>
  <c r="T16" i="50"/>
  <c r="T17" i="50"/>
  <c r="T18" i="50"/>
  <c r="T19" i="50"/>
  <c r="T20" i="50"/>
  <c r="T21" i="50"/>
  <c r="AH26" i="50"/>
  <c r="AH27" i="50"/>
  <c r="AI27" i="50"/>
  <c r="AJ27" i="50"/>
  <c r="AK27" i="50"/>
  <c r="AL27" i="50"/>
  <c r="AM27" i="50"/>
  <c r="AO27" i="50"/>
  <c r="AH28" i="50"/>
  <c r="AI28" i="50"/>
  <c r="AJ28" i="50"/>
  <c r="AK28" i="50"/>
  <c r="AL28" i="50"/>
  <c r="AM28" i="50"/>
  <c r="AO28" i="50"/>
  <c r="AH29" i="50"/>
  <c r="AI29" i="50"/>
  <c r="AJ29" i="50"/>
  <c r="AK29" i="50"/>
  <c r="AL29" i="50"/>
  <c r="AM29" i="50"/>
  <c r="AO29" i="50"/>
  <c r="AH30" i="50"/>
  <c r="AI30" i="50"/>
  <c r="AJ30" i="50"/>
  <c r="AK30" i="50"/>
  <c r="AL30" i="50"/>
  <c r="AM30" i="50"/>
  <c r="AO30" i="50"/>
  <c r="AI26" i="50"/>
  <c r="AJ26" i="50"/>
  <c r="AK26" i="50"/>
  <c r="AL26" i="50"/>
  <c r="AM26" i="50"/>
  <c r="AO26" i="50"/>
  <c r="AP30" i="50"/>
  <c r="F46" i="1"/>
  <c r="F47" i="1"/>
  <c r="F48" i="1"/>
  <c r="F49" i="1"/>
  <c r="F50" i="1"/>
  <c r="F51" i="1"/>
  <c r="F52" i="1"/>
  <c r="F53" i="1"/>
  <c r="F54" i="1"/>
  <c r="F55" i="1"/>
  <c r="F45" i="1"/>
  <c r="M46" i="1"/>
  <c r="M47" i="1"/>
  <c r="M48" i="1"/>
  <c r="M49" i="1"/>
  <c r="M50" i="1"/>
  <c r="M51" i="1"/>
  <c r="M52" i="1"/>
  <c r="M53" i="1"/>
  <c r="M54" i="1"/>
  <c r="M55" i="1"/>
  <c r="M45" i="1"/>
  <c r="B3" i="35"/>
  <c r="B4" i="35"/>
  <c r="B5" i="35"/>
  <c r="B6" i="35"/>
  <c r="B7" i="35"/>
  <c r="L9" i="22"/>
  <c r="AF149" i="20"/>
  <c r="AF150" i="20"/>
  <c r="AF151" i="20"/>
  <c r="AF152" i="20"/>
  <c r="AF157" i="20"/>
  <c r="AF158" i="20"/>
  <c r="AF159" i="20"/>
  <c r="AF160" i="20"/>
  <c r="AF139" i="20"/>
  <c r="AF140" i="20"/>
  <c r="AF141" i="20"/>
  <c r="AF142" i="20"/>
  <c r="AF143" i="20"/>
  <c r="AF144" i="20"/>
  <c r="AF145" i="20"/>
  <c r="AF146" i="20"/>
  <c r="AF147" i="20"/>
  <c r="AF148" i="20"/>
  <c r="AF153" i="20"/>
  <c r="AF154" i="20"/>
  <c r="AF155" i="20"/>
  <c r="AF156" i="20"/>
  <c r="AF161" i="20"/>
  <c r="AF162" i="20"/>
  <c r="AF163" i="20"/>
  <c r="AF164" i="20"/>
  <c r="AQ27" i="10"/>
  <c r="Z22" i="14" l="1" a="1"/>
  <c r="Z22" i="14" s="1"/>
  <c r="Z23" i="14" a="1"/>
  <c r="Z23" i="14" s="1"/>
  <c r="AB23" i="14" a="1"/>
  <c r="AB23" i="14" s="1"/>
  <c r="AC22" i="14" a="1"/>
  <c r="AC22" i="14" s="1"/>
  <c r="AJ119" i="50"/>
  <c r="CD97" i="50"/>
  <c r="X123" i="50"/>
  <c r="AI117" i="50"/>
  <c r="BA112" i="50"/>
  <c r="Z124" i="50"/>
  <c r="AO121" i="50"/>
  <c r="P122" i="50"/>
  <c r="CD100" i="50"/>
  <c r="Z115" i="50"/>
  <c r="G100" i="50"/>
  <c r="D98" i="50"/>
  <c r="BP102" i="50"/>
  <c r="BN94" i="50"/>
  <c r="BS92" i="50"/>
  <c r="AI125" i="50"/>
  <c r="BN92" i="50"/>
  <c r="AC119" i="50"/>
  <c r="AU123" i="50"/>
  <c r="CD101" i="50"/>
  <c r="BR99" i="50"/>
  <c r="AP105" i="50"/>
  <c r="S122" i="50"/>
  <c r="AN113" i="50"/>
  <c r="M122" i="50"/>
  <c r="AM113" i="50"/>
  <c r="AD118" i="50"/>
  <c r="Y118" i="50"/>
  <c r="AH69" i="50"/>
  <c r="R116" i="50"/>
  <c r="BQ104" i="50"/>
  <c r="BE96" i="50"/>
  <c r="CD106" i="50"/>
  <c r="AO124" i="50"/>
  <c r="Q115" i="50"/>
  <c r="BP92" i="50"/>
  <c r="BO94" i="50"/>
  <c r="BR95" i="50"/>
  <c r="BA96" i="50"/>
  <c r="BS99" i="50"/>
  <c r="BQ102" i="50"/>
  <c r="AM124" i="50"/>
  <c r="AJ116" i="50"/>
  <c r="L125" i="50"/>
  <c r="BR105" i="50"/>
  <c r="T100" i="50"/>
  <c r="BS98" i="50"/>
  <c r="BR94" i="50"/>
  <c r="BO93" i="50"/>
  <c r="AP91" i="50"/>
  <c r="BQ92" i="50"/>
  <c r="BR96" i="50"/>
  <c r="AP102" i="50"/>
  <c r="BA97" i="50"/>
  <c r="AL124" i="50"/>
  <c r="AW116" i="50"/>
  <c r="L124" i="50"/>
  <c r="BG105" i="50"/>
  <c r="BI102" i="50"/>
  <c r="BP101" i="50"/>
  <c r="BE97" i="50"/>
  <c r="BH97" i="50"/>
  <c r="CD105" i="50"/>
  <c r="AK124" i="50"/>
  <c r="M117" i="50"/>
  <c r="W116" i="50"/>
  <c r="CD99" i="50"/>
  <c r="BO96" i="50"/>
  <c r="BR97" i="50"/>
  <c r="BO91" i="50"/>
  <c r="BR92" i="50"/>
  <c r="BS96" i="50"/>
  <c r="BP106" i="50"/>
  <c r="O125" i="50"/>
  <c r="N115" i="50"/>
  <c r="AN110" i="50"/>
  <c r="AK119" i="50"/>
  <c r="N125" i="50"/>
  <c r="M115" i="50"/>
  <c r="AA122" i="50"/>
  <c r="AM110" i="50"/>
  <c r="AP106" i="50"/>
  <c r="BA101" i="50"/>
  <c r="BA105" i="50"/>
  <c r="M124" i="50"/>
  <c r="S112" i="50"/>
  <c r="Z122" i="50"/>
  <c r="AL110" i="50"/>
  <c r="AK118" i="50"/>
  <c r="S120" i="50"/>
  <c r="L111" i="50"/>
  <c r="AN119" i="50"/>
  <c r="BJ106" i="50"/>
  <c r="AL116" i="50"/>
  <c r="BN105" i="50"/>
  <c r="BS103" i="50"/>
  <c r="BO98" i="50"/>
  <c r="BQ95" i="50"/>
  <c r="N117" i="50"/>
  <c r="AD124" i="50"/>
  <c r="X118" i="50"/>
  <c r="AH111" i="50"/>
  <c r="AY117" i="50"/>
  <c r="X122" i="50"/>
  <c r="AH121" i="50"/>
  <c r="AZ119" i="50"/>
  <c r="AZ121" i="50"/>
  <c r="BS91" i="50"/>
  <c r="BO92" i="50"/>
  <c r="BR93" i="50"/>
  <c r="BR104" i="50"/>
  <c r="P110" i="50"/>
  <c r="L117" i="50"/>
  <c r="AB124" i="50"/>
  <c r="W118" i="50"/>
  <c r="AJ121" i="50"/>
  <c r="AY118" i="50"/>
  <c r="BO101" i="50"/>
  <c r="S119" i="50"/>
  <c r="X125" i="50"/>
  <c r="N110" i="50"/>
  <c r="AA124" i="50"/>
  <c r="AA116" i="50"/>
  <c r="AO119" i="50"/>
  <c r="AX116" i="50"/>
  <c r="BQ94" i="50"/>
  <c r="AA123" i="50"/>
  <c r="N119" i="50"/>
  <c r="AN77" i="50"/>
  <c r="CD96" i="50"/>
  <c r="CD103" i="50"/>
  <c r="BS94" i="50"/>
  <c r="BN96" i="50"/>
  <c r="BQ97" i="50"/>
  <c r="BT98" i="50"/>
  <c r="BA100" i="50"/>
  <c r="Q125" i="50"/>
  <c r="AO110" i="50"/>
  <c r="AL119" i="50"/>
  <c r="Y121" i="50"/>
  <c r="Z121" i="50"/>
  <c r="AA121" i="50"/>
  <c r="W121" i="50"/>
  <c r="X121" i="50"/>
  <c r="AB121" i="50"/>
  <c r="AD121" i="50"/>
  <c r="AC121" i="50"/>
  <c r="BD104" i="50"/>
  <c r="T104" i="50"/>
  <c r="BR98" i="50"/>
  <c r="BH98" i="50"/>
  <c r="BJ95" i="50"/>
  <c r="BT95" i="50"/>
  <c r="BN93" i="50"/>
  <c r="T93" i="50"/>
  <c r="BI106" i="50"/>
  <c r="T106" i="50"/>
  <c r="BP105" i="50"/>
  <c r="BF105" i="50"/>
  <c r="T105" i="50"/>
  <c r="BH102" i="50"/>
  <c r="BR102" i="50"/>
  <c r="BJ99" i="50"/>
  <c r="BQ98" i="50"/>
  <c r="BG98" i="50"/>
  <c r="BD97" i="50"/>
  <c r="T97" i="50"/>
  <c r="BN97" i="50"/>
  <c r="BI95" i="50"/>
  <c r="BS95" i="50"/>
  <c r="T94" i="50"/>
  <c r="AE100" i="50"/>
  <c r="BX100" i="50"/>
  <c r="CD102" i="50"/>
  <c r="AE104" i="50"/>
  <c r="AP95" i="50"/>
  <c r="AP96" i="50"/>
  <c r="BQ96" i="50"/>
  <c r="AP99" i="50"/>
  <c r="BT92" i="50"/>
  <c r="R79" i="50"/>
  <c r="S123" i="50"/>
  <c r="O123" i="50"/>
  <c r="Q123" i="50"/>
  <c r="P123" i="50"/>
  <c r="AC73" i="50"/>
  <c r="AB117" i="50"/>
  <c r="R37" i="50"/>
  <c r="Q121" i="50"/>
  <c r="R121" i="50"/>
  <c r="S121" i="50"/>
  <c r="L121" i="50"/>
  <c r="M121" i="50"/>
  <c r="N121" i="50"/>
  <c r="O121" i="50"/>
  <c r="P121" i="50"/>
  <c r="AM38" i="50"/>
  <c r="AN122" i="50"/>
  <c r="AK122" i="50"/>
  <c r="AL122" i="50"/>
  <c r="AM122" i="50"/>
  <c r="AO122" i="50"/>
  <c r="AH122" i="50"/>
  <c r="AI122" i="50"/>
  <c r="AJ122" i="50"/>
  <c r="AZ68" i="50"/>
  <c r="BA68" i="50" s="1"/>
  <c r="AH112" i="50"/>
  <c r="AO112" i="50"/>
  <c r="AJ112" i="50"/>
  <c r="AL112" i="50"/>
  <c r="AI112" i="50"/>
  <c r="AK112" i="50"/>
  <c r="AM112" i="50"/>
  <c r="AN112" i="50"/>
  <c r="AE102" i="50"/>
  <c r="AE106" i="50"/>
  <c r="AN79" i="50"/>
  <c r="AN123" i="50"/>
  <c r="AH123" i="50"/>
  <c r="AE96" i="50"/>
  <c r="BX96" i="50"/>
  <c r="AU36" i="50"/>
  <c r="AZ120" i="50"/>
  <c r="AV120" i="50"/>
  <c r="AU120" i="50"/>
  <c r="AS120" i="50"/>
  <c r="AW120" i="50"/>
  <c r="AX120" i="50"/>
  <c r="AY120" i="50"/>
  <c r="AT120" i="50"/>
  <c r="AX80" i="50"/>
  <c r="AT124" i="50"/>
  <c r="AU124" i="50"/>
  <c r="AV124" i="50"/>
  <c r="AZ124" i="50"/>
  <c r="BP94" i="50"/>
  <c r="BA99" i="50"/>
  <c r="AE101" i="50"/>
  <c r="BX101" i="50"/>
  <c r="BF104" i="50"/>
  <c r="BI105" i="50"/>
  <c r="BO95" i="50"/>
  <c r="BA102" i="50"/>
  <c r="BO106" i="50"/>
  <c r="AP94" i="50"/>
  <c r="AT116" i="50"/>
  <c r="BH105" i="50"/>
  <c r="BE104" i="50"/>
  <c r="BQ101" i="50"/>
  <c r="BG101" i="50"/>
  <c r="BD100" i="50"/>
  <c r="BI98" i="50"/>
  <c r="BF97" i="50"/>
  <c r="AE97" i="50"/>
  <c r="AP92" i="50"/>
  <c r="AP103" i="50"/>
  <c r="BA98" i="50"/>
  <c r="P125" i="50"/>
  <c r="AW118" i="50"/>
  <c r="W35" i="50"/>
  <c r="AD119" i="50"/>
  <c r="Y119" i="50"/>
  <c r="W119" i="50"/>
  <c r="AB119" i="50"/>
  <c r="X119" i="50"/>
  <c r="Z119" i="50"/>
  <c r="AA119" i="50"/>
  <c r="AY38" i="50"/>
  <c r="AU122" i="50"/>
  <c r="AV122" i="50"/>
  <c r="AW122" i="50"/>
  <c r="AX122" i="50"/>
  <c r="AS122" i="50"/>
  <c r="AT122" i="50"/>
  <c r="AY122" i="50"/>
  <c r="AZ122" i="50"/>
  <c r="T98" i="50"/>
  <c r="Y34" i="50"/>
  <c r="E76" i="20" s="1"/>
  <c r="AA118" i="50"/>
  <c r="AB118" i="50"/>
  <c r="AC118" i="50"/>
  <c r="Z118" i="50"/>
  <c r="AS39" i="50"/>
  <c r="AX123" i="50"/>
  <c r="AY123" i="50"/>
  <c r="AZ123" i="50"/>
  <c r="AT123" i="50"/>
  <c r="AV123" i="50"/>
  <c r="AW123" i="50"/>
  <c r="AS123" i="50"/>
  <c r="AN33" i="50"/>
  <c r="AJ117" i="50"/>
  <c r="AK117" i="50"/>
  <c r="AL117" i="50"/>
  <c r="AH117" i="50"/>
  <c r="AO117" i="50"/>
  <c r="AM117" i="50"/>
  <c r="AN117" i="50"/>
  <c r="AW72" i="50"/>
  <c r="AV116" i="50"/>
  <c r="R70" i="50"/>
  <c r="R114" i="50"/>
  <c r="S114" i="50"/>
  <c r="M114" i="50"/>
  <c r="L114" i="50"/>
  <c r="O114" i="50"/>
  <c r="N114" i="50"/>
  <c r="O119" i="50"/>
  <c r="Q114" i="50"/>
  <c r="AD120" i="50"/>
  <c r="AK116" i="50"/>
  <c r="AJ70" i="50"/>
  <c r="AL114" i="50"/>
  <c r="AM114" i="50"/>
  <c r="AN114" i="50"/>
  <c r="AH114" i="50"/>
  <c r="AJ114" i="50"/>
  <c r="AK114" i="50"/>
  <c r="AO114" i="50"/>
  <c r="R34" i="50"/>
  <c r="S118" i="50"/>
  <c r="N118" i="50"/>
  <c r="L118" i="50"/>
  <c r="M118" i="50"/>
  <c r="O118" i="50"/>
  <c r="Q118" i="50"/>
  <c r="P118" i="50"/>
  <c r="R33" i="50"/>
  <c r="P117" i="50"/>
  <c r="Q117" i="50"/>
  <c r="R117" i="50"/>
  <c r="O117" i="50"/>
  <c r="Z116" i="50"/>
  <c r="Y116" i="50"/>
  <c r="AB116" i="50"/>
  <c r="AC116" i="50"/>
  <c r="AD116" i="50"/>
  <c r="X116" i="50"/>
  <c r="AT40" i="50"/>
  <c r="AW124" i="50"/>
  <c r="AS124" i="50"/>
  <c r="AX124" i="50"/>
  <c r="AY124" i="50"/>
  <c r="Y33" i="50"/>
  <c r="E75" i="20" s="1"/>
  <c r="AC117" i="50"/>
  <c r="W117" i="50"/>
  <c r="X117" i="50"/>
  <c r="Y117" i="50"/>
  <c r="AD117" i="50"/>
  <c r="AA117" i="50"/>
  <c r="Z117" i="50"/>
  <c r="R69" i="50"/>
  <c r="O113" i="50"/>
  <c r="P113" i="50"/>
  <c r="Q113" i="50"/>
  <c r="R113" i="50"/>
  <c r="S113" i="50"/>
  <c r="M113" i="50"/>
  <c r="BR91" i="50"/>
  <c r="T95" i="50"/>
  <c r="P114" i="50"/>
  <c r="AA120" i="50"/>
  <c r="AD115" i="50"/>
  <c r="R35" i="50"/>
  <c r="L119" i="50"/>
  <c r="M119" i="50"/>
  <c r="Q119" i="50"/>
  <c r="R119" i="50"/>
  <c r="AH31" i="50"/>
  <c r="AO115" i="50"/>
  <c r="AH115" i="50"/>
  <c r="AI115" i="50"/>
  <c r="AJ115" i="50"/>
  <c r="AN115" i="50"/>
  <c r="AL115" i="50"/>
  <c r="AK115" i="50"/>
  <c r="P119" i="50"/>
  <c r="R32" i="50"/>
  <c r="M116" i="50"/>
  <c r="N116" i="50"/>
  <c r="O116" i="50"/>
  <c r="S116" i="50"/>
  <c r="Q116" i="50"/>
  <c r="L116" i="50"/>
  <c r="P116" i="50"/>
  <c r="AS41" i="50"/>
  <c r="AS125" i="50"/>
  <c r="AT125" i="50"/>
  <c r="AU125" i="50"/>
  <c r="AZ125" i="50"/>
  <c r="AX125" i="50"/>
  <c r="AY125" i="50"/>
  <c r="AV125" i="50"/>
  <c r="AW125" i="50"/>
  <c r="R68" i="50"/>
  <c r="L112" i="50"/>
  <c r="M112" i="50"/>
  <c r="N112" i="50"/>
  <c r="R112" i="50"/>
  <c r="O112" i="50"/>
  <c r="BX97" i="50"/>
  <c r="BQ91" i="50"/>
  <c r="T99" i="50"/>
  <c r="BZ95" i="50"/>
  <c r="AE95" i="50"/>
  <c r="AE98" i="50"/>
  <c r="BX98" i="50"/>
  <c r="CA99" i="50"/>
  <c r="AE99" i="50"/>
  <c r="AP93" i="50"/>
  <c r="AP97" i="50"/>
  <c r="AP101" i="50"/>
  <c r="AP104" i="50"/>
  <c r="BO103" i="50"/>
  <c r="BA103" i="50"/>
  <c r="BT105" i="50"/>
  <c r="AE105" i="50"/>
  <c r="R118" i="50"/>
  <c r="N113" i="50"/>
  <c r="Z120" i="50"/>
  <c r="AM115" i="50"/>
  <c r="BN102" i="50"/>
  <c r="AN40" i="50"/>
  <c r="AI124" i="50"/>
  <c r="AH124" i="50"/>
  <c r="AJ124" i="50"/>
  <c r="AN124" i="50"/>
  <c r="AY33" i="50"/>
  <c r="AS117" i="50"/>
  <c r="AX117" i="50"/>
  <c r="AT117" i="50"/>
  <c r="AU117" i="50"/>
  <c r="AV117" i="50"/>
  <c r="AZ117" i="50"/>
  <c r="AL41" i="50"/>
  <c r="AL125" i="50"/>
  <c r="AK125" i="50"/>
  <c r="AM125" i="50"/>
  <c r="AN125" i="50"/>
  <c r="AJ125" i="50"/>
  <c r="AO125" i="50"/>
  <c r="AH125" i="50"/>
  <c r="W115" i="50"/>
  <c r="AA115" i="50"/>
  <c r="AB115" i="50"/>
  <c r="AC115" i="50"/>
  <c r="X115" i="50"/>
  <c r="R31" i="50"/>
  <c r="L115" i="50"/>
  <c r="P115" i="50"/>
  <c r="R115" i="50"/>
  <c r="S115" i="50"/>
  <c r="O115" i="50"/>
  <c r="AH116" i="50"/>
  <c r="AI116" i="50"/>
  <c r="AN116" i="50"/>
  <c r="AO116" i="50"/>
  <c r="AM116" i="50"/>
  <c r="R67" i="50"/>
  <c r="O111" i="50"/>
  <c r="P111" i="50"/>
  <c r="Q111" i="50"/>
  <c r="R111" i="50"/>
  <c r="S111" i="50"/>
  <c r="M111" i="50"/>
  <c r="AC79" i="50"/>
  <c r="AD123" i="50"/>
  <c r="AM74" i="50"/>
  <c r="AJ118" i="50"/>
  <c r="BN100" i="50"/>
  <c r="T103" i="50"/>
  <c r="BN103" i="50"/>
  <c r="BS101" i="50"/>
  <c r="T96" i="50"/>
  <c r="BQ93" i="50"/>
  <c r="T92" i="50"/>
  <c r="AP100" i="50"/>
  <c r="S117" i="50"/>
  <c r="L113" i="50"/>
  <c r="Y120" i="50"/>
  <c r="Y115" i="50"/>
  <c r="AI114" i="50"/>
  <c r="BA114" i="50"/>
  <c r="BA113" i="50"/>
  <c r="R36" i="50"/>
  <c r="N120" i="50"/>
  <c r="O120" i="50"/>
  <c r="P120" i="50"/>
  <c r="AB36" i="50"/>
  <c r="H78" i="20" s="1"/>
  <c r="W120" i="50"/>
  <c r="X120" i="50"/>
  <c r="AB120" i="50"/>
  <c r="AN39" i="50"/>
  <c r="AO123" i="50"/>
  <c r="AJ123" i="50"/>
  <c r="AV37" i="50"/>
  <c r="AS121" i="50"/>
  <c r="AT121" i="50"/>
  <c r="AY121" i="50"/>
  <c r="AV121" i="50"/>
  <c r="AW121" i="50"/>
  <c r="AX121" i="50"/>
  <c r="AO69" i="50"/>
  <c r="AI113" i="50"/>
  <c r="AJ113" i="50"/>
  <c r="AK113" i="50"/>
  <c r="AH113" i="50"/>
  <c r="AL113" i="50"/>
  <c r="BN95" i="50"/>
  <c r="BS104" i="50"/>
  <c r="BN106" i="50"/>
  <c r="L122" i="50"/>
  <c r="W125" i="50"/>
  <c r="W123" i="50"/>
  <c r="AC120" i="50"/>
  <c r="AO113" i="50"/>
  <c r="BA110" i="50"/>
  <c r="AU121" i="50"/>
  <c r="AT31" i="50"/>
  <c r="AV115" i="50"/>
  <c r="AW115" i="50"/>
  <c r="AX115" i="50"/>
  <c r="AS115" i="50"/>
  <c r="AT115" i="50"/>
  <c r="R66" i="50"/>
  <c r="L110" i="50"/>
  <c r="M110" i="50"/>
  <c r="Q110" i="50"/>
  <c r="BN91" i="50"/>
  <c r="T91" i="50"/>
  <c r="BH106" i="50"/>
  <c r="BO105" i="50"/>
  <c r="BT103" i="50"/>
  <c r="BG102" i="50"/>
  <c r="BD101" i="50"/>
  <c r="T101" i="50"/>
  <c r="BI99" i="50"/>
  <c r="BP98" i="50"/>
  <c r="BF98" i="50"/>
  <c r="BH95" i="50"/>
  <c r="CD98" i="50"/>
  <c r="BX103" i="50"/>
  <c r="AE103" i="50"/>
  <c r="AP98" i="50"/>
  <c r="BA104" i="50"/>
  <c r="R122" i="50"/>
  <c r="R120" i="50"/>
  <c r="AC123" i="50"/>
  <c r="AJ110" i="50"/>
  <c r="AM123" i="50"/>
  <c r="AI121" i="50"/>
  <c r="AI118" i="50"/>
  <c r="R41" i="50"/>
  <c r="R125" i="50"/>
  <c r="S125" i="50"/>
  <c r="M125" i="50"/>
  <c r="R40" i="50"/>
  <c r="O124" i="50"/>
  <c r="P124" i="50"/>
  <c r="Q124" i="50"/>
  <c r="AL35" i="50"/>
  <c r="AH119" i="50"/>
  <c r="AI119" i="50"/>
  <c r="AM119" i="50"/>
  <c r="AX32" i="50"/>
  <c r="AY116" i="50"/>
  <c r="AZ116" i="50"/>
  <c r="AU116" i="50"/>
  <c r="AS116" i="50"/>
  <c r="AC70" i="50"/>
  <c r="W114" i="50"/>
  <c r="X114" i="50"/>
  <c r="Y114" i="50"/>
  <c r="AC114" i="50"/>
  <c r="BT96" i="50"/>
  <c r="BA106" i="50"/>
  <c r="S124" i="50"/>
  <c r="Q122" i="50"/>
  <c r="Q120" i="50"/>
  <c r="AD125" i="50"/>
  <c r="AB123" i="50"/>
  <c r="AB114" i="50"/>
  <c r="AL123" i="50"/>
  <c r="AZ118" i="50"/>
  <c r="AZ115" i="50"/>
  <c r="AM118" i="50"/>
  <c r="AN118" i="50"/>
  <c r="AO118" i="50"/>
  <c r="AL118" i="50"/>
  <c r="AH36" i="50"/>
  <c r="AH120" i="50"/>
  <c r="AI120" i="50"/>
  <c r="AJ120" i="50"/>
  <c r="AM120" i="50"/>
  <c r="AN120" i="50"/>
  <c r="AO120" i="50"/>
  <c r="AJ66" i="50"/>
  <c r="AH110" i="50"/>
  <c r="AK110" i="50"/>
  <c r="S110" i="50"/>
  <c r="R124" i="50"/>
  <c r="M120" i="50"/>
  <c r="AA114" i="50"/>
  <c r="AK123" i="50"/>
  <c r="AL120" i="50"/>
  <c r="AY115" i="50"/>
  <c r="W41" i="50"/>
  <c r="Z125" i="50"/>
  <c r="AA125" i="50"/>
  <c r="AB125" i="50"/>
  <c r="X40" i="50"/>
  <c r="D82" i="20" s="1"/>
  <c r="W124" i="50"/>
  <c r="X124" i="50"/>
  <c r="Y124" i="50"/>
  <c r="AC124" i="50"/>
  <c r="R39" i="50"/>
  <c r="L123" i="50"/>
  <c r="M123" i="50"/>
  <c r="N123" i="50"/>
  <c r="R123" i="50"/>
  <c r="AB39" i="50"/>
  <c r="H81" i="20" s="1"/>
  <c r="Z123" i="50"/>
  <c r="AX34" i="50"/>
  <c r="AT118" i="50"/>
  <c r="AU118" i="50"/>
  <c r="AV118" i="50"/>
  <c r="AS118" i="50"/>
  <c r="R38" i="50"/>
  <c r="O122" i="50"/>
  <c r="Y38" i="50"/>
  <c r="E80" i="20" s="1"/>
  <c r="AB122" i="50"/>
  <c r="AC122" i="50"/>
  <c r="AD122" i="50"/>
  <c r="W122" i="50"/>
  <c r="AN37" i="50"/>
  <c r="AK121" i="50"/>
  <c r="AL121" i="50"/>
  <c r="AM121" i="50"/>
  <c r="AN121" i="50"/>
  <c r="AT35" i="50"/>
  <c r="AW119" i="50"/>
  <c r="AX119" i="50"/>
  <c r="AY119" i="50"/>
  <c r="AS119" i="50"/>
  <c r="AT119" i="50"/>
  <c r="AU119" i="50"/>
  <c r="AV119" i="50"/>
  <c r="AI67" i="50"/>
  <c r="AN111" i="50"/>
  <c r="AO111" i="50"/>
  <c r="AI111" i="50"/>
  <c r="AJ111" i="50"/>
  <c r="AK111" i="50"/>
  <c r="T102" i="50"/>
  <c r="R110" i="50"/>
  <c r="N124" i="50"/>
  <c r="N122" i="50"/>
  <c r="L120" i="50"/>
  <c r="Y125" i="50"/>
  <c r="Y123" i="50"/>
  <c r="Z114" i="50"/>
  <c r="AI123" i="50"/>
  <c r="AK120" i="50"/>
  <c r="AL111" i="50"/>
  <c r="AX118" i="50"/>
  <c r="AU115" i="50"/>
  <c r="BP91" i="50"/>
  <c r="BQ106" i="50"/>
  <c r="BA111" i="50"/>
  <c r="CE95" i="50"/>
  <c r="BX114" i="50" s="1"/>
  <c r="BP93" i="50"/>
  <c r="H33" i="5"/>
  <c r="H42" i="5"/>
  <c r="H36" i="5"/>
  <c r="F17" i="58"/>
  <c r="H17" i="58"/>
  <c r="B17" i="58"/>
  <c r="H12" i="5" s="1"/>
  <c r="C17" i="58"/>
  <c r="G17" i="58"/>
  <c r="I63" i="58"/>
  <c r="I66" i="58"/>
  <c r="G80" i="58" s="1"/>
  <c r="I68" i="58"/>
  <c r="D82" i="58" s="1"/>
  <c r="J68" i="5" s="1"/>
  <c r="U68" i="5" s="1"/>
  <c r="I62" i="58"/>
  <c r="B76" i="58" s="1"/>
  <c r="H22" i="58"/>
  <c r="I65" i="58"/>
  <c r="B79" i="58" s="1"/>
  <c r="I67" i="58"/>
  <c r="G81" i="58" s="1"/>
  <c r="I59" i="58"/>
  <c r="D73" i="58" s="1"/>
  <c r="J59" i="5" s="1"/>
  <c r="U59" i="5" s="1"/>
  <c r="I69" i="58"/>
  <c r="C83" i="58" s="1"/>
  <c r="I69" i="5" s="1"/>
  <c r="T69" i="5" s="1"/>
  <c r="I61" i="58"/>
  <c r="D75" i="58" s="1"/>
  <c r="J61" i="5" s="1"/>
  <c r="U61" i="5" s="1"/>
  <c r="I64" i="58"/>
  <c r="I60" i="58"/>
  <c r="C74" i="58" s="1"/>
  <c r="I60" i="5" s="1"/>
  <c r="T60" i="5" s="1"/>
  <c r="I17" i="58"/>
  <c r="F80" i="58"/>
  <c r="L66" i="5" s="1"/>
  <c r="W66" i="5" s="1"/>
  <c r="C49" i="58"/>
  <c r="I37" i="5" s="1"/>
  <c r="AC48" i="58"/>
  <c r="AC54" i="58"/>
  <c r="AC18" i="58"/>
  <c r="E22" i="58"/>
  <c r="K17" i="5" s="1"/>
  <c r="D47" i="58"/>
  <c r="J35" i="5" s="1"/>
  <c r="G22" i="58"/>
  <c r="AC25" i="58"/>
  <c r="AW23" i="58"/>
  <c r="CK17" i="58"/>
  <c r="F26" i="58"/>
  <c r="L21" i="5" s="1"/>
  <c r="D51" i="58"/>
  <c r="J39" i="5" s="1"/>
  <c r="B51" i="58"/>
  <c r="H47" i="58"/>
  <c r="M35" i="5" s="1"/>
  <c r="E55" i="58"/>
  <c r="K43" i="5" s="1"/>
  <c r="D24" i="58"/>
  <c r="J19" i="5" s="1"/>
  <c r="CA55" i="58"/>
  <c r="S22" i="58"/>
  <c r="D49" i="58"/>
  <c r="J37" i="5" s="1"/>
  <c r="B47" i="58"/>
  <c r="CK52" i="58"/>
  <c r="AC46" i="58"/>
  <c r="CA18" i="58"/>
  <c r="H51" i="58"/>
  <c r="E24" i="58"/>
  <c r="K19" i="5" s="1"/>
  <c r="D54" i="58"/>
  <c r="J42" i="5" s="1"/>
  <c r="CA19" i="58"/>
  <c r="AM52" i="58"/>
  <c r="G52" i="58"/>
  <c r="AC45" i="58"/>
  <c r="G18" i="58"/>
  <c r="G55" i="58"/>
  <c r="E54" i="58"/>
  <c r="K42" i="5" s="1"/>
  <c r="H48" i="58"/>
  <c r="F45" i="58"/>
  <c r="L33" i="5" s="1"/>
  <c r="H52" i="58"/>
  <c r="CA48" i="58"/>
  <c r="AM17" i="58"/>
  <c r="F48" i="58"/>
  <c r="L36" i="5" s="1"/>
  <c r="CA25" i="58"/>
  <c r="E49" i="58"/>
  <c r="K37" i="5" s="1"/>
  <c r="BG24" i="58"/>
  <c r="D18" i="58"/>
  <c r="J13" i="5" s="1"/>
  <c r="G45" i="58"/>
  <c r="AW55" i="58"/>
  <c r="CA23" i="58"/>
  <c r="CK45" i="58"/>
  <c r="F19" i="58"/>
  <c r="L14" i="5" s="1"/>
  <c r="B19" i="58"/>
  <c r="K12" i="5"/>
  <c r="I12" i="5"/>
  <c r="M12" i="5"/>
  <c r="D19" i="58"/>
  <c r="J14" i="5" s="1"/>
  <c r="C80" i="58"/>
  <c r="I66" i="5" s="1"/>
  <c r="T66" i="5" s="1"/>
  <c r="G26" i="58"/>
  <c r="D26" i="58"/>
  <c r="J21" i="5" s="1"/>
  <c r="E26" i="58"/>
  <c r="K21" i="5" s="1"/>
  <c r="H26" i="58"/>
  <c r="J12" i="5"/>
  <c r="AC50" i="58"/>
  <c r="CK21" i="58"/>
  <c r="CA46" i="58"/>
  <c r="S26" i="58"/>
  <c r="S25" i="58"/>
  <c r="B25" i="58"/>
  <c r="D25" i="58"/>
  <c r="J20" i="5" s="1"/>
  <c r="B46" i="58"/>
  <c r="C53" i="58"/>
  <c r="I41" i="5" s="1"/>
  <c r="B53" i="58"/>
  <c r="F53" i="58"/>
  <c r="L41" i="5" s="1"/>
  <c r="G53" i="58"/>
  <c r="G46" i="58"/>
  <c r="BQ50" i="58"/>
  <c r="CK51" i="58"/>
  <c r="AC22" i="58"/>
  <c r="CK26" i="58"/>
  <c r="S54" i="58"/>
  <c r="AW48" i="58"/>
  <c r="G54" i="58"/>
  <c r="C54" i="58"/>
  <c r="I42" i="5" s="1"/>
  <c r="F27" i="58"/>
  <c r="L22" i="5" s="1"/>
  <c r="H27" i="58"/>
  <c r="C19" i="58"/>
  <c r="I14" i="5" s="1"/>
  <c r="F47" i="58"/>
  <c r="L35" i="5" s="1"/>
  <c r="C47" i="58"/>
  <c r="I35" i="5" s="1"/>
  <c r="E47" i="58"/>
  <c r="K35" i="5" s="1"/>
  <c r="CK55" i="58"/>
  <c r="CK25" i="58"/>
  <c r="CK24" i="58"/>
  <c r="BG21" i="58"/>
  <c r="CA27" i="58"/>
  <c r="E20" i="58"/>
  <c r="K15" i="5" s="1"/>
  <c r="C20" i="58"/>
  <c r="I15" i="5" s="1"/>
  <c r="F20" i="58"/>
  <c r="L15" i="5" s="1"/>
  <c r="B20" i="58"/>
  <c r="F52" i="58"/>
  <c r="L40" i="5" s="1"/>
  <c r="B52" i="58"/>
  <c r="G19" i="58"/>
  <c r="E19" i="58"/>
  <c r="K14" i="5" s="1"/>
  <c r="D46" i="58"/>
  <c r="J34" i="5" s="1"/>
  <c r="CA26" i="58"/>
  <c r="CK18" i="58"/>
  <c r="AM18" i="58"/>
  <c r="C48" i="58"/>
  <c r="I36" i="5" s="1"/>
  <c r="E48" i="58"/>
  <c r="K36" i="5" s="1"/>
  <c r="D48" i="58"/>
  <c r="J36" i="5" s="1"/>
  <c r="D45" i="58"/>
  <c r="J33" i="5" s="1"/>
  <c r="H45" i="58"/>
  <c r="E45" i="58"/>
  <c r="K33" i="5" s="1"/>
  <c r="G50" i="58"/>
  <c r="B50" i="58"/>
  <c r="C50" i="58"/>
  <c r="I38" i="5" s="1"/>
  <c r="E50" i="58"/>
  <c r="K38" i="5" s="1"/>
  <c r="F50" i="58"/>
  <c r="L38" i="5" s="1"/>
  <c r="H24" i="58"/>
  <c r="G24" i="58"/>
  <c r="G48" i="58"/>
  <c r="F21" i="58"/>
  <c r="L16" i="5" s="1"/>
  <c r="C77" i="58"/>
  <c r="I63" i="5" s="1"/>
  <c r="T63" i="5" s="1"/>
  <c r="B80" i="58"/>
  <c r="C25" i="58"/>
  <c r="I20" i="5" s="1"/>
  <c r="H46" i="58"/>
  <c r="M34" i="5" s="1"/>
  <c r="F46" i="58"/>
  <c r="L34" i="5" s="1"/>
  <c r="H19" i="58"/>
  <c r="CK27" i="58"/>
  <c r="CA45" i="58"/>
  <c r="BG51" i="58"/>
  <c r="BQ54" i="58"/>
  <c r="AM47" i="58"/>
  <c r="BQ55" i="58"/>
  <c r="CA22" i="58"/>
  <c r="BQ47" i="58"/>
  <c r="AM50" i="58"/>
  <c r="BQ19" i="58"/>
  <c r="AW25" i="58"/>
  <c r="CA21" i="58"/>
  <c r="S53" i="58"/>
  <c r="BQ51" i="58"/>
  <c r="AM46" i="58"/>
  <c r="L12" i="5"/>
  <c r="F22" i="58"/>
  <c r="L17" i="5" s="1"/>
  <c r="B22" i="58"/>
  <c r="D22" i="58"/>
  <c r="J17" i="5" s="1"/>
  <c r="B26" i="58"/>
  <c r="B27" i="58"/>
  <c r="C27" i="58"/>
  <c r="I22" i="5" s="1"/>
  <c r="B24" i="58"/>
  <c r="H25" i="58"/>
  <c r="H54" i="58"/>
  <c r="C24" i="58"/>
  <c r="I19" i="5" s="1"/>
  <c r="D20" i="58"/>
  <c r="J15" i="5" s="1"/>
  <c r="E46" i="58"/>
  <c r="K34" i="5" s="1"/>
  <c r="E25" i="58"/>
  <c r="K20" i="5" s="1"/>
  <c r="AC24" i="58"/>
  <c r="CA52" i="58"/>
  <c r="CA51" i="58"/>
  <c r="CA49" i="58"/>
  <c r="BG25" i="58"/>
  <c r="BG19" i="58"/>
  <c r="AM54" i="58"/>
  <c r="BG22" i="58"/>
  <c r="S46" i="58"/>
  <c r="H18" i="58"/>
  <c r="M13" i="5" s="1"/>
  <c r="C18" i="58"/>
  <c r="I13" i="5" s="1"/>
  <c r="E18" i="58"/>
  <c r="K13" i="5" s="1"/>
  <c r="H53" i="58"/>
  <c r="M41" i="5" s="1"/>
  <c r="G25" i="58"/>
  <c r="D55" i="58"/>
  <c r="J43" i="5" s="1"/>
  <c r="B55" i="58"/>
  <c r="E27" i="58"/>
  <c r="K22" i="5" s="1"/>
  <c r="D50" i="58"/>
  <c r="J38" i="5" s="1"/>
  <c r="H21" i="58"/>
  <c r="C55" i="58"/>
  <c r="I43" i="5" s="1"/>
  <c r="CA53" i="58"/>
  <c r="CA24" i="58"/>
  <c r="CA47" i="58"/>
  <c r="CA17" i="58"/>
  <c r="S52" i="58"/>
  <c r="C23" i="58"/>
  <c r="I18" i="5" s="1"/>
  <c r="B23" i="58"/>
  <c r="D23" i="58"/>
  <c r="J18" i="5" s="1"/>
  <c r="G23" i="58"/>
  <c r="H23" i="58"/>
  <c r="B49" i="58"/>
  <c r="F49" i="58"/>
  <c r="L37" i="5" s="1"/>
  <c r="H49" i="58"/>
  <c r="M37" i="5" s="1"/>
  <c r="D52" i="58"/>
  <c r="J40" i="5" s="1"/>
  <c r="D27" i="58"/>
  <c r="J22" i="5" s="1"/>
  <c r="E53" i="58"/>
  <c r="K41" i="5" s="1"/>
  <c r="C45" i="58"/>
  <c r="I33" i="5" s="1"/>
  <c r="E23" i="58"/>
  <c r="K18" i="5" s="1"/>
  <c r="F54" i="58"/>
  <c r="L42" i="5" s="1"/>
  <c r="CK50" i="58"/>
  <c r="C21" i="58"/>
  <c r="I16" i="5" s="1"/>
  <c r="G21" i="58"/>
  <c r="BQ53" i="58"/>
  <c r="AM25" i="58"/>
  <c r="BQ49" i="58"/>
  <c r="AM20" i="58"/>
  <c r="CA54" i="58"/>
  <c r="CA20" i="58"/>
  <c r="AC23" i="58"/>
  <c r="CA50" i="58"/>
  <c r="S27" i="58"/>
  <c r="S18" i="58"/>
  <c r="H50" i="58"/>
  <c r="M38" i="5" s="1"/>
  <c r="G27" i="58"/>
  <c r="B18" i="58"/>
  <c r="G51" i="58"/>
  <c r="C51" i="58"/>
  <c r="I39" i="5" s="1"/>
  <c r="E51" i="58"/>
  <c r="K39" i="5" s="1"/>
  <c r="F73" i="58"/>
  <c r="L59" i="5" s="1"/>
  <c r="W59" i="5" s="1"/>
  <c r="D21" i="58"/>
  <c r="J16" i="5" s="1"/>
  <c r="H55" i="58"/>
  <c r="M43" i="5" s="1"/>
  <c r="F25" i="58"/>
  <c r="L20" i="5" s="1"/>
  <c r="E52" i="58"/>
  <c r="K40" i="5" s="1"/>
  <c r="G20" i="58"/>
  <c r="M15" i="5" s="1"/>
  <c r="S24" i="58"/>
  <c r="S17" i="58"/>
  <c r="S49" i="58"/>
  <c r="S19" i="58"/>
  <c r="S21" i="58"/>
  <c r="S48" i="58"/>
  <c r="S50" i="58"/>
  <c r="S55" i="58"/>
  <c r="S47" i="58"/>
  <c r="S45" i="58"/>
  <c r="S23" i="58"/>
  <c r="S51" i="58"/>
  <c r="S20" i="58"/>
  <c r="AC51" i="58"/>
  <c r="AC26" i="58"/>
  <c r="AC21" i="58"/>
  <c r="AC19" i="58"/>
  <c r="AC53" i="58"/>
  <c r="AC27" i="58"/>
  <c r="AC49" i="58"/>
  <c r="AC47" i="58"/>
  <c r="AC20" i="58"/>
  <c r="AC17" i="58"/>
  <c r="AC52" i="58"/>
  <c r="AC55" i="58"/>
  <c r="AM27" i="58"/>
  <c r="AM45" i="58"/>
  <c r="AM51" i="58"/>
  <c r="AM55" i="58"/>
  <c r="AM24" i="58"/>
  <c r="AM22" i="58"/>
  <c r="AM21" i="58"/>
  <c r="AM53" i="58"/>
  <c r="AM26" i="58"/>
  <c r="AM48" i="58"/>
  <c r="AM23" i="58"/>
  <c r="AM49" i="58"/>
  <c r="AM19" i="58"/>
  <c r="AW27" i="58"/>
  <c r="AW46" i="58"/>
  <c r="AW53" i="58"/>
  <c r="AW51" i="58"/>
  <c r="AW21" i="58"/>
  <c r="AW19" i="58"/>
  <c r="AW17" i="58"/>
  <c r="AW22" i="58"/>
  <c r="AW50" i="58"/>
  <c r="AW49" i="58"/>
  <c r="AW24" i="58"/>
  <c r="AW20" i="58"/>
  <c r="AW18" i="58"/>
  <c r="AW54" i="58"/>
  <c r="AW47" i="58"/>
  <c r="AW26" i="58"/>
  <c r="AW45" i="58"/>
  <c r="AW52" i="58"/>
  <c r="BG45" i="58"/>
  <c r="BG53" i="58"/>
  <c r="BG52" i="58"/>
  <c r="BG17" i="58"/>
  <c r="BG50" i="58"/>
  <c r="BG49" i="58"/>
  <c r="BG27" i="58"/>
  <c r="BG26" i="58"/>
  <c r="BG20" i="58"/>
  <c r="BG54" i="58"/>
  <c r="BG18" i="58"/>
  <c r="BG46" i="58"/>
  <c r="BG23" i="58"/>
  <c r="BG48" i="58"/>
  <c r="BG47" i="58"/>
  <c r="BG55" i="58"/>
  <c r="BQ17" i="58"/>
  <c r="BQ24" i="58"/>
  <c r="BQ21" i="58"/>
  <c r="BQ46" i="58"/>
  <c r="BQ26" i="58"/>
  <c r="BQ52" i="58"/>
  <c r="BQ45" i="58"/>
  <c r="BQ20" i="58"/>
  <c r="BQ22" i="58"/>
  <c r="BQ18" i="58"/>
  <c r="BQ48" i="58"/>
  <c r="BQ25" i="58"/>
  <c r="BQ23" i="58"/>
  <c r="BQ27" i="58"/>
  <c r="CK53" i="58"/>
  <c r="CK20" i="58"/>
  <c r="CK49" i="58"/>
  <c r="CK48" i="58"/>
  <c r="CK19" i="58"/>
  <c r="CK22" i="58"/>
  <c r="CK47" i="58"/>
  <c r="CK54" i="58"/>
  <c r="CK46" i="58"/>
  <c r="CK23" i="58"/>
  <c r="BB74" i="58"/>
  <c r="M82" i="58"/>
  <c r="N82" i="58"/>
  <c r="L82" i="58"/>
  <c r="Q81" i="58"/>
  <c r="P77" i="58"/>
  <c r="N77" i="58"/>
  <c r="BU81" i="58"/>
  <c r="Q75" i="58"/>
  <c r="P78" i="58"/>
  <c r="AQ76" i="58"/>
  <c r="AV76" i="58"/>
  <c r="AS76" i="58"/>
  <c r="AT76" i="58"/>
  <c r="AU76" i="58"/>
  <c r="X82" i="58"/>
  <c r="AA80" i="58"/>
  <c r="BE83" i="58"/>
  <c r="BF81" i="58"/>
  <c r="AV74" i="58"/>
  <c r="AT79" i="58"/>
  <c r="BP81" i="58"/>
  <c r="BO83" i="58"/>
  <c r="BA81" i="58"/>
  <c r="W82" i="58"/>
  <c r="BD83" i="58"/>
  <c r="BM83" i="58"/>
  <c r="BE81" i="58"/>
  <c r="BN81" i="58"/>
  <c r="BC83" i="58"/>
  <c r="AT74" i="58"/>
  <c r="BD81" i="58"/>
  <c r="X75" i="58"/>
  <c r="W80" i="58"/>
  <c r="BF83" i="58"/>
  <c r="BO81" i="58"/>
  <c r="P81" i="58"/>
  <c r="BL81" i="58"/>
  <c r="AU74" i="58"/>
  <c r="BK81" i="58"/>
  <c r="AQ74" i="58"/>
  <c r="BZ83" i="58"/>
  <c r="BC81" i="58"/>
  <c r="BB83" i="58"/>
  <c r="AA82" i="58"/>
  <c r="BK83" i="58"/>
  <c r="BP83" i="58"/>
  <c r="BL83" i="58"/>
  <c r="BU83" i="58"/>
  <c r="Q76" i="58"/>
  <c r="AH77" i="58"/>
  <c r="N73" i="58"/>
  <c r="M78" i="58"/>
  <c r="AK81" i="58"/>
  <c r="AI77" i="58"/>
  <c r="P76" i="58"/>
  <c r="N81" i="58"/>
  <c r="AG77" i="58"/>
  <c r="BY81" i="58"/>
  <c r="M81" i="58"/>
  <c r="M74" i="58"/>
  <c r="R76" i="58"/>
  <c r="Q83" i="58"/>
  <c r="AV79" i="58"/>
  <c r="R81" i="58"/>
  <c r="CH75" i="58"/>
  <c r="BK79" i="58"/>
  <c r="R78" i="58"/>
  <c r="R83" i="58"/>
  <c r="BE74" i="58"/>
  <c r="AA75" i="58"/>
  <c r="BM79" i="58"/>
  <c r="BZ81" i="58"/>
  <c r="CF81" i="58"/>
  <c r="AB79" i="58"/>
  <c r="L76" i="58"/>
  <c r="AG82" i="58"/>
  <c r="N76" i="58"/>
  <c r="P75" i="58"/>
  <c r="AA79" i="58"/>
  <c r="W79" i="58"/>
  <c r="Q78" i="58"/>
  <c r="N83" i="58"/>
  <c r="N78" i="58"/>
  <c r="P83" i="58"/>
  <c r="M83" i="58"/>
  <c r="BW81" i="58"/>
  <c r="BZ74" i="58"/>
  <c r="BV81" i="58"/>
  <c r="AH81" i="58"/>
  <c r="AG79" i="58"/>
  <c r="BU74" i="58"/>
  <c r="R80" i="58"/>
  <c r="BW74" i="58"/>
  <c r="AI82" i="58"/>
  <c r="X78" i="58"/>
  <c r="M73" i="58"/>
  <c r="N80" i="58"/>
  <c r="CJ75" i="58"/>
  <c r="BL77" i="58"/>
  <c r="AH82" i="58"/>
  <c r="AA77" i="58"/>
  <c r="AS74" i="58"/>
  <c r="CE83" i="58"/>
  <c r="AH73" i="58"/>
  <c r="AR78" i="58"/>
  <c r="BB76" i="58"/>
  <c r="W73" i="58"/>
  <c r="AB80" i="58"/>
  <c r="R75" i="58"/>
  <c r="M79" i="58"/>
  <c r="R82" i="58"/>
  <c r="BD74" i="58"/>
  <c r="BC74" i="58"/>
  <c r="AK82" i="58"/>
  <c r="AL78" i="58"/>
  <c r="P73" i="58"/>
  <c r="N79" i="58"/>
  <c r="Q82" i="58"/>
  <c r="X77" i="58"/>
  <c r="N75" i="58"/>
  <c r="L75" i="58"/>
  <c r="BD76" i="58"/>
  <c r="BW79" i="58"/>
  <c r="W77" i="58"/>
  <c r="Q77" i="58"/>
  <c r="AL73" i="58"/>
  <c r="AI73" i="58"/>
  <c r="AK73" i="58"/>
  <c r="P74" i="58"/>
  <c r="N74" i="58"/>
  <c r="BW83" i="58"/>
  <c r="AR80" i="58"/>
  <c r="R74" i="58"/>
  <c r="CG77" i="58"/>
  <c r="CI79" i="58"/>
  <c r="AB83" i="58"/>
  <c r="CJ77" i="58"/>
  <c r="AL77" i="58"/>
  <c r="AG81" i="58"/>
  <c r="AL76" i="58"/>
  <c r="AI79" i="58"/>
  <c r="BY74" i="58"/>
  <c r="Q73" i="58"/>
  <c r="AA78" i="58"/>
  <c r="AL79" i="58"/>
  <c r="CI77" i="58"/>
  <c r="AK76" i="58"/>
  <c r="AH79" i="58"/>
  <c r="AI81" i="58"/>
  <c r="R73" i="58"/>
  <c r="L77" i="58"/>
  <c r="BV83" i="58"/>
  <c r="CE77" i="58"/>
  <c r="BN80" i="58"/>
  <c r="BM75" i="58"/>
  <c r="L74" i="58"/>
  <c r="BK77" i="58"/>
  <c r="BD79" i="58"/>
  <c r="BF79" i="58"/>
  <c r="AT78" i="58"/>
  <c r="AI74" i="58"/>
  <c r="P80" i="58"/>
  <c r="R79" i="58"/>
  <c r="BF74" i="58"/>
  <c r="Q80" i="58"/>
  <c r="Q79" i="58"/>
  <c r="M77" i="58"/>
  <c r="CH77" i="58"/>
  <c r="CI75" i="58"/>
  <c r="AI78" i="58"/>
  <c r="M80" i="58"/>
  <c r="L79" i="58"/>
  <c r="BB77" i="58"/>
  <c r="AS79" i="58"/>
  <c r="BY75" i="58"/>
  <c r="BP82" i="58"/>
  <c r="CH83" i="58"/>
  <c r="BW73" i="58"/>
  <c r="AA73" i="58"/>
  <c r="CI78" i="58"/>
  <c r="BN82" i="58"/>
  <c r="X73" i="58"/>
  <c r="BO82" i="58"/>
  <c r="BA79" i="58"/>
  <c r="CJ78" i="58"/>
  <c r="W83" i="58"/>
  <c r="AT80" i="58"/>
  <c r="CG78" i="58"/>
  <c r="CG75" i="58"/>
  <c r="CF73" i="58"/>
  <c r="AB75" i="58"/>
  <c r="BO78" i="58"/>
  <c r="AH78" i="58"/>
  <c r="AG76" i="58"/>
  <c r="BM76" i="58"/>
  <c r="CJ79" i="58"/>
  <c r="BF77" i="58"/>
  <c r="BV79" i="58"/>
  <c r="CI83" i="58"/>
  <c r="CH73" i="58"/>
  <c r="X83" i="58"/>
  <c r="AG78" i="58"/>
  <c r="BL80" i="58"/>
  <c r="BN74" i="58"/>
  <c r="CE78" i="58"/>
  <c r="BA76" i="58"/>
  <c r="BW77" i="58"/>
  <c r="BV75" i="58"/>
  <c r="AI76" i="58"/>
  <c r="W78" i="58"/>
  <c r="BE75" i="58"/>
  <c r="BF75" i="58"/>
  <c r="BO74" i="58"/>
  <c r="BL78" i="58"/>
  <c r="AQ77" i="58"/>
  <c r="CG81" i="58"/>
  <c r="BO79" i="58"/>
  <c r="AU82" i="58"/>
  <c r="BD73" i="58"/>
  <c r="BA75" i="58"/>
  <c r="AG80" i="58"/>
  <c r="AH80" i="58"/>
  <c r="AI80" i="58"/>
  <c r="CE79" i="58"/>
  <c r="BP80" i="58"/>
  <c r="AB74" i="58"/>
  <c r="X74" i="58"/>
  <c r="AA74" i="58"/>
  <c r="CH78" i="58"/>
  <c r="BY80" i="58"/>
  <c r="BL75" i="58"/>
  <c r="AQ80" i="58"/>
  <c r="X76" i="58"/>
  <c r="CJ83" i="58"/>
  <c r="BL74" i="58"/>
  <c r="BK74" i="58"/>
  <c r="AR75" i="58"/>
  <c r="AQ78" i="58"/>
  <c r="AK75" i="58"/>
  <c r="AL75" i="58"/>
  <c r="AQ82" i="58"/>
  <c r="BU76" i="58"/>
  <c r="CJ74" i="58"/>
  <c r="BZ78" i="58"/>
  <c r="BM73" i="58"/>
  <c r="AQ83" i="58"/>
  <c r="CF80" i="58"/>
  <c r="CE80" i="58"/>
  <c r="BA82" i="58"/>
  <c r="BV82" i="58"/>
  <c r="BK73" i="58"/>
  <c r="AQ73" i="58"/>
  <c r="AS75" i="58"/>
  <c r="CI74" i="58"/>
  <c r="BD78" i="58"/>
  <c r="CI81" i="58"/>
  <c r="BU77" i="58"/>
  <c r="BD82" i="58"/>
  <c r="AT75" i="58"/>
  <c r="BU78" i="58"/>
  <c r="AU80" i="58"/>
  <c r="BD80" i="58"/>
  <c r="AU77" i="58"/>
  <c r="CH76" i="58"/>
  <c r="CI76" i="58"/>
  <c r="CG76" i="58"/>
  <c r="BU82" i="58"/>
  <c r="BB80" i="58"/>
  <c r="CE81" i="58"/>
  <c r="CF76" i="58"/>
  <c r="BA78" i="58"/>
  <c r="BW80" i="58"/>
  <c r="AG74" i="58"/>
  <c r="BZ82" i="58"/>
  <c r="AR73" i="58"/>
  <c r="AG83" i="58"/>
  <c r="BE80" i="58"/>
  <c r="AS73" i="58"/>
  <c r="X81" i="58"/>
  <c r="AH74" i="58"/>
  <c r="AV82" i="58"/>
  <c r="AT77" i="58"/>
  <c r="BV80" i="58"/>
  <c r="BC78" i="58"/>
  <c r="CG74" i="58"/>
  <c r="CH81" i="58"/>
  <c r="BE76" i="58"/>
  <c r="W76" i="58"/>
  <c r="AK83" i="58"/>
  <c r="CH80" i="58"/>
  <c r="CI80" i="58"/>
  <c r="BF78" i="58"/>
  <c r="AH75" i="58"/>
  <c r="AI75" i="58"/>
  <c r="BW78" i="58"/>
  <c r="BA80" i="58"/>
  <c r="BB82" i="58"/>
  <c r="BY82" i="58"/>
  <c r="BN73" i="58"/>
  <c r="BA77" i="58"/>
  <c r="CJ76" i="58"/>
  <c r="AS81" i="58"/>
  <c r="AT81" i="58"/>
  <c r="AR81" i="58"/>
  <c r="AQ81" i="58"/>
  <c r="CF82" i="58"/>
  <c r="CE82" i="58"/>
  <c r="BB78" i="58"/>
  <c r="CJ82" i="58"/>
  <c r="BW76" i="58"/>
  <c r="BV76" i="58"/>
  <c r="BO73" i="58"/>
  <c r="BW82" i="58"/>
  <c r="AA76" i="58"/>
  <c r="AS83" i="58"/>
  <c r="AU75" i="58"/>
  <c r="BZ80" i="58"/>
  <c r="BZ76" i="58"/>
  <c r="BY78" i="58"/>
  <c r="CG80" i="58"/>
  <c r="BY77" i="58"/>
  <c r="BK82" i="58"/>
  <c r="AU83" i="58"/>
  <c r="BC76" i="58"/>
  <c r="CJ73" i="58"/>
  <c r="BP79" i="58"/>
  <c r="CE76" i="58"/>
  <c r="BL82" i="58"/>
  <c r="BO75" i="58"/>
  <c r="BC77" i="58"/>
  <c r="BU75" i="58"/>
  <c r="BL79" i="58"/>
  <c r="AT73" i="58"/>
  <c r="AI83" i="58"/>
  <c r="AV75" i="58"/>
  <c r="BC79" i="58"/>
  <c r="BB79" i="58"/>
  <c r="BO80" i="58"/>
  <c r="BB75" i="58"/>
  <c r="BV73" i="58"/>
  <c r="AR77" i="58"/>
  <c r="AS77" i="58"/>
  <c r="BZ75" i="58"/>
  <c r="AR79" i="58"/>
  <c r="BB73" i="58"/>
  <c r="CH79" i="58"/>
  <c r="BZ73" i="58"/>
  <c r="BK78" i="58"/>
  <c r="CF74" i="58"/>
  <c r="AU78" i="58"/>
  <c r="CF83" i="58"/>
  <c r="CG79" i="58"/>
  <c r="BM80" i="58"/>
  <c r="BA73" i="58"/>
  <c r="BD77" i="58"/>
  <c r="BE73" i="58"/>
  <c r="BP76" i="58"/>
  <c r="AV73" i="58"/>
  <c r="BZ77" i="58"/>
  <c r="BN75" i="58"/>
  <c r="AH83" i="58"/>
  <c r="W81" i="58"/>
  <c r="BZ79" i="58"/>
  <c r="BY79" i="58"/>
  <c r="BC75" i="58"/>
  <c r="BC82" i="58"/>
  <c r="CF75" i="58"/>
  <c r="BP78" i="58"/>
  <c r="BC73" i="58"/>
  <c r="BK75" i="58"/>
  <c r="AR83" i="58"/>
  <c r="AB81" i="58"/>
  <c r="BM78" i="58"/>
  <c r="CI73" i="58"/>
  <c r="BL76" i="58"/>
  <c r="CE74" i="58"/>
  <c r="AV83" i="58"/>
  <c r="AS80" i="58"/>
  <c r="AT82" i="58"/>
  <c r="BL73" i="58"/>
  <c r="BK76" i="58"/>
  <c r="BD75" i="58"/>
  <c r="CI82" i="58"/>
  <c r="AS82" i="58"/>
  <c r="AL80" i="58"/>
  <c r="CG73" i="58"/>
  <c r="AV81" i="58"/>
  <c r="AQ79" i="58"/>
  <c r="BE82" i="58"/>
  <c r="BN76" i="58"/>
  <c r="BY73" i="58"/>
  <c r="BM74" i="58"/>
  <c r="AS78" i="58"/>
  <c r="AU81" i="58"/>
  <c r="BF80" i="58"/>
  <c r="AK74" i="58"/>
  <c r="CJ80" i="58"/>
  <c r="W74" i="58"/>
  <c r="BP77" i="58"/>
  <c r="BO77" i="58"/>
  <c r="BN77" i="58"/>
  <c r="CG82" i="58"/>
  <c r="BQ100" i="50"/>
  <c r="BT104" i="50"/>
  <c r="BT100" i="50"/>
  <c r="BN98" i="50"/>
  <c r="BP95" i="50"/>
  <c r="BD95" i="50"/>
  <c r="BG96" i="50"/>
  <c r="BT97" i="50"/>
  <c r="BO99" i="50"/>
  <c r="BR100" i="50"/>
  <c r="BP103" i="50"/>
  <c r="BP96" i="50"/>
  <c r="BT93" i="50"/>
  <c r="BE95" i="50"/>
  <c r="BH96" i="50"/>
  <c r="BP99" i="50"/>
  <c r="BS100" i="50"/>
  <c r="BQ103" i="50"/>
  <c r="BT94" i="50"/>
  <c r="BN99" i="50"/>
  <c r="BT101" i="50"/>
  <c r="BF95" i="50"/>
  <c r="BQ99" i="50"/>
  <c r="BR103" i="50"/>
  <c r="BS97" i="50"/>
  <c r="BG95" i="50"/>
  <c r="BE100" i="50"/>
  <c r="BS105" i="50"/>
  <c r="BG97" i="50"/>
  <c r="BH101" i="50"/>
  <c r="BT91" i="50"/>
  <c r="BG100" i="50"/>
  <c r="BD96" i="50"/>
  <c r="BI97" i="50"/>
  <c r="BE99" i="50"/>
  <c r="BH100" i="50"/>
  <c r="BF103" i="50"/>
  <c r="BI104" i="50"/>
  <c r="BD106" i="50"/>
  <c r="BF96" i="50"/>
  <c r="BP104" i="50"/>
  <c r="BF99" i="50"/>
  <c r="BG103" i="50"/>
  <c r="BJ104" i="50"/>
  <c r="BE106" i="50"/>
  <c r="BO100" i="50"/>
  <c r="BJ97" i="50"/>
  <c r="BJ102" i="50"/>
  <c r="BG99" i="50"/>
  <c r="BE102" i="50"/>
  <c r="BF106" i="50"/>
  <c r="BR101" i="50"/>
  <c r="BS93" i="50"/>
  <c r="BD105" i="50"/>
  <c r="CA104" i="50"/>
  <c r="BD99" i="50"/>
  <c r="BG104" i="50"/>
  <c r="CC104" i="50"/>
  <c r="CD104" i="50"/>
  <c r="BI100" i="50"/>
  <c r="CA103" i="50"/>
  <c r="BF102" i="50"/>
  <c r="CE105" i="50"/>
  <c r="CA124" i="50" s="1"/>
  <c r="CB97" i="50"/>
  <c r="BF100" i="50"/>
  <c r="BZ106" i="50"/>
  <c r="BI101" i="50"/>
  <c r="BH104" i="50"/>
  <c r="BZ100" i="50"/>
  <c r="BZ103" i="50"/>
  <c r="CA100" i="50"/>
  <c r="BE103" i="50"/>
  <c r="BJ100" i="50"/>
  <c r="CB100" i="50"/>
  <c r="BJ98" i="50"/>
  <c r="BJ105" i="50"/>
  <c r="BD103" i="50"/>
  <c r="BE98" i="50"/>
  <c r="BJ101" i="50"/>
  <c r="BY102" i="50"/>
  <c r="BD102" i="50"/>
  <c r="BG106" i="50"/>
  <c r="BH99" i="50"/>
  <c r="CC101" i="50"/>
  <c r="BH103" i="50"/>
  <c r="BI96" i="50"/>
  <c r="BJ96" i="50"/>
  <c r="BD98" i="50"/>
  <c r="BE101" i="50"/>
  <c r="BO102" i="50"/>
  <c r="BI103" i="50"/>
  <c r="BQ105" i="50"/>
  <c r="BF101" i="50"/>
  <c r="BJ103" i="50"/>
  <c r="BS102" i="50"/>
  <c r="BR106" i="50"/>
  <c r="BO97" i="50"/>
  <c r="BT99" i="50"/>
  <c r="BT102" i="50"/>
  <c r="BN104" i="50"/>
  <c r="BS106" i="50"/>
  <c r="BP97" i="50"/>
  <c r="BN101" i="50"/>
  <c r="BO104" i="50"/>
  <c r="BT106" i="50"/>
  <c r="D100" i="50"/>
  <c r="E103" i="50"/>
  <c r="AK80" i="50"/>
  <c r="AI80" i="50"/>
  <c r="C97" i="50"/>
  <c r="AL80" i="50"/>
  <c r="H98" i="50"/>
  <c r="F106" i="50"/>
  <c r="B105" i="50"/>
  <c r="AC39" i="50"/>
  <c r="AP37" i="50"/>
  <c r="E105" i="50"/>
  <c r="D102" i="50"/>
  <c r="H100" i="50"/>
  <c r="C99" i="50"/>
  <c r="F97" i="50"/>
  <c r="B96" i="50"/>
  <c r="AM36" i="50"/>
  <c r="AH70" i="50"/>
  <c r="B98" i="50"/>
  <c r="AO75" i="50"/>
  <c r="D101" i="50"/>
  <c r="AH76" i="50"/>
  <c r="C101" i="50"/>
  <c r="AJ68" i="50"/>
  <c r="AI79" i="50"/>
  <c r="AN76" i="50"/>
  <c r="AI66" i="50"/>
  <c r="E104" i="50"/>
  <c r="C98" i="50"/>
  <c r="H102" i="50"/>
  <c r="G106" i="50"/>
  <c r="AH67" i="50"/>
  <c r="AI76" i="50"/>
  <c r="H105" i="50"/>
  <c r="F102" i="50"/>
  <c r="E99" i="50"/>
  <c r="G98" i="50"/>
  <c r="D96" i="50"/>
  <c r="H99" i="50"/>
  <c r="D104" i="50"/>
  <c r="E96" i="50"/>
  <c r="AH77" i="50"/>
  <c r="F96" i="50"/>
  <c r="F99" i="50"/>
  <c r="AH68" i="50"/>
  <c r="AX31" i="50"/>
  <c r="AY72" i="50"/>
  <c r="AN68" i="50"/>
  <c r="AK66" i="50"/>
  <c r="B106" i="50"/>
  <c r="AM78" i="50"/>
  <c r="AI68" i="50"/>
  <c r="AH79" i="50"/>
  <c r="AZ72" i="50"/>
  <c r="AN75" i="50"/>
  <c r="G99" i="50"/>
  <c r="AK70" i="50"/>
  <c r="AO36" i="50"/>
  <c r="F105" i="50"/>
  <c r="B104" i="50"/>
  <c r="E102" i="50"/>
  <c r="D99" i="50"/>
  <c r="H97" i="50"/>
  <c r="C96" i="50"/>
  <c r="AY31" i="50"/>
  <c r="B102" i="50"/>
  <c r="AK81" i="50"/>
  <c r="AL70" i="50"/>
  <c r="AL68" i="50"/>
  <c r="AM70" i="50"/>
  <c r="AK79" i="50"/>
  <c r="AM81" i="50"/>
  <c r="X39" i="50"/>
  <c r="D81" i="20" s="1"/>
  <c r="G95" i="50"/>
  <c r="AI70" i="50"/>
  <c r="F103" i="50"/>
  <c r="AA39" i="50"/>
  <c r="G81" i="20" s="1"/>
  <c r="AM68" i="50"/>
  <c r="AJ73" i="50"/>
  <c r="AL79" i="50"/>
  <c r="AO81" i="50"/>
  <c r="W39" i="50"/>
  <c r="D97" i="50"/>
  <c r="AK68" i="50"/>
  <c r="AL81" i="50"/>
  <c r="AO68" i="50"/>
  <c r="AJ74" i="50"/>
  <c r="AM79" i="50"/>
  <c r="AD38" i="50"/>
  <c r="C105" i="50"/>
  <c r="E100" i="50"/>
  <c r="AJ79" i="50"/>
  <c r="AO79" i="50"/>
  <c r="AN35" i="50"/>
  <c r="F98" i="50"/>
  <c r="F101" i="50"/>
  <c r="AU40" i="50"/>
  <c r="E97" i="50"/>
  <c r="AI73" i="50"/>
  <c r="AO77" i="50"/>
  <c r="AN66" i="50"/>
  <c r="AN74" i="50"/>
  <c r="H101" i="50"/>
  <c r="D106" i="50"/>
  <c r="H104" i="50"/>
  <c r="D95" i="50"/>
  <c r="E101" i="50"/>
  <c r="B99" i="50"/>
  <c r="BK11" i="50"/>
  <c r="I11" i="50" s="1"/>
  <c r="AL66" i="50"/>
  <c r="AK72" i="50"/>
  <c r="AI77" i="50"/>
  <c r="C106" i="50"/>
  <c r="B95" i="50"/>
  <c r="AS40" i="50"/>
  <c r="AC38" i="50"/>
  <c r="AW81" i="50"/>
  <c r="AN73" i="50"/>
  <c r="D103" i="50"/>
  <c r="E95" i="50"/>
  <c r="C103" i="50"/>
  <c r="G97" i="50"/>
  <c r="AU81" i="50"/>
  <c r="H96" i="50"/>
  <c r="D105" i="50"/>
  <c r="AM66" i="50"/>
  <c r="AM72" i="50"/>
  <c r="AK77" i="50"/>
  <c r="AZ37" i="50"/>
  <c r="AA33" i="50"/>
  <c r="G75" i="20" s="1"/>
  <c r="C100" i="50"/>
  <c r="E106" i="50"/>
  <c r="E98" i="50"/>
  <c r="AJ72" i="50"/>
  <c r="F104" i="50"/>
  <c r="C95" i="50"/>
  <c r="AV81" i="50"/>
  <c r="H103" i="50"/>
  <c r="AO66" i="50"/>
  <c r="AL77" i="50"/>
  <c r="AU37" i="50"/>
  <c r="AH66" i="50"/>
  <c r="BK20" i="50"/>
  <c r="I20" i="50" s="1"/>
  <c r="B97" i="50"/>
  <c r="B100" i="50"/>
  <c r="B103" i="50"/>
  <c r="F100" i="50"/>
  <c r="AM77" i="50"/>
  <c r="BK16" i="50"/>
  <c r="I16" i="50" s="1"/>
  <c r="H95" i="50"/>
  <c r="AO67" i="50"/>
  <c r="AM67" i="50"/>
  <c r="AJ67" i="50"/>
  <c r="G17" i="50"/>
  <c r="G102" i="50" s="1"/>
  <c r="BK17" i="50"/>
  <c r="I17" i="50" s="1"/>
  <c r="H106" i="50"/>
  <c r="AL78" i="50"/>
  <c r="BK50" i="50"/>
  <c r="I50" i="50" s="1"/>
  <c r="BK10" i="50"/>
  <c r="I10" i="50" s="1"/>
  <c r="AO78" i="50"/>
  <c r="AS34" i="50"/>
  <c r="AV71" i="50"/>
  <c r="AU71" i="50"/>
  <c r="AT71" i="50"/>
  <c r="AX71" i="50"/>
  <c r="AL67" i="50"/>
  <c r="AZ79" i="50"/>
  <c r="AS79" i="50"/>
  <c r="AW71" i="50"/>
  <c r="AN70" i="50"/>
  <c r="AZ70" i="50"/>
  <c r="BA70" i="50" s="1"/>
  <c r="AO70" i="50"/>
  <c r="AI81" i="50"/>
  <c r="AH81" i="50"/>
  <c r="AN81" i="50"/>
  <c r="AI78" i="50"/>
  <c r="AK32" i="50"/>
  <c r="AN32" i="50"/>
  <c r="AY71" i="50"/>
  <c r="BK19" i="50"/>
  <c r="I19" i="50" s="1"/>
  <c r="AL71" i="50"/>
  <c r="AK71" i="50"/>
  <c r="AN71" i="50"/>
  <c r="AJ71" i="50"/>
  <c r="AI71" i="50"/>
  <c r="AN78" i="50"/>
  <c r="X41" i="50"/>
  <c r="D83" i="20" s="1"/>
  <c r="AC41" i="50"/>
  <c r="AD41" i="50"/>
  <c r="AZ71" i="50"/>
  <c r="BK14" i="50"/>
  <c r="I14" i="50" s="1"/>
  <c r="AI72" i="50"/>
  <c r="AN72" i="50"/>
  <c r="AN67" i="50"/>
  <c r="CE55" i="50"/>
  <c r="CB75" i="50" s="1"/>
  <c r="AK67" i="50"/>
  <c r="AZ67" i="50"/>
  <c r="BA67" i="50" s="1"/>
  <c r="BK21" i="50"/>
  <c r="I21" i="50" s="1"/>
  <c r="AZ69" i="50"/>
  <c r="BA69" i="50" s="1"/>
  <c r="AM69" i="50"/>
  <c r="AL69" i="50"/>
  <c r="AK69" i="50"/>
  <c r="AN69" i="50"/>
  <c r="AJ69" i="50"/>
  <c r="AO80" i="50"/>
  <c r="AN80" i="50"/>
  <c r="AM80" i="50"/>
  <c r="BK15" i="50"/>
  <c r="I15" i="50" s="1"/>
  <c r="AJ78" i="50"/>
  <c r="G18" i="50"/>
  <c r="BK18" i="50"/>
  <c r="I18" i="50" s="1"/>
  <c r="AK78" i="50"/>
  <c r="AH80" i="50"/>
  <c r="BK13" i="50"/>
  <c r="I13" i="50" s="1"/>
  <c r="C104" i="50"/>
  <c r="BK12" i="50"/>
  <c r="AO73" i="50"/>
  <c r="AM73" i="50"/>
  <c r="AL73" i="50"/>
  <c r="AK73" i="50"/>
  <c r="Z37" i="50"/>
  <c r="F79" i="20" s="1"/>
  <c r="AT75" i="50"/>
  <c r="Y37" i="50"/>
  <c r="E79" i="20" s="1"/>
  <c r="AZ66" i="50"/>
  <c r="BA66" i="50" s="1"/>
  <c r="AU75" i="50"/>
  <c r="AM39" i="50"/>
  <c r="W37" i="50"/>
  <c r="AW75" i="50"/>
  <c r="AV79" i="50"/>
  <c r="AS80" i="50"/>
  <c r="AT80" i="50"/>
  <c r="AZ78" i="50"/>
  <c r="AT81" i="50"/>
  <c r="AV76" i="50"/>
  <c r="AU80" i="50"/>
  <c r="AZ81" i="50"/>
  <c r="AX77" i="50"/>
  <c r="AV80" i="50"/>
  <c r="AT79" i="50"/>
  <c r="AU79" i="50"/>
  <c r="AY81" i="50"/>
  <c r="AY77" i="50"/>
  <c r="AW80" i="50"/>
  <c r="AX81" i="50"/>
  <c r="CE58" i="50"/>
  <c r="CC78" i="50" s="1"/>
  <c r="AS78" i="50"/>
  <c r="BK58" i="50"/>
  <c r="I58" i="50" s="1"/>
  <c r="AK75" i="50"/>
  <c r="AH74" i="50"/>
  <c r="AL75" i="50"/>
  <c r="AH71" i="50"/>
  <c r="AL72" i="50"/>
  <c r="AI74" i="50"/>
  <c r="AM75" i="50"/>
  <c r="AL74" i="50"/>
  <c r="AM71" i="50"/>
  <c r="AO74" i="50"/>
  <c r="AK76" i="50"/>
  <c r="AK74" i="50"/>
  <c r="AO71" i="50"/>
  <c r="AH75" i="50"/>
  <c r="AL76" i="50"/>
  <c r="AH72" i="50"/>
  <c r="AI75" i="50"/>
  <c r="AM76" i="50"/>
  <c r="AJ76" i="50"/>
  <c r="BK60" i="50"/>
  <c r="I60" i="50" s="1"/>
  <c r="BK55" i="50"/>
  <c r="I55" i="50" s="1"/>
  <c r="BK51" i="50"/>
  <c r="I51" i="50" s="1"/>
  <c r="BK57" i="50"/>
  <c r="I57" i="50" s="1"/>
  <c r="BK59" i="50"/>
  <c r="I59" i="50" s="1"/>
  <c r="G58" i="50"/>
  <c r="BK56" i="50"/>
  <c r="I56" i="50" s="1"/>
  <c r="BK52" i="50"/>
  <c r="I52" i="50" s="1"/>
  <c r="BK53" i="50"/>
  <c r="I53" i="50" s="1"/>
  <c r="G51" i="50"/>
  <c r="G96" i="50" s="1"/>
  <c r="BU53" i="50"/>
  <c r="BT73" i="50" s="1"/>
  <c r="BK54" i="50"/>
  <c r="I54" i="50" s="1"/>
  <c r="BU52" i="50"/>
  <c r="BT72" i="50" s="1"/>
  <c r="B56" i="50"/>
  <c r="B101" i="50" s="1"/>
  <c r="C57" i="50"/>
  <c r="C102" i="50" s="1"/>
  <c r="BK61" i="50"/>
  <c r="I61" i="50" s="1"/>
  <c r="AL38" i="50"/>
  <c r="BA39" i="50"/>
  <c r="AV39" i="50"/>
  <c r="AV74" i="50"/>
  <c r="AH40" i="50"/>
  <c r="AW40" i="50"/>
  <c r="AS38" i="50"/>
  <c r="AA37" i="50"/>
  <c r="G79" i="20" s="1"/>
  <c r="AC34" i="50"/>
  <c r="AX72" i="50"/>
  <c r="AZ73" i="50"/>
  <c r="AS75" i="50"/>
  <c r="AU76" i="50"/>
  <c r="AW77" i="50"/>
  <c r="AY78" i="50"/>
  <c r="BU50" i="50"/>
  <c r="BP70" i="50" s="1"/>
  <c r="CE54" i="50"/>
  <c r="CD74" i="50" s="1"/>
  <c r="AN31" i="50"/>
  <c r="AY37" i="50"/>
  <c r="Z33" i="50"/>
  <c r="F75" i="20" s="1"/>
  <c r="BU14" i="50"/>
  <c r="BS34" i="50" s="1"/>
  <c r="AS74" i="50"/>
  <c r="AW76" i="50"/>
  <c r="BU54" i="50"/>
  <c r="BR74" i="50" s="1"/>
  <c r="BU61" i="50"/>
  <c r="BS81" i="50" s="1"/>
  <c r="AX39" i="50"/>
  <c r="AW37" i="50"/>
  <c r="BU18" i="50"/>
  <c r="BN38" i="50" s="1"/>
  <c r="BU17" i="50"/>
  <c r="BQ37" i="50" s="1"/>
  <c r="BU15" i="50"/>
  <c r="BS35" i="50" s="1"/>
  <c r="BU12" i="50"/>
  <c r="BR32" i="50" s="1"/>
  <c r="AT74" i="50"/>
  <c r="AV75" i="50"/>
  <c r="AX76" i="50"/>
  <c r="AZ77" i="50"/>
  <c r="CE52" i="50"/>
  <c r="CC72" i="50" s="1"/>
  <c r="CE59" i="50"/>
  <c r="BX79" i="50" s="1"/>
  <c r="AS73" i="50"/>
  <c r="AY76" i="50"/>
  <c r="BU58" i="50"/>
  <c r="BO78" i="50" s="1"/>
  <c r="AJ38" i="50"/>
  <c r="AU73" i="50"/>
  <c r="AW39" i="50"/>
  <c r="Z36" i="50"/>
  <c r="F78" i="20" s="1"/>
  <c r="AZ76" i="50"/>
  <c r="AH38" i="50"/>
  <c r="AS37" i="50"/>
  <c r="AY75" i="50"/>
  <c r="AT39" i="50"/>
  <c r="AS35" i="50"/>
  <c r="AB41" i="50"/>
  <c r="H83" i="20" s="1"/>
  <c r="AB38" i="50"/>
  <c r="H80" i="20" s="1"/>
  <c r="W36" i="50"/>
  <c r="AW31" i="50"/>
  <c r="AT72" i="50"/>
  <c r="AV73" i="50"/>
  <c r="AX74" i="50"/>
  <c r="AZ75" i="50"/>
  <c r="AS77" i="50"/>
  <c r="AU78" i="50"/>
  <c r="AW79" i="50"/>
  <c r="AY80" i="50"/>
  <c r="CE50" i="50"/>
  <c r="BX70" i="50" s="1"/>
  <c r="CE57" i="50"/>
  <c r="CB77" i="50" s="1"/>
  <c r="AK38" i="50"/>
  <c r="G19" i="50"/>
  <c r="G104" i="50" s="1"/>
  <c r="AT37" i="50"/>
  <c r="AZ40" i="50"/>
  <c r="AZ38" i="50"/>
  <c r="AW34" i="50"/>
  <c r="AA41" i="50"/>
  <c r="G83" i="20" s="1"/>
  <c r="Z38" i="50"/>
  <c r="F80" i="20" s="1"/>
  <c r="AB35" i="50"/>
  <c r="H77" i="20" s="1"/>
  <c r="AV31" i="50"/>
  <c r="AU72" i="50"/>
  <c r="AW73" i="50"/>
  <c r="AY74" i="50"/>
  <c r="AT77" i="50"/>
  <c r="AV78" i="50"/>
  <c r="AX79" i="50"/>
  <c r="AZ80" i="50"/>
  <c r="BU56" i="50"/>
  <c r="BP76" i="50" s="1"/>
  <c r="AI38" i="50"/>
  <c r="X36" i="50"/>
  <c r="D78" i="20" s="1"/>
  <c r="AS72" i="50"/>
  <c r="AT78" i="50"/>
  <c r="AO40" i="50"/>
  <c r="AN38" i="50"/>
  <c r="AY40" i="50"/>
  <c r="AU38" i="50"/>
  <c r="AU34" i="50"/>
  <c r="Z41" i="50"/>
  <c r="F83" i="20" s="1"/>
  <c r="AC37" i="50"/>
  <c r="AU31" i="50"/>
  <c r="AS71" i="50"/>
  <c r="AV72" i="50"/>
  <c r="AX73" i="50"/>
  <c r="AZ74" i="50"/>
  <c r="AS76" i="50"/>
  <c r="AU77" i="50"/>
  <c r="AW78" i="50"/>
  <c r="AY79" i="50"/>
  <c r="BU51" i="50"/>
  <c r="BN71" i="50" s="1"/>
  <c r="CE61" i="50"/>
  <c r="CA81" i="50" s="1"/>
  <c r="Y36" i="50"/>
  <c r="E78" i="20" s="1"/>
  <c r="AT73" i="50"/>
  <c r="AU39" i="50"/>
  <c r="AW74" i="50"/>
  <c r="AI40" i="50"/>
  <c r="AX40" i="50"/>
  <c r="AT38" i="50"/>
  <c r="AT34" i="50"/>
  <c r="AB37" i="50"/>
  <c r="H79" i="20" s="1"/>
  <c r="AD34" i="50"/>
  <c r="AS31" i="50"/>
  <c r="CE56" i="50"/>
  <c r="BY76" i="50" s="1"/>
  <c r="CE53" i="50"/>
  <c r="BY73" i="50" s="1"/>
  <c r="BU59" i="50"/>
  <c r="BN79" i="50" s="1"/>
  <c r="CE51" i="50"/>
  <c r="BX71" i="50" s="1"/>
  <c r="BU57" i="50"/>
  <c r="BO77" i="50" s="1"/>
  <c r="BU55" i="50"/>
  <c r="BO75" i="50" s="1"/>
  <c r="CE60" i="50"/>
  <c r="BX80" i="50" s="1"/>
  <c r="BU60" i="50"/>
  <c r="AC32" i="50"/>
  <c r="Z32" i="50"/>
  <c r="F74" i="20" s="1"/>
  <c r="AA32" i="50"/>
  <c r="G74" i="20" s="1"/>
  <c r="AB32" i="50"/>
  <c r="H74" i="20" s="1"/>
  <c r="AJ41" i="50"/>
  <c r="AM41" i="50"/>
  <c r="AO41" i="50"/>
  <c r="G20" i="50"/>
  <c r="G105" i="50" s="1"/>
  <c r="AD32" i="50"/>
  <c r="AU33" i="50"/>
  <c r="AX33" i="50"/>
  <c r="AZ33" i="50"/>
  <c r="AS33" i="50"/>
  <c r="AT33" i="50"/>
  <c r="AA40" i="50"/>
  <c r="G82" i="20" s="1"/>
  <c r="Y32" i="50"/>
  <c r="E74" i="20" s="1"/>
  <c r="Z31" i="50"/>
  <c r="F73" i="20" s="1"/>
  <c r="AB31" i="50"/>
  <c r="H73" i="20" s="1"/>
  <c r="AC31" i="50"/>
  <c r="W31" i="50"/>
  <c r="X31" i="50"/>
  <c r="D73" i="20" s="1"/>
  <c r="Y31" i="50"/>
  <c r="E73" i="20" s="1"/>
  <c r="Z40" i="50"/>
  <c r="F82" i="20" s="1"/>
  <c r="Y40" i="50"/>
  <c r="E82" i="20" s="1"/>
  <c r="W32" i="50"/>
  <c r="BA32" i="50"/>
  <c r="AY32" i="50"/>
  <c r="AU32" i="50"/>
  <c r="AD31" i="50"/>
  <c r="BU21" i="50"/>
  <c r="BO41" i="50" s="1"/>
  <c r="BU10" i="50"/>
  <c r="BO30" i="50" s="1"/>
  <c r="CE21" i="50"/>
  <c r="BX41" i="50" s="1"/>
  <c r="C83" i="20" s="1"/>
  <c r="CE10" i="50"/>
  <c r="BX30" i="50" s="1"/>
  <c r="C72" i="20" s="1"/>
  <c r="AI41" i="50"/>
  <c r="AW41" i="50"/>
  <c r="AY41" i="50"/>
  <c r="AT41" i="50"/>
  <c r="AU41" i="50"/>
  <c r="AV41" i="50"/>
  <c r="X32" i="50"/>
  <c r="D74" i="20" s="1"/>
  <c r="CE18" i="50"/>
  <c r="BX38" i="50" s="1"/>
  <c r="C80" i="20" s="1"/>
  <c r="BA33" i="50"/>
  <c r="AZ31" i="50"/>
  <c r="AT32" i="50"/>
  <c r="AB34" i="50"/>
  <c r="H76" i="20" s="1"/>
  <c r="AA31" i="50"/>
  <c r="G73" i="20" s="1"/>
  <c r="CE13" i="50"/>
  <c r="AH34" i="50"/>
  <c r="AN34" i="50"/>
  <c r="AO34" i="50"/>
  <c r="AA35" i="50"/>
  <c r="G77" i="20" s="1"/>
  <c r="AC35" i="50"/>
  <c r="AD35" i="50"/>
  <c r="X35" i="50"/>
  <c r="D77" i="20" s="1"/>
  <c r="Y35" i="50"/>
  <c r="E77" i="20" s="1"/>
  <c r="Z35" i="50"/>
  <c r="F77" i="20" s="1"/>
  <c r="AL39" i="50"/>
  <c r="AO39" i="50"/>
  <c r="AK39" i="50"/>
  <c r="AN41" i="50"/>
  <c r="AZ41" i="50"/>
  <c r="W40" i="50"/>
  <c r="AB40" i="50"/>
  <c r="H82" i="20" s="1"/>
  <c r="AC40" i="50"/>
  <c r="AD40" i="50"/>
  <c r="W33" i="50"/>
  <c r="X33" i="50"/>
  <c r="D75" i="20" s="1"/>
  <c r="AC33" i="50"/>
  <c r="AD33" i="50"/>
  <c r="X34" i="50"/>
  <c r="D76" i="20" s="1"/>
  <c r="Z34" i="50"/>
  <c r="F76" i="20" s="1"/>
  <c r="AA34" i="50"/>
  <c r="G76" i="20" s="1"/>
  <c r="W34" i="50"/>
  <c r="AX41" i="50"/>
  <c r="AB33" i="50"/>
  <c r="H75" i="20" s="1"/>
  <c r="AX38" i="50"/>
  <c r="X38" i="50"/>
  <c r="D80" i="20" s="1"/>
  <c r="AC36" i="50"/>
  <c r="BU11" i="50"/>
  <c r="BU19" i="50"/>
  <c r="BU16" i="50"/>
  <c r="BS36" i="50" s="1"/>
  <c r="C63" i="20" s="1"/>
  <c r="C53" i="20" s="1"/>
  <c r="AZ39" i="50"/>
  <c r="AW38" i="50"/>
  <c r="Z39" i="50"/>
  <c r="F81" i="20" s="1"/>
  <c r="W38" i="50"/>
  <c r="AP36" i="50"/>
  <c r="AY39" i="50"/>
  <c r="AV38" i="50"/>
  <c r="Y39" i="50"/>
  <c r="E81" i="20" s="1"/>
  <c r="AD37" i="50"/>
  <c r="AA36" i="50"/>
  <c r="G78" i="20" s="1"/>
  <c r="BU20" i="50"/>
  <c r="BS40" i="50" s="1"/>
  <c r="CE19" i="50"/>
  <c r="AP41" i="50"/>
  <c r="G16" i="50"/>
  <c r="G101" i="50" s="1"/>
  <c r="AN36" i="50"/>
  <c r="AV40" i="50"/>
  <c r="AX37" i="50"/>
  <c r="Y41" i="50"/>
  <c r="E83" i="20" s="1"/>
  <c r="AD39" i="50"/>
  <c r="AA38" i="50"/>
  <c r="G80" i="20" s="1"/>
  <c r="X37" i="50"/>
  <c r="D79" i="20" s="1"/>
  <c r="CE11" i="50"/>
  <c r="CA31" i="50" s="1"/>
  <c r="BA40" i="50"/>
  <c r="AD36" i="50"/>
  <c r="BU13" i="50"/>
  <c r="BT33" i="50" s="1"/>
  <c r="CE20" i="50"/>
  <c r="BZ40" i="50" s="1"/>
  <c r="CE17" i="50"/>
  <c r="CD37" i="50" s="1"/>
  <c r="I79" i="20" s="1"/>
  <c r="AT36" i="50"/>
  <c r="AS36" i="50"/>
  <c r="AZ36" i="50"/>
  <c r="AY36" i="50"/>
  <c r="AX36" i="50"/>
  <c r="AW36" i="50"/>
  <c r="AV36" i="50"/>
  <c r="CE16" i="50"/>
  <c r="AX35" i="50"/>
  <c r="AY35" i="50"/>
  <c r="AW35" i="50"/>
  <c r="CE15" i="50"/>
  <c r="AV35" i="50"/>
  <c r="AU35" i="50"/>
  <c r="AZ35" i="50"/>
  <c r="AV34" i="50"/>
  <c r="CE14" i="50"/>
  <c r="AZ34" i="50"/>
  <c r="AY34" i="50"/>
  <c r="AS32" i="50"/>
  <c r="AZ32" i="50"/>
  <c r="AW32" i="50"/>
  <c r="AV32" i="50"/>
  <c r="CE12" i="50"/>
  <c r="AW33" i="50"/>
  <c r="AV33" i="50"/>
  <c r="BA35" i="50"/>
  <c r="BA34" i="50"/>
  <c r="BA31" i="50"/>
  <c r="AO33" i="50"/>
  <c r="AM33" i="50"/>
  <c r="AL33" i="50"/>
  <c r="AK33" i="50"/>
  <c r="AJ32" i="50"/>
  <c r="AI32" i="50"/>
  <c r="I12" i="50"/>
  <c r="AH32" i="50"/>
  <c r="AK36" i="50"/>
  <c r="AH37" i="50"/>
  <c r="AP38" i="50"/>
  <c r="BA37" i="50"/>
  <c r="AM37" i="50"/>
  <c r="AM40" i="50"/>
  <c r="AI39" i="50"/>
  <c r="AL37" i="50"/>
  <c r="AK35" i="50"/>
  <c r="AP34" i="50"/>
  <c r="BA36" i="50"/>
  <c r="AJ39" i="50"/>
  <c r="AL40" i="50"/>
  <c r="AH39" i="50"/>
  <c r="AK37" i="50"/>
  <c r="AJ35" i="50"/>
  <c r="BA38" i="50"/>
  <c r="AL36" i="50"/>
  <c r="AO37" i="50"/>
  <c r="AK40" i="50"/>
  <c r="AO38" i="50"/>
  <c r="AJ37" i="50"/>
  <c r="AI35" i="50"/>
  <c r="AP40" i="50"/>
  <c r="AJ36" i="50"/>
  <c r="AI36" i="50"/>
  <c r="AJ40" i="50"/>
  <c r="AI37" i="50"/>
  <c r="AH35" i="50"/>
  <c r="AP39" i="50"/>
  <c r="AP33" i="50"/>
  <c r="BA41" i="50"/>
  <c r="AK41" i="50"/>
  <c r="AH41" i="50"/>
  <c r="AP31" i="50"/>
  <c r="AL31" i="50"/>
  <c r="AL34" i="50"/>
  <c r="AH33" i="50"/>
  <c r="AK31" i="50"/>
  <c r="AM31" i="50"/>
  <c r="AM34" i="50"/>
  <c r="AK34" i="50"/>
  <c r="AO32" i="50"/>
  <c r="AJ31" i="50"/>
  <c r="AP35" i="50"/>
  <c r="AO31" i="50"/>
  <c r="AI33" i="50"/>
  <c r="AO35" i="50"/>
  <c r="AJ34" i="50"/>
  <c r="AM32" i="50"/>
  <c r="AI31" i="50"/>
  <c r="AJ33" i="50"/>
  <c r="AM35" i="50"/>
  <c r="AI34" i="50"/>
  <c r="AL32" i="50"/>
  <c r="AP32" i="50"/>
  <c r="AR136" i="20"/>
  <c r="AE139" i="20"/>
  <c r="AG139" i="20"/>
  <c r="AE140" i="20"/>
  <c r="AG140" i="20"/>
  <c r="AE141" i="20"/>
  <c r="AG141" i="20"/>
  <c r="AE142" i="20"/>
  <c r="AG142" i="20"/>
  <c r="AE143" i="20"/>
  <c r="AG143" i="20"/>
  <c r="AE144" i="20"/>
  <c r="AG144" i="20"/>
  <c r="AE145" i="20"/>
  <c r="AG145" i="20"/>
  <c r="AE146" i="20"/>
  <c r="AG146" i="20"/>
  <c r="AE147" i="20"/>
  <c r="AG147" i="20"/>
  <c r="AE148" i="20"/>
  <c r="AG148" i="20"/>
  <c r="AE149" i="20"/>
  <c r="AG149" i="20"/>
  <c r="AE150" i="20"/>
  <c r="AG150" i="20"/>
  <c r="AE151" i="20"/>
  <c r="AG151" i="20"/>
  <c r="AE152" i="20"/>
  <c r="AG152" i="20"/>
  <c r="AE153" i="20"/>
  <c r="AG153" i="20"/>
  <c r="AE154" i="20"/>
  <c r="AG154" i="20"/>
  <c r="AE155" i="20"/>
  <c r="AG155" i="20"/>
  <c r="AE156" i="20"/>
  <c r="AG156" i="20"/>
  <c r="AE157" i="20"/>
  <c r="AG157" i="20"/>
  <c r="AE158" i="20"/>
  <c r="AG158" i="20"/>
  <c r="AE159" i="20"/>
  <c r="AG159" i="20"/>
  <c r="AE160" i="20"/>
  <c r="AG160" i="20"/>
  <c r="AE161" i="20"/>
  <c r="AG161" i="20"/>
  <c r="AE162" i="20"/>
  <c r="AG162" i="20"/>
  <c r="AE163" i="20"/>
  <c r="AG163" i="20"/>
  <c r="AE164" i="20"/>
  <c r="AG164" i="20"/>
  <c r="BO20" i="14"/>
  <c r="B20" i="14" s="1"/>
  <c r="BO21" i="14"/>
  <c r="B21" i="14" s="1"/>
  <c r="BO22" i="14"/>
  <c r="B22" i="14" s="1"/>
  <c r="BO23" i="14"/>
  <c r="B23" i="14" s="1"/>
  <c r="BO24" i="14"/>
  <c r="B24" i="14" s="1"/>
  <c r="BO25" i="14"/>
  <c r="B25" i="14" s="1"/>
  <c r="BO26" i="14"/>
  <c r="B26" i="14" s="1"/>
  <c r="BO27" i="14"/>
  <c r="B27" i="14" s="1"/>
  <c r="BO28" i="14"/>
  <c r="B28" i="14" s="1"/>
  <c r="BO29" i="14"/>
  <c r="B29" i="14" s="1"/>
  <c r="BO30" i="14"/>
  <c r="B30" i="14" s="1"/>
  <c r="BO31" i="14"/>
  <c r="B31" i="14" s="1"/>
  <c r="BO32" i="14"/>
  <c r="B32" i="14" s="1"/>
  <c r="BO33" i="14"/>
  <c r="B33" i="14" s="1"/>
  <c r="BO34" i="14"/>
  <c r="B34" i="14" s="1"/>
  <c r="BO35" i="14"/>
  <c r="B35" i="14" s="1"/>
  <c r="BO36" i="14"/>
  <c r="B36" i="14" s="1"/>
  <c r="BO37" i="14"/>
  <c r="B37" i="14" s="1"/>
  <c r="BO38" i="14"/>
  <c r="B38" i="14" s="1"/>
  <c r="BO39" i="14"/>
  <c r="B39" i="14" s="1"/>
  <c r="BO40" i="14"/>
  <c r="B40" i="14" s="1"/>
  <c r="BO41" i="14"/>
  <c r="B41" i="14" s="1"/>
  <c r="BO42" i="14"/>
  <c r="B42" i="14" s="1"/>
  <c r="BO43" i="14"/>
  <c r="B43" i="14" s="1"/>
  <c r="BO45" i="14"/>
  <c r="B45" i="14" s="1"/>
  <c r="BO46" i="14"/>
  <c r="B46" i="14" s="1"/>
  <c r="BO47" i="14"/>
  <c r="B47" i="14" s="1"/>
  <c r="C47" i="14" s="1"/>
  <c r="BO48" i="14"/>
  <c r="BO19" i="14"/>
  <c r="B19" i="14" s="1"/>
  <c r="BI20" i="14"/>
  <c r="BJ20" i="14" s="1"/>
  <c r="H20" i="14" s="1"/>
  <c r="BI47" i="14"/>
  <c r="BJ47" i="14" s="1"/>
  <c r="H47" i="14" s="1"/>
  <c r="BI48" i="14"/>
  <c r="BJ48" i="14" s="1"/>
  <c r="BI19" i="14"/>
  <c r="BJ19" i="14" s="1"/>
  <c r="H19" i="14" s="1"/>
  <c r="BJ18" i="14"/>
  <c r="H18" i="14" s="1"/>
  <c r="BC47" i="14"/>
  <c r="BD47" i="14" s="1"/>
  <c r="BE47" i="14" s="1"/>
  <c r="G47" i="14" s="1"/>
  <c r="BC48" i="14"/>
  <c r="BD48" i="14" s="1"/>
  <c r="BE48" i="14" s="1"/>
  <c r="BC20" i="14"/>
  <c r="BD20" i="14" s="1"/>
  <c r="BE20" i="14" s="1"/>
  <c r="G20" i="14" s="1"/>
  <c r="BC19" i="14"/>
  <c r="BD19" i="14" s="1"/>
  <c r="BE19" i="14" s="1"/>
  <c r="G19" i="14" s="1"/>
  <c r="BD18" i="14"/>
  <c r="BE18" i="14" s="1"/>
  <c r="G18" i="14" s="1"/>
  <c r="BO44" i="14"/>
  <c r="B44" i="14" s="1"/>
  <c r="AW19" i="14"/>
  <c r="AW18" i="14"/>
  <c r="AV22" i="14"/>
  <c r="AX22" i="14" s="1"/>
  <c r="BI22" i="14" s="1"/>
  <c r="BJ22" i="14" s="1"/>
  <c r="H22" i="14" s="1"/>
  <c r="Z24" i="14" l="1" a="1"/>
  <c r="Z24" i="14" s="1"/>
  <c r="AB24" i="14" a="1"/>
  <c r="AB24" i="14" s="1"/>
  <c r="AB25" i="14" s="1" a="1"/>
  <c r="AB25" i="14" s="1"/>
  <c r="AC23" i="14" a="1"/>
  <c r="AC23" i="14" s="1"/>
  <c r="BU98" i="50"/>
  <c r="BS117" i="50" s="1"/>
  <c r="BZ75" i="50"/>
  <c r="BU92" i="50"/>
  <c r="CC114" i="50"/>
  <c r="CE106" i="50"/>
  <c r="CD125" i="50" s="1"/>
  <c r="CE99" i="50"/>
  <c r="BX118" i="50" s="1"/>
  <c r="BU94" i="50"/>
  <c r="BQ113" i="50" s="1"/>
  <c r="BU95" i="50"/>
  <c r="BR114" i="50" s="1"/>
  <c r="BO111" i="50"/>
  <c r="BS111" i="50"/>
  <c r="CD124" i="50"/>
  <c r="CB114" i="50"/>
  <c r="BZ76" i="50"/>
  <c r="BA116" i="50"/>
  <c r="AP118" i="50"/>
  <c r="AP117" i="50"/>
  <c r="BA122" i="50"/>
  <c r="AP111" i="50"/>
  <c r="AP124" i="50"/>
  <c r="BY124" i="50"/>
  <c r="CB124" i="50"/>
  <c r="BX124" i="50"/>
  <c r="CA114" i="50"/>
  <c r="AP121" i="50"/>
  <c r="CC125" i="50"/>
  <c r="BU99" i="50"/>
  <c r="BN118" i="50" s="1"/>
  <c r="BU97" i="50"/>
  <c r="BN116" i="50" s="1"/>
  <c r="BU100" i="50"/>
  <c r="BP119" i="50" s="1"/>
  <c r="BN117" i="50"/>
  <c r="AP110" i="50"/>
  <c r="BN114" i="50"/>
  <c r="BA117" i="50"/>
  <c r="CC124" i="50"/>
  <c r="BK97" i="50"/>
  <c r="BI116" i="50" s="1"/>
  <c r="BP117" i="50"/>
  <c r="AP122" i="50"/>
  <c r="BR111" i="50"/>
  <c r="BU93" i="50"/>
  <c r="BS112" i="50" s="1"/>
  <c r="BU96" i="50"/>
  <c r="BP115" i="50" s="1"/>
  <c r="AP114" i="50"/>
  <c r="BN111" i="50"/>
  <c r="BP111" i="50"/>
  <c r="CE102" i="50"/>
  <c r="BY121" i="50" s="1"/>
  <c r="CE103" i="50"/>
  <c r="BZ122" i="50" s="1"/>
  <c r="BA118" i="50"/>
  <c r="CC118" i="50"/>
  <c r="BQ111" i="50"/>
  <c r="BR117" i="50"/>
  <c r="BU101" i="50"/>
  <c r="BN120" i="50" s="1"/>
  <c r="CE100" i="50"/>
  <c r="BX119" i="50" s="1"/>
  <c r="BA125" i="50"/>
  <c r="AP123" i="50"/>
  <c r="CD118" i="50"/>
  <c r="BO117" i="50"/>
  <c r="BT117" i="50"/>
  <c r="BY125" i="50"/>
  <c r="BT113" i="50"/>
  <c r="AP113" i="50"/>
  <c r="BQ117" i="50"/>
  <c r="BT38" i="50"/>
  <c r="BU105" i="50"/>
  <c r="BT124" i="50" s="1"/>
  <c r="BU103" i="50"/>
  <c r="BS122" i="50" s="1"/>
  <c r="AP120" i="50"/>
  <c r="AP116" i="50"/>
  <c r="BZ124" i="50"/>
  <c r="BS113" i="50"/>
  <c r="BP113" i="50"/>
  <c r="BA120" i="50"/>
  <c r="CE96" i="50"/>
  <c r="BX115" i="50" s="1"/>
  <c r="BK105" i="50"/>
  <c r="BD124" i="50" s="1"/>
  <c r="CE104" i="50"/>
  <c r="CC123" i="50" s="1"/>
  <c r="BK95" i="50"/>
  <c r="BI114" i="50" s="1"/>
  <c r="BA119" i="50"/>
  <c r="BA115" i="50"/>
  <c r="AP125" i="50"/>
  <c r="BA124" i="50"/>
  <c r="AP112" i="50"/>
  <c r="BT111" i="50"/>
  <c r="BU91" i="50"/>
  <c r="BT110" i="50" s="1"/>
  <c r="BO118" i="50"/>
  <c r="BA121" i="50"/>
  <c r="BO38" i="50"/>
  <c r="CE101" i="50"/>
  <c r="BX120" i="50" s="1"/>
  <c r="CE97" i="50"/>
  <c r="CE98" i="50"/>
  <c r="BX117" i="50" s="1"/>
  <c r="BP118" i="50"/>
  <c r="BY114" i="50"/>
  <c r="BZ118" i="50"/>
  <c r="AP119" i="50"/>
  <c r="BZ114" i="50"/>
  <c r="AP115" i="50"/>
  <c r="BA123" i="50"/>
  <c r="CD114" i="50"/>
  <c r="D19" i="14"/>
  <c r="D49" i="14" s="1"/>
  <c r="C19" i="14"/>
  <c r="C49" i="14" s="1"/>
  <c r="M42" i="5"/>
  <c r="H43" i="5"/>
  <c r="I55" i="58"/>
  <c r="I53" i="58"/>
  <c r="H41" i="5"/>
  <c r="M40" i="5"/>
  <c r="I48" i="58"/>
  <c r="I51" i="58"/>
  <c r="H39" i="5"/>
  <c r="I50" i="58"/>
  <c r="H38" i="5"/>
  <c r="M36" i="5"/>
  <c r="M39" i="5"/>
  <c r="H34" i="5"/>
  <c r="I46" i="58"/>
  <c r="I54" i="58"/>
  <c r="I45" i="58"/>
  <c r="I49" i="58"/>
  <c r="H37" i="5"/>
  <c r="H40" i="5"/>
  <c r="I52" i="58"/>
  <c r="H35" i="5"/>
  <c r="N35" i="5" s="1"/>
  <c r="I47" i="58"/>
  <c r="D80" i="58"/>
  <c r="J66" i="5" s="1"/>
  <c r="U66" i="5" s="1"/>
  <c r="E80" i="58"/>
  <c r="K66" i="5" s="1"/>
  <c r="V66" i="5" s="1"/>
  <c r="H80" i="58"/>
  <c r="M66" i="5" s="1"/>
  <c r="X66" i="5" s="1"/>
  <c r="C81" i="58"/>
  <c r="I67" i="5" s="1"/>
  <c r="T67" i="5" s="1"/>
  <c r="M21" i="5"/>
  <c r="M17" i="5"/>
  <c r="B73" i="58"/>
  <c r="H59" i="5" s="1"/>
  <c r="S59" i="5" s="1"/>
  <c r="D81" i="58"/>
  <c r="J67" i="5" s="1"/>
  <c r="U67" i="5" s="1"/>
  <c r="H73" i="58"/>
  <c r="F81" i="58"/>
  <c r="L67" i="5" s="1"/>
  <c r="W67" i="5" s="1"/>
  <c r="C75" i="58"/>
  <c r="I61" i="5" s="1"/>
  <c r="T61" i="5" s="1"/>
  <c r="M18" i="5"/>
  <c r="B81" i="58"/>
  <c r="H67" i="5" s="1"/>
  <c r="S67" i="5" s="1"/>
  <c r="H65" i="5"/>
  <c r="S65" i="5" s="1"/>
  <c r="H62" i="5"/>
  <c r="S62" i="5" s="1"/>
  <c r="M16" i="5"/>
  <c r="H66" i="5"/>
  <c r="S66" i="5" s="1"/>
  <c r="M20" i="5"/>
  <c r="M14" i="5"/>
  <c r="H18" i="5"/>
  <c r="I23" i="58"/>
  <c r="H14" i="5"/>
  <c r="I19" i="58"/>
  <c r="I20" i="58"/>
  <c r="H15" i="5"/>
  <c r="I18" i="58"/>
  <c r="H13" i="5"/>
  <c r="H19" i="5"/>
  <c r="I24" i="58"/>
  <c r="M19" i="5"/>
  <c r="H20" i="5"/>
  <c r="I25" i="58"/>
  <c r="M22" i="5"/>
  <c r="I27" i="58"/>
  <c r="H22" i="5"/>
  <c r="I26" i="58"/>
  <c r="H21" i="5"/>
  <c r="H17" i="5"/>
  <c r="I22" i="58"/>
  <c r="I21" i="58"/>
  <c r="H16" i="5"/>
  <c r="E73" i="58"/>
  <c r="K59" i="5" s="1"/>
  <c r="V59" i="5" s="1"/>
  <c r="G73" i="58"/>
  <c r="H81" i="58"/>
  <c r="M67" i="5" s="1"/>
  <c r="X67" i="5" s="1"/>
  <c r="E81" i="58"/>
  <c r="K67" i="5" s="1"/>
  <c r="V67" i="5" s="1"/>
  <c r="E75" i="58"/>
  <c r="K61" i="5" s="1"/>
  <c r="V61" i="5" s="1"/>
  <c r="AC81" i="58"/>
  <c r="AC83" i="58"/>
  <c r="AM82" i="58"/>
  <c r="AC75" i="58"/>
  <c r="H75" i="58"/>
  <c r="G74" i="58"/>
  <c r="E82" i="58"/>
  <c r="K68" i="5" s="1"/>
  <c r="V68" i="5" s="1"/>
  <c r="B75" i="58"/>
  <c r="F75" i="58"/>
  <c r="L61" i="5" s="1"/>
  <c r="W61" i="5" s="1"/>
  <c r="M33" i="5"/>
  <c r="G75" i="58"/>
  <c r="CA73" i="58"/>
  <c r="B82" i="58"/>
  <c r="BG74" i="58"/>
  <c r="BG83" i="58"/>
  <c r="F76" i="58"/>
  <c r="L62" i="5" s="1"/>
  <c r="W62" i="5" s="1"/>
  <c r="C73" i="58"/>
  <c r="I59" i="5" s="1"/>
  <c r="T59" i="5" s="1"/>
  <c r="CK75" i="58"/>
  <c r="AW76" i="58"/>
  <c r="CA80" i="58"/>
  <c r="BG79" i="58"/>
  <c r="AC73" i="58"/>
  <c r="D74" i="58"/>
  <c r="J60" i="5" s="1"/>
  <c r="U60" i="5" s="1"/>
  <c r="F74" i="58"/>
  <c r="L60" i="5" s="1"/>
  <c r="W60" i="5" s="1"/>
  <c r="CA79" i="58"/>
  <c r="CA75" i="58"/>
  <c r="AC78" i="58"/>
  <c r="D78" i="58"/>
  <c r="J64" i="5" s="1"/>
  <c r="U64" i="5" s="1"/>
  <c r="F78" i="58"/>
  <c r="L64" i="5" s="1"/>
  <c r="W64" i="5" s="1"/>
  <c r="G78" i="58"/>
  <c r="C78" i="58"/>
  <c r="I64" i="5" s="1"/>
  <c r="T64" i="5" s="1"/>
  <c r="E78" i="58"/>
  <c r="K64" i="5" s="1"/>
  <c r="V64" i="5" s="1"/>
  <c r="G79" i="58"/>
  <c r="C79" i="58"/>
  <c r="I65" i="5" s="1"/>
  <c r="T65" i="5" s="1"/>
  <c r="CA76" i="58"/>
  <c r="S73" i="58"/>
  <c r="G77" i="58"/>
  <c r="F83" i="58"/>
  <c r="L69" i="5" s="1"/>
  <c r="W69" i="5" s="1"/>
  <c r="E83" i="58"/>
  <c r="K69" i="5" s="1"/>
  <c r="V69" i="5" s="1"/>
  <c r="D83" i="58"/>
  <c r="J69" i="5" s="1"/>
  <c r="U69" i="5" s="1"/>
  <c r="H83" i="58"/>
  <c r="G83" i="58"/>
  <c r="B83" i="58"/>
  <c r="D77" i="58"/>
  <c r="J63" i="5" s="1"/>
  <c r="U63" i="5" s="1"/>
  <c r="B77" i="58"/>
  <c r="H76" i="58"/>
  <c r="C76" i="58"/>
  <c r="I62" i="5" s="1"/>
  <c r="T62" i="5" s="1"/>
  <c r="E76" i="58"/>
  <c r="K62" i="5" s="1"/>
  <c r="V62" i="5" s="1"/>
  <c r="B78" i="58"/>
  <c r="BQ75" i="58"/>
  <c r="CA81" i="58"/>
  <c r="CK81" i="58"/>
  <c r="BQ74" i="58"/>
  <c r="BQ80" i="58"/>
  <c r="AM73" i="58"/>
  <c r="S83" i="58"/>
  <c r="E79" i="58"/>
  <c r="K65" i="5" s="1"/>
  <c r="V65" i="5" s="1"/>
  <c r="D79" i="58"/>
  <c r="J65" i="5" s="1"/>
  <c r="U65" i="5" s="1"/>
  <c r="H82" i="58"/>
  <c r="G82" i="58"/>
  <c r="F82" i="58"/>
  <c r="L68" i="5" s="1"/>
  <c r="W68" i="5" s="1"/>
  <c r="H74" i="58"/>
  <c r="AM75" i="58"/>
  <c r="AM76" i="58"/>
  <c r="AW75" i="58"/>
  <c r="CA77" i="58"/>
  <c r="S78" i="58"/>
  <c r="S81" i="58"/>
  <c r="CA83" i="58"/>
  <c r="G76" i="58"/>
  <c r="C82" i="58"/>
  <c r="I68" i="5" s="1"/>
  <c r="T68" i="5" s="1"/>
  <c r="F77" i="58"/>
  <c r="L63" i="5" s="1"/>
  <c r="W63" i="5" s="1"/>
  <c r="H77" i="58"/>
  <c r="E77" i="58"/>
  <c r="K63" i="5" s="1"/>
  <c r="V63" i="5" s="1"/>
  <c r="AW74" i="58"/>
  <c r="S80" i="58"/>
  <c r="CA82" i="58"/>
  <c r="CA74" i="58"/>
  <c r="AC79" i="58"/>
  <c r="E74" i="58"/>
  <c r="K60" i="5" s="1"/>
  <c r="V60" i="5" s="1"/>
  <c r="B74" i="58"/>
  <c r="H78" i="58"/>
  <c r="CA78" i="58"/>
  <c r="D76" i="58"/>
  <c r="J62" i="5" s="1"/>
  <c r="U62" i="5" s="1"/>
  <c r="BG73" i="58"/>
  <c r="CK73" i="58"/>
  <c r="F79" i="58"/>
  <c r="L65" i="5" s="1"/>
  <c r="W65" i="5" s="1"/>
  <c r="H79" i="58"/>
  <c r="S82" i="58"/>
  <c r="S74" i="58"/>
  <c r="S76" i="58"/>
  <c r="S77" i="58"/>
  <c r="S75" i="58"/>
  <c r="S79" i="58"/>
  <c r="AC82" i="58"/>
  <c r="AC80" i="58"/>
  <c r="AC74" i="58"/>
  <c r="AC76" i="58"/>
  <c r="AC77" i="58"/>
  <c r="AM74" i="58"/>
  <c r="AM77" i="58"/>
  <c r="AM78" i="58"/>
  <c r="AM81" i="58"/>
  <c r="AM83" i="58"/>
  <c r="AM80" i="58"/>
  <c r="AM79" i="58"/>
  <c r="AW78" i="58"/>
  <c r="AW83" i="58"/>
  <c r="AW77" i="58"/>
  <c r="AW81" i="58"/>
  <c r="AW73" i="58"/>
  <c r="AW82" i="58"/>
  <c r="AW79" i="58"/>
  <c r="AW80" i="58"/>
  <c r="BG78" i="58"/>
  <c r="BG82" i="58"/>
  <c r="BG81" i="58"/>
  <c r="BG77" i="58"/>
  <c r="BG76" i="58"/>
  <c r="BG75" i="58"/>
  <c r="BG80" i="58"/>
  <c r="BQ81" i="58"/>
  <c r="BQ79" i="58"/>
  <c r="BQ73" i="58"/>
  <c r="BQ78" i="58"/>
  <c r="BQ77" i="58"/>
  <c r="BQ83" i="58"/>
  <c r="BQ82" i="58"/>
  <c r="BQ76" i="58"/>
  <c r="CK80" i="58"/>
  <c r="CK79" i="58"/>
  <c r="CK77" i="58"/>
  <c r="CK76" i="58"/>
  <c r="CK78" i="58"/>
  <c r="CK83" i="58"/>
  <c r="CK82" i="58"/>
  <c r="CK74" i="58"/>
  <c r="BK106" i="50"/>
  <c r="BJ125" i="50" s="1"/>
  <c r="BK104" i="50"/>
  <c r="BG123" i="50" s="1"/>
  <c r="BU102" i="50"/>
  <c r="BK99" i="50"/>
  <c r="BF118" i="50" s="1"/>
  <c r="BK102" i="50"/>
  <c r="BI121" i="50" s="1"/>
  <c r="BK98" i="50"/>
  <c r="BH117" i="50" s="1"/>
  <c r="BK96" i="50"/>
  <c r="BE115" i="50" s="1"/>
  <c r="BK100" i="50"/>
  <c r="BD119" i="50" s="1"/>
  <c r="BK103" i="50"/>
  <c r="BI122" i="50" s="1"/>
  <c r="BU104" i="50"/>
  <c r="BT123" i="50" s="1"/>
  <c r="BU106" i="50"/>
  <c r="BP125" i="50" s="1"/>
  <c r="BK101" i="50"/>
  <c r="BI120" i="50" s="1"/>
  <c r="AP77" i="50"/>
  <c r="AP79" i="50"/>
  <c r="BS70" i="50"/>
  <c r="CB76" i="50"/>
  <c r="I99" i="50"/>
  <c r="D118" i="50" s="1"/>
  <c r="AP69" i="50"/>
  <c r="I105" i="50"/>
  <c r="C124" i="50" s="1"/>
  <c r="I98" i="50"/>
  <c r="D117" i="50" s="1"/>
  <c r="AP68" i="50"/>
  <c r="CC75" i="50"/>
  <c r="CD75" i="50"/>
  <c r="BN37" i="50"/>
  <c r="AP73" i="50"/>
  <c r="I106" i="50"/>
  <c r="C125" i="50" s="1"/>
  <c r="I100" i="50"/>
  <c r="G119" i="50" s="1"/>
  <c r="I97" i="50"/>
  <c r="B116" i="50" s="1"/>
  <c r="CA75" i="50"/>
  <c r="AP66" i="50"/>
  <c r="BT71" i="50"/>
  <c r="CC77" i="50"/>
  <c r="AP78" i="50"/>
  <c r="AP72" i="50"/>
  <c r="AP81" i="50"/>
  <c r="BY77" i="50"/>
  <c r="AP67" i="50"/>
  <c r="C36" i="20"/>
  <c r="AP80" i="50"/>
  <c r="I95" i="50"/>
  <c r="F114" i="50" s="1"/>
  <c r="C54" i="20"/>
  <c r="AP70" i="50"/>
  <c r="C55" i="20"/>
  <c r="I96" i="50"/>
  <c r="E115" i="50" s="1"/>
  <c r="C44" i="20"/>
  <c r="C52" i="20"/>
  <c r="C33" i="20"/>
  <c r="C50" i="20"/>
  <c r="C48" i="20"/>
  <c r="C42" i="20"/>
  <c r="C60" i="20"/>
  <c r="C61" i="20"/>
  <c r="C49" i="20"/>
  <c r="I102" i="50"/>
  <c r="H121" i="50" s="1"/>
  <c r="C37" i="20"/>
  <c r="C34" i="20"/>
  <c r="C35" i="20"/>
  <c r="BA81" i="50"/>
  <c r="C56" i="20"/>
  <c r="C41" i="20"/>
  <c r="G103" i="50"/>
  <c r="CD77" i="50"/>
  <c r="C47" i="20"/>
  <c r="BN70" i="50"/>
  <c r="BZ72" i="50"/>
  <c r="C39" i="20"/>
  <c r="C51" i="20"/>
  <c r="BQ70" i="50"/>
  <c r="BA72" i="50"/>
  <c r="I104" i="50"/>
  <c r="G123" i="50" s="1"/>
  <c r="C46" i="20"/>
  <c r="C57" i="20"/>
  <c r="C45" i="20"/>
  <c r="BO70" i="50"/>
  <c r="BT36" i="50"/>
  <c r="I63" i="20" s="1"/>
  <c r="BO35" i="50"/>
  <c r="BN81" i="50"/>
  <c r="BA71" i="50"/>
  <c r="BP35" i="50"/>
  <c r="C43" i="20"/>
  <c r="C58" i="20"/>
  <c r="BR70" i="50"/>
  <c r="BX77" i="50"/>
  <c r="BY72" i="50"/>
  <c r="I101" i="50"/>
  <c r="F120" i="50" s="1"/>
  <c r="BX75" i="50"/>
  <c r="BY75" i="50"/>
  <c r="BP71" i="50"/>
  <c r="AP76" i="50"/>
  <c r="BA79" i="50"/>
  <c r="C59" i="20"/>
  <c r="C40" i="20"/>
  <c r="C38" i="20"/>
  <c r="BZ70" i="50"/>
  <c r="CC70" i="50"/>
  <c r="CA70" i="50"/>
  <c r="BY80" i="50"/>
  <c r="CD70" i="50"/>
  <c r="BY74" i="50"/>
  <c r="CB72" i="50"/>
  <c r="CB70" i="50"/>
  <c r="CC74" i="50"/>
  <c r="BZ74" i="50"/>
  <c r="CD79" i="50"/>
  <c r="BX74" i="50"/>
  <c r="BX72" i="50"/>
  <c r="CA74" i="50"/>
  <c r="BY70" i="50"/>
  <c r="CD72" i="50"/>
  <c r="CB79" i="50"/>
  <c r="CA79" i="50"/>
  <c r="CB78" i="50"/>
  <c r="CA72" i="50"/>
  <c r="CB74" i="50"/>
  <c r="BR73" i="50"/>
  <c r="BP73" i="50"/>
  <c r="BT70" i="50"/>
  <c r="BS73" i="50"/>
  <c r="BO73" i="50"/>
  <c r="BN73" i="50"/>
  <c r="BQ73" i="50"/>
  <c r="BX31" i="50"/>
  <c r="C73" i="20" s="1"/>
  <c r="BT34" i="50"/>
  <c r="BN36" i="50"/>
  <c r="BR36" i="50"/>
  <c r="H63" i="20" s="1"/>
  <c r="BR41" i="50"/>
  <c r="H33" i="20" s="1"/>
  <c r="H34" i="20" s="1"/>
  <c r="H35" i="20" s="1"/>
  <c r="H36" i="20" s="1"/>
  <c r="H37" i="20" s="1"/>
  <c r="H38" i="20" s="1"/>
  <c r="H39" i="20" s="1"/>
  <c r="H40" i="20" s="1"/>
  <c r="H41" i="20" s="1"/>
  <c r="H42" i="20" s="1"/>
  <c r="H43" i="20" s="1"/>
  <c r="H44" i="20" s="1"/>
  <c r="BN32" i="50"/>
  <c r="BP36" i="50"/>
  <c r="BQ41" i="50"/>
  <c r="BR34" i="50"/>
  <c r="BO34" i="50"/>
  <c r="BA77" i="50"/>
  <c r="CA78" i="50"/>
  <c r="BY78" i="50"/>
  <c r="BA76" i="50"/>
  <c r="BA78" i="50"/>
  <c r="BA74" i="50"/>
  <c r="BZ78" i="50"/>
  <c r="CC76" i="50"/>
  <c r="BA73" i="50"/>
  <c r="BA80" i="50"/>
  <c r="CD78" i="50"/>
  <c r="CA73" i="50"/>
  <c r="CD81" i="50"/>
  <c r="BA75" i="50"/>
  <c r="BX78" i="50"/>
  <c r="BR71" i="50"/>
  <c r="BQ71" i="50"/>
  <c r="BQ76" i="50"/>
  <c r="BR76" i="50"/>
  <c r="BQ81" i="50"/>
  <c r="BS71" i="50"/>
  <c r="BO76" i="50"/>
  <c r="BS74" i="50"/>
  <c r="BO74" i="50"/>
  <c r="BQ74" i="50"/>
  <c r="BN74" i="50"/>
  <c r="BP74" i="50"/>
  <c r="BT76" i="50"/>
  <c r="BS76" i="50"/>
  <c r="BN76" i="50"/>
  <c r="BO71" i="50"/>
  <c r="AP75" i="50"/>
  <c r="AP71" i="50"/>
  <c r="AP74" i="50"/>
  <c r="BT81" i="50"/>
  <c r="BP77" i="50"/>
  <c r="BP81" i="50"/>
  <c r="BO72" i="50"/>
  <c r="BS72" i="50"/>
  <c r="BN77" i="50"/>
  <c r="BN72" i="50"/>
  <c r="BQ72" i="50"/>
  <c r="BP72" i="50"/>
  <c r="BR72" i="50"/>
  <c r="BO81" i="50"/>
  <c r="BR81" i="50"/>
  <c r="BT74" i="50"/>
  <c r="BQ32" i="50"/>
  <c r="BS33" i="50"/>
  <c r="BN78" i="50"/>
  <c r="BX81" i="50"/>
  <c r="BT78" i="50"/>
  <c r="BR78" i="50"/>
  <c r="BR35" i="50"/>
  <c r="BO37" i="50"/>
  <c r="BO32" i="50"/>
  <c r="BS38" i="50"/>
  <c r="CD40" i="50"/>
  <c r="I82" i="20" s="1"/>
  <c r="BT32" i="50"/>
  <c r="BN34" i="50"/>
  <c r="BQ78" i="50"/>
  <c r="BZ81" i="50"/>
  <c r="BP34" i="50"/>
  <c r="BQ34" i="50"/>
  <c r="BS37" i="50"/>
  <c r="BP78" i="50"/>
  <c r="BY79" i="50"/>
  <c r="CA77" i="50"/>
  <c r="BZ77" i="50"/>
  <c r="CC79" i="50"/>
  <c r="BZ79" i="50"/>
  <c r="CC37" i="50"/>
  <c r="BY41" i="50"/>
  <c r="BP38" i="50"/>
  <c r="BT35" i="50"/>
  <c r="BR37" i="50"/>
  <c r="BT37" i="50"/>
  <c r="BR38" i="50"/>
  <c r="BP37" i="50"/>
  <c r="CD76" i="50"/>
  <c r="CA76" i="50"/>
  <c r="BS78" i="50"/>
  <c r="CC81" i="50"/>
  <c r="BP32" i="50"/>
  <c r="BQ33" i="50"/>
  <c r="BX76" i="50"/>
  <c r="BQ38" i="50"/>
  <c r="BO33" i="50"/>
  <c r="BQ35" i="50"/>
  <c r="BY81" i="50"/>
  <c r="BS32" i="50"/>
  <c r="BN41" i="50"/>
  <c r="BN35" i="50"/>
  <c r="CD41" i="50"/>
  <c r="I83" i="20" s="1"/>
  <c r="CB81" i="50"/>
  <c r="BR80" i="50"/>
  <c r="BQ80" i="50"/>
  <c r="BO80" i="50"/>
  <c r="BN80" i="50"/>
  <c r="BP80" i="50"/>
  <c r="CC71" i="50"/>
  <c r="CB71" i="50"/>
  <c r="CA71" i="50"/>
  <c r="CD71" i="50"/>
  <c r="BS80" i="50"/>
  <c r="BP79" i="50"/>
  <c r="BO79" i="50"/>
  <c r="BX73" i="50"/>
  <c r="CC80" i="50"/>
  <c r="CD80" i="50"/>
  <c r="CB80" i="50"/>
  <c r="CA80" i="50"/>
  <c r="BZ80" i="50"/>
  <c r="BZ71" i="50"/>
  <c r="BT75" i="50"/>
  <c r="BS75" i="50"/>
  <c r="BR75" i="50"/>
  <c r="BQ75" i="50"/>
  <c r="BP75" i="50"/>
  <c r="BT79" i="50"/>
  <c r="BS79" i="50"/>
  <c r="BR79" i="50"/>
  <c r="BT80" i="50"/>
  <c r="CD73" i="50"/>
  <c r="CC73" i="50"/>
  <c r="CB73" i="50"/>
  <c r="BN75" i="50"/>
  <c r="BY71" i="50"/>
  <c r="BZ73" i="50"/>
  <c r="BQ79" i="50"/>
  <c r="BT77" i="50"/>
  <c r="BS77" i="50"/>
  <c r="BR77" i="50"/>
  <c r="BQ77" i="50"/>
  <c r="CC39" i="50"/>
  <c r="CD39" i="50"/>
  <c r="I81" i="20" s="1"/>
  <c r="BR39" i="50"/>
  <c r="BP39" i="50"/>
  <c r="CA33" i="50"/>
  <c r="CB33" i="50"/>
  <c r="CC33" i="50"/>
  <c r="CD33" i="50"/>
  <c r="I75" i="20" s="1"/>
  <c r="BP30" i="50"/>
  <c r="BY37" i="50"/>
  <c r="BS31" i="50"/>
  <c r="BN31" i="50"/>
  <c r="BQ31" i="50"/>
  <c r="BX33" i="50"/>
  <c r="C75" i="20" s="1"/>
  <c r="CB38" i="50"/>
  <c r="CD38" i="50"/>
  <c r="I80" i="20" s="1"/>
  <c r="BY38" i="50"/>
  <c r="BZ38" i="50"/>
  <c r="CA38" i="50"/>
  <c r="BR31" i="50"/>
  <c r="BT31" i="50"/>
  <c r="CC38" i="50"/>
  <c r="BN40" i="50"/>
  <c r="CC31" i="50"/>
  <c r="CD31" i="50"/>
  <c r="I73" i="20" s="1"/>
  <c r="BO39" i="50"/>
  <c r="BZ39" i="50"/>
  <c r="BZ33" i="50"/>
  <c r="BT39" i="50"/>
  <c r="BR30" i="50"/>
  <c r="BZ31" i="50"/>
  <c r="BN30" i="50"/>
  <c r="BT40" i="50"/>
  <c r="BQ40" i="50"/>
  <c r="BN39" i="50"/>
  <c r="CB39" i="50"/>
  <c r="CB30" i="50"/>
  <c r="CC30" i="50"/>
  <c r="CA30" i="50"/>
  <c r="BY30" i="50"/>
  <c r="BZ30" i="50"/>
  <c r="CB31" i="50"/>
  <c r="BR40" i="50"/>
  <c r="CB37" i="50"/>
  <c r="BY33" i="50"/>
  <c r="BQ39" i="50"/>
  <c r="BS39" i="50"/>
  <c r="BS30" i="50"/>
  <c r="BY40" i="50"/>
  <c r="CA40" i="50"/>
  <c r="BX40" i="50"/>
  <c r="C82" i="20" s="1"/>
  <c r="BX39" i="50"/>
  <c r="C81" i="20" s="1"/>
  <c r="CC40" i="50"/>
  <c r="CA39" i="50"/>
  <c r="BP41" i="50"/>
  <c r="BT41" i="50"/>
  <c r="BY31" i="50"/>
  <c r="BP33" i="50"/>
  <c r="BN33" i="50"/>
  <c r="CB40" i="50"/>
  <c r="BQ30" i="50"/>
  <c r="BS41" i="50"/>
  <c r="BO40" i="50"/>
  <c r="BX37" i="50"/>
  <c r="C79" i="20" s="1"/>
  <c r="BZ37" i="50"/>
  <c r="CA37" i="50"/>
  <c r="CC41" i="50"/>
  <c r="CA41" i="50"/>
  <c r="CB41" i="50"/>
  <c r="BZ41" i="50"/>
  <c r="BT30" i="50"/>
  <c r="BY39" i="50"/>
  <c r="BQ36" i="50"/>
  <c r="BO36" i="50"/>
  <c r="BO31" i="50"/>
  <c r="BP31" i="50"/>
  <c r="BR33" i="50"/>
  <c r="CD30" i="50"/>
  <c r="I72" i="20" s="1"/>
  <c r="BP40" i="50"/>
  <c r="CA36" i="50"/>
  <c r="CB36" i="50"/>
  <c r="BY36" i="50"/>
  <c r="BZ36" i="50"/>
  <c r="CC36" i="50"/>
  <c r="BX36" i="50"/>
  <c r="C78" i="20" s="1"/>
  <c r="CD36" i="50"/>
  <c r="I78" i="20" s="1"/>
  <c r="BZ35" i="50"/>
  <c r="CA35" i="50"/>
  <c r="CB35" i="50"/>
  <c r="CC35" i="50"/>
  <c r="BX35" i="50"/>
  <c r="C77" i="20" s="1"/>
  <c r="BY35" i="50"/>
  <c r="CD35" i="50"/>
  <c r="I77" i="20" s="1"/>
  <c r="BY34" i="50"/>
  <c r="BZ34" i="50"/>
  <c r="CA34" i="50"/>
  <c r="CB34" i="50"/>
  <c r="CC34" i="50"/>
  <c r="BX34" i="50"/>
  <c r="C76" i="20" s="1"/>
  <c r="CD34" i="50"/>
  <c r="I76" i="20" s="1"/>
  <c r="BX32" i="50"/>
  <c r="C74" i="20" s="1"/>
  <c r="BY32" i="50"/>
  <c r="BZ32" i="50"/>
  <c r="CA32" i="50"/>
  <c r="CB32" i="50"/>
  <c r="CC32" i="50"/>
  <c r="CD32" i="50"/>
  <c r="I74" i="20" s="1"/>
  <c r="BC22" i="14"/>
  <c r="BD22" i="14" s="1"/>
  <c r="BE22" i="14" s="1"/>
  <c r="G22" i="14" s="1"/>
  <c r="BC21" i="14"/>
  <c r="BD21" i="14" s="1"/>
  <c r="BE21" i="14" s="1"/>
  <c r="G21" i="14" s="1"/>
  <c r="AX21" i="14"/>
  <c r="BI21" i="14" s="1"/>
  <c r="BJ21" i="14" s="1"/>
  <c r="H21" i="14" s="1"/>
  <c r="AV23" i="14"/>
  <c r="Z25" i="14" l="1" a="1"/>
  <c r="Z25" i="14" s="1"/>
  <c r="Z26" i="14" a="1"/>
  <c r="Z26" i="14" s="1"/>
  <c r="AB26" i="14" a="1"/>
  <c r="AB26" i="14" s="1"/>
  <c r="AC24" i="14" a="1"/>
  <c r="AC24" i="14" s="1"/>
  <c r="BO114" i="50"/>
  <c r="BX125" i="50"/>
  <c r="BZ125" i="50"/>
  <c r="CB125" i="50"/>
  <c r="CA118" i="50"/>
  <c r="BR120" i="50"/>
  <c r="BS119" i="50"/>
  <c r="BQ118" i="50"/>
  <c r="BO113" i="50"/>
  <c r="BR113" i="50"/>
  <c r="CB118" i="50"/>
  <c r="BS124" i="50"/>
  <c r="BT119" i="50"/>
  <c r="BS114" i="50"/>
  <c r="BQ114" i="50"/>
  <c r="BN113" i="50"/>
  <c r="BY118" i="50"/>
  <c r="BP114" i="50"/>
  <c r="B119" i="50"/>
  <c r="BT118" i="50"/>
  <c r="BD116" i="50"/>
  <c r="C119" i="50"/>
  <c r="BT114" i="50"/>
  <c r="D124" i="50"/>
  <c r="BD114" i="50"/>
  <c r="BF116" i="50"/>
  <c r="CA125" i="50"/>
  <c r="BN112" i="50"/>
  <c r="CA123" i="50"/>
  <c r="BO124" i="50"/>
  <c r="BQ120" i="50"/>
  <c r="BP112" i="50"/>
  <c r="BE123" i="50"/>
  <c r="BQ112" i="50"/>
  <c r="BG114" i="50"/>
  <c r="BG115" i="50"/>
  <c r="BT112" i="50"/>
  <c r="D119" i="50"/>
  <c r="BQ122" i="50"/>
  <c r="BP123" i="50"/>
  <c r="BG116" i="50"/>
  <c r="H119" i="50"/>
  <c r="BQ124" i="50"/>
  <c r="CD121" i="50"/>
  <c r="BR119" i="50"/>
  <c r="F123" i="50"/>
  <c r="BO116" i="50"/>
  <c r="CC120" i="50"/>
  <c r="BI123" i="50"/>
  <c r="BF123" i="50"/>
  <c r="D123" i="50"/>
  <c r="BN125" i="50"/>
  <c r="BH124" i="50"/>
  <c r="BD125" i="50"/>
  <c r="F116" i="50"/>
  <c r="BN119" i="50"/>
  <c r="H114" i="50"/>
  <c r="BJ116" i="50"/>
  <c r="G124" i="50"/>
  <c r="BN122" i="50"/>
  <c r="BJ124" i="50"/>
  <c r="BT116" i="50"/>
  <c r="BI124" i="50"/>
  <c r="F124" i="50"/>
  <c r="BE122" i="50"/>
  <c r="C123" i="50"/>
  <c r="BF125" i="50"/>
  <c r="BG125" i="50"/>
  <c r="CD117" i="50"/>
  <c r="BS120" i="50"/>
  <c r="BH122" i="50"/>
  <c r="CD123" i="50"/>
  <c r="BP124" i="50"/>
  <c r="B125" i="50"/>
  <c r="BN123" i="50"/>
  <c r="E124" i="50"/>
  <c r="BZ119" i="50"/>
  <c r="BQ119" i="50"/>
  <c r="B120" i="50"/>
  <c r="BE114" i="50"/>
  <c r="B124" i="50"/>
  <c r="BJ122" i="50"/>
  <c r="F118" i="50"/>
  <c r="BF114" i="50"/>
  <c r="BJ114" i="50"/>
  <c r="BO119" i="50"/>
  <c r="BE119" i="50"/>
  <c r="D120" i="50"/>
  <c r="E125" i="50"/>
  <c r="BG119" i="50"/>
  <c r="G120" i="50"/>
  <c r="BH123" i="50"/>
  <c r="BG122" i="50"/>
  <c r="CD116" i="50"/>
  <c r="BZ116" i="50"/>
  <c r="CA116" i="50"/>
  <c r="CC116" i="50"/>
  <c r="BY116" i="50"/>
  <c r="BS125" i="50"/>
  <c r="BE117" i="50"/>
  <c r="H115" i="50"/>
  <c r="BP122" i="50"/>
  <c r="BO123" i="50"/>
  <c r="BI118" i="50"/>
  <c r="BD121" i="50"/>
  <c r="BF121" i="50"/>
  <c r="BN110" i="50"/>
  <c r="BJ119" i="50"/>
  <c r="BJ117" i="50"/>
  <c r="BG120" i="50"/>
  <c r="C116" i="50"/>
  <c r="BR125" i="50"/>
  <c r="BF117" i="50"/>
  <c r="BH118" i="50"/>
  <c r="BU114" i="50"/>
  <c r="BH115" i="50"/>
  <c r="BF120" i="50"/>
  <c r="BT125" i="50"/>
  <c r="BD117" i="50"/>
  <c r="C121" i="50"/>
  <c r="BH121" i="50"/>
  <c r="CD120" i="50"/>
  <c r="CA120" i="50"/>
  <c r="BY120" i="50"/>
  <c r="CB120" i="50"/>
  <c r="BZ120" i="50"/>
  <c r="BJ121" i="50"/>
  <c r="F115" i="50"/>
  <c r="B121" i="50"/>
  <c r="BT122" i="50"/>
  <c r="CC119" i="50"/>
  <c r="BY119" i="50"/>
  <c r="CD119" i="50"/>
  <c r="G117" i="50"/>
  <c r="BR115" i="50"/>
  <c r="BO115" i="50"/>
  <c r="BS115" i="50"/>
  <c r="BN115" i="50"/>
  <c r="B115" i="50"/>
  <c r="BX116" i="50"/>
  <c r="BJ115" i="50"/>
  <c r="BU117" i="50"/>
  <c r="BH119" i="50"/>
  <c r="BQ115" i="50"/>
  <c r="BP121" i="50"/>
  <c r="BQ121" i="50"/>
  <c r="D121" i="50"/>
  <c r="BI115" i="50"/>
  <c r="BG121" i="50"/>
  <c r="BO122" i="50"/>
  <c r="BJ120" i="50"/>
  <c r="D115" i="50"/>
  <c r="H117" i="50"/>
  <c r="BQ116" i="50"/>
  <c r="BR116" i="50"/>
  <c r="CB119" i="50"/>
  <c r="BO125" i="50"/>
  <c r="BO121" i="50"/>
  <c r="BO110" i="50"/>
  <c r="BS110" i="50"/>
  <c r="BT121" i="50"/>
  <c r="BE121" i="50"/>
  <c r="BX123" i="50"/>
  <c r="BY123" i="50"/>
  <c r="BZ123" i="50"/>
  <c r="CB123" i="50"/>
  <c r="E116" i="50"/>
  <c r="BN121" i="50"/>
  <c r="C120" i="50"/>
  <c r="BD120" i="50"/>
  <c r="BI119" i="50"/>
  <c r="H120" i="50"/>
  <c r="BI117" i="50"/>
  <c r="BD115" i="50"/>
  <c r="B123" i="50"/>
  <c r="E123" i="50"/>
  <c r="BS116" i="50"/>
  <c r="F125" i="50"/>
  <c r="BR110" i="50"/>
  <c r="BE120" i="50"/>
  <c r="F37" i="20"/>
  <c r="D37" i="20" s="1"/>
  <c r="J37" i="20" s="1"/>
  <c r="F48" i="20"/>
  <c r="D48" i="20" s="1"/>
  <c r="J48" i="20" s="1"/>
  <c r="F59" i="20"/>
  <c r="F38" i="20"/>
  <c r="F49" i="20"/>
  <c r="F60" i="20"/>
  <c r="F39" i="20"/>
  <c r="F50" i="20"/>
  <c r="D50" i="20" s="1"/>
  <c r="J50" i="20" s="1"/>
  <c r="F61" i="20"/>
  <c r="D61" i="20" s="1"/>
  <c r="J61" i="20" s="1"/>
  <c r="F43" i="20"/>
  <c r="D43" i="20" s="1"/>
  <c r="J43" i="20" s="1"/>
  <c r="F54" i="20"/>
  <c r="D54" i="20" s="1"/>
  <c r="J54" i="20" s="1"/>
  <c r="F44" i="20"/>
  <c r="F55" i="20"/>
  <c r="D55" i="20" s="1"/>
  <c r="J55" i="20" s="1"/>
  <c r="F42" i="20"/>
  <c r="F45" i="20"/>
  <c r="F46" i="20"/>
  <c r="F35" i="20"/>
  <c r="F56" i="20"/>
  <c r="F33" i="20"/>
  <c r="AD33" i="20" s="1"/>
  <c r="B25" i="23" s="1"/>
  <c r="F34" i="20"/>
  <c r="D34" i="20" s="1"/>
  <c r="J34" i="20" s="1"/>
  <c r="F36" i="20"/>
  <c r="D36" i="20" s="1"/>
  <c r="J36" i="20" s="1"/>
  <c r="F40" i="20"/>
  <c r="D40" i="20" s="1"/>
  <c r="J40" i="20" s="1"/>
  <c r="F41" i="20"/>
  <c r="D41" i="20" s="1"/>
  <c r="J41" i="20" s="1"/>
  <c r="F47" i="20"/>
  <c r="D47" i="20" s="1"/>
  <c r="J47" i="20" s="1"/>
  <c r="F51" i="20"/>
  <c r="F52" i="20"/>
  <c r="F53" i="20"/>
  <c r="F58" i="20"/>
  <c r="F57" i="20"/>
  <c r="BR121" i="50"/>
  <c r="G125" i="50"/>
  <c r="BH125" i="50"/>
  <c r="BF119" i="50"/>
  <c r="E114" i="50"/>
  <c r="BD118" i="50"/>
  <c r="G121" i="50"/>
  <c r="BH120" i="50"/>
  <c r="H124" i="50"/>
  <c r="G115" i="50"/>
  <c r="BT115" i="50"/>
  <c r="BO120" i="50"/>
  <c r="BP120" i="50"/>
  <c r="B114" i="50"/>
  <c r="BJ123" i="50"/>
  <c r="D125" i="50"/>
  <c r="H118" i="50"/>
  <c r="BE118" i="50"/>
  <c r="C117" i="50"/>
  <c r="BR118" i="50"/>
  <c r="BS118" i="50"/>
  <c r="CE125" i="50"/>
  <c r="B117" i="50"/>
  <c r="BR123" i="50"/>
  <c r="BQ123" i="50"/>
  <c r="C115" i="50"/>
  <c r="F121" i="50"/>
  <c r="BF115" i="50"/>
  <c r="G118" i="50"/>
  <c r="BP110" i="50"/>
  <c r="C118" i="50"/>
  <c r="CD122" i="50"/>
  <c r="CC122" i="50"/>
  <c r="BY122" i="50"/>
  <c r="CB122" i="50"/>
  <c r="BR122" i="50"/>
  <c r="BQ110" i="50"/>
  <c r="BS123" i="50"/>
  <c r="BU113" i="50"/>
  <c r="BF122" i="50"/>
  <c r="B118" i="50"/>
  <c r="H125" i="50"/>
  <c r="BG124" i="50"/>
  <c r="BE124" i="50"/>
  <c r="BP116" i="50"/>
  <c r="BD122" i="50"/>
  <c r="BG118" i="50"/>
  <c r="G116" i="50"/>
  <c r="BG117" i="50"/>
  <c r="BI125" i="50"/>
  <c r="E118" i="50"/>
  <c r="C114" i="50"/>
  <c r="BR112" i="50"/>
  <c r="BO112" i="50"/>
  <c r="BF124" i="50"/>
  <c r="E121" i="50"/>
  <c r="BH114" i="50"/>
  <c r="H116" i="50"/>
  <c r="BY117" i="50"/>
  <c r="CB117" i="50"/>
  <c r="CA117" i="50"/>
  <c r="BZ117" i="50"/>
  <c r="CC117" i="50"/>
  <c r="BY115" i="50"/>
  <c r="CB115" i="50"/>
  <c r="BZ115" i="50"/>
  <c r="CA115" i="50"/>
  <c r="CC115" i="50"/>
  <c r="CD115" i="50"/>
  <c r="BD123" i="50"/>
  <c r="BX122" i="50"/>
  <c r="E117" i="50"/>
  <c r="BT120" i="50"/>
  <c r="E119" i="50"/>
  <c r="BQ125" i="50"/>
  <c r="BX121" i="50"/>
  <c r="CB121" i="50"/>
  <c r="BZ121" i="50"/>
  <c r="CC121" i="50"/>
  <c r="CA121" i="50"/>
  <c r="F119" i="50"/>
  <c r="CA122" i="50"/>
  <c r="BE116" i="50"/>
  <c r="BH116" i="50"/>
  <c r="D116" i="50"/>
  <c r="F117" i="50"/>
  <c r="G114" i="50"/>
  <c r="E120" i="50"/>
  <c r="CB116" i="50"/>
  <c r="BJ118" i="50"/>
  <c r="CE118" i="50"/>
  <c r="BN124" i="50"/>
  <c r="BR124" i="50"/>
  <c r="BS121" i="50"/>
  <c r="BU111" i="50"/>
  <c r="CA119" i="50"/>
  <c r="BE125" i="50"/>
  <c r="H123" i="50"/>
  <c r="CE124" i="50"/>
  <c r="D114" i="50"/>
  <c r="CE114" i="50"/>
  <c r="I80" i="58"/>
  <c r="M65" i="5"/>
  <c r="X65" i="5" s="1"/>
  <c r="M59" i="5"/>
  <c r="X59" i="5" s="1"/>
  <c r="Y59" i="5" s="1"/>
  <c r="M60" i="5"/>
  <c r="X60" i="5" s="1"/>
  <c r="Y66" i="5"/>
  <c r="I73" i="58"/>
  <c r="M62" i="5"/>
  <c r="X62" i="5" s="1"/>
  <c r="M69" i="5"/>
  <c r="X69" i="5" s="1"/>
  <c r="M63" i="5"/>
  <c r="X63" i="5" s="1"/>
  <c r="M64" i="5"/>
  <c r="X64" i="5" s="1"/>
  <c r="I81" i="58"/>
  <c r="I82" i="58"/>
  <c r="H68" i="5"/>
  <c r="S68" i="5" s="1"/>
  <c r="H63" i="5"/>
  <c r="S63" i="5" s="1"/>
  <c r="I77" i="58"/>
  <c r="H69" i="5"/>
  <c r="S69" i="5" s="1"/>
  <c r="I83" i="58"/>
  <c r="I76" i="58"/>
  <c r="I75" i="58"/>
  <c r="H61" i="5"/>
  <c r="S61" i="5" s="1"/>
  <c r="Y61" i="5" s="1"/>
  <c r="Y62" i="5"/>
  <c r="I79" i="58"/>
  <c r="H64" i="5"/>
  <c r="S64" i="5" s="1"/>
  <c r="I78" i="58"/>
  <c r="H60" i="5"/>
  <c r="S60" i="5" s="1"/>
  <c r="I74" i="58"/>
  <c r="M68" i="5"/>
  <c r="X68" i="5" s="1"/>
  <c r="M61" i="5"/>
  <c r="X61" i="5" s="1"/>
  <c r="Y67" i="5"/>
  <c r="Y65" i="5"/>
  <c r="N33" i="5"/>
  <c r="I103" i="50"/>
  <c r="G122" i="50" s="1"/>
  <c r="CE75" i="50"/>
  <c r="BU70" i="50"/>
  <c r="CE70" i="50"/>
  <c r="I37" i="20"/>
  <c r="I34" i="20"/>
  <c r="I60" i="20"/>
  <c r="I49" i="20"/>
  <c r="I53" i="20"/>
  <c r="I54" i="20"/>
  <c r="I33" i="20"/>
  <c r="I42" i="20"/>
  <c r="I50" i="20"/>
  <c r="I36" i="20"/>
  <c r="I44" i="20"/>
  <c r="I48" i="20"/>
  <c r="I59" i="20"/>
  <c r="I58" i="20"/>
  <c r="I51" i="20"/>
  <c r="I61" i="20"/>
  <c r="I40" i="20"/>
  <c r="I55" i="20"/>
  <c r="I38" i="20"/>
  <c r="I46" i="20"/>
  <c r="I35" i="20"/>
  <c r="I57" i="20"/>
  <c r="I39" i="20"/>
  <c r="I52" i="20"/>
  <c r="I47" i="20"/>
  <c r="I45" i="20"/>
  <c r="I41" i="20"/>
  <c r="I43" i="20"/>
  <c r="I56" i="20"/>
  <c r="CE74" i="50"/>
  <c r="BU36" i="50"/>
  <c r="E63" i="20"/>
  <c r="BU73" i="50"/>
  <c r="G47" i="20"/>
  <c r="G46" i="20"/>
  <c r="G55" i="20"/>
  <c r="G35" i="20"/>
  <c r="G48" i="20"/>
  <c r="G34" i="20"/>
  <c r="G54" i="20"/>
  <c r="G61" i="20"/>
  <c r="G43" i="20"/>
  <c r="G58" i="20"/>
  <c r="G60" i="20"/>
  <c r="G44" i="20"/>
  <c r="G42" i="20"/>
  <c r="G49" i="20"/>
  <c r="G51" i="20"/>
  <c r="G36" i="20"/>
  <c r="G52" i="20"/>
  <c r="G45" i="20"/>
  <c r="G38" i="20"/>
  <c r="G40" i="20"/>
  <c r="G39" i="20"/>
  <c r="G33" i="20"/>
  <c r="D33" i="20" s="1"/>
  <c r="AB33" i="20" s="1"/>
  <c r="G59" i="20"/>
  <c r="G53" i="20"/>
  <c r="G41" i="20"/>
  <c r="G37" i="20"/>
  <c r="G50" i="20"/>
  <c r="G57" i="20"/>
  <c r="G56" i="20"/>
  <c r="CE77" i="50"/>
  <c r="CE72" i="50"/>
  <c r="H45" i="20"/>
  <c r="CE81" i="50"/>
  <c r="CE79" i="50"/>
  <c r="CE78" i="50"/>
  <c r="CE30" i="50"/>
  <c r="BU34" i="50"/>
  <c r="BU35" i="50"/>
  <c r="BU37" i="50"/>
  <c r="BU32" i="50"/>
  <c r="BU38" i="50"/>
  <c r="CE71" i="50"/>
  <c r="CE80" i="50"/>
  <c r="CE76" i="50"/>
  <c r="BU74" i="50"/>
  <c r="BU71" i="50"/>
  <c r="BU76" i="50"/>
  <c r="BU72" i="50"/>
  <c r="BU81" i="50"/>
  <c r="BU77" i="50"/>
  <c r="CE38" i="50"/>
  <c r="BU41" i="50"/>
  <c r="CE40" i="50"/>
  <c r="CE31" i="50"/>
  <c r="BU78" i="50"/>
  <c r="BU79" i="50"/>
  <c r="CE41" i="50"/>
  <c r="BU80" i="50"/>
  <c r="BU75" i="50"/>
  <c r="CE73" i="50"/>
  <c r="CE37" i="50"/>
  <c r="BU40" i="50"/>
  <c r="CE33" i="50"/>
  <c r="BU31" i="50"/>
  <c r="BU39" i="50"/>
  <c r="CE36" i="50"/>
  <c r="BU30" i="50"/>
  <c r="BU33" i="50"/>
  <c r="CE39" i="50"/>
  <c r="CE35" i="50"/>
  <c r="CE34" i="50"/>
  <c r="CE32" i="50"/>
  <c r="AX23" i="14"/>
  <c r="BI23" i="14" s="1"/>
  <c r="BJ23" i="14" s="1"/>
  <c r="H23" i="14" s="1"/>
  <c r="BC23" i="14"/>
  <c r="BD23" i="14" s="1"/>
  <c r="BE23" i="14" s="1"/>
  <c r="G23" i="14" s="1"/>
  <c r="AV24" i="14"/>
  <c r="D51" i="20" l="1"/>
  <c r="J51" i="20" s="1"/>
  <c r="D42" i="20"/>
  <c r="J42" i="20" s="1"/>
  <c r="D59" i="20"/>
  <c r="J59" i="20" s="1"/>
  <c r="J33" i="20"/>
  <c r="D57" i="20"/>
  <c r="J57" i="20" s="1"/>
  <c r="D56" i="20"/>
  <c r="J56" i="20" s="1"/>
  <c r="D39" i="20"/>
  <c r="J39" i="20" s="1"/>
  <c r="D58" i="20"/>
  <c r="J58" i="20" s="1"/>
  <c r="D35" i="20"/>
  <c r="J35" i="20" s="1"/>
  <c r="D60" i="20"/>
  <c r="J60" i="20" s="1"/>
  <c r="D53" i="20"/>
  <c r="J53" i="20" s="1"/>
  <c r="D46" i="20"/>
  <c r="J46" i="20" s="1"/>
  <c r="D49" i="20"/>
  <c r="J49" i="20" s="1"/>
  <c r="D44" i="20"/>
  <c r="J44" i="20" s="1"/>
  <c r="D52" i="20"/>
  <c r="J52" i="20" s="1"/>
  <c r="D45" i="20"/>
  <c r="J45" i="20" s="1"/>
  <c r="D38" i="20"/>
  <c r="J38" i="20" s="1"/>
  <c r="Z27" i="14" a="1"/>
  <c r="Z27" i="14" s="1"/>
  <c r="AB27" i="14" a="1"/>
  <c r="AB27" i="14" s="1"/>
  <c r="AC25" i="14" a="1"/>
  <c r="AC25" i="14" s="1"/>
  <c r="I117" i="50"/>
  <c r="I124" i="50"/>
  <c r="BK125" i="50"/>
  <c r="BK119" i="50"/>
  <c r="BU119" i="50"/>
  <c r="I123" i="50"/>
  <c r="I120" i="50"/>
  <c r="I116" i="50"/>
  <c r="I118" i="50"/>
  <c r="I115" i="50"/>
  <c r="I114" i="50"/>
  <c r="BK123" i="50"/>
  <c r="BK114" i="50"/>
  <c r="BU116" i="50"/>
  <c r="BK124" i="50"/>
  <c r="BK120" i="50"/>
  <c r="CE123" i="50"/>
  <c r="I125" i="50"/>
  <c r="BK117" i="50"/>
  <c r="BU124" i="50"/>
  <c r="BU121" i="50"/>
  <c r="BU115" i="50"/>
  <c r="CE122" i="50"/>
  <c r="BK116" i="50"/>
  <c r="BU118" i="50"/>
  <c r="B122" i="50"/>
  <c r="D122" i="50"/>
  <c r="C122" i="50"/>
  <c r="F122" i="50"/>
  <c r="E122" i="50"/>
  <c r="H122" i="50"/>
  <c r="BU125" i="50"/>
  <c r="CE120" i="50"/>
  <c r="CE117" i="50"/>
  <c r="BU112" i="50"/>
  <c r="CE115" i="50"/>
  <c r="BK115" i="50"/>
  <c r="BU110" i="50"/>
  <c r="CE119" i="50"/>
  <c r="CE116" i="50"/>
  <c r="CE121" i="50"/>
  <c r="Q85" i="20"/>
  <c r="BK118" i="50"/>
  <c r="BU123" i="50"/>
  <c r="BK122" i="50"/>
  <c r="BU122" i="50"/>
  <c r="BU120" i="50"/>
  <c r="BK121" i="50"/>
  <c r="Y60" i="5"/>
  <c r="Y64" i="5"/>
  <c r="Y69" i="5"/>
  <c r="Y63" i="5"/>
  <c r="Y68" i="5"/>
  <c r="I121" i="50"/>
  <c r="I119" i="50"/>
  <c r="E36" i="20"/>
  <c r="E37" i="20"/>
  <c r="E45" i="20"/>
  <c r="E38" i="20"/>
  <c r="E46" i="20"/>
  <c r="E57" i="20"/>
  <c r="E55" i="20"/>
  <c r="E39" i="20"/>
  <c r="E60" i="20"/>
  <c r="E59" i="20"/>
  <c r="E44" i="20"/>
  <c r="E35" i="20"/>
  <c r="E53" i="20"/>
  <c r="E54" i="20"/>
  <c r="E42" i="20"/>
  <c r="E56" i="20"/>
  <c r="E41" i="20"/>
  <c r="E40" i="20"/>
  <c r="E51" i="20"/>
  <c r="E49" i="20"/>
  <c r="E43" i="20"/>
  <c r="E61" i="20"/>
  <c r="E50" i="20"/>
  <c r="E52" i="20"/>
  <c r="E47" i="20"/>
  <c r="E48" i="20"/>
  <c r="E34" i="20"/>
  <c r="E58" i="20"/>
  <c r="H46" i="20"/>
  <c r="BC24" i="14"/>
  <c r="BD24" i="14" s="1"/>
  <c r="BE24" i="14" s="1"/>
  <c r="G24" i="14" s="1"/>
  <c r="AX24" i="14"/>
  <c r="BI24" i="14" s="1"/>
  <c r="BJ24" i="14" s="1"/>
  <c r="H24" i="14" s="1"/>
  <c r="AV25" i="14"/>
  <c r="Z28" i="14" l="1" a="1"/>
  <c r="Z28" i="14" s="1"/>
  <c r="AB28" i="14" a="1"/>
  <c r="AB28" i="14" s="1"/>
  <c r="AC26" i="14" a="1"/>
  <c r="AC26" i="14" s="1"/>
  <c r="I122" i="50"/>
  <c r="H47" i="20"/>
  <c r="BC25" i="14"/>
  <c r="BD25" i="14" s="1"/>
  <c r="BE25" i="14" s="1"/>
  <c r="G25" i="14" s="1"/>
  <c r="AX25" i="14"/>
  <c r="BI25" i="14" s="1"/>
  <c r="BJ25" i="14" s="1"/>
  <c r="H25" i="14" s="1"/>
  <c r="AV26" i="14"/>
  <c r="Z29" i="14" l="1" a="1"/>
  <c r="Z29" i="14" s="1"/>
  <c r="AB29" i="14" a="1"/>
  <c r="AB29" i="14" s="1"/>
  <c r="AC27" i="14" a="1"/>
  <c r="AC27" i="14" s="1"/>
  <c r="H48" i="20"/>
  <c r="BC26" i="14"/>
  <c r="BD26" i="14" s="1"/>
  <c r="BE26" i="14" s="1"/>
  <c r="G26" i="14" s="1"/>
  <c r="AX26" i="14"/>
  <c r="BI26" i="14" s="1"/>
  <c r="BJ26" i="14" s="1"/>
  <c r="H26" i="14" s="1"/>
  <c r="AV27" i="14"/>
  <c r="Z30" i="14" l="1" a="1"/>
  <c r="Z30" i="14" s="1"/>
  <c r="AB30" i="14" a="1"/>
  <c r="AB30" i="14" s="1"/>
  <c r="AC28" i="14" a="1"/>
  <c r="AC28" i="14" s="1"/>
  <c r="H49" i="20"/>
  <c r="BC27" i="14"/>
  <c r="BD27" i="14" s="1"/>
  <c r="BE27" i="14" s="1"/>
  <c r="G27" i="14" s="1"/>
  <c r="AX27" i="14"/>
  <c r="BI27" i="14" s="1"/>
  <c r="BJ27" i="14" s="1"/>
  <c r="H27" i="14" s="1"/>
  <c r="AV28" i="14"/>
  <c r="Z31" i="14" l="1" a="1"/>
  <c r="Z31" i="14" s="1"/>
  <c r="AB31" i="14" a="1"/>
  <c r="AB31" i="14" s="1"/>
  <c r="AC29" i="14" a="1"/>
  <c r="AC29" i="14" s="1"/>
  <c r="H50" i="20"/>
  <c r="AX28" i="14"/>
  <c r="BI28" i="14" s="1"/>
  <c r="BJ28" i="14" s="1"/>
  <c r="H28" i="14" s="1"/>
  <c r="BC28" i="14"/>
  <c r="BD28" i="14" s="1"/>
  <c r="BE28" i="14" s="1"/>
  <c r="G28" i="14" s="1"/>
  <c r="AV29" i="14"/>
  <c r="Z32" i="14" l="1" a="1"/>
  <c r="Z32" i="14" s="1"/>
  <c r="Z33" i="14" s="1" a="1"/>
  <c r="Z33" i="14" s="1"/>
  <c r="Z34" i="14" s="1" a="1"/>
  <c r="Z34" i="14" s="1"/>
  <c r="Z35" i="14" s="1" a="1"/>
  <c r="Z35" i="14" s="1"/>
  <c r="Z36" i="14" s="1" a="1"/>
  <c r="Z36" i="14" s="1"/>
  <c r="Z37" i="14" s="1" a="1"/>
  <c r="Z37" i="14" s="1"/>
  <c r="Z38" i="14" s="1" a="1"/>
  <c r="Z38" i="14" s="1"/>
  <c r="Z39" i="14" s="1" a="1"/>
  <c r="Z39" i="14" s="1"/>
  <c r="Z40" i="14" s="1" a="1"/>
  <c r="Z40" i="14" s="1"/>
  <c r="Z41" i="14" s="1" a="1"/>
  <c r="Z41" i="14" s="1"/>
  <c r="Z42" i="14" s="1" a="1"/>
  <c r="Z42" i="14" s="1"/>
  <c r="Z43" i="14" s="1" a="1"/>
  <c r="Z43" i="14" s="1"/>
  <c r="Z44" i="14" s="1" a="1"/>
  <c r="Z44" i="14" s="1"/>
  <c r="AB32" i="14" a="1"/>
  <c r="AB32" i="14" s="1"/>
  <c r="AC30" i="14" a="1"/>
  <c r="AC30" i="14" s="1"/>
  <c r="H51" i="20"/>
  <c r="AX29" i="14"/>
  <c r="BI29" i="14" s="1"/>
  <c r="BJ29" i="14" s="1"/>
  <c r="H29" i="14" s="1"/>
  <c r="BC29" i="14"/>
  <c r="BD29" i="14" s="1"/>
  <c r="BE29" i="14" s="1"/>
  <c r="G29" i="14" s="1"/>
  <c r="AV30" i="14"/>
  <c r="Z45" i="14" l="1" a="1"/>
  <c r="Z45" i="14" s="1"/>
  <c r="AB33" i="14" a="1"/>
  <c r="AB33" i="14" s="1"/>
  <c r="AC31" i="14" a="1"/>
  <c r="AC31" i="14" s="1"/>
  <c r="H52" i="20"/>
  <c r="AX30" i="14"/>
  <c r="BI30" i="14" s="1"/>
  <c r="BJ30" i="14" s="1"/>
  <c r="H30" i="14" s="1"/>
  <c r="BC30" i="14"/>
  <c r="BD30" i="14" s="1"/>
  <c r="BE30" i="14" s="1"/>
  <c r="G30" i="14" s="1"/>
  <c r="AV31" i="14"/>
  <c r="Z46" i="14" l="1" a="1"/>
  <c r="Z46" i="14" s="1"/>
  <c r="Z47" i="14" s="1" a="1"/>
  <c r="Z47" i="14" s="1"/>
  <c r="AB34" i="14" a="1"/>
  <c r="AB34" i="14" s="1"/>
  <c r="AC32" i="14" a="1"/>
  <c r="AC32" i="14" s="1"/>
  <c r="H53" i="20"/>
  <c r="AX31" i="14"/>
  <c r="BI31" i="14" s="1"/>
  <c r="BJ31" i="14" s="1"/>
  <c r="H31" i="14" s="1"/>
  <c r="BC31" i="14"/>
  <c r="BD31" i="14" s="1"/>
  <c r="BE31" i="14" s="1"/>
  <c r="G31" i="14" s="1"/>
  <c r="AV32" i="14"/>
  <c r="AB35" i="14" l="1" a="1"/>
  <c r="AB35" i="14" s="1"/>
  <c r="AC33" i="14" a="1"/>
  <c r="AC33" i="14" s="1"/>
  <c r="H54" i="20"/>
  <c r="BC32" i="14"/>
  <c r="BD32" i="14" s="1"/>
  <c r="BE32" i="14" s="1"/>
  <c r="G32" i="14" s="1"/>
  <c r="AX32" i="14"/>
  <c r="BI32" i="14" s="1"/>
  <c r="BJ32" i="14" s="1"/>
  <c r="H32" i="14" s="1"/>
  <c r="AV33" i="14"/>
  <c r="AB36" i="14" l="1" a="1"/>
  <c r="AB36" i="14" s="1"/>
  <c r="AC34" i="14" a="1"/>
  <c r="AC34" i="14" s="1"/>
  <c r="H55" i="20"/>
  <c r="BC33" i="14"/>
  <c r="BD33" i="14" s="1"/>
  <c r="BE33" i="14" s="1"/>
  <c r="G33" i="14" s="1"/>
  <c r="AX33" i="14"/>
  <c r="BI33" i="14" s="1"/>
  <c r="BJ33" i="14" s="1"/>
  <c r="H33" i="14" s="1"/>
  <c r="AV34" i="14"/>
  <c r="AB37" i="14" l="1" a="1"/>
  <c r="AB37" i="14" s="1"/>
  <c r="AB38" i="14" s="1" a="1"/>
  <c r="AB38" i="14" s="1"/>
  <c r="AB39" i="14" s="1" a="1"/>
  <c r="AB39" i="14" s="1"/>
  <c r="AB40" i="14" s="1" a="1"/>
  <c r="AB40" i="14" s="1"/>
  <c r="AB41" i="14" s="1" a="1"/>
  <c r="AB41" i="14" s="1"/>
  <c r="AB42" i="14" s="1" a="1"/>
  <c r="AB42" i="14" s="1"/>
  <c r="AB43" i="14" s="1" a="1"/>
  <c r="AB43" i="14" s="1"/>
  <c r="AC35" i="14" a="1"/>
  <c r="AC35" i="14" s="1"/>
  <c r="H56" i="20"/>
  <c r="BC34" i="14"/>
  <c r="BD34" i="14" s="1"/>
  <c r="BE34" i="14" s="1"/>
  <c r="G34" i="14" s="1"/>
  <c r="AX34" i="14"/>
  <c r="BI34" i="14" s="1"/>
  <c r="BJ34" i="14" s="1"/>
  <c r="H34" i="14" s="1"/>
  <c r="AV35" i="14"/>
  <c r="AB44" i="14" l="1" a="1"/>
  <c r="AB44" i="14" s="1"/>
  <c r="AB45" i="14" s="1" a="1"/>
  <c r="AB45" i="14" s="1"/>
  <c r="AC36" i="14" a="1"/>
  <c r="AC36" i="14" s="1"/>
  <c r="H57" i="20"/>
  <c r="BC35" i="14"/>
  <c r="BD35" i="14" s="1"/>
  <c r="BE35" i="14" s="1"/>
  <c r="G35" i="14" s="1"/>
  <c r="AX35" i="14"/>
  <c r="BI35" i="14" s="1"/>
  <c r="BJ35" i="14" s="1"/>
  <c r="H35" i="14" s="1"/>
  <c r="AV36" i="14"/>
  <c r="AB46" i="14" l="1" a="1"/>
  <c r="AB46" i="14" s="1"/>
  <c r="AC37" i="14" a="1"/>
  <c r="AC37" i="14" s="1"/>
  <c r="AC38" i="14" s="1" a="1"/>
  <c r="AC38" i="14" s="1"/>
  <c r="AC39" i="14" s="1" a="1"/>
  <c r="AC39" i="14" s="1"/>
  <c r="AC40" i="14" s="1" a="1"/>
  <c r="AC40" i="14" s="1"/>
  <c r="AC41" i="14" s="1" a="1"/>
  <c r="AC41" i="14" s="1"/>
  <c r="AC42" i="14" s="1" a="1"/>
  <c r="AC42" i="14" s="1"/>
  <c r="AC43" i="14" s="1" a="1"/>
  <c r="AC43" i="14" s="1"/>
  <c r="AC44" i="14" s="1" a="1"/>
  <c r="AC44" i="14" s="1"/>
  <c r="H58" i="20"/>
  <c r="BC36" i="14"/>
  <c r="BD36" i="14" s="1"/>
  <c r="BE36" i="14" s="1"/>
  <c r="G36" i="14" s="1"/>
  <c r="AX36" i="14"/>
  <c r="BI36" i="14" s="1"/>
  <c r="BJ36" i="14" s="1"/>
  <c r="H36" i="14" s="1"/>
  <c r="AV37" i="14"/>
  <c r="AC45" i="14" l="1" a="1"/>
  <c r="AC45" i="14" s="1"/>
  <c r="AC46" i="14" s="1" a="1"/>
  <c r="AC46" i="14" s="1"/>
  <c r="H59" i="20"/>
  <c r="AX37" i="14"/>
  <c r="BI37" i="14" s="1"/>
  <c r="BJ37" i="14" s="1"/>
  <c r="H37" i="14" s="1"/>
  <c r="BC37" i="14"/>
  <c r="BD37" i="14" s="1"/>
  <c r="BE37" i="14" s="1"/>
  <c r="G37" i="14" s="1"/>
  <c r="AV38" i="14"/>
  <c r="AC47" i="14" l="1" a="1"/>
  <c r="AC47" i="14" s="1"/>
  <c r="H60" i="20"/>
  <c r="AX38" i="14"/>
  <c r="BI38" i="14" s="1"/>
  <c r="BJ38" i="14" s="1"/>
  <c r="H38" i="14" s="1"/>
  <c r="BC38" i="14"/>
  <c r="BD38" i="14" s="1"/>
  <c r="BE38" i="14" s="1"/>
  <c r="G38" i="14" s="1"/>
  <c r="AV39" i="14"/>
  <c r="H61" i="20" l="1"/>
  <c r="AX39" i="14"/>
  <c r="BI39" i="14" s="1"/>
  <c r="BJ39" i="14" s="1"/>
  <c r="H39" i="14" s="1"/>
  <c r="BC39" i="14"/>
  <c r="BD39" i="14" s="1"/>
  <c r="BE39" i="14" s="1"/>
  <c r="G39" i="14" s="1"/>
  <c r="AV40" i="14"/>
  <c r="BC40" i="14" l="1"/>
  <c r="BD40" i="14" s="1"/>
  <c r="BE40" i="14" s="1"/>
  <c r="G40" i="14" s="1"/>
  <c r="AX40" i="14"/>
  <c r="BI40" i="14" s="1"/>
  <c r="BJ40" i="14" s="1"/>
  <c r="H40" i="14" s="1"/>
  <c r="AV41" i="14"/>
  <c r="BC41" i="14" l="1"/>
  <c r="BD41" i="14" s="1"/>
  <c r="BE41" i="14" s="1"/>
  <c r="G41" i="14" s="1"/>
  <c r="AX41" i="14"/>
  <c r="BI41" i="14" s="1"/>
  <c r="BJ41" i="14" s="1"/>
  <c r="H41" i="14" s="1"/>
  <c r="AV42" i="14"/>
  <c r="BC42" i="14" l="1"/>
  <c r="BD42" i="14" s="1"/>
  <c r="BE42" i="14" s="1"/>
  <c r="G42" i="14" s="1"/>
  <c r="AX42" i="14"/>
  <c r="BI42" i="14" s="1"/>
  <c r="BJ42" i="14" s="1"/>
  <c r="H42" i="14" s="1"/>
  <c r="AV43" i="14"/>
  <c r="AX43" i="14" l="1"/>
  <c r="BI43" i="14" s="1"/>
  <c r="BJ43" i="14" s="1"/>
  <c r="H43" i="14" s="1"/>
  <c r="BC43" i="14"/>
  <c r="BD43" i="14" s="1"/>
  <c r="BE43" i="14" s="1"/>
  <c r="G43" i="14" s="1"/>
  <c r="AV44" i="14"/>
  <c r="BC44" i="14" l="1"/>
  <c r="BD44" i="14" s="1"/>
  <c r="BE44" i="14" s="1"/>
  <c r="G44" i="14" s="1"/>
  <c r="AX44" i="14"/>
  <c r="BI44" i="14" s="1"/>
  <c r="BJ44" i="14" s="1"/>
  <c r="H44" i="14" s="1"/>
  <c r="AV45" i="14"/>
  <c r="BC45" i="14" l="1"/>
  <c r="BD45" i="14" s="1"/>
  <c r="BE45" i="14" s="1"/>
  <c r="G45" i="14" s="1"/>
  <c r="AX45" i="14"/>
  <c r="BI45" i="14" s="1"/>
  <c r="BJ45" i="14" s="1"/>
  <c r="H45" i="14" s="1"/>
  <c r="AV46" i="14"/>
  <c r="BC46" i="14" l="1"/>
  <c r="BD46" i="14" s="1"/>
  <c r="BE46" i="14" s="1"/>
  <c r="G46" i="14" s="1"/>
  <c r="AX46" i="14"/>
  <c r="BI46" i="14" s="1"/>
  <c r="BJ46" i="14" s="1"/>
  <c r="H46" i="14" s="1"/>
  <c r="O120" i="20"/>
  <c r="P120" i="20"/>
  <c r="Q120" i="20"/>
  <c r="R120" i="20"/>
  <c r="S120" i="20"/>
  <c r="N120" i="20"/>
  <c r="X136" i="20"/>
  <c r="B20" i="22"/>
  <c r="B21" i="22"/>
  <c r="B22" i="22"/>
  <c r="B23" i="22"/>
  <c r="B24" i="22"/>
  <c r="B19" i="22"/>
  <c r="AV8" i="10"/>
  <c r="AV9" i="10"/>
  <c r="AV10" i="10"/>
  <c r="AV11" i="10"/>
  <c r="AV12" i="10"/>
  <c r="AV13" i="10"/>
  <c r="AV14" i="10"/>
  <c r="AV15" i="10"/>
  <c r="AV16" i="10"/>
  <c r="AV17" i="10"/>
  <c r="AV18" i="10"/>
  <c r="AV19" i="10"/>
  <c r="AV20" i="10"/>
  <c r="AV21" i="10"/>
  <c r="AV22" i="10"/>
  <c r="AV7" i="10"/>
  <c r="AU8" i="10"/>
  <c r="AU9" i="10"/>
  <c r="AU10" i="10"/>
  <c r="AU11" i="10"/>
  <c r="AU12" i="10"/>
  <c r="AU13" i="10"/>
  <c r="AU14" i="10"/>
  <c r="AU15" i="10"/>
  <c r="AU16" i="10"/>
  <c r="AU17" i="10"/>
  <c r="AU18" i="10"/>
  <c r="AU19" i="10"/>
  <c r="AU20" i="10"/>
  <c r="AU21" i="10"/>
  <c r="AU22" i="10"/>
  <c r="AU7" i="10"/>
  <c r="AT8" i="10"/>
  <c r="AT9" i="10"/>
  <c r="AT10" i="10"/>
  <c r="AT11" i="10"/>
  <c r="AT12" i="10"/>
  <c r="AT13" i="10"/>
  <c r="AT14" i="10"/>
  <c r="AT15" i="10"/>
  <c r="AT16" i="10"/>
  <c r="AT17" i="10"/>
  <c r="AT18" i="10"/>
  <c r="AT19" i="10"/>
  <c r="AT20" i="10"/>
  <c r="AT21" i="10"/>
  <c r="AT22" i="10"/>
  <c r="AT7" i="10"/>
  <c r="AS8" i="10"/>
  <c r="AS9" i="10"/>
  <c r="AS10" i="10"/>
  <c r="AS11" i="10"/>
  <c r="AS12" i="10"/>
  <c r="AS13" i="10"/>
  <c r="AS14" i="10"/>
  <c r="AS15" i="10"/>
  <c r="AS16" i="10"/>
  <c r="AS17" i="10"/>
  <c r="AS18" i="10"/>
  <c r="AS19" i="10"/>
  <c r="AS20" i="10"/>
  <c r="AS21" i="10"/>
  <c r="AS22" i="10"/>
  <c r="AS7" i="10"/>
  <c r="AR8" i="10"/>
  <c r="AR9" i="10"/>
  <c r="AR10" i="10"/>
  <c r="AR11" i="10"/>
  <c r="AR12" i="10"/>
  <c r="AR13" i="10"/>
  <c r="AR14" i="10"/>
  <c r="AR15" i="10"/>
  <c r="AR16" i="10"/>
  <c r="AR17" i="10"/>
  <c r="AR18" i="10"/>
  <c r="AR19" i="10"/>
  <c r="AR20" i="10"/>
  <c r="AR21" i="10"/>
  <c r="AR22" i="10"/>
  <c r="AR7" i="10"/>
  <c r="AQ8" i="10"/>
  <c r="AQ9" i="10"/>
  <c r="AQ10" i="10"/>
  <c r="AQ11" i="10"/>
  <c r="AQ12" i="10"/>
  <c r="AQ13" i="10"/>
  <c r="AQ14" i="10"/>
  <c r="AQ15" i="10"/>
  <c r="AQ16" i="10"/>
  <c r="AQ17" i="10"/>
  <c r="AQ18" i="10"/>
  <c r="AQ19" i="10"/>
  <c r="AQ20" i="10"/>
  <c r="AQ21" i="10"/>
  <c r="AQ22" i="10"/>
  <c r="AQ7" i="10"/>
  <c r="AP8" i="10"/>
  <c r="AP9" i="10"/>
  <c r="AP10" i="10"/>
  <c r="AP11" i="10"/>
  <c r="AP12" i="10"/>
  <c r="AP13" i="10"/>
  <c r="AP14" i="10"/>
  <c r="AP15" i="10"/>
  <c r="AP16" i="10"/>
  <c r="AP17" i="10"/>
  <c r="AP18" i="10"/>
  <c r="AP19" i="10"/>
  <c r="AP20" i="10"/>
  <c r="AP21" i="10"/>
  <c r="AP22" i="10"/>
  <c r="AP7" i="10"/>
  <c r="AH131" i="20"/>
  <c r="AA14" i="14"/>
  <c r="AA15" i="14"/>
  <c r="AA16" i="14"/>
  <c r="AA17" i="14"/>
  <c r="AA18" i="14"/>
  <c r="AA13" i="14"/>
  <c r="AA12" i="14"/>
  <c r="AA11" i="14"/>
  <c r="AA10" i="14"/>
  <c r="Y14" i="14"/>
  <c r="Y15" i="14"/>
  <c r="Y16" i="14"/>
  <c r="Y17" i="14"/>
  <c r="Y18" i="14"/>
  <c r="Y13" i="14"/>
  <c r="Y12" i="14"/>
  <c r="Y11" i="14"/>
  <c r="Y10" i="14"/>
  <c r="O32" i="1"/>
  <c r="O33" i="1"/>
  <c r="O34" i="1"/>
  <c r="O35" i="1"/>
  <c r="O36" i="1"/>
  <c r="O37" i="1"/>
  <c r="O38" i="1"/>
  <c r="O39" i="1"/>
  <c r="O40" i="1"/>
  <c r="O41" i="1"/>
  <c r="O42" i="1"/>
  <c r="F42" i="1"/>
  <c r="I42" i="1" s="1"/>
  <c r="K42" i="1"/>
  <c r="L42" i="1"/>
  <c r="M42" i="1"/>
  <c r="F41" i="1"/>
  <c r="I41" i="1" s="1"/>
  <c r="M41" i="1"/>
  <c r="F40" i="1"/>
  <c r="I40" i="1" s="1"/>
  <c r="K40" i="1"/>
  <c r="L40" i="1"/>
  <c r="M40" i="1"/>
  <c r="F39" i="1"/>
  <c r="I39" i="1" s="1"/>
  <c r="J39" i="1"/>
  <c r="K39" i="1"/>
  <c r="L39" i="1"/>
  <c r="M39" i="1"/>
  <c r="F38" i="1"/>
  <c r="I38" i="1" s="1"/>
  <c r="L38" i="1"/>
  <c r="M38" i="1"/>
  <c r="M20" i="1"/>
  <c r="M21" i="1"/>
  <c r="M22" i="1"/>
  <c r="L20" i="1"/>
  <c r="L21" i="1"/>
  <c r="L22" i="1"/>
  <c r="K20" i="1"/>
  <c r="K21" i="1"/>
  <c r="K22" i="1"/>
  <c r="J20" i="1"/>
  <c r="J21" i="1"/>
  <c r="J22" i="1"/>
  <c r="I20" i="1"/>
  <c r="I21" i="1"/>
  <c r="I22" i="1"/>
  <c r="L19" i="1"/>
  <c r="I19" i="1"/>
  <c r="J19" i="1"/>
  <c r="K19" i="1"/>
  <c r="M19" i="1"/>
  <c r="I18" i="1"/>
  <c r="K18" i="1"/>
  <c r="M18" i="1"/>
  <c r="O20" i="4"/>
  <c r="O21" i="4"/>
  <c r="O22" i="4"/>
  <c r="O23" i="4"/>
  <c r="O40" i="4"/>
  <c r="O41" i="4"/>
  <c r="O42" i="4"/>
  <c r="O43" i="4"/>
  <c r="O19" i="4"/>
  <c r="O18" i="4"/>
  <c r="AH128" i="20"/>
  <c r="AH129" i="20"/>
  <c r="AH130" i="20"/>
  <c r="AH132" i="20"/>
  <c r="AH133" i="20"/>
  <c r="AH134" i="20"/>
  <c r="AH135" i="20"/>
  <c r="AH127" i="20"/>
  <c r="B30" i="52"/>
  <c r="AE118" i="50"/>
  <c r="AE119" i="50"/>
  <c r="AE120" i="50"/>
  <c r="AE121" i="50"/>
  <c r="AE122" i="50"/>
  <c r="AE123" i="50"/>
  <c r="AE124" i="50"/>
  <c r="AE125" i="50"/>
  <c r="AE117" i="50"/>
  <c r="T118" i="50"/>
  <c r="T119" i="50"/>
  <c r="T120" i="50"/>
  <c r="T121" i="50"/>
  <c r="T122" i="50"/>
  <c r="T123" i="50"/>
  <c r="T124" i="50"/>
  <c r="T125" i="50"/>
  <c r="T117" i="50"/>
  <c r="AD74" i="50"/>
  <c r="AD75" i="50"/>
  <c r="AD76" i="50"/>
  <c r="AD77" i="50"/>
  <c r="AD78" i="50"/>
  <c r="AD79" i="50"/>
  <c r="AD80" i="50"/>
  <c r="AD81" i="50"/>
  <c r="AD73" i="50"/>
  <c r="AB74" i="50"/>
  <c r="AB75" i="50"/>
  <c r="AB76" i="50"/>
  <c r="AB77" i="50"/>
  <c r="AB78" i="50"/>
  <c r="AB79" i="50"/>
  <c r="AB80" i="50"/>
  <c r="AB81" i="50"/>
  <c r="AB73" i="50"/>
  <c r="AA74" i="50"/>
  <c r="AA75" i="50"/>
  <c r="AA76" i="50"/>
  <c r="AA77" i="50"/>
  <c r="AA78" i="50"/>
  <c r="AA79" i="50"/>
  <c r="AA80" i="50"/>
  <c r="AA81" i="50"/>
  <c r="AA73" i="50"/>
  <c r="Z74" i="50"/>
  <c r="Z75" i="50"/>
  <c r="Z76" i="50"/>
  <c r="Z77" i="50"/>
  <c r="Z78" i="50"/>
  <c r="Z79" i="50"/>
  <c r="Z80" i="50"/>
  <c r="Z81" i="50"/>
  <c r="Z73" i="50"/>
  <c r="Y74" i="50"/>
  <c r="Y75" i="50"/>
  <c r="Y76" i="50"/>
  <c r="Y77" i="50"/>
  <c r="Y78" i="50"/>
  <c r="Y79" i="50"/>
  <c r="Y80" i="50"/>
  <c r="Y81" i="50"/>
  <c r="Y73" i="50"/>
  <c r="X74" i="50"/>
  <c r="X75" i="50"/>
  <c r="X76" i="50"/>
  <c r="X77" i="50"/>
  <c r="X78" i="50"/>
  <c r="X79" i="50"/>
  <c r="X80" i="50"/>
  <c r="X81" i="50"/>
  <c r="X73" i="50"/>
  <c r="W74" i="50"/>
  <c r="W75" i="50"/>
  <c r="W76" i="50"/>
  <c r="W77" i="50"/>
  <c r="W78" i="50"/>
  <c r="W79" i="50"/>
  <c r="W80" i="50"/>
  <c r="W81" i="50"/>
  <c r="W73" i="50"/>
  <c r="T77" i="50"/>
  <c r="T78" i="50"/>
  <c r="T79" i="50"/>
  <c r="T80" i="50"/>
  <c r="T81" i="50"/>
  <c r="S77" i="50"/>
  <c r="S78" i="50"/>
  <c r="S79" i="50"/>
  <c r="S80" i="50"/>
  <c r="S81" i="50"/>
  <c r="Q77" i="50"/>
  <c r="Q78" i="50"/>
  <c r="Q79" i="50"/>
  <c r="Q80" i="50"/>
  <c r="Q81" i="50"/>
  <c r="P77" i="50"/>
  <c r="P78" i="50"/>
  <c r="P79" i="50"/>
  <c r="P80" i="50"/>
  <c r="P81" i="50"/>
  <c r="O77" i="50"/>
  <c r="O78" i="50"/>
  <c r="O79" i="50"/>
  <c r="O80" i="50"/>
  <c r="O81" i="50"/>
  <c r="N77" i="50"/>
  <c r="N78" i="50"/>
  <c r="N79" i="50"/>
  <c r="N80" i="50"/>
  <c r="N81" i="50"/>
  <c r="M77" i="50"/>
  <c r="M78" i="50"/>
  <c r="M79" i="50"/>
  <c r="M80" i="50"/>
  <c r="M81" i="50"/>
  <c r="L77" i="50"/>
  <c r="L78" i="50"/>
  <c r="L79" i="50"/>
  <c r="L80" i="50"/>
  <c r="L81" i="50"/>
  <c r="T74" i="50"/>
  <c r="T75" i="50"/>
  <c r="T76" i="50"/>
  <c r="T73" i="50"/>
  <c r="S74" i="50"/>
  <c r="S75" i="50"/>
  <c r="S76" i="50"/>
  <c r="S73" i="50"/>
  <c r="Q74" i="50"/>
  <c r="Q75" i="50"/>
  <c r="Q76" i="50"/>
  <c r="Q73" i="50"/>
  <c r="P74" i="50"/>
  <c r="P75" i="50"/>
  <c r="P76" i="50"/>
  <c r="P73" i="50"/>
  <c r="O74" i="50"/>
  <c r="O75" i="50"/>
  <c r="O76" i="50"/>
  <c r="O73" i="50"/>
  <c r="N74" i="50"/>
  <c r="N75" i="50"/>
  <c r="N76" i="50"/>
  <c r="N73" i="50"/>
  <c r="M74" i="50"/>
  <c r="M75" i="50"/>
  <c r="M76" i="50"/>
  <c r="M73" i="50"/>
  <c r="L74" i="50"/>
  <c r="BD74" i="50" s="1"/>
  <c r="G74" i="50" s="1"/>
  <c r="L75" i="50"/>
  <c r="BD75" i="50" s="1"/>
  <c r="G75" i="50" s="1"/>
  <c r="L76" i="50"/>
  <c r="L73" i="50"/>
  <c r="AE34" i="50"/>
  <c r="AE35" i="50"/>
  <c r="AE36" i="50"/>
  <c r="AE37" i="50"/>
  <c r="AE38" i="50"/>
  <c r="AE39" i="50"/>
  <c r="AE40" i="50"/>
  <c r="AE41" i="50"/>
  <c r="AE33" i="50"/>
  <c r="T34" i="50"/>
  <c r="T35" i="50"/>
  <c r="T36" i="50"/>
  <c r="T37" i="50"/>
  <c r="T38" i="50"/>
  <c r="T39" i="50"/>
  <c r="T40" i="50"/>
  <c r="T41" i="50"/>
  <c r="T33" i="50"/>
  <c r="S34" i="50"/>
  <c r="BJ34" i="50" s="1"/>
  <c r="H34" i="50" s="1"/>
  <c r="S35" i="50"/>
  <c r="BJ35" i="50" s="1"/>
  <c r="H35" i="50" s="1"/>
  <c r="S36" i="50"/>
  <c r="S37" i="50"/>
  <c r="S38" i="50"/>
  <c r="S39" i="50"/>
  <c r="S40" i="50"/>
  <c r="S41" i="50"/>
  <c r="S33" i="50"/>
  <c r="BJ33" i="50" s="1"/>
  <c r="H33" i="50" s="1"/>
  <c r="Q34" i="50"/>
  <c r="BI34" i="50" s="1"/>
  <c r="F34" i="50" s="1"/>
  <c r="Q35" i="50"/>
  <c r="BI35" i="50" s="1"/>
  <c r="F35" i="50" s="1"/>
  <c r="Q36" i="50"/>
  <c r="Q37" i="50"/>
  <c r="Q38" i="50"/>
  <c r="Q39" i="50"/>
  <c r="Q40" i="50"/>
  <c r="Q41" i="50"/>
  <c r="Q33" i="50"/>
  <c r="BI33" i="50" s="1"/>
  <c r="F33" i="50" s="1"/>
  <c r="P34" i="50"/>
  <c r="BH34" i="50" s="1"/>
  <c r="E34" i="50" s="1"/>
  <c r="P35" i="50"/>
  <c r="BH35" i="50" s="1"/>
  <c r="E35" i="50" s="1"/>
  <c r="P36" i="50"/>
  <c r="P37" i="50"/>
  <c r="P38" i="50"/>
  <c r="P39" i="50"/>
  <c r="P40" i="50"/>
  <c r="P41" i="50"/>
  <c r="P33" i="50"/>
  <c r="BH33" i="50" s="1"/>
  <c r="E33" i="50" s="1"/>
  <c r="O34" i="50"/>
  <c r="BG34" i="50" s="1"/>
  <c r="D34" i="50" s="1"/>
  <c r="O35" i="50"/>
  <c r="BG35" i="50" s="1"/>
  <c r="D35" i="50" s="1"/>
  <c r="O36" i="50"/>
  <c r="O37" i="50"/>
  <c r="O38" i="50"/>
  <c r="O39" i="50"/>
  <c r="O40" i="50"/>
  <c r="O41" i="50"/>
  <c r="O33" i="50"/>
  <c r="BG33" i="50" s="1"/>
  <c r="D33" i="50" s="1"/>
  <c r="N34" i="50"/>
  <c r="BF34" i="50" s="1"/>
  <c r="C34" i="50" s="1"/>
  <c r="N35" i="50"/>
  <c r="BF35" i="50" s="1"/>
  <c r="C35" i="50" s="1"/>
  <c r="N36" i="50"/>
  <c r="N37" i="50"/>
  <c r="N38" i="50"/>
  <c r="N39" i="50"/>
  <c r="N40" i="50"/>
  <c r="N41" i="50"/>
  <c r="N33" i="50"/>
  <c r="BF33" i="50" s="1"/>
  <c r="C33" i="50" s="1"/>
  <c r="M34" i="50"/>
  <c r="BE34" i="50" s="1"/>
  <c r="M35" i="50"/>
  <c r="BE35" i="50" s="1"/>
  <c r="B35" i="50" s="1"/>
  <c r="M36" i="50"/>
  <c r="BE36" i="50" s="1"/>
  <c r="B36" i="50" s="1"/>
  <c r="M37" i="50"/>
  <c r="BE37" i="50" s="1"/>
  <c r="B37" i="50" s="1"/>
  <c r="M38" i="50"/>
  <c r="BE38" i="50" s="1"/>
  <c r="B38" i="50" s="1"/>
  <c r="M39" i="50"/>
  <c r="BE39" i="50" s="1"/>
  <c r="B39" i="50" s="1"/>
  <c r="M40" i="50"/>
  <c r="M41" i="50"/>
  <c r="M33" i="50"/>
  <c r="BE33" i="50" s="1"/>
  <c r="B33" i="50" s="1"/>
  <c r="L36" i="50"/>
  <c r="L37" i="50"/>
  <c r="L38" i="50"/>
  <c r="L39" i="50"/>
  <c r="L40" i="50"/>
  <c r="L41" i="50"/>
  <c r="L35" i="50"/>
  <c r="BD35" i="50" s="1"/>
  <c r="L34" i="50"/>
  <c r="BD34" i="50" s="1"/>
  <c r="G34" i="50" s="1"/>
  <c r="L33" i="50"/>
  <c r="BD33" i="50" s="1"/>
  <c r="L31" i="50"/>
  <c r="BD31" i="50" s="1"/>
  <c r="L30" i="50"/>
  <c r="BD30" i="50" s="1"/>
  <c r="L28" i="50"/>
  <c r="L27" i="50"/>
  <c r="L26" i="50"/>
  <c r="AH136" i="20" l="1"/>
  <c r="AU23" i="10"/>
  <c r="AF136" i="20" s="1"/>
  <c r="AU25" i="10"/>
  <c r="AU24" i="10"/>
  <c r="AG136" i="20"/>
  <c r="AE136" i="20"/>
  <c r="O69" i="4"/>
  <c r="O68" i="4"/>
  <c r="O67" i="4"/>
  <c r="O66" i="4"/>
  <c r="BJ81" i="50"/>
  <c r="H81" i="50" s="1"/>
  <c r="BJ73" i="50"/>
  <c r="H73" i="50" s="1"/>
  <c r="AF9" i="22"/>
  <c r="BD76" i="50"/>
  <c r="G76" i="50" s="1"/>
  <c r="BH79" i="50"/>
  <c r="E79" i="50" s="1"/>
  <c r="BH75" i="50"/>
  <c r="E75" i="50" s="1"/>
  <c r="BE78" i="50"/>
  <c r="B78" i="50" s="1"/>
  <c r="BG77" i="50"/>
  <c r="D77" i="50" s="1"/>
  <c r="J39" i="4" s="1"/>
  <c r="BF81" i="50"/>
  <c r="C81" i="50" s="1"/>
  <c r="BI76" i="50"/>
  <c r="F76" i="50" s="1"/>
  <c r="BF79" i="50"/>
  <c r="C79" i="50" s="1"/>
  <c r="BF76" i="50"/>
  <c r="C76" i="50" s="1"/>
  <c r="BF80" i="50"/>
  <c r="C80" i="50" s="1"/>
  <c r="BI74" i="50"/>
  <c r="F74" i="50" s="1"/>
  <c r="BF78" i="50"/>
  <c r="C78" i="50" s="1"/>
  <c r="BD73" i="50"/>
  <c r="G73" i="50" s="1"/>
  <c r="BI75" i="50"/>
  <c r="F75" i="50" s="1"/>
  <c r="BG76" i="50"/>
  <c r="D76" i="50" s="1"/>
  <c r="BI73" i="50"/>
  <c r="F73" i="50" s="1"/>
  <c r="BD80" i="50"/>
  <c r="G80" i="50" s="1"/>
  <c r="BG74" i="50"/>
  <c r="D74" i="50" s="1"/>
  <c r="BH78" i="50"/>
  <c r="E78" i="50" s="1"/>
  <c r="BG80" i="50"/>
  <c r="D80" i="50" s="1"/>
  <c r="BE73" i="50"/>
  <c r="B73" i="50" s="1"/>
  <c r="BF75" i="50"/>
  <c r="C75" i="50" s="1"/>
  <c r="BJ78" i="50"/>
  <c r="H78" i="50" s="1"/>
  <c r="BJ74" i="50"/>
  <c r="H74" i="50" s="1"/>
  <c r="BG73" i="50"/>
  <c r="D73" i="50" s="1"/>
  <c r="AE76" i="50"/>
  <c r="AE75" i="50"/>
  <c r="BJ75" i="50"/>
  <c r="H75" i="50" s="1"/>
  <c r="BI79" i="50"/>
  <c r="F79" i="50" s="1"/>
  <c r="BE75" i="50"/>
  <c r="B75" i="50" s="1"/>
  <c r="BH76" i="50"/>
  <c r="E76" i="50" s="1"/>
  <c r="BE79" i="50"/>
  <c r="B79" i="50" s="1"/>
  <c r="AE73" i="50"/>
  <c r="BF74" i="50"/>
  <c r="C74" i="50" s="1"/>
  <c r="AE77" i="50"/>
  <c r="BE74" i="50"/>
  <c r="B74" i="50" s="1"/>
  <c r="AE81" i="50"/>
  <c r="BF73" i="50"/>
  <c r="C73" i="50" s="1"/>
  <c r="BH74" i="50"/>
  <c r="E74" i="50" s="1"/>
  <c r="BE77" i="50"/>
  <c r="B77" i="50" s="1"/>
  <c r="H39" i="4" s="1"/>
  <c r="BH81" i="50"/>
  <c r="E81" i="50" s="1"/>
  <c r="AE80" i="50"/>
  <c r="AE79" i="50"/>
  <c r="AE78" i="50"/>
  <c r="BG75" i="50"/>
  <c r="D75" i="50" s="1"/>
  <c r="BJ76" i="50"/>
  <c r="H76" i="50" s="1"/>
  <c r="AE74" i="50"/>
  <c r="BE76" i="50"/>
  <c r="B76" i="50" s="1"/>
  <c r="BH73" i="50"/>
  <c r="E73" i="50" s="1"/>
  <c r="BE81" i="50"/>
  <c r="B81" i="50" s="1"/>
  <c r="BG78" i="50"/>
  <c r="D78" i="50" s="1"/>
  <c r="BI77" i="50"/>
  <c r="F77" i="50" s="1"/>
  <c r="L39" i="4" s="1"/>
  <c r="BJ80" i="50"/>
  <c r="H80" i="50" s="1"/>
  <c r="BH80" i="50"/>
  <c r="E80" i="50" s="1"/>
  <c r="BJ79" i="50"/>
  <c r="H79" i="50" s="1"/>
  <c r="BD81" i="50"/>
  <c r="G81" i="50" s="1"/>
  <c r="BI81" i="50"/>
  <c r="F81" i="50" s="1"/>
  <c r="BJ77" i="50"/>
  <c r="H77" i="50" s="1"/>
  <c r="N39" i="4" s="1"/>
  <c r="BD79" i="50"/>
  <c r="G79" i="50" s="1"/>
  <c r="BH77" i="50"/>
  <c r="E77" i="50" s="1"/>
  <c r="K39" i="4" s="1"/>
  <c r="BD78" i="50"/>
  <c r="G78" i="50" s="1"/>
  <c r="BF77" i="50"/>
  <c r="C77" i="50" s="1"/>
  <c r="I39" i="4" s="1"/>
  <c r="BD77" i="50"/>
  <c r="G77" i="50" s="1"/>
  <c r="M39" i="4" s="1"/>
  <c r="BG81" i="50"/>
  <c r="D81" i="50" s="1"/>
  <c r="BI80" i="50"/>
  <c r="F80" i="50" s="1"/>
  <c r="BE80" i="50"/>
  <c r="B80" i="50" s="1"/>
  <c r="BG79" i="50"/>
  <c r="D79" i="50" s="1"/>
  <c r="BI78" i="50"/>
  <c r="F78" i="50" s="1"/>
  <c r="BF36" i="50"/>
  <c r="C36" i="50" s="1"/>
  <c r="BI41" i="50"/>
  <c r="F41" i="50" s="1"/>
  <c r="BJ39" i="50"/>
  <c r="H39" i="50" s="1"/>
  <c r="BD41" i="50"/>
  <c r="BI40" i="50"/>
  <c r="F40" i="50" s="1"/>
  <c r="BJ38" i="50"/>
  <c r="H38" i="50" s="1"/>
  <c r="BF37" i="50"/>
  <c r="C37" i="50" s="1"/>
  <c r="BD39" i="50"/>
  <c r="BH40" i="50"/>
  <c r="E40" i="50" s="1"/>
  <c r="BI38" i="50"/>
  <c r="F38" i="50" s="1"/>
  <c r="BJ36" i="50"/>
  <c r="H36" i="50" s="1"/>
  <c r="BD38" i="50"/>
  <c r="BG41" i="50"/>
  <c r="D41" i="50" s="1"/>
  <c r="BH39" i="50"/>
  <c r="E39" i="50" s="1"/>
  <c r="BI37" i="50"/>
  <c r="F37" i="50" s="1"/>
  <c r="BD40" i="50"/>
  <c r="BH41" i="50"/>
  <c r="E41" i="50" s="1"/>
  <c r="BI39" i="50"/>
  <c r="F39" i="50" s="1"/>
  <c r="BJ37" i="50"/>
  <c r="H37" i="50" s="1"/>
  <c r="BD37" i="50"/>
  <c r="BG40" i="50"/>
  <c r="D40" i="50" s="1"/>
  <c r="BH38" i="50"/>
  <c r="E38" i="50" s="1"/>
  <c r="BI36" i="50"/>
  <c r="F36" i="50" s="1"/>
  <c r="BJ40" i="50"/>
  <c r="H40" i="50" s="1"/>
  <c r="BE41" i="50"/>
  <c r="B41" i="50" s="1"/>
  <c r="BF39" i="50"/>
  <c r="C39" i="50" s="1"/>
  <c r="BG37" i="50"/>
  <c r="D37" i="50" s="1"/>
  <c r="BD36" i="50"/>
  <c r="BF41" i="50"/>
  <c r="C41" i="50" s="1"/>
  <c r="BG39" i="50"/>
  <c r="D39" i="50" s="1"/>
  <c r="BH37" i="50"/>
  <c r="E37" i="50" s="1"/>
  <c r="G30" i="50"/>
  <c r="BF40" i="50"/>
  <c r="C40" i="50" s="1"/>
  <c r="BG38" i="50"/>
  <c r="D38" i="50" s="1"/>
  <c r="BH36" i="50"/>
  <c r="E36" i="50" s="1"/>
  <c r="G31" i="50"/>
  <c r="BE40" i="50"/>
  <c r="B40" i="50" s="1"/>
  <c r="BF38" i="50"/>
  <c r="C38" i="50" s="1"/>
  <c r="BG36" i="50"/>
  <c r="D36" i="50" s="1"/>
  <c r="BJ41" i="50"/>
  <c r="H41" i="50" s="1"/>
  <c r="G35" i="50"/>
  <c r="BK35" i="50"/>
  <c r="I35" i="50" s="1"/>
  <c r="G33" i="50"/>
  <c r="BK33" i="50"/>
  <c r="I33" i="50" s="1"/>
  <c r="B34" i="50"/>
  <c r="BK34" i="50"/>
  <c r="I34" i="50" s="1"/>
  <c r="Q86" i="20"/>
  <c r="Q97" i="20"/>
  <c r="Q108" i="20"/>
  <c r="Q112" i="20"/>
  <c r="Q103" i="20"/>
  <c r="Q94" i="20"/>
  <c r="Q106" i="20"/>
  <c r="Q87" i="20"/>
  <c r="Q98" i="20"/>
  <c r="Q109" i="20"/>
  <c r="Q84" i="20"/>
  <c r="Q105" i="20"/>
  <c r="Q88" i="20"/>
  <c r="Q99" i="20"/>
  <c r="Q110" i="20"/>
  <c r="Q101" i="20"/>
  <c r="Q102" i="20"/>
  <c r="Q95" i="20"/>
  <c r="Q89" i="20"/>
  <c r="Q100" i="20"/>
  <c r="Q111" i="20"/>
  <c r="Q104" i="20"/>
  <c r="Q90" i="20"/>
  <c r="Q91" i="20"/>
  <c r="Q92" i="20"/>
  <c r="Q93" i="20"/>
  <c r="Q96" i="20"/>
  <c r="Q107" i="20"/>
  <c r="Q46" i="20"/>
  <c r="Q57" i="20"/>
  <c r="Q40" i="20"/>
  <c r="Q51" i="20"/>
  <c r="Q42" i="20"/>
  <c r="Q37" i="20"/>
  <c r="Q47" i="20"/>
  <c r="Q58" i="20"/>
  <c r="Q41" i="20"/>
  <c r="Q61" i="20"/>
  <c r="Q35" i="20"/>
  <c r="Q53" i="20"/>
  <c r="Q44" i="20"/>
  <c r="Q48" i="20"/>
  <c r="Q59" i="20"/>
  <c r="Q33" i="20"/>
  <c r="Q60" i="20"/>
  <c r="Q50" i="20"/>
  <c r="Q36" i="20"/>
  <c r="Q43" i="20"/>
  <c r="Q38" i="20"/>
  <c r="Q49" i="20"/>
  <c r="Q34" i="20"/>
  <c r="Q52" i="20"/>
  <c r="Q54" i="20"/>
  <c r="Q55" i="20"/>
  <c r="Q45" i="20"/>
  <c r="Q56" i="20"/>
  <c r="Q39" i="20"/>
  <c r="J42" i="1"/>
  <c r="K41" i="1"/>
  <c r="J41" i="1"/>
  <c r="L41" i="1"/>
  <c r="J40" i="1"/>
  <c r="K38" i="1"/>
  <c r="J38" i="1"/>
  <c r="L18" i="1"/>
  <c r="J18" i="1"/>
  <c r="N40" i="5"/>
  <c r="N41" i="5"/>
  <c r="N42" i="5"/>
  <c r="N43" i="5"/>
  <c r="N22" i="5"/>
  <c r="N21" i="5"/>
  <c r="N20" i="5"/>
  <c r="N19" i="5"/>
  <c r="N39" i="5"/>
  <c r="N18" i="5"/>
  <c r="E33" i="5"/>
  <c r="E13" i="5"/>
  <c r="O39" i="4" l="1"/>
  <c r="O65" i="4" s="1"/>
  <c r="AF138" i="20"/>
  <c r="AG138" i="20"/>
  <c r="AE138" i="20"/>
  <c r="AF137" i="20"/>
  <c r="AE137" i="20"/>
  <c r="AG137" i="20"/>
  <c r="N66" i="5"/>
  <c r="N67" i="5"/>
  <c r="N65" i="5"/>
  <c r="N68" i="5"/>
  <c r="N69" i="5"/>
  <c r="BK75" i="50"/>
  <c r="I75" i="50" s="1"/>
  <c r="BK76" i="50"/>
  <c r="I76" i="50" s="1"/>
  <c r="BK81" i="50"/>
  <c r="I81" i="50" s="1"/>
  <c r="BK73" i="50"/>
  <c r="I73" i="50" s="1"/>
  <c r="BK74" i="50"/>
  <c r="I74" i="50" s="1"/>
  <c r="BK80" i="50"/>
  <c r="I80" i="50" s="1"/>
  <c r="BK78" i="50"/>
  <c r="I78" i="50" s="1"/>
  <c r="BK79" i="50"/>
  <c r="I79" i="50" s="1"/>
  <c r="BK77" i="50"/>
  <c r="I77" i="50" s="1"/>
  <c r="G37" i="50"/>
  <c r="BK37" i="50"/>
  <c r="I37" i="50" s="1"/>
  <c r="BK41" i="50"/>
  <c r="I41" i="50" s="1"/>
  <c r="G41" i="50"/>
  <c r="G39" i="50"/>
  <c r="BK39" i="50"/>
  <c r="I39" i="50" s="1"/>
  <c r="G36" i="50"/>
  <c r="BK36" i="50"/>
  <c r="I36" i="50" s="1"/>
  <c r="G38" i="50"/>
  <c r="BK38" i="50"/>
  <c r="I38" i="50" s="1"/>
  <c r="BK40" i="50"/>
  <c r="I40" i="50" s="1"/>
  <c r="G40" i="50"/>
  <c r="O32" i="50"/>
  <c r="BG32" i="50" s="1"/>
  <c r="D32" i="50" s="1"/>
  <c r="Y7" i="50"/>
  <c r="X3" i="14"/>
  <c r="BZ7" i="50" l="1"/>
  <c r="BF7" i="50"/>
  <c r="C7" i="50" s="1"/>
  <c r="E1" i="35"/>
  <c r="F1" i="35"/>
  <c r="G1" i="35"/>
  <c r="H1" i="35"/>
  <c r="I1" i="35"/>
  <c r="J1" i="35"/>
  <c r="K1" i="35"/>
  <c r="L1" i="35"/>
  <c r="M1" i="35"/>
  <c r="N1" i="35"/>
  <c r="O1" i="35"/>
  <c r="P1" i="35"/>
  <c r="Q1" i="35"/>
  <c r="R1" i="35"/>
  <c r="S1" i="35"/>
  <c r="T1" i="35"/>
  <c r="U1" i="35"/>
  <c r="V1" i="35"/>
  <c r="W1" i="35"/>
  <c r="X1" i="35"/>
  <c r="Y1" i="35"/>
  <c r="Z1" i="35"/>
  <c r="AA1" i="35"/>
  <c r="AB1" i="35"/>
  <c r="AC1" i="35"/>
  <c r="AD1" i="35"/>
  <c r="AE1" i="35"/>
  <c r="AF1" i="35"/>
  <c r="AG1" i="35"/>
  <c r="AH1" i="35"/>
  <c r="AI1" i="35"/>
  <c r="AJ1" i="35"/>
  <c r="AK1" i="35"/>
  <c r="AL1" i="35"/>
  <c r="C1" i="35"/>
  <c r="D1" i="35"/>
  <c r="C1" i="44" l="1"/>
  <c r="D1" i="44"/>
  <c r="E1" i="44"/>
  <c r="F1" i="44"/>
  <c r="G1" i="44"/>
  <c r="H1" i="44"/>
  <c r="I1" i="44"/>
  <c r="J1" i="44"/>
  <c r="K1" i="44"/>
  <c r="L1" i="44"/>
  <c r="M1" i="44"/>
  <c r="N1" i="44"/>
  <c r="O1" i="44"/>
  <c r="P1" i="44"/>
  <c r="Q1" i="44"/>
  <c r="R1" i="44"/>
  <c r="S1" i="44"/>
  <c r="T1" i="44"/>
  <c r="U1" i="44"/>
  <c r="V1" i="44"/>
  <c r="W1" i="44"/>
  <c r="X1" i="44"/>
  <c r="Y1" i="44"/>
  <c r="Z1" i="44"/>
  <c r="AA1" i="44"/>
  <c r="AB1" i="44"/>
  <c r="AC1" i="44"/>
  <c r="AD1" i="44"/>
  <c r="AE1" i="44"/>
  <c r="AF1" i="44"/>
  <c r="AG1" i="44"/>
  <c r="AH1" i="44"/>
  <c r="AI1" i="44"/>
  <c r="AJ1" i="44"/>
  <c r="AK1" i="44"/>
  <c r="AL1" i="44"/>
  <c r="B1" i="44"/>
  <c r="A2" i="44"/>
  <c r="A3" i="44"/>
  <c r="A4" i="44"/>
  <c r="A5" i="44"/>
  <c r="A6" i="44"/>
  <c r="A7" i="44"/>
  <c r="A1" i="44"/>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AF1" i="43"/>
  <c r="AG1" i="43"/>
  <c r="AH1" i="43"/>
  <c r="AI1" i="43"/>
  <c r="AJ1" i="43"/>
  <c r="AK1" i="43"/>
  <c r="AL1" i="43"/>
  <c r="B1" i="43"/>
  <c r="A2" i="43"/>
  <c r="A3" i="43"/>
  <c r="A4" i="43"/>
  <c r="A5" i="43"/>
  <c r="A6" i="43"/>
  <c r="A7" i="43"/>
  <c r="A1" i="43"/>
  <c r="C1" i="42"/>
  <c r="D1" i="42"/>
  <c r="E1" i="42"/>
  <c r="F1" i="42"/>
  <c r="G1" i="42"/>
  <c r="H1" i="42"/>
  <c r="I1" i="42"/>
  <c r="J1" i="42"/>
  <c r="K1" i="42"/>
  <c r="L1" i="42"/>
  <c r="M1" i="42"/>
  <c r="N1" i="42"/>
  <c r="O1" i="42"/>
  <c r="P1" i="42"/>
  <c r="Q1" i="42"/>
  <c r="R1" i="42"/>
  <c r="S1" i="42"/>
  <c r="T1" i="42"/>
  <c r="U1" i="42"/>
  <c r="V1" i="42"/>
  <c r="W1" i="42"/>
  <c r="X1" i="42"/>
  <c r="Y1" i="42"/>
  <c r="Z1" i="42"/>
  <c r="AA1" i="42"/>
  <c r="AB1" i="42"/>
  <c r="AC1" i="42"/>
  <c r="AD1" i="42"/>
  <c r="AE1" i="42"/>
  <c r="AF1" i="42"/>
  <c r="AG1" i="42"/>
  <c r="AH1" i="42"/>
  <c r="AI1" i="42"/>
  <c r="AJ1" i="42"/>
  <c r="AK1" i="42"/>
  <c r="AL1" i="42"/>
  <c r="B1" i="42"/>
  <c r="A2" i="42"/>
  <c r="A3" i="42"/>
  <c r="A4" i="42"/>
  <c r="A5" i="42"/>
  <c r="A6" i="42"/>
  <c r="A7" i="42"/>
  <c r="A1" i="42"/>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AF1" i="41"/>
  <c r="AG1" i="41"/>
  <c r="AH1" i="41"/>
  <c r="AI1" i="41"/>
  <c r="AJ1" i="41"/>
  <c r="AK1" i="41"/>
  <c r="AL1" i="41"/>
  <c r="B1" i="41"/>
  <c r="A2" i="41"/>
  <c r="A3" i="41"/>
  <c r="A4" i="41"/>
  <c r="A5" i="41"/>
  <c r="A6" i="41"/>
  <c r="A7" i="41"/>
  <c r="A1" i="41"/>
  <c r="C1" i="40"/>
  <c r="D1" i="40"/>
  <c r="E1" i="40"/>
  <c r="F1" i="40"/>
  <c r="G1" i="40"/>
  <c r="H1" i="40"/>
  <c r="I1" i="40"/>
  <c r="J1" i="40"/>
  <c r="K1" i="40"/>
  <c r="L1" i="40"/>
  <c r="M1" i="40"/>
  <c r="N1" i="40"/>
  <c r="O1" i="40"/>
  <c r="P1" i="40"/>
  <c r="Q1" i="40"/>
  <c r="R1" i="40"/>
  <c r="S1" i="40"/>
  <c r="T1" i="40"/>
  <c r="U1" i="40"/>
  <c r="V1" i="40"/>
  <c r="W1" i="40"/>
  <c r="X1" i="40"/>
  <c r="Y1" i="40"/>
  <c r="Z1" i="40"/>
  <c r="AA1" i="40"/>
  <c r="AB1" i="40"/>
  <c r="AC1" i="40"/>
  <c r="AD1" i="40"/>
  <c r="AE1" i="40"/>
  <c r="AF1" i="40"/>
  <c r="AG1" i="40"/>
  <c r="AH1" i="40"/>
  <c r="AI1" i="40"/>
  <c r="AJ1" i="40"/>
  <c r="AK1" i="40"/>
  <c r="AL1" i="40"/>
  <c r="A2" i="40"/>
  <c r="A3" i="40"/>
  <c r="A4" i="40"/>
  <c r="A5" i="40"/>
  <c r="A6" i="40"/>
  <c r="A7" i="40"/>
  <c r="B1" i="40"/>
  <c r="A1" i="40"/>
  <c r="AU16" i="53"/>
  <c r="AU17" i="53" s="1"/>
  <c r="AU18" i="53" s="1"/>
  <c r="AU19" i="53" s="1"/>
  <c r="AU20" i="53" s="1"/>
  <c r="AU21" i="53" s="1"/>
  <c r="AU22" i="53" s="1"/>
  <c r="AU23" i="53" s="1"/>
  <c r="AU24" i="53" s="1"/>
  <c r="AU25" i="53" s="1"/>
  <c r="AU26" i="53" s="1"/>
  <c r="AU27" i="53" s="1"/>
  <c r="AU28" i="53" s="1"/>
  <c r="AU29" i="53" s="1"/>
  <c r="AU30" i="53" s="1"/>
  <c r="AU31" i="53" s="1"/>
  <c r="AU32" i="53" s="1"/>
  <c r="AU33" i="53" s="1"/>
  <c r="AU34" i="53" s="1"/>
  <c r="AU35" i="53" s="1"/>
  <c r="AU36" i="53" s="1"/>
  <c r="AU37" i="53" s="1"/>
  <c r="AU38" i="53" s="1"/>
  <c r="AU39" i="53" s="1"/>
  <c r="AU40" i="53" s="1"/>
  <c r="AU41" i="53" s="1"/>
  <c r="AU42" i="53" s="1"/>
  <c r="AU43" i="53" s="1"/>
  <c r="AU44" i="53" s="1"/>
  <c r="AU45" i="53" s="1"/>
  <c r="AU46" i="53" s="1"/>
  <c r="AU47" i="53" s="1"/>
  <c r="AU48" i="53" s="1"/>
  <c r="AU49" i="53" s="1"/>
  <c r="AT16" i="53"/>
  <c r="AT17" i="53" s="1"/>
  <c r="AT18" i="53" s="1"/>
  <c r="AT19" i="53" s="1"/>
  <c r="AT20" i="53" s="1"/>
  <c r="AT21" i="53" s="1"/>
  <c r="AT22" i="53" s="1"/>
  <c r="AT23" i="53" s="1"/>
  <c r="AT24" i="53" s="1"/>
  <c r="AT25" i="53" s="1"/>
  <c r="AT26" i="53" s="1"/>
  <c r="AT27" i="53" s="1"/>
  <c r="AT28" i="53" s="1"/>
  <c r="AT29" i="53" s="1"/>
  <c r="AT30" i="53" s="1"/>
  <c r="AT31" i="53" s="1"/>
  <c r="AT32" i="53" s="1"/>
  <c r="AT33" i="53" s="1"/>
  <c r="AT34" i="53" s="1"/>
  <c r="AT35" i="53" s="1"/>
  <c r="AT36" i="53" s="1"/>
  <c r="AT37" i="53" s="1"/>
  <c r="AT38" i="53" s="1"/>
  <c r="AT39" i="53" s="1"/>
  <c r="AT40" i="53" s="1"/>
  <c r="AT41" i="53" s="1"/>
  <c r="AT42" i="53" s="1"/>
  <c r="AT43" i="53" s="1"/>
  <c r="AT44" i="53" s="1"/>
  <c r="AT45" i="53" s="1"/>
  <c r="AT46" i="53" s="1"/>
  <c r="AT47" i="53" s="1"/>
  <c r="AT48" i="53" s="1"/>
  <c r="AT49" i="53" s="1"/>
  <c r="AK16" i="53"/>
  <c r="AK17" i="53" s="1"/>
  <c r="AK18" i="53" s="1"/>
  <c r="AK19" i="53" s="1"/>
  <c r="AK20" i="53" s="1"/>
  <c r="AK21" i="53" s="1"/>
  <c r="AK22" i="53" s="1"/>
  <c r="AK23" i="53" s="1"/>
  <c r="AK24" i="53" s="1"/>
  <c r="AK25" i="53" s="1"/>
  <c r="AK26" i="53" s="1"/>
  <c r="AK27" i="53" s="1"/>
  <c r="AK28" i="53" s="1"/>
  <c r="AK29" i="53" s="1"/>
  <c r="AK30" i="53" s="1"/>
  <c r="AK31" i="53" s="1"/>
  <c r="AK32" i="53" s="1"/>
  <c r="AK33" i="53" s="1"/>
  <c r="AK34" i="53" s="1"/>
  <c r="AK35" i="53" s="1"/>
  <c r="AK36" i="53" s="1"/>
  <c r="AK37" i="53" s="1"/>
  <c r="AK38" i="53" s="1"/>
  <c r="AK39" i="53" s="1"/>
  <c r="AK40" i="53" s="1"/>
  <c r="AK41" i="53" s="1"/>
  <c r="AK42" i="53" s="1"/>
  <c r="AK43" i="53" s="1"/>
  <c r="AK44" i="53" s="1"/>
  <c r="AK45" i="53" s="1"/>
  <c r="AK46" i="53" s="1"/>
  <c r="AK47" i="53" s="1"/>
  <c r="AK48" i="53" s="1"/>
  <c r="AK49" i="53" s="1"/>
  <c r="AJ16" i="53"/>
  <c r="AJ17" i="53" s="1"/>
  <c r="AJ18" i="53" s="1"/>
  <c r="AJ19" i="53" s="1"/>
  <c r="AJ20" i="53" s="1"/>
  <c r="AJ21" i="53" s="1"/>
  <c r="AJ22" i="53" s="1"/>
  <c r="AJ23" i="53" s="1"/>
  <c r="AJ24" i="53" s="1"/>
  <c r="AJ25" i="53" s="1"/>
  <c r="AJ26" i="53" s="1"/>
  <c r="AJ27" i="53" s="1"/>
  <c r="AJ28" i="53" s="1"/>
  <c r="AJ29" i="53" s="1"/>
  <c r="AJ30" i="53" s="1"/>
  <c r="AJ31" i="53" s="1"/>
  <c r="AJ32" i="53" s="1"/>
  <c r="AJ33" i="53" s="1"/>
  <c r="AJ34" i="53" s="1"/>
  <c r="AJ35" i="53" s="1"/>
  <c r="AJ36" i="53" s="1"/>
  <c r="AJ37" i="53" s="1"/>
  <c r="AJ38" i="53" s="1"/>
  <c r="AJ39" i="53" s="1"/>
  <c r="AJ40" i="53" s="1"/>
  <c r="AJ41" i="53" s="1"/>
  <c r="AJ42" i="53" s="1"/>
  <c r="AJ43" i="53" s="1"/>
  <c r="AJ44" i="53" s="1"/>
  <c r="AJ45" i="53" s="1"/>
  <c r="AJ46" i="53" s="1"/>
  <c r="AJ47" i="53" s="1"/>
  <c r="AJ48" i="53" s="1"/>
  <c r="AJ49" i="53" s="1"/>
  <c r="AA16" i="53"/>
  <c r="AA17" i="53" s="1"/>
  <c r="AA18" i="53" s="1"/>
  <c r="AA19" i="53" s="1"/>
  <c r="AA20" i="53" s="1"/>
  <c r="AA21" i="53" s="1"/>
  <c r="AA22" i="53" s="1"/>
  <c r="AA23" i="53" s="1"/>
  <c r="AA24" i="53" s="1"/>
  <c r="AA25" i="53" s="1"/>
  <c r="AA26" i="53" s="1"/>
  <c r="AA27" i="53" s="1"/>
  <c r="AA28" i="53" s="1"/>
  <c r="AA29" i="53" s="1"/>
  <c r="AA30" i="53" s="1"/>
  <c r="AA31" i="53" s="1"/>
  <c r="AA32" i="53" s="1"/>
  <c r="AA33" i="53" s="1"/>
  <c r="AA34" i="53" s="1"/>
  <c r="AA35" i="53" s="1"/>
  <c r="AA36" i="53" s="1"/>
  <c r="AA37" i="53" s="1"/>
  <c r="AA38" i="53" s="1"/>
  <c r="AA39" i="53" s="1"/>
  <c r="AA40" i="53" s="1"/>
  <c r="AA41" i="53" s="1"/>
  <c r="AA42" i="53" s="1"/>
  <c r="AA43" i="53" s="1"/>
  <c r="AA44" i="53" s="1"/>
  <c r="AA45" i="53" s="1"/>
  <c r="AA46" i="53" s="1"/>
  <c r="AA47" i="53" s="1"/>
  <c r="AA48" i="53" s="1"/>
  <c r="AA49" i="53" s="1"/>
  <c r="Z16" i="53"/>
  <c r="Z17" i="53" s="1"/>
  <c r="Z18" i="53" s="1"/>
  <c r="Z19" i="53" s="1"/>
  <c r="Z20" i="53" s="1"/>
  <c r="Z21" i="53" s="1"/>
  <c r="Z22" i="53" s="1"/>
  <c r="Z23" i="53" s="1"/>
  <c r="Z24" i="53" s="1"/>
  <c r="Z25" i="53" s="1"/>
  <c r="Z26" i="53" s="1"/>
  <c r="Z27" i="53" s="1"/>
  <c r="Z28" i="53" s="1"/>
  <c r="Z29" i="53" s="1"/>
  <c r="Z30" i="53" s="1"/>
  <c r="Z31" i="53" s="1"/>
  <c r="Z32" i="53" s="1"/>
  <c r="Z33" i="53" s="1"/>
  <c r="Z34" i="53" s="1"/>
  <c r="Z35" i="53" s="1"/>
  <c r="Z36" i="53" s="1"/>
  <c r="Z37" i="53" s="1"/>
  <c r="Z38" i="53" s="1"/>
  <c r="Z39" i="53" s="1"/>
  <c r="Z40" i="53" s="1"/>
  <c r="Z41" i="53" s="1"/>
  <c r="Z42" i="53" s="1"/>
  <c r="Z43" i="53" s="1"/>
  <c r="Z44" i="53" s="1"/>
  <c r="Z45" i="53" s="1"/>
  <c r="Z46" i="53" s="1"/>
  <c r="Z47" i="53" s="1"/>
  <c r="Z48" i="53" s="1"/>
  <c r="Z49" i="53" s="1"/>
  <c r="Y16" i="53"/>
  <c r="Y17" i="53" s="1"/>
  <c r="Y18" i="53" s="1"/>
  <c r="Y19" i="53" s="1"/>
  <c r="Y20" i="53" s="1"/>
  <c r="Y21" i="53" s="1"/>
  <c r="Y22" i="53" s="1"/>
  <c r="Y23" i="53" s="1"/>
  <c r="Y24" i="53" s="1"/>
  <c r="Y25" i="53" s="1"/>
  <c r="Y26" i="53" s="1"/>
  <c r="Y27" i="53" s="1"/>
  <c r="Y28" i="53" s="1"/>
  <c r="Y29" i="53" s="1"/>
  <c r="Y30" i="53" s="1"/>
  <c r="Y31" i="53" s="1"/>
  <c r="Y32" i="53" s="1"/>
  <c r="Y33" i="53" s="1"/>
  <c r="Y34" i="53" s="1"/>
  <c r="Y35" i="53" s="1"/>
  <c r="Y36" i="53" s="1"/>
  <c r="Y37" i="53" s="1"/>
  <c r="Y38" i="53" s="1"/>
  <c r="Y39" i="53" s="1"/>
  <c r="Y40" i="53" s="1"/>
  <c r="Y41" i="53" s="1"/>
  <c r="Y42" i="53" s="1"/>
  <c r="Y43" i="53" s="1"/>
  <c r="Y44" i="53" s="1"/>
  <c r="Y45" i="53" s="1"/>
  <c r="Y46" i="53" s="1"/>
  <c r="Y47" i="53" s="1"/>
  <c r="Y48" i="53" s="1"/>
  <c r="Y49" i="53" s="1"/>
  <c r="X16" i="53"/>
  <c r="X17" i="53" s="1"/>
  <c r="X18" i="53" s="1"/>
  <c r="X19" i="53" s="1"/>
  <c r="X20" i="53" s="1"/>
  <c r="X21" i="53" s="1"/>
  <c r="X22" i="53" s="1"/>
  <c r="X23" i="53" s="1"/>
  <c r="X24" i="53" s="1"/>
  <c r="X25" i="53" s="1"/>
  <c r="X26" i="53" s="1"/>
  <c r="X27" i="53" s="1"/>
  <c r="X28" i="53" s="1"/>
  <c r="X29" i="53" s="1"/>
  <c r="X30" i="53" s="1"/>
  <c r="X31" i="53" s="1"/>
  <c r="X32" i="53" s="1"/>
  <c r="X33" i="53" s="1"/>
  <c r="X34" i="53" s="1"/>
  <c r="X35" i="53" s="1"/>
  <c r="X36" i="53" s="1"/>
  <c r="X37" i="53" s="1"/>
  <c r="X38" i="53" s="1"/>
  <c r="X39" i="53" s="1"/>
  <c r="X40" i="53" s="1"/>
  <c r="X41" i="53" s="1"/>
  <c r="X42" i="53" s="1"/>
  <c r="X43" i="53" s="1"/>
  <c r="X44" i="53" s="1"/>
  <c r="X45" i="53" s="1"/>
  <c r="X46" i="53" s="1"/>
  <c r="X47" i="53" s="1"/>
  <c r="X48" i="53" s="1"/>
  <c r="X49" i="53" s="1"/>
  <c r="W16" i="53"/>
  <c r="W17" i="53" s="1"/>
  <c r="W18" i="53" s="1"/>
  <c r="W19" i="53" s="1"/>
  <c r="W20" i="53" s="1"/>
  <c r="W21" i="53" s="1"/>
  <c r="W22" i="53" s="1"/>
  <c r="W23" i="53" s="1"/>
  <c r="W24" i="53" s="1"/>
  <c r="W25" i="53" s="1"/>
  <c r="W26" i="53" s="1"/>
  <c r="W27" i="53" s="1"/>
  <c r="W28" i="53" s="1"/>
  <c r="W29" i="53" s="1"/>
  <c r="W30" i="53" s="1"/>
  <c r="W31" i="53" s="1"/>
  <c r="W32" i="53" s="1"/>
  <c r="W33" i="53" s="1"/>
  <c r="W34" i="53" s="1"/>
  <c r="W35" i="53" s="1"/>
  <c r="W36" i="53" s="1"/>
  <c r="W37" i="53" s="1"/>
  <c r="W38" i="53" s="1"/>
  <c r="W39" i="53" s="1"/>
  <c r="W40" i="53" s="1"/>
  <c r="W41" i="53" s="1"/>
  <c r="W42" i="53" s="1"/>
  <c r="W43" i="53" s="1"/>
  <c r="W44" i="53" s="1"/>
  <c r="W45" i="53" s="1"/>
  <c r="W46" i="53" s="1"/>
  <c r="W47" i="53" s="1"/>
  <c r="W48" i="53" s="1"/>
  <c r="W49" i="53" s="1"/>
  <c r="V16" i="53"/>
  <c r="Q16" i="53"/>
  <c r="Q17" i="53" s="1"/>
  <c r="Q18" i="53" s="1"/>
  <c r="Q19" i="53" s="1"/>
  <c r="Q20" i="53" s="1"/>
  <c r="Q21" i="53" s="1"/>
  <c r="Q22" i="53" s="1"/>
  <c r="Q23" i="53" s="1"/>
  <c r="Q24" i="53" s="1"/>
  <c r="Q25" i="53" s="1"/>
  <c r="Q26" i="53" s="1"/>
  <c r="Q27" i="53" s="1"/>
  <c r="Q28" i="53" s="1"/>
  <c r="Q29" i="53" s="1"/>
  <c r="Q30" i="53" s="1"/>
  <c r="Q31" i="53" s="1"/>
  <c r="Q32" i="53" s="1"/>
  <c r="Q33" i="53" s="1"/>
  <c r="Q34" i="53" s="1"/>
  <c r="Q35" i="53" s="1"/>
  <c r="Q36" i="53" s="1"/>
  <c r="Q37" i="53" s="1"/>
  <c r="Q38" i="53" s="1"/>
  <c r="Q39" i="53" s="1"/>
  <c r="Q40" i="53" s="1"/>
  <c r="Q41" i="53" s="1"/>
  <c r="Q42" i="53" s="1"/>
  <c r="Q43" i="53" s="1"/>
  <c r="Q44" i="53" s="1"/>
  <c r="Q45" i="53" s="1"/>
  <c r="Q46" i="53" s="1"/>
  <c r="Q47" i="53" s="1"/>
  <c r="Q48" i="53" s="1"/>
  <c r="Q49" i="53" s="1"/>
  <c r="P16" i="53"/>
  <c r="P17" i="53" s="1"/>
  <c r="P18" i="53" s="1"/>
  <c r="P19" i="53" s="1"/>
  <c r="P20" i="53" s="1"/>
  <c r="P21" i="53" s="1"/>
  <c r="P22" i="53" s="1"/>
  <c r="P23" i="53" s="1"/>
  <c r="P24" i="53" s="1"/>
  <c r="P25" i="53" s="1"/>
  <c r="P26" i="53" s="1"/>
  <c r="P27" i="53" s="1"/>
  <c r="P28" i="53" s="1"/>
  <c r="P29" i="53" s="1"/>
  <c r="P30" i="53" s="1"/>
  <c r="P31" i="53" s="1"/>
  <c r="P32" i="53" s="1"/>
  <c r="P33" i="53" s="1"/>
  <c r="P34" i="53" s="1"/>
  <c r="P35" i="53" s="1"/>
  <c r="P36" i="53" s="1"/>
  <c r="P37" i="53" s="1"/>
  <c r="P38" i="53" s="1"/>
  <c r="P39" i="53" s="1"/>
  <c r="P40" i="53" s="1"/>
  <c r="P41" i="53" s="1"/>
  <c r="P42" i="53" s="1"/>
  <c r="P43" i="53" s="1"/>
  <c r="P44" i="53" s="1"/>
  <c r="P45" i="53" s="1"/>
  <c r="P46" i="53" s="1"/>
  <c r="P47" i="53" s="1"/>
  <c r="P48" i="53" s="1"/>
  <c r="P49" i="53" s="1"/>
  <c r="G16" i="53"/>
  <c r="G17" i="53" s="1"/>
  <c r="G18" i="53" s="1"/>
  <c r="G19" i="53" s="1"/>
  <c r="G20" i="53" s="1"/>
  <c r="G21" i="53" s="1"/>
  <c r="G22" i="53" s="1"/>
  <c r="G23" i="53" s="1"/>
  <c r="G24" i="53" s="1"/>
  <c r="G25" i="53" s="1"/>
  <c r="G26" i="53" s="1"/>
  <c r="G27" i="53" s="1"/>
  <c r="G28" i="53" s="1"/>
  <c r="G29" i="53" s="1"/>
  <c r="G30" i="53" s="1"/>
  <c r="G31" i="53" s="1"/>
  <c r="G32" i="53" s="1"/>
  <c r="G33" i="53" s="1"/>
  <c r="G34" i="53" s="1"/>
  <c r="G35" i="53" s="1"/>
  <c r="G36" i="53" s="1"/>
  <c r="G37" i="53" s="1"/>
  <c r="G38" i="53" s="1"/>
  <c r="G39" i="53" s="1"/>
  <c r="G40" i="53" s="1"/>
  <c r="G41" i="53" s="1"/>
  <c r="G42" i="53" s="1"/>
  <c r="G43" i="53" s="1"/>
  <c r="G44" i="53" s="1"/>
  <c r="G45" i="53" s="1"/>
  <c r="G46" i="53" s="1"/>
  <c r="G47" i="53" s="1"/>
  <c r="G48" i="53" s="1"/>
  <c r="G49" i="53" s="1"/>
  <c r="F16" i="53"/>
  <c r="F17" i="53" s="1"/>
  <c r="F18" i="53" s="1"/>
  <c r="F19" i="53" s="1"/>
  <c r="F20" i="53" s="1"/>
  <c r="F21" i="53" s="1"/>
  <c r="F22" i="53" s="1"/>
  <c r="F23" i="53" s="1"/>
  <c r="F24" i="53" s="1"/>
  <c r="F25" i="53" s="1"/>
  <c r="F26" i="53" s="1"/>
  <c r="F27" i="53" s="1"/>
  <c r="F28" i="53" s="1"/>
  <c r="F29" i="53" s="1"/>
  <c r="F30" i="53" s="1"/>
  <c r="F31" i="53" s="1"/>
  <c r="F32" i="53" s="1"/>
  <c r="F33" i="53" s="1"/>
  <c r="F34" i="53" s="1"/>
  <c r="F35" i="53" s="1"/>
  <c r="F36" i="53" s="1"/>
  <c r="F37" i="53" s="1"/>
  <c r="F38" i="53" s="1"/>
  <c r="F39" i="53" s="1"/>
  <c r="F40" i="53" s="1"/>
  <c r="F41" i="53" s="1"/>
  <c r="F42" i="53" s="1"/>
  <c r="F43" i="53" s="1"/>
  <c r="F44" i="53" s="1"/>
  <c r="F45" i="53" s="1"/>
  <c r="F46" i="53" s="1"/>
  <c r="F47" i="53" s="1"/>
  <c r="F48" i="53" s="1"/>
  <c r="F49" i="53" s="1"/>
  <c r="G10" i="53"/>
  <c r="F10" i="53"/>
  <c r="G9" i="53"/>
  <c r="F9" i="53"/>
  <c r="G8" i="53"/>
  <c r="F8" i="53"/>
  <c r="G7" i="53"/>
  <c r="F7" i="53"/>
  <c r="G6" i="53"/>
  <c r="F6" i="53"/>
  <c r="C1" i="39"/>
  <c r="D1" i="39"/>
  <c r="E1" i="39"/>
  <c r="F1" i="39"/>
  <c r="G1" i="39"/>
  <c r="H1" i="39"/>
  <c r="I1" i="39"/>
  <c r="J1" i="39"/>
  <c r="K1" i="39"/>
  <c r="L1" i="39"/>
  <c r="M1" i="39"/>
  <c r="N1" i="39"/>
  <c r="O1" i="39"/>
  <c r="P1" i="39"/>
  <c r="Q1" i="39"/>
  <c r="R1" i="39"/>
  <c r="S1" i="39"/>
  <c r="T1" i="39"/>
  <c r="U1" i="39"/>
  <c r="V1" i="39"/>
  <c r="W1" i="39"/>
  <c r="X1" i="39"/>
  <c r="Y1" i="39"/>
  <c r="Z1" i="39"/>
  <c r="AA1" i="39"/>
  <c r="AB1" i="39"/>
  <c r="AC1" i="39"/>
  <c r="AD1" i="39"/>
  <c r="AE1" i="39"/>
  <c r="AF1" i="39"/>
  <c r="AG1" i="39"/>
  <c r="AH1" i="39"/>
  <c r="AI1" i="39"/>
  <c r="AJ1" i="39"/>
  <c r="AK1" i="39"/>
  <c r="AL1" i="39"/>
  <c r="B1" i="39"/>
  <c r="A2" i="39"/>
  <c r="A3" i="39"/>
  <c r="A4" i="39"/>
  <c r="A5" i="39"/>
  <c r="A6" i="39"/>
  <c r="A7" i="39"/>
  <c r="A1" i="39"/>
  <c r="C1" i="38"/>
  <c r="D1" i="38"/>
  <c r="E1" i="38"/>
  <c r="F1" i="38"/>
  <c r="G1" i="38"/>
  <c r="H1" i="38"/>
  <c r="I1" i="38"/>
  <c r="J1" i="38"/>
  <c r="K1" i="38"/>
  <c r="L1" i="38"/>
  <c r="M1" i="38"/>
  <c r="N1" i="38"/>
  <c r="O1" i="38"/>
  <c r="P1" i="38"/>
  <c r="Q1" i="38"/>
  <c r="R1" i="38"/>
  <c r="S1" i="38"/>
  <c r="T1" i="38"/>
  <c r="U1" i="38"/>
  <c r="V1" i="38"/>
  <c r="W1" i="38"/>
  <c r="X1" i="38"/>
  <c r="Y1" i="38"/>
  <c r="Z1" i="38"/>
  <c r="AA1" i="38"/>
  <c r="AB1" i="38"/>
  <c r="AC1" i="38"/>
  <c r="AD1" i="38"/>
  <c r="AE1" i="38"/>
  <c r="AF1" i="38"/>
  <c r="AG1" i="38"/>
  <c r="AH1" i="38"/>
  <c r="AI1" i="38"/>
  <c r="AJ1" i="38"/>
  <c r="AK1" i="38"/>
  <c r="AL1" i="38"/>
  <c r="B1" i="38"/>
  <c r="A2" i="38"/>
  <c r="A3" i="38"/>
  <c r="A4" i="38"/>
  <c r="A5" i="38"/>
  <c r="A6" i="38"/>
  <c r="A7" i="38"/>
  <c r="A1" i="38"/>
  <c r="C1" i="32"/>
  <c r="D1" i="32"/>
  <c r="E1" i="32"/>
  <c r="F1" i="32"/>
  <c r="G1" i="32"/>
  <c r="H1" i="32"/>
  <c r="I1" i="32"/>
  <c r="J1" i="32"/>
  <c r="K1" i="32"/>
  <c r="L1" i="32"/>
  <c r="M1" i="32"/>
  <c r="N1" i="32"/>
  <c r="O1" i="32"/>
  <c r="P1" i="32"/>
  <c r="Q1" i="32"/>
  <c r="R1" i="32"/>
  <c r="S1" i="32"/>
  <c r="T1" i="32"/>
  <c r="U1" i="32"/>
  <c r="V1" i="32"/>
  <c r="W1" i="32"/>
  <c r="X1" i="32"/>
  <c r="Y1" i="32"/>
  <c r="Z1" i="32"/>
  <c r="AA1" i="32"/>
  <c r="AB1" i="32"/>
  <c r="AC1" i="32"/>
  <c r="AD1" i="32"/>
  <c r="AE1" i="32"/>
  <c r="AF1" i="32"/>
  <c r="AG1" i="32"/>
  <c r="AH1" i="32"/>
  <c r="AI1" i="32"/>
  <c r="AJ1" i="32"/>
  <c r="AK1" i="32"/>
  <c r="AL1" i="32"/>
  <c r="B1" i="32"/>
  <c r="A2" i="32"/>
  <c r="A3" i="32"/>
  <c r="A4" i="32"/>
  <c r="A5" i="32"/>
  <c r="A6" i="32"/>
  <c r="A7" i="32"/>
  <c r="A1" i="32"/>
  <c r="C1" i="33"/>
  <c r="D1" i="33"/>
  <c r="E1" i="33"/>
  <c r="F1" i="33"/>
  <c r="G1" i="33"/>
  <c r="H1" i="33"/>
  <c r="I1" i="33"/>
  <c r="J1" i="33"/>
  <c r="K1" i="33"/>
  <c r="L1" i="33"/>
  <c r="M1" i="33"/>
  <c r="N1" i="33"/>
  <c r="O1" i="33"/>
  <c r="P1" i="33"/>
  <c r="Q1" i="33"/>
  <c r="R1" i="33"/>
  <c r="S1" i="33"/>
  <c r="T1" i="33"/>
  <c r="U1" i="33"/>
  <c r="V1" i="33"/>
  <c r="W1" i="33"/>
  <c r="X1" i="33"/>
  <c r="Y1" i="33"/>
  <c r="Z1" i="33"/>
  <c r="AA1" i="33"/>
  <c r="AB1" i="33"/>
  <c r="AC1" i="33"/>
  <c r="AD1" i="33"/>
  <c r="AE1" i="33"/>
  <c r="AF1" i="33"/>
  <c r="AG1" i="33"/>
  <c r="AH1" i="33"/>
  <c r="AI1" i="33"/>
  <c r="AJ1" i="33"/>
  <c r="AK1" i="33"/>
  <c r="AL1" i="33"/>
  <c r="B1" i="33"/>
  <c r="B1" i="35"/>
  <c r="V17" i="53" l="1"/>
  <c r="V18" i="53" s="1"/>
  <c r="V19" i="53" s="1"/>
  <c r="V20" i="53" s="1"/>
  <c r="V21" i="53" s="1"/>
  <c r="V22" i="53" s="1"/>
  <c r="V23" i="53" s="1"/>
  <c r="V24" i="53" s="1"/>
  <c r="V25" i="53" s="1"/>
  <c r="V26" i="53" s="1"/>
  <c r="V27" i="53" s="1"/>
  <c r="V28" i="53" s="1"/>
  <c r="V29" i="53" s="1"/>
  <c r="V30" i="53" s="1"/>
  <c r="V31" i="53" s="1"/>
  <c r="V32" i="53" s="1"/>
  <c r="V33" i="53" s="1"/>
  <c r="V34" i="53" s="1"/>
  <c r="V35" i="53" s="1"/>
  <c r="V36" i="53" s="1"/>
  <c r="V37" i="53" s="1"/>
  <c r="V38" i="53" s="1"/>
  <c r="V39" i="53" s="1"/>
  <c r="V40" i="53" s="1"/>
  <c r="V41" i="53" s="1"/>
  <c r="V42" i="53" s="1"/>
  <c r="V43" i="53" s="1"/>
  <c r="V44" i="53" s="1"/>
  <c r="V45" i="53" s="1"/>
  <c r="V46" i="53" s="1"/>
  <c r="V47" i="53" s="1"/>
  <c r="V48" i="53" s="1"/>
  <c r="V49" i="53" s="1"/>
  <c r="C23" i="54" l="1" a="1"/>
  <c r="AT28" i="54" l="1"/>
  <c r="AP28" i="54"/>
  <c r="AL28" i="54"/>
  <c r="AH28" i="54"/>
  <c r="AD28" i="54"/>
  <c r="Z28" i="54"/>
  <c r="V28" i="54"/>
  <c r="R28" i="54"/>
  <c r="N28" i="54"/>
  <c r="J28" i="54"/>
  <c r="F28" i="54"/>
  <c r="AU27" i="54"/>
  <c r="AQ27" i="54"/>
  <c r="AM27" i="54"/>
  <c r="AI27" i="54"/>
  <c r="AE27" i="54"/>
  <c r="AA27" i="54"/>
  <c r="W27" i="54"/>
  <c r="S27" i="54"/>
  <c r="O27" i="54"/>
  <c r="K27" i="54"/>
  <c r="G27" i="54"/>
  <c r="C27" i="54"/>
  <c r="AR26" i="54"/>
  <c r="AN26" i="54"/>
  <c r="AJ26" i="54"/>
  <c r="AF26" i="54"/>
  <c r="AB26" i="54"/>
  <c r="X26" i="54"/>
  <c r="T26" i="54"/>
  <c r="P26" i="54"/>
  <c r="L26" i="54"/>
  <c r="H26" i="54"/>
  <c r="D26" i="54"/>
  <c r="AS25" i="54"/>
  <c r="AO25" i="54"/>
  <c r="AK25" i="54"/>
  <c r="AG25" i="54"/>
  <c r="AC25" i="54"/>
  <c r="Y25" i="54"/>
  <c r="U25" i="54"/>
  <c r="Q25" i="54"/>
  <c r="M25" i="54"/>
  <c r="I25" i="54"/>
  <c r="E25" i="54"/>
  <c r="AT24" i="54"/>
  <c r="AP24" i="54"/>
  <c r="AL24" i="54"/>
  <c r="AH24" i="54"/>
  <c r="AD24" i="54"/>
  <c r="Z24" i="54"/>
  <c r="V24" i="54"/>
  <c r="R24" i="54"/>
  <c r="N24" i="54"/>
  <c r="J24" i="54"/>
  <c r="F24" i="54"/>
  <c r="AU23" i="54"/>
  <c r="AQ23" i="54"/>
  <c r="AM23" i="54"/>
  <c r="AI23" i="54"/>
  <c r="AE23" i="54"/>
  <c r="AA23" i="54"/>
  <c r="W23" i="54"/>
  <c r="S23" i="54"/>
  <c r="O23" i="54"/>
  <c r="K23" i="54"/>
  <c r="G23" i="54"/>
  <c r="C23" i="54"/>
  <c r="AS28" i="54"/>
  <c r="AO28" i="54"/>
  <c r="AK28" i="54"/>
  <c r="AG28" i="54"/>
  <c r="AC28" i="54"/>
  <c r="Y28" i="54"/>
  <c r="U28" i="54"/>
  <c r="Q28" i="54"/>
  <c r="M28" i="54"/>
  <c r="I28" i="54"/>
  <c r="E28" i="54"/>
  <c r="AT27" i="54"/>
  <c r="AP27" i="54"/>
  <c r="AL27" i="54"/>
  <c r="AH27" i="54"/>
  <c r="AD27" i="54"/>
  <c r="Z27" i="54"/>
  <c r="V27" i="54"/>
  <c r="R27" i="54"/>
  <c r="N27" i="54"/>
  <c r="J27" i="54"/>
  <c r="F27" i="54"/>
  <c r="AU26" i="54"/>
  <c r="AQ26" i="54"/>
  <c r="AM26" i="54"/>
  <c r="AI26" i="54"/>
  <c r="AE26" i="54"/>
  <c r="AA26" i="54"/>
  <c r="W26" i="54"/>
  <c r="S26" i="54"/>
  <c r="O26" i="54"/>
  <c r="K26" i="54"/>
  <c r="G26" i="54"/>
  <c r="C26" i="54"/>
  <c r="AR25" i="54"/>
  <c r="AN25" i="54"/>
  <c r="AJ25" i="54"/>
  <c r="AF25" i="54"/>
  <c r="AB25" i="54"/>
  <c r="X25" i="54"/>
  <c r="T25" i="54"/>
  <c r="P25" i="54"/>
  <c r="L25" i="54"/>
  <c r="H25" i="54"/>
  <c r="D25" i="54"/>
  <c r="AS24" i="54"/>
  <c r="AO24" i="54"/>
  <c r="AK24" i="54"/>
  <c r="AG24" i="54"/>
  <c r="AC24" i="54"/>
  <c r="Y24" i="54"/>
  <c r="U24" i="54"/>
  <c r="Q24" i="54"/>
  <c r="M24" i="54"/>
  <c r="I24" i="54"/>
  <c r="E24" i="54"/>
  <c r="AT23" i="54"/>
  <c r="AP23" i="54"/>
  <c r="AL23" i="54"/>
  <c r="AH23" i="54"/>
  <c r="AD23" i="54"/>
  <c r="Z23" i="54"/>
  <c r="V23" i="54"/>
  <c r="R23" i="54"/>
  <c r="N23" i="54"/>
  <c r="J23" i="54"/>
  <c r="F23" i="54"/>
  <c r="AR28" i="54"/>
  <c r="AJ28" i="54"/>
  <c r="AB28" i="54"/>
  <c r="T28" i="54"/>
  <c r="L28" i="54"/>
  <c r="D28" i="54"/>
  <c r="AO27" i="54"/>
  <c r="AG27" i="54"/>
  <c r="Y27" i="54"/>
  <c r="Q27" i="54"/>
  <c r="I27" i="54"/>
  <c r="AT26" i="54"/>
  <c r="AL26" i="54"/>
  <c r="AD26" i="54"/>
  <c r="V26" i="54"/>
  <c r="N26" i="54"/>
  <c r="F26" i="54"/>
  <c r="AQ25" i="54"/>
  <c r="AI25" i="54"/>
  <c r="AA25" i="54"/>
  <c r="S25" i="54"/>
  <c r="K25" i="54"/>
  <c r="C25" i="54"/>
  <c r="AN24" i="54"/>
  <c r="AF24" i="54"/>
  <c r="X24" i="54"/>
  <c r="P24" i="54"/>
  <c r="H24" i="54"/>
  <c r="AS23" i="54"/>
  <c r="AK23" i="54"/>
  <c r="AC23" i="54"/>
  <c r="U23" i="54"/>
  <c r="M23" i="54"/>
  <c r="E23" i="54"/>
  <c r="AQ28" i="54"/>
  <c r="AI28" i="54"/>
  <c r="AA28" i="54"/>
  <c r="S28" i="54"/>
  <c r="K28" i="54"/>
  <c r="C28" i="54"/>
  <c r="AN27" i="54"/>
  <c r="AF27" i="54"/>
  <c r="X27" i="54"/>
  <c r="P27" i="54"/>
  <c r="H27" i="54"/>
  <c r="AS26" i="54"/>
  <c r="AK26" i="54"/>
  <c r="AC26" i="54"/>
  <c r="U26" i="54"/>
  <c r="M26" i="54"/>
  <c r="E26" i="54"/>
  <c r="AP25" i="54"/>
  <c r="AH25" i="54"/>
  <c r="Z25" i="54"/>
  <c r="R25" i="54"/>
  <c r="J25" i="54"/>
  <c r="AU24" i="54"/>
  <c r="AM24" i="54"/>
  <c r="AE24" i="54"/>
  <c r="W24" i="54"/>
  <c r="O24" i="54"/>
  <c r="G24" i="54"/>
  <c r="AR23" i="54"/>
  <c r="AJ23" i="54"/>
  <c r="AB23" i="54"/>
  <c r="T23" i="54"/>
  <c r="L23" i="54"/>
  <c r="D23" i="54"/>
  <c r="AN28" i="54"/>
  <c r="AF28" i="54"/>
  <c r="X28" i="54"/>
  <c r="P28" i="54"/>
  <c r="H28" i="54"/>
  <c r="AS27" i="54"/>
  <c r="AK27" i="54"/>
  <c r="AC27" i="54"/>
  <c r="U27" i="54"/>
  <c r="M27" i="54"/>
  <c r="E27" i="54"/>
  <c r="AP26" i="54"/>
  <c r="AH26" i="54"/>
  <c r="Z26" i="54"/>
  <c r="R26" i="54"/>
  <c r="J26" i="54"/>
  <c r="AU25" i="54"/>
  <c r="AM25" i="54"/>
  <c r="AE25" i="54"/>
  <c r="W25" i="54"/>
  <c r="O25" i="54"/>
  <c r="G25" i="54"/>
  <c r="AR24" i="54"/>
  <c r="AJ24" i="54"/>
  <c r="AB24" i="54"/>
  <c r="T24" i="54"/>
  <c r="L24" i="54"/>
  <c r="D24" i="54"/>
  <c r="AO23" i="54"/>
  <c r="AG23" i="54"/>
  <c r="Y23" i="54"/>
  <c r="Q23" i="54"/>
  <c r="I23" i="54"/>
  <c r="AU28" i="54"/>
  <c r="AM28" i="54"/>
  <c r="AE28" i="54"/>
  <c r="W28" i="54"/>
  <c r="O28" i="54"/>
  <c r="G28" i="54"/>
  <c r="AR27" i="54"/>
  <c r="AJ27" i="54"/>
  <c r="AB27" i="54"/>
  <c r="T27" i="54"/>
  <c r="L27" i="54"/>
  <c r="D27" i="54"/>
  <c r="AO26" i="54"/>
  <c r="AG26" i="54"/>
  <c r="Y26" i="54"/>
  <c r="Q26" i="54"/>
  <c r="I26" i="54"/>
  <c r="AT25" i="54"/>
  <c r="AL25" i="54"/>
  <c r="AD25" i="54"/>
  <c r="V25" i="54"/>
  <c r="N25" i="54"/>
  <c r="F25" i="54"/>
  <c r="AQ24" i="54"/>
  <c r="AI24" i="54"/>
  <c r="AA24" i="54"/>
  <c r="S24" i="54"/>
  <c r="K24" i="54"/>
  <c r="C24" i="54"/>
  <c r="AN23" i="54"/>
  <c r="AF23" i="54"/>
  <c r="X23" i="54"/>
  <c r="P23" i="54"/>
  <c r="H23" i="54"/>
  <c r="B9" i="22" l="1"/>
  <c r="AB120" i="20"/>
  <c r="AD8" i="10" l="1"/>
  <c r="AD9" i="10"/>
  <c r="AD10" i="10"/>
  <c r="AD11" i="10"/>
  <c r="AD12" i="10"/>
  <c r="AD13" i="10"/>
  <c r="AD14" i="10"/>
  <c r="AD15" i="10"/>
  <c r="AD16" i="10"/>
  <c r="AD17" i="10"/>
  <c r="AD7" i="10"/>
  <c r="AO4" i="14"/>
  <c r="T8" i="10" s="1"/>
  <c r="AO5" i="14"/>
  <c r="AO6" i="14"/>
  <c r="T10" i="10" s="1"/>
  <c r="AO7" i="14"/>
  <c r="T11" i="10" s="1"/>
  <c r="AO8" i="14"/>
  <c r="T12" i="10" s="1"/>
  <c r="AO9" i="14"/>
  <c r="AO10" i="14"/>
  <c r="T14" i="10" s="1"/>
  <c r="AO11" i="14"/>
  <c r="AO12" i="14"/>
  <c r="T16" i="10" s="1"/>
  <c r="AO13" i="14"/>
  <c r="AO3" i="14"/>
  <c r="T7" i="10" s="1"/>
  <c r="AJ65" i="52"/>
  <c r="AJ64" i="52"/>
  <c r="AJ63" i="52"/>
  <c r="V62" i="52"/>
  <c r="U62" i="52"/>
  <c r="AP61" i="52"/>
  <c r="AO61" i="52"/>
  <c r="U61" i="52"/>
  <c r="W61" i="52" s="1"/>
  <c r="T61" i="52"/>
  <c r="AP60" i="52"/>
  <c r="AO60" i="52"/>
  <c r="AI60" i="52"/>
  <c r="AG60" i="52"/>
  <c r="AC60" i="52"/>
  <c r="AE60" i="52" s="1"/>
  <c r="U60" i="52"/>
  <c r="W60" i="52" s="1"/>
  <c r="T60" i="52"/>
  <c r="AP59" i="52"/>
  <c r="AO59" i="52"/>
  <c r="AI59" i="52"/>
  <c r="AG59" i="52"/>
  <c r="AC59" i="52"/>
  <c r="AJ59" i="52" s="1"/>
  <c r="U59" i="52"/>
  <c r="W59" i="52" s="1"/>
  <c r="T59" i="52"/>
  <c r="AP58" i="52"/>
  <c r="AO58" i="52"/>
  <c r="AI58" i="52"/>
  <c r="AG58" i="52"/>
  <c r="AC58" i="52"/>
  <c r="AE58" i="52" s="1"/>
  <c r="U58" i="52"/>
  <c r="W58" i="52" s="1"/>
  <c r="T58" i="52"/>
  <c r="AP57" i="52"/>
  <c r="AO57" i="52"/>
  <c r="AI57" i="52"/>
  <c r="AG57" i="52"/>
  <c r="AC57" i="52"/>
  <c r="U57" i="52"/>
  <c r="W57" i="52" s="1"/>
  <c r="T57" i="52"/>
  <c r="AP56" i="52"/>
  <c r="AO56" i="52"/>
  <c r="AI56" i="52"/>
  <c r="AG56" i="52"/>
  <c r="AC56" i="52"/>
  <c r="AJ56" i="52" s="1"/>
  <c r="U56" i="52"/>
  <c r="W56" i="52" s="1"/>
  <c r="T56" i="52"/>
  <c r="AP55" i="52"/>
  <c r="AO55" i="52"/>
  <c r="U55" i="52"/>
  <c r="W55" i="52" s="1"/>
  <c r="T55" i="52"/>
  <c r="V54" i="52"/>
  <c r="U54" i="52"/>
  <c r="V53" i="52"/>
  <c r="U53" i="52"/>
  <c r="B53" i="52"/>
  <c r="V52" i="52"/>
  <c r="U52" i="52"/>
  <c r="B52" i="52"/>
  <c r="V51" i="52"/>
  <c r="D51" i="52"/>
  <c r="P45" i="52"/>
  <c r="F45" i="52"/>
  <c r="AP43" i="52"/>
  <c r="AP42" i="52"/>
  <c r="V41" i="52"/>
  <c r="T41" i="52"/>
  <c r="O41" i="52"/>
  <c r="C41" i="52"/>
  <c r="AN41" i="52" s="1"/>
  <c r="AP40" i="52"/>
  <c r="AO40" i="52"/>
  <c r="AE40" i="52"/>
  <c r="AD40" i="52"/>
  <c r="V40" i="52"/>
  <c r="T40" i="52"/>
  <c r="O40" i="52"/>
  <c r="AP39" i="52"/>
  <c r="AO39" i="52"/>
  <c r="AE39" i="52"/>
  <c r="AD39" i="52"/>
  <c r="V39" i="52"/>
  <c r="T39" i="52"/>
  <c r="O39" i="52"/>
  <c r="AP38" i="52"/>
  <c r="AO38" i="52"/>
  <c r="AE38" i="52"/>
  <c r="AD38" i="52"/>
  <c r="AJ38" i="52" s="1"/>
  <c r="V38" i="52"/>
  <c r="T38" i="52"/>
  <c r="O38" i="52"/>
  <c r="AP37" i="52"/>
  <c r="AO37" i="52"/>
  <c r="AE37" i="52"/>
  <c r="AD37" i="52"/>
  <c r="V37" i="52"/>
  <c r="T37" i="52"/>
  <c r="O37" i="52"/>
  <c r="AP36" i="52"/>
  <c r="AO36" i="52"/>
  <c r="AE36" i="52"/>
  <c r="AD36" i="52"/>
  <c r="V36" i="52"/>
  <c r="T36" i="52"/>
  <c r="O36" i="52"/>
  <c r="AP35" i="52"/>
  <c r="AO35" i="52"/>
  <c r="AE35" i="52"/>
  <c r="AD35" i="52"/>
  <c r="V35" i="52"/>
  <c r="T35" i="52"/>
  <c r="O35" i="52"/>
  <c r="AP34" i="52"/>
  <c r="AO34" i="52"/>
  <c r="AE34" i="52"/>
  <c r="AD34" i="52"/>
  <c r="AJ34" i="52" s="1"/>
  <c r="V34" i="52"/>
  <c r="T34" i="52"/>
  <c r="O34" i="52"/>
  <c r="V33" i="52"/>
  <c r="S33" i="52"/>
  <c r="R33" i="52"/>
  <c r="Q33" i="52"/>
  <c r="N33" i="52"/>
  <c r="M33" i="52"/>
  <c r="L33" i="52"/>
  <c r="K33" i="52"/>
  <c r="I33" i="52"/>
  <c r="H33" i="52"/>
  <c r="G33" i="52"/>
  <c r="C33" i="52"/>
  <c r="AP32" i="52"/>
  <c r="V32" i="52"/>
  <c r="T32" i="52"/>
  <c r="X32" i="52" s="1"/>
  <c r="O32" i="52"/>
  <c r="D32" i="52"/>
  <c r="B32" i="52"/>
  <c r="V31" i="52"/>
  <c r="R31" i="52"/>
  <c r="Q31" i="52"/>
  <c r="N31" i="52"/>
  <c r="N30" i="52" s="1"/>
  <c r="M31" i="52"/>
  <c r="M30" i="52" s="1"/>
  <c r="M45" i="52" s="1"/>
  <c r="L31" i="52"/>
  <c r="K31" i="52"/>
  <c r="K30" i="52" s="1"/>
  <c r="H31" i="52"/>
  <c r="G31" i="52"/>
  <c r="C31" i="52"/>
  <c r="B31" i="52"/>
  <c r="AM32" i="52" s="1"/>
  <c r="V30" i="52"/>
  <c r="S30" i="52"/>
  <c r="S45" i="52" s="1"/>
  <c r="R30" i="52"/>
  <c r="G30" i="52"/>
  <c r="G45" i="52" s="1"/>
  <c r="D30" i="52"/>
  <c r="D35" i="52" s="1"/>
  <c r="AD24" i="52"/>
  <c r="O12" i="52"/>
  <c r="U31" i="52"/>
  <c r="M8" i="52"/>
  <c r="P8" i="52" s="1"/>
  <c r="I8" i="52"/>
  <c r="AG55" i="52" s="1"/>
  <c r="F8" i="52"/>
  <c r="D8" i="52"/>
  <c r="C8" i="52"/>
  <c r="E62" i="52" s="1"/>
  <c r="R7" i="52"/>
  <c r="O7" i="52"/>
  <c r="N7" i="52"/>
  <c r="J7" i="52"/>
  <c r="I7" i="52"/>
  <c r="H7" i="52"/>
  <c r="F7" i="52"/>
  <c r="E7" i="52"/>
  <c r="C7" i="52"/>
  <c r="E54" i="52" s="1"/>
  <c r="R6" i="52"/>
  <c r="O6" i="52"/>
  <c r="N6" i="52"/>
  <c r="J6" i="52"/>
  <c r="I6" i="52"/>
  <c r="H6" i="52"/>
  <c r="F6" i="52"/>
  <c r="E6" i="52"/>
  <c r="C6" i="52"/>
  <c r="E53" i="52" s="1"/>
  <c r="D53" i="52"/>
  <c r="R5" i="52"/>
  <c r="O5" i="52"/>
  <c r="N5" i="52"/>
  <c r="J5" i="52"/>
  <c r="I5" i="52"/>
  <c r="H5" i="52"/>
  <c r="F5" i="52"/>
  <c r="E5" i="52"/>
  <c r="C5" i="52"/>
  <c r="E52" i="52" s="1"/>
  <c r="AE1" i="52"/>
  <c r="AC1" i="52"/>
  <c r="H1" i="52"/>
  <c r="F1" i="52"/>
  <c r="D52" i="52" l="1"/>
  <c r="P6" i="52"/>
  <c r="AM53" i="52"/>
  <c r="AJ36" i="52"/>
  <c r="T31" i="52"/>
  <c r="T30" i="52" s="1"/>
  <c r="V66" i="52"/>
  <c r="AB33" i="52"/>
  <c r="X41" i="52"/>
  <c r="T15" i="10"/>
  <c r="AE31" i="52"/>
  <c r="P5" i="52"/>
  <c r="AJ40" i="52"/>
  <c r="AD60" i="52"/>
  <c r="AJ60" i="52" s="1"/>
  <c r="AP31" i="52"/>
  <c r="AJ35" i="52"/>
  <c r="T33" i="52"/>
  <c r="X33" i="52" s="1"/>
  <c r="AD56" i="52"/>
  <c r="AJ58" i="52"/>
  <c r="C52" i="52"/>
  <c r="AC31" i="52"/>
  <c r="AC52" i="52" s="1"/>
  <c r="AC61" i="52" s="1"/>
  <c r="AE61" i="52" s="1"/>
  <c r="AI31" i="52"/>
  <c r="E32" i="52"/>
  <c r="AF32" i="52"/>
  <c r="AF53" i="52" s="1"/>
  <c r="K53" i="52" s="1"/>
  <c r="AI41" i="52"/>
  <c r="AE56" i="52"/>
  <c r="AD58" i="52"/>
  <c r="T9" i="10"/>
  <c r="T13" i="10"/>
  <c r="T17" i="10"/>
  <c r="D47" i="14"/>
  <c r="N45" i="52"/>
  <c r="K45" i="52"/>
  <c r="AC33" i="52"/>
  <c r="AD33" i="52" s="1"/>
  <c r="AH33" i="52"/>
  <c r="AH54" i="52" s="1"/>
  <c r="AJ37" i="52"/>
  <c r="AJ39" i="52"/>
  <c r="AK41" i="52"/>
  <c r="AO41" i="52" s="1"/>
  <c r="AE59" i="52"/>
  <c r="U40" i="52"/>
  <c r="U32" i="52"/>
  <c r="W32" i="52" s="1"/>
  <c r="Y32" i="52" s="1"/>
  <c r="U34" i="52"/>
  <c r="U36" i="52"/>
  <c r="U38" i="52"/>
  <c r="K6" i="52"/>
  <c r="K5" i="52"/>
  <c r="AI52" i="52" s="1"/>
  <c r="K7" i="52"/>
  <c r="E31" i="52"/>
  <c r="AM33" i="52"/>
  <c r="AM54" i="52" s="1"/>
  <c r="AC41" i="52"/>
  <c r="AC54" i="52"/>
  <c r="AE33" i="52"/>
  <c r="U66" i="52"/>
  <c r="U51" i="52"/>
  <c r="AP33" i="52"/>
  <c r="D41" i="52"/>
  <c r="E41" i="52" s="1"/>
  <c r="R45" i="52"/>
  <c r="AL32" i="52"/>
  <c r="AG32" i="52"/>
  <c r="AG53" i="52" s="1"/>
  <c r="L53" i="52" s="1"/>
  <c r="AC32" i="52"/>
  <c r="AC53" i="52" s="1"/>
  <c r="H53" i="52" s="1"/>
  <c r="AF31" i="52"/>
  <c r="AM31" i="52"/>
  <c r="AM52" i="52" s="1"/>
  <c r="R52" i="52" s="1"/>
  <c r="AB32" i="52"/>
  <c r="AH32" i="52"/>
  <c r="AH53" i="52" s="1"/>
  <c r="M53" i="52" s="1"/>
  <c r="AN32" i="52"/>
  <c r="AN53" i="52" s="1"/>
  <c r="S53" i="52" s="1"/>
  <c r="D33" i="52"/>
  <c r="E33" i="52" s="1"/>
  <c r="AI33" i="52"/>
  <c r="AN33" i="52"/>
  <c r="AF33" i="52"/>
  <c r="AL33" i="52"/>
  <c r="D34" i="52"/>
  <c r="R53" i="52"/>
  <c r="C53" i="52"/>
  <c r="AC55" i="52"/>
  <c r="K8" i="52"/>
  <c r="AI55" i="52" s="1"/>
  <c r="H30" i="52"/>
  <c r="H45" i="52" s="1"/>
  <c r="AN31" i="52"/>
  <c r="AD32" i="52"/>
  <c r="O33" i="52"/>
  <c r="AG33" i="52"/>
  <c r="AG54" i="52" s="1"/>
  <c r="AK62" i="52"/>
  <c r="D66" i="52"/>
  <c r="D62" i="52"/>
  <c r="C62" i="52" s="1"/>
  <c r="D54" i="52"/>
  <c r="C54" i="52" s="1"/>
  <c r="B45" i="52"/>
  <c r="O31" i="52"/>
  <c r="AB31" i="52"/>
  <c r="AH31" i="52"/>
  <c r="AH52" i="52" s="1"/>
  <c r="M52" i="52" s="1"/>
  <c r="M51" i="52" s="1"/>
  <c r="AI32" i="52"/>
  <c r="P7" i="52"/>
  <c r="U39" i="52"/>
  <c r="U37" i="52"/>
  <c r="U33" i="52"/>
  <c r="U30" i="52"/>
  <c r="C30" i="52"/>
  <c r="AG31" i="52"/>
  <c r="AG52" i="52" s="1"/>
  <c r="AG61" i="52" s="1"/>
  <c r="L30" i="52"/>
  <c r="L45" i="52" s="1"/>
  <c r="AL31" i="52"/>
  <c r="Q30" i="52"/>
  <c r="Q45" i="52" s="1"/>
  <c r="AD31" i="52"/>
  <c r="AE32" i="52"/>
  <c r="U35" i="52"/>
  <c r="AN62" i="52"/>
  <c r="U41" i="52"/>
  <c r="W41" i="52" s="1"/>
  <c r="AD41" i="52"/>
  <c r="B51" i="52"/>
  <c r="B66" i="52" s="1"/>
  <c r="AE57" i="52"/>
  <c r="AD57" i="52"/>
  <c r="AA41" i="52"/>
  <c r="AA62" i="52" s="1"/>
  <c r="AG41" i="52"/>
  <c r="AG62" i="52" s="1"/>
  <c r="AD59" i="52"/>
  <c r="C51" i="52" l="1"/>
  <c r="D50" i="14"/>
  <c r="E47" i="14"/>
  <c r="Y41" i="52"/>
  <c r="W7" i="52" s="1"/>
  <c r="X31" i="52"/>
  <c r="X30" i="52" s="1"/>
  <c r="X45" i="52" s="1"/>
  <c r="AB54" i="52"/>
  <c r="G54" i="52" s="1"/>
  <c r="AI54" i="52"/>
  <c r="N54" i="52" s="1"/>
  <c r="R51" i="52"/>
  <c r="AN52" i="52"/>
  <c r="S52" i="52" s="1"/>
  <c r="S51" i="52" s="1"/>
  <c r="AF54" i="52"/>
  <c r="AJ54" i="52" s="1"/>
  <c r="AF52" i="52"/>
  <c r="K52" i="52" s="1"/>
  <c r="K51" i="52" s="1"/>
  <c r="AD61" i="52"/>
  <c r="T45" i="52"/>
  <c r="D5" i="14"/>
  <c r="AJ57" i="52"/>
  <c r="H52" i="52"/>
  <c r="H51" i="52" s="1"/>
  <c r="AI61" i="52"/>
  <c r="N52" i="52"/>
  <c r="C50" i="14"/>
  <c r="AE41" i="52"/>
  <c r="AJ41" i="52" s="1"/>
  <c r="AC62" i="52"/>
  <c r="H62" i="52" s="1"/>
  <c r="AI53" i="52"/>
  <c r="N53" i="52" s="1"/>
  <c r="AJ33" i="52"/>
  <c r="F47" i="14"/>
  <c r="E51" i="52"/>
  <c r="E66" i="52" s="1"/>
  <c r="C66" i="52"/>
  <c r="E34" i="52"/>
  <c r="E35" i="52"/>
  <c r="AJ32" i="52"/>
  <c r="AB53" i="52"/>
  <c r="AD54" i="52"/>
  <c r="I54" i="52" s="1"/>
  <c r="I66" i="52" s="1"/>
  <c r="AE54" i="52"/>
  <c r="R54" i="52"/>
  <c r="M54" i="52"/>
  <c r="AE24" i="52"/>
  <c r="L54" i="52"/>
  <c r="AF24" i="52"/>
  <c r="AC24" i="52" s="1"/>
  <c r="H54" i="52" s="1"/>
  <c r="AO62" i="52"/>
  <c r="AD55" i="52"/>
  <c r="AE55" i="52"/>
  <c r="L52" i="52"/>
  <c r="L51" i="52" s="1"/>
  <c r="AL54" i="52"/>
  <c r="Q54" i="52" s="1"/>
  <c r="AO33" i="52"/>
  <c r="AL53" i="52"/>
  <c r="AO32" i="52"/>
  <c r="P62" i="52"/>
  <c r="L62" i="52"/>
  <c r="F62" i="52"/>
  <c r="K62" i="52"/>
  <c r="M62" i="52"/>
  <c r="S62" i="52"/>
  <c r="G62" i="52"/>
  <c r="AI62" i="52"/>
  <c r="N62" i="52" s="1"/>
  <c r="E30" i="52"/>
  <c r="E45" i="52" s="1"/>
  <c r="C45" i="52"/>
  <c r="AB52" i="52"/>
  <c r="AJ31" i="52"/>
  <c r="AL52" i="52"/>
  <c r="AO31" i="52"/>
  <c r="W31" i="52"/>
  <c r="O30" i="52"/>
  <c r="O45" i="52" s="1"/>
  <c r="W33" i="52"/>
  <c r="Y33" i="52" s="1"/>
  <c r="W6" i="52" s="1"/>
  <c r="AN54" i="52"/>
  <c r="S54" i="52" s="1"/>
  <c r="D21" i="14" l="1"/>
  <c r="D32" i="14"/>
  <c r="D43" i="14"/>
  <c r="D37" i="14"/>
  <c r="D27" i="14"/>
  <c r="D22" i="14"/>
  <c r="D33" i="14"/>
  <c r="D44" i="14"/>
  <c r="D16" i="14"/>
  <c r="AB16" i="14" s="1"/>
  <c r="D38" i="14"/>
  <c r="D18" i="14"/>
  <c r="AB18" i="14" s="1"/>
  <c r="D15" i="14"/>
  <c r="D30" i="14"/>
  <c r="D23" i="14"/>
  <c r="D34" i="14"/>
  <c r="D45" i="14"/>
  <c r="D26" i="14"/>
  <c r="D28" i="14"/>
  <c r="D41" i="14"/>
  <c r="D24" i="14"/>
  <c r="D35" i="14"/>
  <c r="D46" i="14"/>
  <c r="D36" i="14"/>
  <c r="D40" i="14"/>
  <c r="D25" i="14"/>
  <c r="D31" i="14"/>
  <c r="D42" i="14"/>
  <c r="D20" i="14"/>
  <c r="D17" i="14"/>
  <c r="AB17" i="14" s="1"/>
  <c r="D39" i="14"/>
  <c r="D29" i="14"/>
  <c r="D11" i="14"/>
  <c r="D12" i="14"/>
  <c r="D13" i="14"/>
  <c r="D10" i="14"/>
  <c r="C21" i="14"/>
  <c r="C32" i="14"/>
  <c r="C43" i="14"/>
  <c r="C17" i="14"/>
  <c r="Z17" i="14" s="1"/>
  <c r="C12" i="14"/>
  <c r="C46" i="14"/>
  <c r="C10" i="14"/>
  <c r="C31" i="14"/>
  <c r="C27" i="14"/>
  <c r="C38" i="14"/>
  <c r="C18" i="14"/>
  <c r="C13" i="14"/>
  <c r="C34" i="14"/>
  <c r="C24" i="14"/>
  <c r="C30" i="14"/>
  <c r="C20" i="14"/>
  <c r="C22" i="14"/>
  <c r="C33" i="14"/>
  <c r="C44" i="14"/>
  <c r="C15" i="14"/>
  <c r="Z15" i="14" s="1"/>
  <c r="C23" i="14"/>
  <c r="C29" i="14"/>
  <c r="C35" i="14"/>
  <c r="C41" i="14"/>
  <c r="C28" i="14"/>
  <c r="C39" i="14"/>
  <c r="C36" i="14"/>
  <c r="C11" i="14"/>
  <c r="C26" i="14"/>
  <c r="C37" i="14"/>
  <c r="C16" i="14"/>
  <c r="Z16" i="14" s="1"/>
  <c r="C45" i="14"/>
  <c r="C40" i="14"/>
  <c r="C25" i="14"/>
  <c r="C42" i="14"/>
  <c r="R66" i="52"/>
  <c r="AJ55" i="52"/>
  <c r="K54" i="52"/>
  <c r="J54" i="52"/>
  <c r="J66" i="52" s="1"/>
  <c r="N51" i="52"/>
  <c r="AJ61" i="52"/>
  <c r="M66" i="52"/>
  <c r="S66" i="52"/>
  <c r="D6" i="14"/>
  <c r="D2" i="14"/>
  <c r="AB15" i="14"/>
  <c r="D3" i="14"/>
  <c r="D4" i="14"/>
  <c r="D7" i="14"/>
  <c r="AB14" i="14"/>
  <c r="D8" i="14"/>
  <c r="H66" i="52"/>
  <c r="AD62" i="52"/>
  <c r="AE62" i="52"/>
  <c r="AJ62" i="52" s="1"/>
  <c r="C3" i="14"/>
  <c r="C5" i="14"/>
  <c r="C7" i="14"/>
  <c r="C2" i="14"/>
  <c r="C6" i="14"/>
  <c r="C8" i="14"/>
  <c r="C4" i="14"/>
  <c r="Z18" i="14"/>
  <c r="Z14" i="14"/>
  <c r="AJ53" i="52"/>
  <c r="G53" i="52"/>
  <c r="AO53" i="52"/>
  <c r="Q53" i="52"/>
  <c r="T53" i="52" s="1"/>
  <c r="X53" i="52" s="1"/>
  <c r="AO52" i="52"/>
  <c r="Q52" i="52"/>
  <c r="K66" i="52"/>
  <c r="O62" i="52"/>
  <c r="W62" i="52" s="1"/>
  <c r="F66" i="52"/>
  <c r="T54" i="52"/>
  <c r="X54" i="52" s="1"/>
  <c r="N66" i="52"/>
  <c r="L66" i="52"/>
  <c r="W30" i="52"/>
  <c r="W45" i="52" s="1"/>
  <c r="Y31" i="52"/>
  <c r="Y30" i="52" s="1"/>
  <c r="AJ52" i="52"/>
  <c r="G52" i="52"/>
  <c r="P66" i="52"/>
  <c r="T62" i="52"/>
  <c r="X62" i="52" s="1"/>
  <c r="AO54" i="52"/>
  <c r="O54" i="52"/>
  <c r="W54" i="52" s="1"/>
  <c r="AP54" i="52"/>
  <c r="E13" i="14" l="1"/>
  <c r="F13" i="14"/>
  <c r="AG24" i="52"/>
  <c r="AH24" i="52" s="1"/>
  <c r="Y62" i="52"/>
  <c r="X7" i="52" s="1"/>
  <c r="E17" i="14"/>
  <c r="F17" i="14"/>
  <c r="E15" i="14"/>
  <c r="F15" i="14"/>
  <c r="E39" i="14"/>
  <c r="F39" i="14"/>
  <c r="E20" i="14"/>
  <c r="F20" i="14"/>
  <c r="E25" i="14"/>
  <c r="F25" i="14"/>
  <c r="E24" i="14"/>
  <c r="F24" i="14"/>
  <c r="E14" i="14"/>
  <c r="F14" i="14"/>
  <c r="E35" i="14"/>
  <c r="F35" i="14"/>
  <c r="E34" i="14"/>
  <c r="F34" i="14"/>
  <c r="E30" i="14"/>
  <c r="F30" i="14"/>
  <c r="E29" i="14"/>
  <c r="F29" i="14"/>
  <c r="E28" i="14"/>
  <c r="F28" i="14"/>
  <c r="E16" i="14"/>
  <c r="F16" i="14"/>
  <c r="E26" i="14"/>
  <c r="F26" i="14"/>
  <c r="E21" i="14"/>
  <c r="F21" i="14"/>
  <c r="E33" i="14"/>
  <c r="F33" i="14"/>
  <c r="E32" i="14"/>
  <c r="F32" i="14"/>
  <c r="E22" i="14"/>
  <c r="F22" i="14"/>
  <c r="E43" i="14"/>
  <c r="F43" i="14"/>
  <c r="E42" i="14"/>
  <c r="F42" i="14"/>
  <c r="E38" i="14"/>
  <c r="F38" i="14"/>
  <c r="E37" i="14"/>
  <c r="F37" i="14"/>
  <c r="E36" i="14"/>
  <c r="F36" i="14"/>
  <c r="E27" i="14"/>
  <c r="F27" i="14"/>
  <c r="E31" i="14"/>
  <c r="F31" i="14"/>
  <c r="E41" i="14"/>
  <c r="F41" i="14"/>
  <c r="E40" i="14"/>
  <c r="F40" i="14"/>
  <c r="E19" i="14"/>
  <c r="F19" i="14"/>
  <c r="E18" i="14"/>
  <c r="F18" i="14"/>
  <c r="E23" i="14"/>
  <c r="F23" i="14"/>
  <c r="E46" i="14"/>
  <c r="F46" i="14"/>
  <c r="E45" i="14"/>
  <c r="F45" i="14"/>
  <c r="E44" i="14"/>
  <c r="F44" i="14"/>
  <c r="AP52" i="52"/>
  <c r="O52" i="52"/>
  <c r="G51" i="52"/>
  <c r="G66" i="52" s="1"/>
  <c r="Y45" i="52"/>
  <c r="W5" i="52"/>
  <c r="W8" i="52" s="1"/>
  <c r="Q51" i="52"/>
  <c r="Q66" i="52" s="1"/>
  <c r="T52" i="52"/>
  <c r="AP53" i="52"/>
  <c r="O53" i="52"/>
  <c r="W53" i="52" s="1"/>
  <c r="Y53" i="52" s="1"/>
  <c r="Y54" i="52"/>
  <c r="X6" i="52" s="1"/>
  <c r="X52" i="52" l="1"/>
  <c r="X51" i="52" s="1"/>
  <c r="X66" i="52" s="1"/>
  <c r="T51" i="52"/>
  <c r="T66" i="52" s="1"/>
  <c r="W52" i="52"/>
  <c r="O51" i="52"/>
  <c r="O66" i="52" s="1"/>
  <c r="Y52" i="52" l="1"/>
  <c r="W51" i="52"/>
  <c r="Y51" i="52" l="1"/>
  <c r="W66" i="52"/>
  <c r="Y66" i="52" l="1"/>
  <c r="X5" i="52"/>
  <c r="X8" i="52" s="1"/>
  <c r="Y4" i="14" l="1"/>
  <c r="Y5" i="14"/>
  <c r="Y6" i="14"/>
  <c r="Y7" i="14"/>
  <c r="Y8" i="14"/>
  <c r="Y9" i="14"/>
  <c r="AL9" i="14" s="1"/>
  <c r="Y3" i="14"/>
  <c r="AL3" i="14" s="1"/>
  <c r="AJ13" i="14"/>
  <c r="AD13" i="14"/>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X13" i="14"/>
  <c r="W13" i="14"/>
  <c r="AJ12" i="14"/>
  <c r="AD12" i="14"/>
  <c r="X12" i="14"/>
  <c r="W12" i="14"/>
  <c r="AJ11" i="14"/>
  <c r="AD11" i="14"/>
  <c r="X11" i="14"/>
  <c r="W11" i="14"/>
  <c r="AJ10" i="14"/>
  <c r="AD10" i="14"/>
  <c r="X10" i="14"/>
  <c r="W10" i="14"/>
  <c r="AJ9" i="14"/>
  <c r="AD9" i="14"/>
  <c r="X9" i="14"/>
  <c r="W9" i="14"/>
  <c r="AJ8" i="14"/>
  <c r="AD8" i="14"/>
  <c r="X8" i="14"/>
  <c r="W8" i="14"/>
  <c r="AJ7" i="14"/>
  <c r="AD7" i="14"/>
  <c r="X7" i="14"/>
  <c r="W7" i="14"/>
  <c r="AJ6" i="14"/>
  <c r="AD6" i="14"/>
  <c r="X6" i="14"/>
  <c r="W6" i="14"/>
  <c r="AJ5" i="14"/>
  <c r="AD5" i="14"/>
  <c r="X5" i="14"/>
  <c r="W5" i="14"/>
  <c r="AJ4" i="14"/>
  <c r="AD4" i="14"/>
  <c r="X4" i="14"/>
  <c r="W4" i="14"/>
  <c r="AJ3" i="14"/>
  <c r="AD3" i="14"/>
  <c r="W3" i="14"/>
  <c r="W16" i="14" l="1"/>
  <c r="AH39" i="14" s="1"/>
  <c r="Z3" i="14"/>
  <c r="AL10" i="14"/>
  <c r="Z10" i="14"/>
  <c r="AL6" i="14"/>
  <c r="Z6" i="14"/>
  <c r="AL13" i="14"/>
  <c r="Z13" i="14"/>
  <c r="Z9" i="14"/>
  <c r="AL5" i="14"/>
  <c r="Z5" i="14"/>
  <c r="AL12" i="14"/>
  <c r="Z12" i="14"/>
  <c r="AL8" i="14"/>
  <c r="Z8" i="14"/>
  <c r="AL4" i="14"/>
  <c r="Z4" i="14"/>
  <c r="AL11" i="14"/>
  <c r="Z11" i="14"/>
  <c r="AL7" i="14"/>
  <c r="Z7" i="14"/>
  <c r="AH30" i="14" l="1"/>
  <c r="AH32" i="14"/>
  <c r="AH41" i="14"/>
  <c r="AH14" i="14"/>
  <c r="AH36" i="14"/>
  <c r="AH34" i="14"/>
  <c r="AH47" i="14"/>
  <c r="AH43" i="14"/>
  <c r="AH16" i="14"/>
  <c r="AH44" i="14"/>
  <c r="AH17" i="14"/>
  <c r="AH29" i="14"/>
  <c r="AH28" i="14"/>
  <c r="AH31" i="14"/>
  <c r="AH23" i="14"/>
  <c r="AH25" i="14"/>
  <c r="AH27" i="14"/>
  <c r="AH46" i="14"/>
  <c r="AH15" i="14"/>
  <c r="AH20" i="14"/>
  <c r="AH38" i="14"/>
  <c r="AH18" i="14"/>
  <c r="AH33" i="14"/>
  <c r="AH22" i="14"/>
  <c r="AH40" i="14"/>
  <c r="AH19" i="14"/>
  <c r="AH35" i="14"/>
  <c r="AH26" i="14"/>
  <c r="AH42" i="14"/>
  <c r="AH21" i="14"/>
  <c r="AH37" i="14"/>
  <c r="AH45" i="14"/>
  <c r="AH24" i="14"/>
  <c r="R15" i="10"/>
  <c r="R12" i="10"/>
  <c r="R9" i="10"/>
  <c r="R17" i="10"/>
  <c r="R14" i="10"/>
  <c r="R11" i="10"/>
  <c r="R8" i="10"/>
  <c r="R16" i="10"/>
  <c r="R13" i="10"/>
  <c r="R10" i="10"/>
  <c r="AL14" i="14"/>
  <c r="AI17" i="14"/>
  <c r="AI14" i="14"/>
  <c r="AI47" i="14"/>
  <c r="AI46" i="14"/>
  <c r="AI45" i="14"/>
  <c r="AI44" i="14"/>
  <c r="AI43" i="14"/>
  <c r="AI42" i="14"/>
  <c r="AI41" i="14"/>
  <c r="AI40" i="14"/>
  <c r="AI39" i="14"/>
  <c r="AI38" i="14"/>
  <c r="AI37" i="14"/>
  <c r="AI36" i="14"/>
  <c r="AI35" i="14"/>
  <c r="AI34" i="14"/>
  <c r="AI33" i="14"/>
  <c r="AI32" i="14"/>
  <c r="AI31" i="14"/>
  <c r="AI30" i="14"/>
  <c r="AI29" i="14"/>
  <c r="AI28" i="14"/>
  <c r="AI27" i="14"/>
  <c r="AI26" i="14"/>
  <c r="AI25" i="14"/>
  <c r="AI24" i="14"/>
  <c r="AI23" i="14"/>
  <c r="AI22" i="14"/>
  <c r="AI21" i="14"/>
  <c r="AI20" i="14"/>
  <c r="AI19" i="14"/>
  <c r="AI18" i="14"/>
  <c r="AI16" i="14"/>
  <c r="AI15" i="14"/>
  <c r="AB16" i="10" l="1"/>
  <c r="X16" i="10"/>
  <c r="AJ15" i="14"/>
  <c r="AO15" i="14"/>
  <c r="AJ20" i="14"/>
  <c r="AO20" i="14"/>
  <c r="AJ24" i="14"/>
  <c r="AO24" i="14"/>
  <c r="AJ28" i="14"/>
  <c r="AO28" i="14"/>
  <c r="AJ32" i="14"/>
  <c r="AO32" i="14"/>
  <c r="AJ36" i="14"/>
  <c r="AO36" i="14"/>
  <c r="AJ40" i="14"/>
  <c r="AO40" i="14"/>
  <c r="AJ44" i="14"/>
  <c r="AO44" i="14"/>
  <c r="AJ14" i="14"/>
  <c r="AO14" i="14"/>
  <c r="AL15" i="14"/>
  <c r="X10" i="10"/>
  <c r="Z10" i="10"/>
  <c r="AB10" i="10"/>
  <c r="Z16" i="10"/>
  <c r="X11" i="10"/>
  <c r="AB11" i="10"/>
  <c r="Z11" i="10"/>
  <c r="Z17" i="10"/>
  <c r="AB17" i="10"/>
  <c r="X17" i="10"/>
  <c r="AJ16" i="14"/>
  <c r="AO16" i="14"/>
  <c r="AJ21" i="14"/>
  <c r="AO21" i="14"/>
  <c r="AJ25" i="14"/>
  <c r="AO25" i="14"/>
  <c r="AJ29" i="14"/>
  <c r="AO29" i="14"/>
  <c r="AJ33" i="14"/>
  <c r="AO33" i="14"/>
  <c r="AJ37" i="14"/>
  <c r="AO37" i="14"/>
  <c r="AJ41" i="14"/>
  <c r="AO41" i="14"/>
  <c r="AJ45" i="14"/>
  <c r="AO45" i="14"/>
  <c r="AJ17" i="14"/>
  <c r="AO17" i="14"/>
  <c r="X7" i="10"/>
  <c r="Z7" i="10"/>
  <c r="AB7" i="10"/>
  <c r="Z13" i="10"/>
  <c r="AB13" i="10"/>
  <c r="X13" i="10"/>
  <c r="AJ18" i="14"/>
  <c r="AO18" i="14"/>
  <c r="AJ22" i="14"/>
  <c r="AO22" i="14"/>
  <c r="AJ26" i="14"/>
  <c r="AO26" i="14"/>
  <c r="AJ30" i="14"/>
  <c r="AO30" i="14"/>
  <c r="AJ34" i="14"/>
  <c r="AO34" i="14"/>
  <c r="AJ38" i="14"/>
  <c r="AO38" i="14"/>
  <c r="AJ42" i="14"/>
  <c r="AO42" i="14"/>
  <c r="AJ46" i="14"/>
  <c r="AO46" i="14"/>
  <c r="AB8" i="10"/>
  <c r="Z8" i="10"/>
  <c r="X8" i="10"/>
  <c r="X14" i="10"/>
  <c r="Z14" i="10"/>
  <c r="AB14" i="10"/>
  <c r="Z9" i="10"/>
  <c r="AB9" i="10"/>
  <c r="X9" i="10"/>
  <c r="X15" i="10"/>
  <c r="Z15" i="10"/>
  <c r="AB15" i="10"/>
  <c r="AJ19" i="14"/>
  <c r="AO19" i="14"/>
  <c r="AJ23" i="14"/>
  <c r="AO23" i="14"/>
  <c r="AJ27" i="14"/>
  <c r="AO27" i="14"/>
  <c r="AJ31" i="14"/>
  <c r="AO31" i="14"/>
  <c r="AJ35" i="14"/>
  <c r="AO35" i="14"/>
  <c r="AJ39" i="14"/>
  <c r="AO39" i="14"/>
  <c r="AJ43" i="14"/>
  <c r="AO43" i="14"/>
  <c r="AJ47" i="14"/>
  <c r="AO47" i="14"/>
  <c r="R18" i="10"/>
  <c r="AB12" i="10"/>
  <c r="X12" i="10"/>
  <c r="Z12" i="10"/>
  <c r="C10" i="23"/>
  <c r="T111" i="50"/>
  <c r="C11" i="23"/>
  <c r="T112" i="50"/>
  <c r="C12" i="23"/>
  <c r="T113" i="50"/>
  <c r="C13" i="23"/>
  <c r="T114" i="50"/>
  <c r="C14" i="23"/>
  <c r="AQ14" i="23"/>
  <c r="T115" i="50"/>
  <c r="M15" i="23"/>
  <c r="O15" i="23" s="1"/>
  <c r="C15" i="23"/>
  <c r="AQ15" i="23"/>
  <c r="T116" i="50"/>
  <c r="M16" i="23"/>
  <c r="O16" i="23" s="1"/>
  <c r="C16" i="23"/>
  <c r="AQ16" i="23"/>
  <c r="C17" i="23"/>
  <c r="M18" i="23"/>
  <c r="O18" i="23" s="1"/>
  <c r="C18" i="23"/>
  <c r="AQ18" i="23"/>
  <c r="C9" i="23"/>
  <c r="T110" i="50"/>
  <c r="W47" i="50"/>
  <c r="X47" i="50"/>
  <c r="BY47" i="50" s="1"/>
  <c r="Y47" i="50"/>
  <c r="Z47" i="50"/>
  <c r="CA47" i="50" s="1"/>
  <c r="AA47" i="50"/>
  <c r="CB47" i="50" s="1"/>
  <c r="AB47" i="50"/>
  <c r="CC47" i="50" s="1"/>
  <c r="AD47" i="50"/>
  <c r="CD47" i="50" s="1"/>
  <c r="W48" i="50"/>
  <c r="X48" i="50"/>
  <c r="BY48" i="50" s="1"/>
  <c r="Y48" i="50"/>
  <c r="BZ48" i="50" s="1"/>
  <c r="Z48" i="50"/>
  <c r="CA48" i="50" s="1"/>
  <c r="AA48" i="50"/>
  <c r="CB48" i="50" s="1"/>
  <c r="AB48" i="50"/>
  <c r="CC48" i="50" s="1"/>
  <c r="AD48" i="50"/>
  <c r="CD48" i="50" s="1"/>
  <c r="W49" i="50"/>
  <c r="X49" i="50"/>
  <c r="BY49" i="50" s="1"/>
  <c r="Y49" i="50"/>
  <c r="BZ49" i="50" s="1"/>
  <c r="Z49" i="50"/>
  <c r="CA49" i="50" s="1"/>
  <c r="AA49" i="50"/>
  <c r="CB49" i="50" s="1"/>
  <c r="AB49" i="50"/>
  <c r="CC49" i="50" s="1"/>
  <c r="AD49" i="50"/>
  <c r="CD49" i="50" s="1"/>
  <c r="X46" i="50"/>
  <c r="BY46" i="50" s="1"/>
  <c r="Y46" i="50"/>
  <c r="BZ46" i="50" s="1"/>
  <c r="Z46" i="50"/>
  <c r="CA46" i="50" s="1"/>
  <c r="AA46" i="50"/>
  <c r="CB46" i="50" s="1"/>
  <c r="AB46" i="50"/>
  <c r="CC46" i="50" s="1"/>
  <c r="AD46" i="50"/>
  <c r="CD46" i="50" s="1"/>
  <c r="W46" i="50"/>
  <c r="B19" i="23"/>
  <c r="L19" i="23"/>
  <c r="B18" i="23"/>
  <c r="L18" i="23"/>
  <c r="B17" i="23"/>
  <c r="L17" i="23"/>
  <c r="B16" i="23"/>
  <c r="L16" i="23"/>
  <c r="T72" i="50"/>
  <c r="S72" i="50"/>
  <c r="Q72" i="50"/>
  <c r="P72" i="50"/>
  <c r="O72" i="50"/>
  <c r="N72" i="50"/>
  <c r="M72" i="50"/>
  <c r="L72" i="50"/>
  <c r="T71" i="50"/>
  <c r="S71" i="50"/>
  <c r="Q71" i="50"/>
  <c r="P71" i="50"/>
  <c r="O71" i="50"/>
  <c r="N71" i="50"/>
  <c r="M71" i="50"/>
  <c r="L71" i="50"/>
  <c r="T70" i="50"/>
  <c r="S70" i="50"/>
  <c r="Q70" i="50"/>
  <c r="P70" i="50"/>
  <c r="O70" i="50"/>
  <c r="N70" i="50"/>
  <c r="M70" i="50"/>
  <c r="L70" i="50"/>
  <c r="T69" i="50"/>
  <c r="S69" i="50"/>
  <c r="Q69" i="50"/>
  <c r="P69" i="50"/>
  <c r="O69" i="50"/>
  <c r="N69" i="50"/>
  <c r="M69" i="50"/>
  <c r="L69" i="50"/>
  <c r="T68" i="50"/>
  <c r="S68" i="50"/>
  <c r="Q68" i="50"/>
  <c r="P68" i="50"/>
  <c r="O68" i="50"/>
  <c r="N68" i="50"/>
  <c r="M68" i="50"/>
  <c r="L68" i="50"/>
  <c r="T67" i="50"/>
  <c r="S67" i="50"/>
  <c r="Q67" i="50"/>
  <c r="P67" i="50"/>
  <c r="O67" i="50"/>
  <c r="N67" i="50"/>
  <c r="M67" i="50"/>
  <c r="L67" i="50"/>
  <c r="T66" i="50"/>
  <c r="S66" i="50"/>
  <c r="Q66" i="50"/>
  <c r="P66" i="50"/>
  <c r="O66" i="50"/>
  <c r="N66" i="50"/>
  <c r="M66" i="50"/>
  <c r="L66" i="50"/>
  <c r="M27" i="50"/>
  <c r="N27" i="50"/>
  <c r="O27" i="50"/>
  <c r="P27" i="50"/>
  <c r="Q27" i="50"/>
  <c r="S27" i="50"/>
  <c r="T27" i="50"/>
  <c r="M28" i="50"/>
  <c r="N28" i="50"/>
  <c r="O28" i="50"/>
  <c r="P28" i="50"/>
  <c r="Q28" i="50"/>
  <c r="S28" i="50"/>
  <c r="T28" i="50"/>
  <c r="L29" i="50"/>
  <c r="M29" i="50"/>
  <c r="N29" i="50"/>
  <c r="O29" i="50"/>
  <c r="P29" i="50"/>
  <c r="Q29" i="50"/>
  <c r="S29" i="50"/>
  <c r="T29" i="50"/>
  <c r="M30" i="50"/>
  <c r="N30" i="50"/>
  <c r="O30" i="50"/>
  <c r="P30" i="50"/>
  <c r="Q30" i="50"/>
  <c r="S30" i="50"/>
  <c r="T30" i="50"/>
  <c r="M31" i="50"/>
  <c r="N31" i="50"/>
  <c r="O31" i="50"/>
  <c r="P31" i="50"/>
  <c r="BH31" i="50" s="1"/>
  <c r="E31" i="50" s="1"/>
  <c r="Q31" i="50"/>
  <c r="S31" i="50"/>
  <c r="T31" i="50"/>
  <c r="L32" i="50"/>
  <c r="M32" i="50"/>
  <c r="N32" i="50"/>
  <c r="P32" i="50"/>
  <c r="Q32" i="50"/>
  <c r="S32" i="50"/>
  <c r="T32" i="50"/>
  <c r="M26" i="50"/>
  <c r="N26" i="50"/>
  <c r="O26" i="50"/>
  <c r="P26" i="50"/>
  <c r="Q26" i="50"/>
  <c r="S26" i="50"/>
  <c r="T26" i="50"/>
  <c r="W7" i="50"/>
  <c r="X7" i="50"/>
  <c r="Z7" i="50"/>
  <c r="AA7" i="50"/>
  <c r="AB7" i="50"/>
  <c r="AD7" i="50"/>
  <c r="AE7" i="50"/>
  <c r="W8" i="50"/>
  <c r="X8" i="50"/>
  <c r="Y8" i="50"/>
  <c r="Z8" i="50"/>
  <c r="AA8" i="50"/>
  <c r="AB8" i="50"/>
  <c r="AD8" i="50"/>
  <c r="AE8" i="50"/>
  <c r="W9" i="50"/>
  <c r="X9" i="50"/>
  <c r="Y9" i="50"/>
  <c r="Z9" i="50"/>
  <c r="AA9" i="50"/>
  <c r="AB9" i="50"/>
  <c r="AD9" i="50"/>
  <c r="AE9" i="50"/>
  <c r="X6" i="50"/>
  <c r="Y6" i="50"/>
  <c r="Z6" i="50"/>
  <c r="AA6" i="50"/>
  <c r="AB6" i="50"/>
  <c r="AD6" i="50"/>
  <c r="AE6" i="50"/>
  <c r="W6" i="50"/>
  <c r="BX9" i="50" l="1"/>
  <c r="W94" i="50"/>
  <c r="CB7" i="50"/>
  <c r="AA92" i="50"/>
  <c r="CC8" i="50"/>
  <c r="AB112" i="50"/>
  <c r="AB93" i="50"/>
  <c r="W92" i="50"/>
  <c r="CA6" i="50"/>
  <c r="Z91" i="50"/>
  <c r="BZ6" i="50"/>
  <c r="Y91" i="50"/>
  <c r="BY6" i="50"/>
  <c r="X91" i="50"/>
  <c r="BY7" i="50"/>
  <c r="X111" i="50"/>
  <c r="X92" i="50"/>
  <c r="CC9" i="50"/>
  <c r="AB94" i="50"/>
  <c r="CA8" i="50"/>
  <c r="Z93" i="50"/>
  <c r="W91" i="50"/>
  <c r="CB9" i="50"/>
  <c r="AA94" i="50"/>
  <c r="BY8" i="50"/>
  <c r="X93" i="50"/>
  <c r="BZ8" i="50"/>
  <c r="Y93" i="50"/>
  <c r="AC26" i="50"/>
  <c r="CA9" i="50"/>
  <c r="Z94" i="50"/>
  <c r="BX8" i="50"/>
  <c r="W93" i="50"/>
  <c r="CB8" i="50"/>
  <c r="AA93" i="50"/>
  <c r="CD9" i="50"/>
  <c r="AD94" i="50"/>
  <c r="BZ47" i="50"/>
  <c r="Y92" i="50"/>
  <c r="CD6" i="50"/>
  <c r="AD91" i="50"/>
  <c r="BZ9" i="50"/>
  <c r="Y94" i="50"/>
  <c r="CB6" i="50"/>
  <c r="AA91" i="50"/>
  <c r="CC7" i="50"/>
  <c r="AB92" i="50"/>
  <c r="AC28" i="50"/>
  <c r="CD8" i="50"/>
  <c r="AD93" i="50"/>
  <c r="CA7" i="50"/>
  <c r="Z92" i="50"/>
  <c r="CC6" i="50"/>
  <c r="AB91" i="50"/>
  <c r="BY9" i="50"/>
  <c r="X94" i="50"/>
  <c r="CD7" i="50"/>
  <c r="AD92" i="50"/>
  <c r="AE48" i="50"/>
  <c r="AC68" i="50" s="1"/>
  <c r="BX48" i="50"/>
  <c r="BD6" i="50"/>
  <c r="BX6" i="50"/>
  <c r="BD7" i="50"/>
  <c r="G7" i="50" s="1"/>
  <c r="BX7" i="50"/>
  <c r="BX46" i="50"/>
  <c r="AE46" i="50"/>
  <c r="AC66" i="50" s="1"/>
  <c r="BX49" i="50"/>
  <c r="AE49" i="50"/>
  <c r="AC69" i="50" s="1"/>
  <c r="BX47" i="50"/>
  <c r="AE47" i="50"/>
  <c r="AC67" i="50" s="1"/>
  <c r="CE48" i="50"/>
  <c r="BY68" i="50" s="1"/>
  <c r="AG13" i="23"/>
  <c r="B13" i="23"/>
  <c r="AP13" i="23"/>
  <c r="L15" i="23"/>
  <c r="B15" i="23"/>
  <c r="L14" i="23"/>
  <c r="B14" i="23"/>
  <c r="BH48" i="50"/>
  <c r="E48" i="50" s="1"/>
  <c r="BE47" i="50"/>
  <c r="B47" i="50" s="1"/>
  <c r="BJ49" i="50"/>
  <c r="H49" i="50" s="1"/>
  <c r="BG48" i="50"/>
  <c r="D48" i="50" s="1"/>
  <c r="BD47" i="50"/>
  <c r="BD46" i="50"/>
  <c r="BI49" i="50"/>
  <c r="F49" i="50" s="1"/>
  <c r="BF48" i="50"/>
  <c r="C48" i="50" s="1"/>
  <c r="BH49" i="50"/>
  <c r="E49" i="50" s="1"/>
  <c r="BE48" i="50"/>
  <c r="B48" i="50" s="1"/>
  <c r="BJ46" i="50"/>
  <c r="H46" i="50" s="1"/>
  <c r="BG49" i="50"/>
  <c r="D49" i="50" s="1"/>
  <c r="BD48" i="50"/>
  <c r="BI46" i="50"/>
  <c r="F46" i="50" s="1"/>
  <c r="BF49" i="50"/>
  <c r="C49" i="50" s="1"/>
  <c r="BH46" i="50"/>
  <c r="E46" i="50" s="1"/>
  <c r="BE49" i="50"/>
  <c r="B49" i="50" s="1"/>
  <c r="BJ47" i="50"/>
  <c r="H47" i="50" s="1"/>
  <c r="BG46" i="50"/>
  <c r="D46" i="50" s="1"/>
  <c r="BD49" i="50"/>
  <c r="BI47" i="50"/>
  <c r="F47" i="50" s="1"/>
  <c r="BF46" i="50"/>
  <c r="C46" i="50" s="1"/>
  <c r="BH47" i="50"/>
  <c r="E47" i="50" s="1"/>
  <c r="BE46" i="50"/>
  <c r="B46" i="50" s="1"/>
  <c r="BJ48" i="50"/>
  <c r="H48" i="50" s="1"/>
  <c r="BG47" i="50"/>
  <c r="D47" i="50" s="1"/>
  <c r="BI48" i="50"/>
  <c r="F48" i="50" s="1"/>
  <c r="BF47" i="50"/>
  <c r="C47" i="50" s="1"/>
  <c r="C92" i="50" s="1"/>
  <c r="BH32" i="50"/>
  <c r="E32" i="50" s="1"/>
  <c r="BF6" i="50"/>
  <c r="C6" i="50" s="1"/>
  <c r="Y26" i="50"/>
  <c r="BJ8" i="50"/>
  <c r="H8" i="50" s="1"/>
  <c r="AD28" i="50"/>
  <c r="BG7" i="50"/>
  <c r="D7" i="50" s="1"/>
  <c r="Z27" i="50"/>
  <c r="F69" i="20" s="1"/>
  <c r="BE32" i="50"/>
  <c r="B32" i="50" s="1"/>
  <c r="BJ30" i="50"/>
  <c r="H30" i="50" s="1"/>
  <c r="BI6" i="50"/>
  <c r="F6" i="50" s="1"/>
  <c r="AB26" i="50"/>
  <c r="BE9" i="50"/>
  <c r="B9" i="50" s="1"/>
  <c r="X29" i="50"/>
  <c r="D71" i="20" s="1"/>
  <c r="BJ7" i="50"/>
  <c r="H7" i="50" s="1"/>
  <c r="AD27" i="50"/>
  <c r="BE31" i="50"/>
  <c r="BH6" i="50"/>
  <c r="E6" i="50" s="1"/>
  <c r="AA26" i="50"/>
  <c r="BD9" i="50"/>
  <c r="W29" i="50"/>
  <c r="BI7" i="50"/>
  <c r="F7" i="50" s="1"/>
  <c r="AB27" i="50"/>
  <c r="H69" i="20" s="1"/>
  <c r="BG6" i="50"/>
  <c r="D6" i="50" s="1"/>
  <c r="Z26" i="50"/>
  <c r="BH7" i="50"/>
  <c r="E7" i="50" s="1"/>
  <c r="AA27" i="50"/>
  <c r="G69" i="20" s="1"/>
  <c r="BF32" i="50"/>
  <c r="C32" i="50" s="1"/>
  <c r="BE6" i="50"/>
  <c r="B6" i="50" s="1"/>
  <c r="X26" i="50"/>
  <c r="BI8" i="50"/>
  <c r="F8" i="50" s="1"/>
  <c r="AB28" i="50"/>
  <c r="H70" i="20" s="1"/>
  <c r="BE7" i="50"/>
  <c r="B7" i="50" s="1"/>
  <c r="X27" i="50"/>
  <c r="D69" i="20" s="1"/>
  <c r="BD32" i="50"/>
  <c r="BI30" i="50"/>
  <c r="F30" i="50" s="1"/>
  <c r="BA29" i="50"/>
  <c r="AC29" i="50"/>
  <c r="BH8" i="50"/>
  <c r="E8" i="50" s="1"/>
  <c r="AA28" i="50"/>
  <c r="G70" i="20" s="1"/>
  <c r="W27" i="50"/>
  <c r="BH30" i="50"/>
  <c r="E30" i="50" s="1"/>
  <c r="BJ9" i="50"/>
  <c r="H9" i="50" s="1"/>
  <c r="AD29" i="50"/>
  <c r="BG8" i="50"/>
  <c r="D8" i="50" s="1"/>
  <c r="Z28" i="50"/>
  <c r="F70" i="20" s="1"/>
  <c r="BJ31" i="50"/>
  <c r="H31" i="50" s="1"/>
  <c r="BG30" i="50"/>
  <c r="D30" i="50" s="1"/>
  <c r="BH9" i="50"/>
  <c r="E9" i="50" s="1"/>
  <c r="AA29" i="50"/>
  <c r="G71" i="20" s="1"/>
  <c r="BE8" i="50"/>
  <c r="B8" i="50" s="1"/>
  <c r="X28" i="50"/>
  <c r="D70" i="20" s="1"/>
  <c r="BE30" i="50"/>
  <c r="BI9" i="50"/>
  <c r="F9" i="50" s="1"/>
  <c r="AB29" i="50"/>
  <c r="H71" i="20" s="1"/>
  <c r="BF8" i="50"/>
  <c r="C8" i="50" s="1"/>
  <c r="Y28" i="50"/>
  <c r="E70" i="20" s="1"/>
  <c r="BI31" i="50"/>
  <c r="F31" i="50" s="1"/>
  <c r="BF30" i="50"/>
  <c r="C30" i="50" s="1"/>
  <c r="BG9" i="50"/>
  <c r="D9" i="50" s="1"/>
  <c r="Z29" i="50"/>
  <c r="F71" i="20" s="1"/>
  <c r="BD8" i="50"/>
  <c r="W28" i="50"/>
  <c r="BJ32" i="50"/>
  <c r="H32" i="50" s="1"/>
  <c r="BG31" i="50"/>
  <c r="D31" i="50" s="1"/>
  <c r="BJ6" i="50"/>
  <c r="H6" i="50" s="1"/>
  <c r="AD26" i="50"/>
  <c r="BF9" i="50"/>
  <c r="C9" i="50" s="1"/>
  <c r="Y29" i="50"/>
  <c r="E71" i="20" s="1"/>
  <c r="AC27" i="50"/>
  <c r="Y27" i="50"/>
  <c r="E69" i="20" s="1"/>
  <c r="BI32" i="50"/>
  <c r="F32" i="50" s="1"/>
  <c r="BF31" i="50"/>
  <c r="C31" i="50" s="1"/>
  <c r="AP28" i="50"/>
  <c r="BA28" i="50"/>
  <c r="AP26" i="50"/>
  <c r="BA26" i="50"/>
  <c r="AP27" i="50"/>
  <c r="BA27" i="50"/>
  <c r="AP29" i="50"/>
  <c r="C19" i="23"/>
  <c r="R33" i="20"/>
  <c r="AQ10" i="23"/>
  <c r="AH17" i="23"/>
  <c r="AH14" i="23"/>
  <c r="AF16" i="23"/>
  <c r="AF17" i="23"/>
  <c r="AF18" i="23"/>
  <c r="AF19" i="23"/>
  <c r="AG9" i="23"/>
  <c r="AQ13" i="23"/>
  <c r="AQ11" i="23"/>
  <c r="AH19" i="23"/>
  <c r="AH18" i="23"/>
  <c r="AH16" i="23"/>
  <c r="AH15" i="23"/>
  <c r="AH13" i="23"/>
  <c r="AQ17" i="23"/>
  <c r="AQ12" i="23"/>
  <c r="AH12" i="23"/>
  <c r="AH11" i="23"/>
  <c r="AH10" i="23"/>
  <c r="T52" i="20"/>
  <c r="T53" i="20"/>
  <c r="T33" i="20"/>
  <c r="T41" i="20"/>
  <c r="T57" i="20"/>
  <c r="T35" i="20"/>
  <c r="T46" i="20"/>
  <c r="T39" i="20"/>
  <c r="T47" i="20"/>
  <c r="T60" i="20"/>
  <c r="T54" i="20"/>
  <c r="T40" i="20"/>
  <c r="T49" i="20"/>
  <c r="T61" i="20"/>
  <c r="T51" i="20"/>
  <c r="T34" i="20"/>
  <c r="T42" i="20"/>
  <c r="T58" i="20"/>
  <c r="T43" i="20"/>
  <c r="T59" i="20"/>
  <c r="T36" i="20"/>
  <c r="T37" i="20"/>
  <c r="T55" i="20"/>
  <c r="T44" i="20"/>
  <c r="T48" i="20"/>
  <c r="T38" i="20"/>
  <c r="T56" i="20"/>
  <c r="T45" i="20"/>
  <c r="T50" i="20"/>
  <c r="N17" i="23"/>
  <c r="D17" i="23"/>
  <c r="AQ9" i="23"/>
  <c r="AG19" i="23"/>
  <c r="AA9" i="14"/>
  <c r="AA7" i="14"/>
  <c r="AA6" i="14"/>
  <c r="N16" i="23"/>
  <c r="D16" i="23"/>
  <c r="N15" i="23"/>
  <c r="D15" i="23"/>
  <c r="T20" i="10"/>
  <c r="N13" i="23"/>
  <c r="D13" i="23"/>
  <c r="N18" i="23"/>
  <c r="D18" i="23"/>
  <c r="T19" i="10"/>
  <c r="I84" i="20"/>
  <c r="N14" i="23"/>
  <c r="D14" i="23"/>
  <c r="AT27" i="10"/>
  <c r="AG16" i="23"/>
  <c r="AH9" i="23"/>
  <c r="AQ19" i="23"/>
  <c r="R19" i="10"/>
  <c r="P34" i="20"/>
  <c r="P47" i="20"/>
  <c r="P48" i="20"/>
  <c r="P45" i="20"/>
  <c r="P61" i="20"/>
  <c r="P42" i="20"/>
  <c r="P39" i="20"/>
  <c r="P40" i="20"/>
  <c r="P37" i="20"/>
  <c r="P54" i="20"/>
  <c r="P43" i="20"/>
  <c r="P44" i="20"/>
  <c r="P41" i="20"/>
  <c r="P46" i="20"/>
  <c r="P35" i="20"/>
  <c r="P51" i="20"/>
  <c r="P36" i="20"/>
  <c r="P52" i="20"/>
  <c r="P33" i="20"/>
  <c r="P49" i="20"/>
  <c r="P38" i="20"/>
  <c r="P58" i="20"/>
  <c r="P55" i="20"/>
  <c r="P56" i="20"/>
  <c r="P53" i="20"/>
  <c r="P50" i="20"/>
  <c r="P59" i="20"/>
  <c r="P60" i="20"/>
  <c r="P57" i="20"/>
  <c r="M10" i="23"/>
  <c r="O10" i="23" s="1"/>
  <c r="N9" i="23"/>
  <c r="D9" i="23"/>
  <c r="AG18" i="23"/>
  <c r="AL16" i="14"/>
  <c r="AA8" i="14"/>
  <c r="AA5" i="14"/>
  <c r="AB5" i="14" s="1"/>
  <c r="AA4" i="14"/>
  <c r="S39" i="20"/>
  <c r="S54" i="20"/>
  <c r="S34" i="20"/>
  <c r="S53" i="20"/>
  <c r="S59" i="20"/>
  <c r="S43" i="20"/>
  <c r="S47" i="20"/>
  <c r="S49" i="20"/>
  <c r="S61" i="20"/>
  <c r="S45" i="20"/>
  <c r="S40" i="20"/>
  <c r="S48" i="20"/>
  <c r="S33" i="20"/>
  <c r="S60" i="20"/>
  <c r="S44" i="20"/>
  <c r="S56" i="20"/>
  <c r="S42" i="20"/>
  <c r="S57" i="20"/>
  <c r="S55" i="20"/>
  <c r="S58" i="20"/>
  <c r="S52" i="20"/>
  <c r="S50" i="20"/>
  <c r="S35" i="20"/>
  <c r="S51" i="20"/>
  <c r="S46" i="20"/>
  <c r="S41" i="20"/>
  <c r="S36" i="20"/>
  <c r="S37" i="20"/>
  <c r="S38" i="20"/>
  <c r="M17" i="23"/>
  <c r="O17" i="23" s="1"/>
  <c r="M11" i="23"/>
  <c r="O11" i="23" s="1"/>
  <c r="N10" i="23"/>
  <c r="D10" i="23"/>
  <c r="M19" i="23"/>
  <c r="O19" i="23" s="1"/>
  <c r="M12" i="23"/>
  <c r="O12" i="23" s="1"/>
  <c r="T18" i="10"/>
  <c r="AA3" i="14"/>
  <c r="AB3" i="14" s="1"/>
  <c r="I114" i="20"/>
  <c r="R40" i="20"/>
  <c r="R59" i="20"/>
  <c r="R34" i="20"/>
  <c r="R51" i="20"/>
  <c r="R38" i="20"/>
  <c r="R47" i="20"/>
  <c r="R44" i="20"/>
  <c r="R41" i="20"/>
  <c r="R36" i="20"/>
  <c r="R57" i="20"/>
  <c r="R43" i="20"/>
  <c r="R39" i="20"/>
  <c r="R37" i="20"/>
  <c r="R55" i="20"/>
  <c r="R60" i="20"/>
  <c r="R45" i="20"/>
  <c r="R35" i="20"/>
  <c r="R54" i="20"/>
  <c r="R50" i="20"/>
  <c r="R46" i="20"/>
  <c r="R58" i="20"/>
  <c r="R53" i="20"/>
  <c r="R42" i="20"/>
  <c r="R49" i="20"/>
  <c r="R61" i="20"/>
  <c r="R56" i="20"/>
  <c r="R52" i="20"/>
  <c r="R48" i="20"/>
  <c r="AE116" i="50"/>
  <c r="AE115" i="50"/>
  <c r="AE114" i="50"/>
  <c r="AE112" i="50"/>
  <c r="AE111" i="50"/>
  <c r="M14" i="23"/>
  <c r="O14" i="23" s="1"/>
  <c r="AG17" i="23"/>
  <c r="N11" i="23"/>
  <c r="D11" i="23"/>
  <c r="M9" i="23"/>
  <c r="O9" i="23" s="1"/>
  <c r="N19" i="23"/>
  <c r="D19" i="23"/>
  <c r="M13" i="23"/>
  <c r="O13" i="23" s="1"/>
  <c r="L13" i="23"/>
  <c r="N12" i="23"/>
  <c r="D12" i="23"/>
  <c r="Z72" i="50"/>
  <c r="BG72" i="50" s="1"/>
  <c r="D72" i="50" s="1"/>
  <c r="W67" i="50"/>
  <c r="W70" i="50"/>
  <c r="AA70" i="50"/>
  <c r="BH70" i="50" s="1"/>
  <c r="E70" i="50" s="1"/>
  <c r="W71" i="50"/>
  <c r="BD71" i="50" s="1"/>
  <c r="G71" i="50" s="1"/>
  <c r="AA71" i="50"/>
  <c r="BH71" i="50" s="1"/>
  <c r="E71" i="50" s="1"/>
  <c r="W72" i="50"/>
  <c r="AA72" i="50"/>
  <c r="BH72" i="50" s="1"/>
  <c r="E72" i="50" s="1"/>
  <c r="Z70" i="50"/>
  <c r="BG70" i="50" s="1"/>
  <c r="D70" i="50" s="1"/>
  <c r="AD69" i="50"/>
  <c r="AB69" i="50"/>
  <c r="X70" i="50"/>
  <c r="BE70" i="50" s="1"/>
  <c r="B70" i="50" s="1"/>
  <c r="AB70" i="50"/>
  <c r="BI70" i="50" s="1"/>
  <c r="F70" i="50" s="1"/>
  <c r="X71" i="50"/>
  <c r="BE71" i="50" s="1"/>
  <c r="B71" i="50" s="1"/>
  <c r="AB71" i="50"/>
  <c r="BI71" i="50" s="1"/>
  <c r="F71" i="50" s="1"/>
  <c r="X72" i="50"/>
  <c r="BE72" i="50" s="1"/>
  <c r="B72" i="50" s="1"/>
  <c r="AB72" i="50"/>
  <c r="BI72" i="50" s="1"/>
  <c r="F72" i="50" s="1"/>
  <c r="AD71" i="50"/>
  <c r="BJ71" i="50" s="1"/>
  <c r="H71" i="50" s="1"/>
  <c r="AE26" i="50"/>
  <c r="Y72" i="50"/>
  <c r="BF72" i="50" s="1"/>
  <c r="C72" i="50" s="1"/>
  <c r="AD72" i="50"/>
  <c r="Y67" i="50"/>
  <c r="AD70" i="50"/>
  <c r="BJ70" i="50" s="1"/>
  <c r="H70" i="50" s="1"/>
  <c r="Z67" i="50"/>
  <c r="Y68" i="50"/>
  <c r="W26" i="50"/>
  <c r="AE32" i="50"/>
  <c r="AE31" i="50"/>
  <c r="AE30" i="50"/>
  <c r="AE29" i="50"/>
  <c r="AE28" i="50"/>
  <c r="AE27" i="50"/>
  <c r="AD67" i="50"/>
  <c r="Z68" i="50"/>
  <c r="Y70" i="50"/>
  <c r="BF70" i="50" s="1"/>
  <c r="C70" i="50" s="1"/>
  <c r="Y71" i="50"/>
  <c r="BF71" i="50" s="1"/>
  <c r="C71" i="50" s="1"/>
  <c r="Z71" i="50"/>
  <c r="BG71" i="50" s="1"/>
  <c r="D71" i="50" s="1"/>
  <c r="AR9" i="22"/>
  <c r="AR15" i="22"/>
  <c r="AR16" i="22"/>
  <c r="AR17" i="22"/>
  <c r="AR18" i="22"/>
  <c r="AR19" i="22"/>
  <c r="AQ9" i="22"/>
  <c r="AR120" i="20"/>
  <c r="D9" i="22"/>
  <c r="D15" i="22"/>
  <c r="D16" i="22"/>
  <c r="D17" i="22"/>
  <c r="D18" i="22"/>
  <c r="D19" i="22"/>
  <c r="C9" i="22"/>
  <c r="E9" i="22" s="1"/>
  <c r="C15" i="22"/>
  <c r="E15" i="22" s="1"/>
  <c r="C16" i="22"/>
  <c r="E16" i="22" s="1"/>
  <c r="C17" i="22"/>
  <c r="E17" i="22" s="1"/>
  <c r="C18" i="22"/>
  <c r="E18" i="22" s="1"/>
  <c r="C19" i="22"/>
  <c r="E19" i="22" s="1"/>
  <c r="AT127" i="20"/>
  <c r="AT128" i="20"/>
  <c r="AT129" i="20"/>
  <c r="AT130" i="20"/>
  <c r="AT131" i="20"/>
  <c r="AT132" i="20"/>
  <c r="AT133" i="20"/>
  <c r="AT134" i="20"/>
  <c r="AT135" i="20"/>
  <c r="AT136" i="20"/>
  <c r="AH15" i="22"/>
  <c r="L29" i="22" l="1"/>
  <c r="AF29" i="22"/>
  <c r="Y112" i="50"/>
  <c r="W111" i="50"/>
  <c r="AC111" i="50"/>
  <c r="AA112" i="50"/>
  <c r="X112" i="50"/>
  <c r="Y113" i="50"/>
  <c r="X68" i="50"/>
  <c r="AD68" i="50"/>
  <c r="AB67" i="50"/>
  <c r="AE67" i="50" s="1"/>
  <c r="W68" i="50"/>
  <c r="AB68" i="50"/>
  <c r="AA68" i="50"/>
  <c r="X67" i="50"/>
  <c r="AA67" i="50"/>
  <c r="CE9" i="50"/>
  <c r="CC29" i="50" s="1"/>
  <c r="W112" i="50"/>
  <c r="AD112" i="50"/>
  <c r="CE8" i="50"/>
  <c r="BZ28" i="50" s="1"/>
  <c r="AA111" i="50"/>
  <c r="AD111" i="50"/>
  <c r="AC112" i="50"/>
  <c r="Z112" i="50"/>
  <c r="AA66" i="50"/>
  <c r="Z66" i="50"/>
  <c r="CD92" i="50"/>
  <c r="BJ92" i="50"/>
  <c r="AD113" i="50"/>
  <c r="BG94" i="50"/>
  <c r="CA94" i="50"/>
  <c r="AA113" i="50"/>
  <c r="AE92" i="50"/>
  <c r="BX92" i="50"/>
  <c r="BD92" i="50"/>
  <c r="AD66" i="50"/>
  <c r="CD93" i="50"/>
  <c r="BJ93" i="50"/>
  <c r="BJ94" i="50"/>
  <c r="CD94" i="50"/>
  <c r="CC93" i="50"/>
  <c r="BI93" i="50"/>
  <c r="BY94" i="50"/>
  <c r="BE94" i="50"/>
  <c r="CB93" i="50"/>
  <c r="BH93" i="50"/>
  <c r="AE91" i="50"/>
  <c r="BD91" i="50"/>
  <c r="BX91" i="50"/>
  <c r="X110" i="50"/>
  <c r="BY91" i="50"/>
  <c r="BE91" i="50"/>
  <c r="W66" i="50"/>
  <c r="X113" i="50"/>
  <c r="BF93" i="50"/>
  <c r="BZ93" i="50"/>
  <c r="CD91" i="50"/>
  <c r="BJ91" i="50"/>
  <c r="CA93" i="50"/>
  <c r="BG93" i="50"/>
  <c r="BZ91" i="50"/>
  <c r="BF91" i="50"/>
  <c r="CB92" i="50"/>
  <c r="BH92" i="50"/>
  <c r="BZ94" i="50"/>
  <c r="BF94" i="50"/>
  <c r="AB110" i="50"/>
  <c r="CC92" i="50"/>
  <c r="BI92" i="50"/>
  <c r="AD110" i="50"/>
  <c r="AC113" i="50"/>
  <c r="Y110" i="50"/>
  <c r="W110" i="50"/>
  <c r="Y66" i="50"/>
  <c r="CC91" i="50"/>
  <c r="BI91" i="50"/>
  <c r="AB111" i="50"/>
  <c r="BY93" i="50"/>
  <c r="BE93" i="50"/>
  <c r="CC94" i="50"/>
  <c r="BI94" i="50"/>
  <c r="BZ92" i="50"/>
  <c r="BF92" i="50"/>
  <c r="BX93" i="50"/>
  <c r="AE93" i="50"/>
  <c r="BD93" i="50"/>
  <c r="AB113" i="50"/>
  <c r="CA91" i="50"/>
  <c r="BG91" i="50"/>
  <c r="BX94" i="50"/>
  <c r="AE94" i="50"/>
  <c r="BD94" i="50"/>
  <c r="AC110" i="50"/>
  <c r="Z69" i="50"/>
  <c r="Y69" i="50"/>
  <c r="AE113" i="50"/>
  <c r="Z111" i="50"/>
  <c r="CB91" i="50"/>
  <c r="BH91" i="50"/>
  <c r="Y111" i="50"/>
  <c r="Z110" i="50"/>
  <c r="W113" i="50"/>
  <c r="AA69" i="50"/>
  <c r="AB66" i="50"/>
  <c r="W69" i="50"/>
  <c r="X66" i="50"/>
  <c r="E84" i="20"/>
  <c r="CA92" i="50"/>
  <c r="BG92" i="50"/>
  <c r="AA110" i="50"/>
  <c r="Z113" i="50"/>
  <c r="CB94" i="50"/>
  <c r="BH94" i="50"/>
  <c r="BY92" i="50"/>
  <c r="BE92" i="50"/>
  <c r="AT26" i="10"/>
  <c r="CC68" i="50"/>
  <c r="BZ68" i="50"/>
  <c r="AE110" i="50"/>
  <c r="B93" i="50"/>
  <c r="E91" i="50"/>
  <c r="E92" i="50"/>
  <c r="H92" i="50"/>
  <c r="C94" i="50"/>
  <c r="CB28" i="50"/>
  <c r="D92" i="50"/>
  <c r="D94" i="50"/>
  <c r="E93" i="50"/>
  <c r="CA29" i="50"/>
  <c r="AE70" i="50"/>
  <c r="AF14" i="23"/>
  <c r="C91" i="50"/>
  <c r="BY28" i="50"/>
  <c r="H91" i="50"/>
  <c r="BZ29" i="50"/>
  <c r="CD68" i="50"/>
  <c r="F93" i="50"/>
  <c r="BK9" i="50"/>
  <c r="I9" i="50" s="1"/>
  <c r="BY29" i="50"/>
  <c r="BK7" i="50"/>
  <c r="I7" i="50" s="1"/>
  <c r="BH27" i="50" s="1"/>
  <c r="E27" i="50" s="1"/>
  <c r="BK8" i="50"/>
  <c r="I8" i="50" s="1"/>
  <c r="BI28" i="50" s="1"/>
  <c r="F28" i="50" s="1"/>
  <c r="BK48" i="50"/>
  <c r="I48" i="50" s="1"/>
  <c r="BG68" i="50" s="1"/>
  <c r="D68" i="50" s="1"/>
  <c r="G48" i="50"/>
  <c r="CE49" i="50"/>
  <c r="BX69" i="50" s="1"/>
  <c r="B91" i="50"/>
  <c r="E94" i="50"/>
  <c r="CE6" i="50"/>
  <c r="BX26" i="50" s="1"/>
  <c r="H93" i="50"/>
  <c r="CE47" i="50"/>
  <c r="BX67" i="50" s="1"/>
  <c r="CE46" i="50"/>
  <c r="BX66" i="50" s="1"/>
  <c r="BK6" i="50"/>
  <c r="I6" i="50" s="1"/>
  <c r="BD26" i="50" s="1"/>
  <c r="G26" i="50" s="1"/>
  <c r="G49" i="50"/>
  <c r="BK49" i="50"/>
  <c r="I49" i="50" s="1"/>
  <c r="BJ69" i="50" s="1"/>
  <c r="H69" i="50" s="1"/>
  <c r="CA68" i="50"/>
  <c r="CA28" i="50"/>
  <c r="CB68" i="50"/>
  <c r="X69" i="50"/>
  <c r="C93" i="50"/>
  <c r="D93" i="50"/>
  <c r="D91" i="50"/>
  <c r="B94" i="50"/>
  <c r="CB29" i="50"/>
  <c r="CD29" i="50"/>
  <c r="I71" i="20" s="1"/>
  <c r="BX68" i="50"/>
  <c r="BK46" i="50"/>
  <c r="I46" i="50" s="1"/>
  <c r="G46" i="50"/>
  <c r="CC28" i="50"/>
  <c r="F94" i="50"/>
  <c r="H94" i="50"/>
  <c r="B92" i="50"/>
  <c r="F92" i="50"/>
  <c r="F91" i="50"/>
  <c r="BK47" i="50"/>
  <c r="I47" i="50" s="1"/>
  <c r="BE67" i="50" s="1"/>
  <c r="B67" i="50" s="1"/>
  <c r="G47" i="50"/>
  <c r="G92" i="50" s="1"/>
  <c r="CE7" i="50"/>
  <c r="BX27" i="50" s="1"/>
  <c r="C69" i="20" s="1"/>
  <c r="AG15" i="23"/>
  <c r="AF13" i="23"/>
  <c r="AG14" i="23"/>
  <c r="BJ72" i="50"/>
  <c r="H72" i="50" s="1"/>
  <c r="AE72" i="50"/>
  <c r="BD72" i="50"/>
  <c r="G72" i="50" s="1"/>
  <c r="BD70" i="50"/>
  <c r="G70" i="50" s="1"/>
  <c r="AE71" i="50"/>
  <c r="AF15" i="23"/>
  <c r="BK71" i="50"/>
  <c r="I71" i="50" s="1"/>
  <c r="BU47" i="50"/>
  <c r="BT67" i="50" s="1"/>
  <c r="AP10" i="23" s="1"/>
  <c r="BU49" i="50"/>
  <c r="BN69" i="50" s="1"/>
  <c r="G8" i="50"/>
  <c r="G9" i="50"/>
  <c r="BU48" i="50"/>
  <c r="BS68" i="50" s="1"/>
  <c r="BU46" i="50"/>
  <c r="BR66" i="50" s="1"/>
  <c r="BU9" i="50"/>
  <c r="BP29" i="50" s="1"/>
  <c r="G6" i="50"/>
  <c r="B30" i="50"/>
  <c r="BK30" i="50"/>
  <c r="I30" i="50" s="1"/>
  <c r="BU6" i="50"/>
  <c r="BN26" i="50" s="1"/>
  <c r="BU7" i="50"/>
  <c r="BP27" i="50" s="1"/>
  <c r="G32" i="50"/>
  <c r="BK32" i="50"/>
  <c r="I32" i="50" s="1"/>
  <c r="BU8" i="50"/>
  <c r="BT28" i="50" s="1"/>
  <c r="B31" i="50"/>
  <c r="BK31" i="50"/>
  <c r="I31" i="50" s="1"/>
  <c r="AD140" i="20"/>
  <c r="AC140" i="20"/>
  <c r="G84" i="20"/>
  <c r="C84" i="20"/>
  <c r="P98" i="20"/>
  <c r="T102" i="20"/>
  <c r="P97" i="20"/>
  <c r="P90" i="20"/>
  <c r="T107" i="20"/>
  <c r="P84" i="20"/>
  <c r="P111" i="20"/>
  <c r="T86" i="20"/>
  <c r="T97" i="20"/>
  <c r="T91" i="20"/>
  <c r="T101" i="20"/>
  <c r="P106" i="20"/>
  <c r="T110" i="20"/>
  <c r="T94" i="20"/>
  <c r="AM3" i="14"/>
  <c r="AN3" i="14" s="1"/>
  <c r="AM4" i="14"/>
  <c r="AB4" i="14"/>
  <c r="AM8" i="14"/>
  <c r="AB8" i="14"/>
  <c r="R20" i="10"/>
  <c r="AM6" i="14"/>
  <c r="AB6" i="14"/>
  <c r="AM9" i="14"/>
  <c r="AB9" i="14"/>
  <c r="AM12" i="14"/>
  <c r="AB12" i="14"/>
  <c r="P103" i="20"/>
  <c r="P109" i="20"/>
  <c r="P93" i="20"/>
  <c r="P107" i="20"/>
  <c r="P112" i="20"/>
  <c r="P104" i="20"/>
  <c r="P96" i="20"/>
  <c r="P88" i="20"/>
  <c r="T89" i="20"/>
  <c r="T103" i="20"/>
  <c r="T87" i="20"/>
  <c r="T93" i="20"/>
  <c r="T108" i="20"/>
  <c r="T100" i="20"/>
  <c r="T92" i="20"/>
  <c r="T84" i="20"/>
  <c r="R85" i="20"/>
  <c r="R87" i="20"/>
  <c r="R89" i="20"/>
  <c r="R91" i="20"/>
  <c r="R93" i="20"/>
  <c r="R95" i="20"/>
  <c r="R97" i="20"/>
  <c r="R99" i="20"/>
  <c r="R101" i="20"/>
  <c r="R103" i="20"/>
  <c r="R105" i="20"/>
  <c r="R107" i="20"/>
  <c r="R109" i="20"/>
  <c r="R111" i="20"/>
  <c r="R88" i="20"/>
  <c r="R96" i="20"/>
  <c r="R104" i="20"/>
  <c r="R112" i="20"/>
  <c r="R86" i="20"/>
  <c r="R90" i="20"/>
  <c r="R94" i="20"/>
  <c r="R98" i="20"/>
  <c r="R102" i="20"/>
  <c r="R106" i="20"/>
  <c r="R110" i="20"/>
  <c r="R84" i="20"/>
  <c r="R92" i="20"/>
  <c r="R100" i="20"/>
  <c r="R108" i="20"/>
  <c r="AL17" i="14"/>
  <c r="P95" i="20"/>
  <c r="P105" i="20"/>
  <c r="P89" i="20"/>
  <c r="P99" i="20"/>
  <c r="P110" i="20"/>
  <c r="P102" i="20"/>
  <c r="P94" i="20"/>
  <c r="P86" i="20"/>
  <c r="T99" i="20"/>
  <c r="T85" i="20"/>
  <c r="T106" i="20"/>
  <c r="T98" i="20"/>
  <c r="T90" i="20"/>
  <c r="U84" i="20"/>
  <c r="U86" i="20"/>
  <c r="U88" i="20"/>
  <c r="U90" i="20"/>
  <c r="U92" i="20"/>
  <c r="U94" i="20"/>
  <c r="U96" i="20"/>
  <c r="U98" i="20"/>
  <c r="U100" i="20"/>
  <c r="U102" i="20"/>
  <c r="U104" i="20"/>
  <c r="U106" i="20"/>
  <c r="U108" i="20"/>
  <c r="U110" i="20"/>
  <c r="U112" i="20"/>
  <c r="U85" i="20"/>
  <c r="U89" i="20"/>
  <c r="U93" i="20"/>
  <c r="U97" i="20"/>
  <c r="U101" i="20"/>
  <c r="U105" i="20"/>
  <c r="U109" i="20"/>
  <c r="U87" i="20"/>
  <c r="U95" i="20"/>
  <c r="U103" i="20"/>
  <c r="U111" i="20"/>
  <c r="U91" i="20"/>
  <c r="U99" i="20"/>
  <c r="U107" i="20"/>
  <c r="S85" i="20"/>
  <c r="S87" i="20"/>
  <c r="S89" i="20"/>
  <c r="S91" i="20"/>
  <c r="S93" i="20"/>
  <c r="S95" i="20"/>
  <c r="S97" i="20"/>
  <c r="S99" i="20"/>
  <c r="S101" i="20"/>
  <c r="S103" i="20"/>
  <c r="S105" i="20"/>
  <c r="S107" i="20"/>
  <c r="S109" i="20"/>
  <c r="S111" i="20"/>
  <c r="S84" i="20"/>
  <c r="S88" i="20"/>
  <c r="S92" i="20"/>
  <c r="S96" i="20"/>
  <c r="S100" i="20"/>
  <c r="S104" i="20"/>
  <c r="S108" i="20"/>
  <c r="S112" i="20"/>
  <c r="S90" i="20"/>
  <c r="S98" i="20"/>
  <c r="S106" i="20"/>
  <c r="S86" i="20"/>
  <c r="S94" i="20"/>
  <c r="S102" i="20"/>
  <c r="S110" i="20"/>
  <c r="AM5" i="14"/>
  <c r="AM11" i="14"/>
  <c r="AB11" i="14"/>
  <c r="AM7" i="14"/>
  <c r="AB7" i="14"/>
  <c r="AM10" i="14"/>
  <c r="AB10" i="14"/>
  <c r="AB13" i="14"/>
  <c r="AM13" i="14"/>
  <c r="P87" i="20"/>
  <c r="P101" i="20"/>
  <c r="P85" i="20"/>
  <c r="P91" i="20"/>
  <c r="P108" i="20"/>
  <c r="P100" i="20"/>
  <c r="P92" i="20"/>
  <c r="T105" i="20"/>
  <c r="T111" i="20"/>
  <c r="T95" i="20"/>
  <c r="T109" i="20"/>
  <c r="T112" i="20"/>
  <c r="T104" i="20"/>
  <c r="T96" i="20"/>
  <c r="T88" i="20"/>
  <c r="AT126" i="20"/>
  <c r="AH18" i="22"/>
  <c r="AH9" i="22"/>
  <c r="AH17" i="22"/>
  <c r="AH16" i="22"/>
  <c r="AH19" i="22"/>
  <c r="L28" i="22" l="1"/>
  <c r="AF28" i="22"/>
  <c r="AC139" i="20"/>
  <c r="AE66" i="50"/>
  <c r="AE68" i="50"/>
  <c r="BX28" i="50"/>
  <c r="C70" i="20" s="1"/>
  <c r="BX29" i="50"/>
  <c r="C71" i="20" s="1"/>
  <c r="AE69" i="50"/>
  <c r="CD28" i="50"/>
  <c r="I70" i="20" s="1"/>
  <c r="G94" i="50"/>
  <c r="I94" i="50" s="1"/>
  <c r="C113" i="50" s="1"/>
  <c r="H7" i="5"/>
  <c r="BK93" i="50"/>
  <c r="BI112" i="50" s="1"/>
  <c r="BZ113" i="50"/>
  <c r="CE94" i="50"/>
  <c r="CB113" i="50" s="1"/>
  <c r="BK94" i="50"/>
  <c r="BH113" i="50" s="1"/>
  <c r="CE91" i="50"/>
  <c r="CB110" i="50" s="1"/>
  <c r="CC113" i="50"/>
  <c r="BK91" i="50"/>
  <c r="BE110" i="50" s="1"/>
  <c r="BF66" i="50"/>
  <c r="C66" i="50" s="1"/>
  <c r="CD110" i="50"/>
  <c r="BK92" i="50"/>
  <c r="BH111" i="50" s="1"/>
  <c r="CE93" i="50"/>
  <c r="BY112" i="50" s="1"/>
  <c r="CE92" i="50"/>
  <c r="BZ111" i="50" s="1"/>
  <c r="AD139" i="20"/>
  <c r="G91" i="50"/>
  <c r="G93" i="50"/>
  <c r="BG67" i="50"/>
  <c r="D67" i="50" s="1"/>
  <c r="CE29" i="50"/>
  <c r="BF68" i="50"/>
  <c r="C68" i="50" s="1"/>
  <c r="BE68" i="50"/>
  <c r="B68" i="50" s="1"/>
  <c r="BJ66" i="50"/>
  <c r="H66" i="50" s="1"/>
  <c r="BJ68" i="50"/>
  <c r="H68" i="50" s="1"/>
  <c r="BI68" i="50"/>
  <c r="F68" i="50" s="1"/>
  <c r="BH68" i="50"/>
  <c r="E68" i="50" s="1"/>
  <c r="BE66" i="50"/>
  <c r="B66" i="50" s="1"/>
  <c r="BI66" i="50"/>
  <c r="F66" i="50" s="1"/>
  <c r="BP26" i="50"/>
  <c r="BD69" i="50"/>
  <c r="G69" i="50" s="1"/>
  <c r="CE68" i="50"/>
  <c r="CD67" i="50"/>
  <c r="BZ67" i="50"/>
  <c r="CC67" i="50"/>
  <c r="CB67" i="50"/>
  <c r="CA67" i="50"/>
  <c r="BY67" i="50"/>
  <c r="I92" i="50"/>
  <c r="C111" i="50" s="1"/>
  <c r="BG28" i="50"/>
  <c r="D28" i="50" s="1"/>
  <c r="BZ27" i="50"/>
  <c r="CD27" i="50"/>
  <c r="I69" i="20" s="1"/>
  <c r="BY27" i="50"/>
  <c r="CC27" i="50"/>
  <c r="CA27" i="50"/>
  <c r="CB27" i="50"/>
  <c r="BD67" i="50"/>
  <c r="G67" i="50" s="1"/>
  <c r="BH69" i="50"/>
  <c r="E69" i="50" s="1"/>
  <c r="BH67" i="50"/>
  <c r="E67" i="50" s="1"/>
  <c r="BF69" i="50"/>
  <c r="C69" i="50" s="1"/>
  <c r="BG69" i="50"/>
  <c r="D69" i="50" s="1"/>
  <c r="BF67" i="50"/>
  <c r="C67" i="50" s="1"/>
  <c r="BJ67" i="50"/>
  <c r="H67" i="50" s="1"/>
  <c r="BI67" i="50"/>
  <c r="F67" i="50" s="1"/>
  <c r="BG66" i="50"/>
  <c r="D66" i="50" s="1"/>
  <c r="BD68" i="50"/>
  <c r="G68" i="50" s="1"/>
  <c r="BH66" i="50"/>
  <c r="E66" i="50" s="1"/>
  <c r="BD66" i="50"/>
  <c r="G66" i="50" s="1"/>
  <c r="BI69" i="50"/>
  <c r="F69" i="50" s="1"/>
  <c r="BQ26" i="50"/>
  <c r="BD28" i="50"/>
  <c r="G28" i="50" s="1"/>
  <c r="BP68" i="50"/>
  <c r="BK70" i="50"/>
  <c r="I70" i="50" s="1"/>
  <c r="BE69" i="50"/>
  <c r="B69" i="50" s="1"/>
  <c r="BY26" i="50"/>
  <c r="CD26" i="50"/>
  <c r="CB26" i="50"/>
  <c r="BZ26" i="50"/>
  <c r="CA26" i="50"/>
  <c r="CC26" i="50"/>
  <c r="CB69" i="50"/>
  <c r="BY69" i="50"/>
  <c r="CC69" i="50"/>
  <c r="CA69" i="50"/>
  <c r="CD69" i="50"/>
  <c r="BZ69" i="50"/>
  <c r="BO26" i="50"/>
  <c r="BT26" i="50"/>
  <c r="BQ69" i="50"/>
  <c r="B12" i="23" s="1"/>
  <c r="BK72" i="50"/>
  <c r="I72" i="50" s="1"/>
  <c r="BZ66" i="50"/>
  <c r="CC66" i="50"/>
  <c r="CA66" i="50"/>
  <c r="CD66" i="50"/>
  <c r="CB66" i="50"/>
  <c r="BY66" i="50"/>
  <c r="BQ67" i="50"/>
  <c r="B10" i="23" s="1"/>
  <c r="BN66" i="50"/>
  <c r="BP69" i="50"/>
  <c r="BS26" i="50"/>
  <c r="BR28" i="50"/>
  <c r="BS28" i="50"/>
  <c r="BO28" i="50"/>
  <c r="BQ28" i="50"/>
  <c r="BN28" i="50"/>
  <c r="BQ29" i="50"/>
  <c r="BO27" i="50"/>
  <c r="BR26" i="50"/>
  <c r="BF28" i="50"/>
  <c r="C28" i="50" s="1"/>
  <c r="BJ28" i="50"/>
  <c r="H28" i="50" s="1"/>
  <c r="BH28" i="50"/>
  <c r="E28" i="50" s="1"/>
  <c r="BE28" i="50"/>
  <c r="B28" i="50" s="1"/>
  <c r="BF29" i="50"/>
  <c r="C29" i="50" s="1"/>
  <c r="BI29" i="50"/>
  <c r="F29" i="50" s="1"/>
  <c r="BR68" i="50"/>
  <c r="BO67" i="50"/>
  <c r="BR67" i="50"/>
  <c r="BR69" i="50"/>
  <c r="BP66" i="50"/>
  <c r="BQ66" i="50"/>
  <c r="B9" i="23" s="1"/>
  <c r="BS67" i="50"/>
  <c r="BN68" i="50"/>
  <c r="BN67" i="50"/>
  <c r="BO66" i="50"/>
  <c r="L9" i="23" s="1"/>
  <c r="BO69" i="50"/>
  <c r="BQ68" i="50"/>
  <c r="B11" i="23" s="1"/>
  <c r="BO68" i="50"/>
  <c r="BJ26" i="50"/>
  <c r="H26" i="50" s="1"/>
  <c r="BT66" i="50"/>
  <c r="AP9" i="23" s="1"/>
  <c r="AP4" i="23" s="1"/>
  <c r="BP67" i="50"/>
  <c r="BS66" i="50"/>
  <c r="BT68" i="50"/>
  <c r="AP11" i="23" s="1"/>
  <c r="BT69" i="50"/>
  <c r="AP12" i="23" s="1"/>
  <c r="BT27" i="50"/>
  <c r="BS69" i="50"/>
  <c r="BR29" i="50"/>
  <c r="BG27" i="50"/>
  <c r="D27" i="50" s="1"/>
  <c r="BE26" i="50"/>
  <c r="B26" i="50" s="1"/>
  <c r="BO29" i="50"/>
  <c r="BQ27" i="50"/>
  <c r="BD29" i="50"/>
  <c r="G29" i="50" s="1"/>
  <c r="BG29" i="50"/>
  <c r="D29" i="50" s="1"/>
  <c r="BE27" i="50"/>
  <c r="B27" i="50" s="1"/>
  <c r="BS27" i="50"/>
  <c r="BI27" i="50"/>
  <c r="F27" i="50" s="1"/>
  <c r="BD27" i="50"/>
  <c r="BE29" i="50"/>
  <c r="B29" i="50" s="1"/>
  <c r="BN29" i="50"/>
  <c r="BN27" i="50"/>
  <c r="BJ27" i="50"/>
  <c r="H27" i="50" s="1"/>
  <c r="BH29" i="50"/>
  <c r="E29" i="50" s="1"/>
  <c r="BR27" i="50"/>
  <c r="BP28" i="50"/>
  <c r="BI26" i="50"/>
  <c r="F26" i="50" s="1"/>
  <c r="BH26" i="50"/>
  <c r="E26" i="50" s="1"/>
  <c r="BF26" i="50"/>
  <c r="C26" i="50" s="1"/>
  <c r="BG26" i="50"/>
  <c r="D26" i="50" s="1"/>
  <c r="BJ29" i="50"/>
  <c r="H29" i="50" s="1"/>
  <c r="BT29" i="50"/>
  <c r="BS29" i="50"/>
  <c r="BF27" i="50"/>
  <c r="C27" i="50" s="1"/>
  <c r="O103" i="20"/>
  <c r="O86" i="20"/>
  <c r="O110" i="20"/>
  <c r="O100" i="20"/>
  <c r="O99" i="20"/>
  <c r="O112" i="20"/>
  <c r="O94" i="20"/>
  <c r="F84" i="20"/>
  <c r="O108" i="20"/>
  <c r="O92" i="20"/>
  <c r="O87" i="20"/>
  <c r="O97" i="20"/>
  <c r="AL18" i="14"/>
  <c r="O98" i="20"/>
  <c r="S16" i="10"/>
  <c r="AN12" i="14"/>
  <c r="S10" i="10"/>
  <c r="AN6" i="14"/>
  <c r="S12" i="10"/>
  <c r="AN8" i="14"/>
  <c r="S7" i="10"/>
  <c r="O102" i="20"/>
  <c r="O104" i="20"/>
  <c r="O88" i="20"/>
  <c r="O107" i="20"/>
  <c r="O111" i="20"/>
  <c r="O109" i="20"/>
  <c r="O93" i="20"/>
  <c r="O106" i="20"/>
  <c r="S9" i="10"/>
  <c r="AN5" i="14"/>
  <c r="O89" i="20"/>
  <c r="S13" i="10"/>
  <c r="AN9" i="14"/>
  <c r="S8" i="10"/>
  <c r="AN4" i="14"/>
  <c r="S11" i="10"/>
  <c r="AN7" i="14"/>
  <c r="S15" i="10"/>
  <c r="AN11" i="14"/>
  <c r="S14" i="10"/>
  <c r="AN10" i="14"/>
  <c r="H84" i="20"/>
  <c r="O105" i="20"/>
  <c r="S17" i="10"/>
  <c r="AN13" i="14"/>
  <c r="O96" i="20"/>
  <c r="O91" i="20"/>
  <c r="O95" i="20"/>
  <c r="O101" i="20"/>
  <c r="O85" i="20"/>
  <c r="O84" i="20"/>
  <c r="O90" i="20"/>
  <c r="AM14" i="14"/>
  <c r="AA20" i="14"/>
  <c r="AM20" i="14" s="1"/>
  <c r="AM24" i="10" s="1"/>
  <c r="AA22" i="14"/>
  <c r="AM22" i="14" s="1"/>
  <c r="AM26" i="10" s="1"/>
  <c r="AA19" i="14"/>
  <c r="AM19" i="14" s="1"/>
  <c r="AM23" i="10" s="1"/>
  <c r="AA21" i="14"/>
  <c r="AM21" i="14" s="1"/>
  <c r="AM25" i="10" s="1"/>
  <c r="AA25" i="14"/>
  <c r="AM25" i="14" s="1"/>
  <c r="AM29" i="10" s="1"/>
  <c r="AA23" i="14"/>
  <c r="AM23" i="14" s="1"/>
  <c r="AM27" i="10" s="1"/>
  <c r="AM17" i="14"/>
  <c r="AA29" i="14"/>
  <c r="AM29" i="14" s="1"/>
  <c r="AM33" i="10" s="1"/>
  <c r="AA27" i="14"/>
  <c r="AM27" i="14" s="1"/>
  <c r="AM31" i="10" s="1"/>
  <c r="AA24" i="14"/>
  <c r="AM24" i="14" s="1"/>
  <c r="AM28" i="10" s="1"/>
  <c r="AA26" i="14"/>
  <c r="AM26" i="14" s="1"/>
  <c r="AM30" i="10" s="1"/>
  <c r="AA28" i="14"/>
  <c r="AM28" i="14" s="1"/>
  <c r="AM32" i="10" s="1"/>
  <c r="AM18" i="14"/>
  <c r="AM15" i="14"/>
  <c r="AA30" i="14"/>
  <c r="AM30" i="14" s="1"/>
  <c r="AM34" i="10" s="1"/>
  <c r="AM16" i="14"/>
  <c r="AT10" i="22"/>
  <c r="AT11" i="22"/>
  <c r="AT12" i="22"/>
  <c r="AT13" i="22"/>
  <c r="AT14" i="22"/>
  <c r="P10" i="22"/>
  <c r="Q10" i="22"/>
  <c r="P11" i="22"/>
  <c r="Q11" i="22"/>
  <c r="P12" i="22"/>
  <c r="Q12" i="22"/>
  <c r="P13" i="22"/>
  <c r="Q13" i="22"/>
  <c r="P14" i="22"/>
  <c r="Q14" i="22"/>
  <c r="AO5" i="22"/>
  <c r="AO4" i="22"/>
  <c r="AE5" i="22"/>
  <c r="AE4" i="22"/>
  <c r="Y5" i="22"/>
  <c r="X5" i="22"/>
  <c r="W5" i="22"/>
  <c r="V5" i="22"/>
  <c r="U5" i="22"/>
  <c r="Y4" i="22"/>
  <c r="X4" i="22"/>
  <c r="W4" i="22"/>
  <c r="V4" i="22"/>
  <c r="U4" i="22"/>
  <c r="K5" i="22"/>
  <c r="K4" i="22"/>
  <c r="A5" i="22"/>
  <c r="A4" i="22"/>
  <c r="A5" i="23"/>
  <c r="A4" i="23"/>
  <c r="Y5" i="23"/>
  <c r="X5" i="23"/>
  <c r="W5" i="23"/>
  <c r="V5" i="23"/>
  <c r="U5" i="23"/>
  <c r="Y4" i="23"/>
  <c r="X4" i="23"/>
  <c r="W4" i="23"/>
  <c r="V4" i="23"/>
  <c r="U4" i="23"/>
  <c r="AE5" i="23"/>
  <c r="AE4" i="23"/>
  <c r="AO5" i="23"/>
  <c r="AO4" i="23"/>
  <c r="AR5" i="23"/>
  <c r="AQ4" i="23"/>
  <c r="AR4" i="23"/>
  <c r="AQ5" i="23"/>
  <c r="AP5" i="23"/>
  <c r="AH5" i="23"/>
  <c r="AH4" i="23"/>
  <c r="AG5" i="23"/>
  <c r="AG4" i="23"/>
  <c r="AR5" i="22"/>
  <c r="AR4" i="22"/>
  <c r="AQ5" i="22"/>
  <c r="AQ4" i="22"/>
  <c r="AP16" i="22"/>
  <c r="AP17" i="22"/>
  <c r="AP18" i="22"/>
  <c r="AP19" i="22"/>
  <c r="AP15" i="22"/>
  <c r="AP5" i="22" s="1"/>
  <c r="AP9" i="22"/>
  <c r="AP4" i="22" s="1"/>
  <c r="AF5" i="22"/>
  <c r="AF4" i="22"/>
  <c r="AH5" i="22"/>
  <c r="AH4" i="22"/>
  <c r="AG5" i="22"/>
  <c r="AG4" i="22"/>
  <c r="AG10" i="22" l="1"/>
  <c r="AG11" i="22"/>
  <c r="AG12" i="22"/>
  <c r="AG13" i="22"/>
  <c r="AG14" i="22"/>
  <c r="CB112" i="50"/>
  <c r="CC110" i="50"/>
  <c r="BX110" i="50"/>
  <c r="BE111" i="50"/>
  <c r="BG110" i="50"/>
  <c r="BH110" i="50"/>
  <c r="BD113" i="50"/>
  <c r="BH112" i="50"/>
  <c r="BI113" i="50"/>
  <c r="BF113" i="50"/>
  <c r="BE112" i="50"/>
  <c r="CA111" i="50"/>
  <c r="BZ110" i="50"/>
  <c r="BZ112" i="50"/>
  <c r="CD112" i="50"/>
  <c r="BX112" i="50"/>
  <c r="CE28" i="50"/>
  <c r="CA110" i="50"/>
  <c r="CA112" i="50"/>
  <c r="BY113" i="50"/>
  <c r="BD110" i="50"/>
  <c r="BG111" i="50"/>
  <c r="F113" i="50"/>
  <c r="G113" i="50"/>
  <c r="BF112" i="50"/>
  <c r="CD113" i="50"/>
  <c r="H113" i="50"/>
  <c r="BY110" i="50"/>
  <c r="BJ110" i="50"/>
  <c r="BG112" i="50"/>
  <c r="CB111" i="50"/>
  <c r="AF9" i="23"/>
  <c r="BX113" i="50"/>
  <c r="CA113" i="50"/>
  <c r="L12" i="23"/>
  <c r="E111" i="50"/>
  <c r="B113" i="50"/>
  <c r="D111" i="50"/>
  <c r="F111" i="50"/>
  <c r="BE113" i="50"/>
  <c r="AG12" i="23"/>
  <c r="AF12" i="23"/>
  <c r="I91" i="50"/>
  <c r="G110" i="50" s="1"/>
  <c r="G111" i="50"/>
  <c r="BI111" i="50"/>
  <c r="E113" i="50"/>
  <c r="B111" i="50"/>
  <c r="BI110" i="50"/>
  <c r="BD111" i="50"/>
  <c r="BJ111" i="50"/>
  <c r="BF110" i="50"/>
  <c r="AF10" i="23"/>
  <c r="AG10" i="23"/>
  <c r="BX111" i="50"/>
  <c r="CD111" i="50"/>
  <c r="BJ113" i="50"/>
  <c r="BF111" i="50"/>
  <c r="BD112" i="50"/>
  <c r="BY111" i="50"/>
  <c r="D113" i="50"/>
  <c r="BJ112" i="50"/>
  <c r="BG113" i="50"/>
  <c r="L11" i="23"/>
  <c r="L10" i="23"/>
  <c r="AF11" i="23"/>
  <c r="AG11" i="23"/>
  <c r="CC111" i="50"/>
  <c r="CC112" i="50"/>
  <c r="H111" i="50"/>
  <c r="N7" i="5"/>
  <c r="N54" i="5" s="1"/>
  <c r="H54" i="5"/>
  <c r="I93" i="50"/>
  <c r="G112" i="50" s="1"/>
  <c r="CE69" i="50"/>
  <c r="BK28" i="50"/>
  <c r="I28" i="50" s="1"/>
  <c r="CE67" i="50"/>
  <c r="CE66" i="50"/>
  <c r="CE26" i="50"/>
  <c r="BU26" i="50"/>
  <c r="CE27" i="50"/>
  <c r="BK66" i="50"/>
  <c r="I66" i="50" s="1"/>
  <c r="BK67" i="50"/>
  <c r="I67" i="50" s="1"/>
  <c r="BK68" i="50"/>
  <c r="I68" i="50" s="1"/>
  <c r="BU69" i="50"/>
  <c r="BK69" i="50"/>
  <c r="I69" i="50" s="1"/>
  <c r="BU66" i="50"/>
  <c r="BU28" i="50"/>
  <c r="BK27" i="50"/>
  <c r="I27" i="50" s="1"/>
  <c r="BU67" i="50"/>
  <c r="BU68" i="50"/>
  <c r="G27" i="50"/>
  <c r="BU29" i="50"/>
  <c r="BK26" i="50"/>
  <c r="I26" i="50" s="1"/>
  <c r="BK29" i="50"/>
  <c r="I29" i="50" s="1"/>
  <c r="BU27" i="50"/>
  <c r="AI13" i="10"/>
  <c r="AI9" i="10"/>
  <c r="S20" i="10"/>
  <c r="AN16" i="14"/>
  <c r="S19" i="10"/>
  <c r="AN15" i="14"/>
  <c r="AN17" i="14"/>
  <c r="AI14" i="10"/>
  <c r="AI11" i="10"/>
  <c r="AI8" i="10"/>
  <c r="AI12" i="10"/>
  <c r="AN18" i="14"/>
  <c r="AF19" i="53"/>
  <c r="AP19" i="53"/>
  <c r="B19" i="53"/>
  <c r="AI16" i="10"/>
  <c r="Y19" i="14"/>
  <c r="AF20" i="53"/>
  <c r="AI10" i="10"/>
  <c r="AP20" i="53"/>
  <c r="B20" i="53"/>
  <c r="S18" i="10"/>
  <c r="AN14" i="14"/>
  <c r="AI17" i="10"/>
  <c r="AI15" i="10"/>
  <c r="AI7" i="10"/>
  <c r="AF11" i="22"/>
  <c r="AF10" i="22"/>
  <c r="AF12" i="22"/>
  <c r="AH10" i="22"/>
  <c r="AH12" i="22"/>
  <c r="AH11" i="22"/>
  <c r="AR11" i="22"/>
  <c r="AF14" i="22"/>
  <c r="AH13" i="22"/>
  <c r="AP10" i="22"/>
  <c r="AR12" i="22"/>
  <c r="AQ11" i="22"/>
  <c r="AP13" i="22"/>
  <c r="AR14" i="22"/>
  <c r="AQ13" i="22"/>
  <c r="AR10" i="22"/>
  <c r="AP11" i="22"/>
  <c r="AP12" i="22"/>
  <c r="AQ14" i="22"/>
  <c r="AQ10" i="22"/>
  <c r="AF13" i="22"/>
  <c r="AH14" i="22"/>
  <c r="AP14" i="22"/>
  <c r="AR13" i="22"/>
  <c r="AQ12" i="22"/>
  <c r="S16" i="12"/>
  <c r="Z16" i="12"/>
  <c r="AA16" i="12"/>
  <c r="AH16" i="12"/>
  <c r="AP16" i="12"/>
  <c r="AQ16" i="12"/>
  <c r="AP15" i="12"/>
  <c r="AU15" i="12"/>
  <c r="Q12" i="12"/>
  <c r="Q16" i="12" s="1"/>
  <c r="R12" i="12"/>
  <c r="R16" i="12" s="1"/>
  <c r="S12" i="12"/>
  <c r="T12" i="12"/>
  <c r="T16" i="12" s="1"/>
  <c r="U12" i="12"/>
  <c r="U16" i="12" s="1"/>
  <c r="V12" i="12"/>
  <c r="V16" i="12" s="1"/>
  <c r="W12" i="12"/>
  <c r="W16" i="12" s="1"/>
  <c r="X12" i="12"/>
  <c r="X16" i="12" s="1"/>
  <c r="Y12" i="12"/>
  <c r="Y16" i="12" s="1"/>
  <c r="Z12" i="12"/>
  <c r="AA12" i="12"/>
  <c r="AB12" i="12"/>
  <c r="AB16" i="12" s="1"/>
  <c r="AC12" i="12"/>
  <c r="AC16" i="12" s="1"/>
  <c r="AD12" i="12"/>
  <c r="AD16" i="12" s="1"/>
  <c r="AE12" i="12"/>
  <c r="AE16" i="12" s="1"/>
  <c r="AF12" i="12"/>
  <c r="AF16" i="12" s="1"/>
  <c r="AG12" i="12"/>
  <c r="AG16" i="12" s="1"/>
  <c r="AH12" i="12"/>
  <c r="AI12" i="12"/>
  <c r="AI16" i="12" s="1"/>
  <c r="AJ12" i="12"/>
  <c r="AJ16" i="12" s="1"/>
  <c r="AK12" i="12"/>
  <c r="AK16" i="12" s="1"/>
  <c r="AL12" i="12"/>
  <c r="AL16" i="12" s="1"/>
  <c r="AM12" i="12"/>
  <c r="AM16" i="12" s="1"/>
  <c r="AN12" i="12"/>
  <c r="AN16" i="12" s="1"/>
  <c r="AO12" i="12"/>
  <c r="AO16" i="12" s="1"/>
  <c r="AP12" i="12"/>
  <c r="AQ12" i="12"/>
  <c r="AR12" i="12"/>
  <c r="AR16" i="12" s="1"/>
  <c r="AS12" i="12"/>
  <c r="AS16" i="12" s="1"/>
  <c r="AT12" i="12"/>
  <c r="AT16" i="12" s="1"/>
  <c r="AU12" i="12"/>
  <c r="AU16" i="12" s="1"/>
  <c r="AV12" i="12"/>
  <c r="AV16" i="12" s="1"/>
  <c r="P12" i="12"/>
  <c r="P16" i="12" s="1"/>
  <c r="AW12" i="12"/>
  <c r="AA31" i="14" l="1"/>
  <c r="AM31" i="14" s="1"/>
  <c r="AM35" i="10" s="1"/>
  <c r="I113" i="50"/>
  <c r="CE113" i="50"/>
  <c r="CE112" i="50"/>
  <c r="BK110" i="50"/>
  <c r="CE110" i="50"/>
  <c r="BK113" i="50"/>
  <c r="BK112" i="50"/>
  <c r="BK111" i="50"/>
  <c r="C110" i="50"/>
  <c r="B110" i="50"/>
  <c r="H110" i="50"/>
  <c r="E110" i="50"/>
  <c r="F110" i="50"/>
  <c r="D110" i="50"/>
  <c r="CE111" i="50"/>
  <c r="E112" i="50"/>
  <c r="D112" i="50"/>
  <c r="H112" i="50"/>
  <c r="C112" i="50"/>
  <c r="F112" i="50"/>
  <c r="B112" i="50"/>
  <c r="AP16" i="53"/>
  <c r="AG9" i="53"/>
  <c r="AI9" i="53" s="1"/>
  <c r="AQ9" i="53"/>
  <c r="AS9" i="53" s="1"/>
  <c r="M9" i="53"/>
  <c r="O9" i="53" s="1"/>
  <c r="U33" i="20"/>
  <c r="Y20" i="14"/>
  <c r="AL20" i="14" s="1"/>
  <c r="AG11" i="53"/>
  <c r="AI11" i="53" s="1"/>
  <c r="AQ11" i="53"/>
  <c r="AS11" i="53" s="1"/>
  <c r="M11" i="53"/>
  <c r="O11" i="53" s="1"/>
  <c r="AQ8" i="53"/>
  <c r="AS8" i="53" s="1"/>
  <c r="AG8" i="53"/>
  <c r="AI8" i="53" s="1"/>
  <c r="M8" i="53"/>
  <c r="O8" i="53" s="1"/>
  <c r="AG10" i="53"/>
  <c r="AI10" i="53" s="1"/>
  <c r="AQ10" i="53"/>
  <c r="AS10" i="53" s="1"/>
  <c r="M10" i="53"/>
  <c r="O10" i="53" s="1"/>
  <c r="AG7" i="53"/>
  <c r="AI7" i="53" s="1"/>
  <c r="M7" i="53"/>
  <c r="O7" i="53" s="1"/>
  <c r="AQ7" i="53"/>
  <c r="AS7" i="53" s="1"/>
  <c r="AQ5" i="53"/>
  <c r="AS5" i="53" s="1"/>
  <c r="M5" i="53"/>
  <c r="O5" i="53" s="1"/>
  <c r="AG5" i="53"/>
  <c r="AI5" i="53" s="1"/>
  <c r="AQ12" i="53"/>
  <c r="AS12" i="53" s="1"/>
  <c r="AG12" i="53"/>
  <c r="AI12" i="53" s="1"/>
  <c r="M12" i="53"/>
  <c r="O12" i="53" s="1"/>
  <c r="AG15" i="53"/>
  <c r="AI15" i="53" s="1"/>
  <c r="AQ15" i="53"/>
  <c r="AS15" i="53" s="1"/>
  <c r="M15" i="53"/>
  <c r="O15" i="53" s="1"/>
  <c r="O16" i="53" s="1"/>
  <c r="O17" i="53" s="1"/>
  <c r="O18" i="53" s="1"/>
  <c r="O19" i="53" s="1"/>
  <c r="O20" i="53" s="1"/>
  <c r="O21" i="53" s="1"/>
  <c r="O22" i="53" s="1"/>
  <c r="O23" i="53" s="1"/>
  <c r="O24" i="53" s="1"/>
  <c r="O25" i="53" s="1"/>
  <c r="O26" i="53" s="1"/>
  <c r="O27" i="53" s="1"/>
  <c r="O28" i="53" s="1"/>
  <c r="O29" i="53" s="1"/>
  <c r="O30" i="53" s="1"/>
  <c r="O31" i="53" s="1"/>
  <c r="O32" i="53" s="1"/>
  <c r="O33" i="53" s="1"/>
  <c r="O34" i="53" s="1"/>
  <c r="O35" i="53" s="1"/>
  <c r="O36" i="53" s="1"/>
  <c r="O37" i="53" s="1"/>
  <c r="O38" i="53" s="1"/>
  <c r="O39" i="53" s="1"/>
  <c r="O40" i="53" s="1"/>
  <c r="O41" i="53" s="1"/>
  <c r="O42" i="53" s="1"/>
  <c r="O43" i="53" s="1"/>
  <c r="O44" i="53" s="1"/>
  <c r="O45" i="53" s="1"/>
  <c r="O46" i="53" s="1"/>
  <c r="O47" i="53" s="1"/>
  <c r="O48" i="53" s="1"/>
  <c r="O49" i="53" s="1"/>
  <c r="AI18" i="10"/>
  <c r="AG6" i="53"/>
  <c r="AI6" i="53" s="1"/>
  <c r="M6" i="53"/>
  <c r="O6" i="53" s="1"/>
  <c r="AP18" i="53"/>
  <c r="B18" i="53"/>
  <c r="AF18" i="53"/>
  <c r="AG13" i="53"/>
  <c r="AI13" i="53" s="1"/>
  <c r="AQ13" i="53"/>
  <c r="AS13" i="53" s="1"/>
  <c r="M13" i="53"/>
  <c r="O13" i="53" s="1"/>
  <c r="AG14" i="53"/>
  <c r="AI14" i="53" s="1"/>
  <c r="AQ14" i="53"/>
  <c r="AS14" i="53" s="1"/>
  <c r="M14" i="53"/>
  <c r="O14" i="53" s="1"/>
  <c r="AP17" i="53"/>
  <c r="B17" i="53"/>
  <c r="AF17" i="53"/>
  <c r="Z18" i="10"/>
  <c r="AS9" i="22"/>
  <c r="AS4" i="22" s="1"/>
  <c r="AS15" i="22"/>
  <c r="AS5" i="22" s="1"/>
  <c r="AS16" i="22"/>
  <c r="AS17" i="22"/>
  <c r="AS18" i="22"/>
  <c r="AS19" i="22"/>
  <c r="AI4" i="22"/>
  <c r="AI15" i="22"/>
  <c r="AI5" i="22" s="1"/>
  <c r="AI16" i="22"/>
  <c r="AI17" i="22"/>
  <c r="AI18" i="22"/>
  <c r="AI19" i="22"/>
  <c r="W20" i="22"/>
  <c r="W21" i="22" s="1"/>
  <c r="W22" i="22" s="1"/>
  <c r="W23" i="22" s="1"/>
  <c r="W24" i="22" s="1"/>
  <c r="W25" i="22" s="1"/>
  <c r="W26" i="22" s="1"/>
  <c r="W27" i="22" s="1"/>
  <c r="W28" i="22" s="1"/>
  <c r="W29" i="22" s="1"/>
  <c r="W30" i="22" s="1"/>
  <c r="W31" i="22" s="1"/>
  <c r="W32" i="22" s="1"/>
  <c r="W33" i="22" s="1"/>
  <c r="W34" i="22" s="1"/>
  <c r="W35" i="22" s="1"/>
  <c r="W36" i="22" s="1"/>
  <c r="W37" i="22" s="1"/>
  <c r="W38" i="22" s="1"/>
  <c r="W39" i="22" s="1"/>
  <c r="W40" i="22" s="1"/>
  <c r="W41" i="22" s="1"/>
  <c r="W42" i="22" s="1"/>
  <c r="W43" i="22" s="1"/>
  <c r="W44" i="22" s="1"/>
  <c r="W45" i="22" s="1"/>
  <c r="W46" i="22" s="1"/>
  <c r="W47" i="22" s="1"/>
  <c r="W48" i="22" s="1"/>
  <c r="W49" i="22" s="1"/>
  <c r="W50" i="22" s="1"/>
  <c r="W51" i="22" s="1"/>
  <c r="W52" i="22" s="1"/>
  <c r="W53" i="22" s="1"/>
  <c r="X20" i="22"/>
  <c r="X21" i="22" s="1"/>
  <c r="X22" i="22" s="1"/>
  <c r="X23" i="22" s="1"/>
  <c r="X24" i="22" s="1"/>
  <c r="X25" i="22" s="1"/>
  <c r="X26" i="22" s="1"/>
  <c r="X27" i="22" s="1"/>
  <c r="X28" i="22" s="1"/>
  <c r="X29" i="22" s="1"/>
  <c r="X30" i="22" s="1"/>
  <c r="X31" i="22" s="1"/>
  <c r="X32" i="22" s="1"/>
  <c r="X33" i="22" s="1"/>
  <c r="X34" i="22" s="1"/>
  <c r="X35" i="22" s="1"/>
  <c r="X36" i="22" s="1"/>
  <c r="X37" i="22" s="1"/>
  <c r="X38" i="22" s="1"/>
  <c r="X39" i="22" s="1"/>
  <c r="X40" i="22" s="1"/>
  <c r="X41" i="22" s="1"/>
  <c r="X42" i="22" s="1"/>
  <c r="X43" i="22" s="1"/>
  <c r="X44" i="22" s="1"/>
  <c r="X45" i="22" s="1"/>
  <c r="X46" i="22" s="1"/>
  <c r="X47" i="22" s="1"/>
  <c r="X48" i="22" s="1"/>
  <c r="X49" i="22" s="1"/>
  <c r="X50" i="22" s="1"/>
  <c r="X51" i="22" s="1"/>
  <c r="X52" i="22" s="1"/>
  <c r="X53" i="22" s="1"/>
  <c r="Y20" i="22"/>
  <c r="Y21" i="22" s="1"/>
  <c r="Y22" i="22" s="1"/>
  <c r="Y23" i="22" s="1"/>
  <c r="Y24" i="22" s="1"/>
  <c r="Y25" i="22" s="1"/>
  <c r="Y26" i="22" s="1"/>
  <c r="Y27" i="22" s="1"/>
  <c r="Y28" i="22" s="1"/>
  <c r="Y29" i="22" s="1"/>
  <c r="Y30" i="22" s="1"/>
  <c r="Y31" i="22" s="1"/>
  <c r="Y32" i="22" s="1"/>
  <c r="Y33" i="22" s="1"/>
  <c r="Y34" i="22" s="1"/>
  <c r="Y35" i="22" s="1"/>
  <c r="Y36" i="22" s="1"/>
  <c r="Y37" i="22" s="1"/>
  <c r="Y38" i="22" s="1"/>
  <c r="Y39" i="22" s="1"/>
  <c r="Y40" i="22" s="1"/>
  <c r="Y41" i="22" s="1"/>
  <c r="Y42" i="22" s="1"/>
  <c r="Y43" i="22" s="1"/>
  <c r="Y44" i="22" s="1"/>
  <c r="Y45" i="22" s="1"/>
  <c r="Y46" i="22" s="1"/>
  <c r="Y47" i="22" s="1"/>
  <c r="Y48" i="22" s="1"/>
  <c r="Y49" i="22" s="1"/>
  <c r="Y50" i="22" s="1"/>
  <c r="Y51" i="22" s="1"/>
  <c r="Y52" i="22" s="1"/>
  <c r="Y53" i="22" s="1"/>
  <c r="Z20" i="22"/>
  <c r="Z21" i="22" s="1"/>
  <c r="Z22" i="22" s="1"/>
  <c r="Z23" i="22" s="1"/>
  <c r="Z24" i="22" s="1"/>
  <c r="Z25" i="22" s="1"/>
  <c r="Z26" i="22" s="1"/>
  <c r="Z27" i="22" s="1"/>
  <c r="Z28" i="22" s="1"/>
  <c r="Z29" i="22" s="1"/>
  <c r="Z30" i="22" s="1"/>
  <c r="Z31" i="22" s="1"/>
  <c r="Z32" i="22" s="1"/>
  <c r="Z33" i="22" s="1"/>
  <c r="Z34" i="22" s="1"/>
  <c r="Z35" i="22" s="1"/>
  <c r="Z36" i="22" s="1"/>
  <c r="Z37" i="22" s="1"/>
  <c r="Z38" i="22" s="1"/>
  <c r="Z39" i="22" s="1"/>
  <c r="Z40" i="22" s="1"/>
  <c r="Z41" i="22" s="1"/>
  <c r="Z42" i="22" s="1"/>
  <c r="Z43" i="22" s="1"/>
  <c r="Z44" i="22" s="1"/>
  <c r="Z45" i="22" s="1"/>
  <c r="Z46" i="22" s="1"/>
  <c r="Z47" i="22" s="1"/>
  <c r="Z48" i="22" s="1"/>
  <c r="Z49" i="22" s="1"/>
  <c r="Z50" i="22" s="1"/>
  <c r="Z51" i="22" s="1"/>
  <c r="Z52" i="22" s="1"/>
  <c r="Z53" i="22" s="1"/>
  <c r="AA20" i="22"/>
  <c r="AA21" i="22" s="1"/>
  <c r="AA22" i="22" s="1"/>
  <c r="AA23" i="22" s="1"/>
  <c r="AA24" i="22" s="1"/>
  <c r="AA25" i="22" s="1"/>
  <c r="AA26" i="22" s="1"/>
  <c r="AA27" i="22" s="1"/>
  <c r="AA28" i="22" s="1"/>
  <c r="AA29" i="22" s="1"/>
  <c r="AA30" i="22" s="1"/>
  <c r="AA31" i="22" s="1"/>
  <c r="AA32" i="22" s="1"/>
  <c r="AA33" i="22" s="1"/>
  <c r="AA34" i="22" s="1"/>
  <c r="AA35" i="22" s="1"/>
  <c r="AA36" i="22" s="1"/>
  <c r="AA37" i="22" s="1"/>
  <c r="AA38" i="22" s="1"/>
  <c r="AA39" i="22" s="1"/>
  <c r="AA40" i="22" s="1"/>
  <c r="AA41" i="22" s="1"/>
  <c r="AA42" i="22" s="1"/>
  <c r="AA43" i="22" s="1"/>
  <c r="AA44" i="22" s="1"/>
  <c r="AA45" i="22" s="1"/>
  <c r="AA46" i="22" s="1"/>
  <c r="AA47" i="22" s="1"/>
  <c r="AA48" i="22" s="1"/>
  <c r="AA49" i="22" s="1"/>
  <c r="AA50" i="22" s="1"/>
  <c r="AA51" i="22" s="1"/>
  <c r="AA52" i="22" s="1"/>
  <c r="AA53" i="22" s="1"/>
  <c r="L4" i="22"/>
  <c r="M9" i="22"/>
  <c r="N9" i="22"/>
  <c r="N4" i="22" s="1"/>
  <c r="N5" i="22"/>
  <c r="B4" i="22"/>
  <c r="B15" i="22"/>
  <c r="B5" i="22" s="1"/>
  <c r="B16" i="22"/>
  <c r="B17" i="22"/>
  <c r="B18" i="22"/>
  <c r="C4" i="22"/>
  <c r="C5" i="22"/>
  <c r="D4" i="22"/>
  <c r="D5" i="22"/>
  <c r="E4" i="22"/>
  <c r="E5" i="22"/>
  <c r="F10" i="22"/>
  <c r="F11" i="22"/>
  <c r="F12" i="22"/>
  <c r="F13" i="22"/>
  <c r="F14" i="22"/>
  <c r="G10" i="22"/>
  <c r="G11" i="22"/>
  <c r="G12" i="22"/>
  <c r="G13" i="22"/>
  <c r="G14" i="22"/>
  <c r="AS9" i="23"/>
  <c r="AS4" i="23" s="1"/>
  <c r="AS15" i="23"/>
  <c r="AS5" i="23" s="1"/>
  <c r="AS16" i="23"/>
  <c r="AS17" i="23"/>
  <c r="AS18" i="23"/>
  <c r="AS19" i="23"/>
  <c r="AT10" i="23"/>
  <c r="AT11" i="23"/>
  <c r="AT12" i="23"/>
  <c r="AT13" i="23"/>
  <c r="AT14" i="23"/>
  <c r="AT25" i="23"/>
  <c r="AT26" i="23" s="1"/>
  <c r="AT27" i="23" s="1"/>
  <c r="AT28" i="23" s="1"/>
  <c r="AT29" i="23" s="1"/>
  <c r="AT30" i="23" s="1"/>
  <c r="AT31" i="23" s="1"/>
  <c r="AT32" i="23" s="1"/>
  <c r="AT33" i="23" s="1"/>
  <c r="AT34" i="23" s="1"/>
  <c r="AT35" i="23" s="1"/>
  <c r="AT36" i="23" s="1"/>
  <c r="AT37" i="23" s="1"/>
  <c r="AT38" i="23" s="1"/>
  <c r="AT39" i="23" s="1"/>
  <c r="AT40" i="23" s="1"/>
  <c r="AT41" i="23" s="1"/>
  <c r="AT42" i="23" s="1"/>
  <c r="AT43" i="23" s="1"/>
  <c r="AT44" i="23" s="1"/>
  <c r="AT45" i="23" s="1"/>
  <c r="AT46" i="23" s="1"/>
  <c r="AT47" i="23" s="1"/>
  <c r="AT48" i="23" s="1"/>
  <c r="AT49" i="23" s="1"/>
  <c r="AT50" i="23" s="1"/>
  <c r="AT51" i="23" s="1"/>
  <c r="AT52" i="23" s="1"/>
  <c r="AT53" i="23" s="1"/>
  <c r="AU10" i="23"/>
  <c r="AU11" i="23"/>
  <c r="AU12" i="23"/>
  <c r="AU13" i="23"/>
  <c r="AU14" i="23"/>
  <c r="AU25" i="23"/>
  <c r="AU26" i="23" s="1"/>
  <c r="AU27" i="23" s="1"/>
  <c r="AU28" i="23" s="1"/>
  <c r="AU29" i="23" s="1"/>
  <c r="AU30" i="23" s="1"/>
  <c r="AU31" i="23" s="1"/>
  <c r="AU32" i="23" s="1"/>
  <c r="AU33" i="23" s="1"/>
  <c r="AU34" i="23" s="1"/>
  <c r="AU35" i="23" s="1"/>
  <c r="AU36" i="23" s="1"/>
  <c r="AU37" i="23" s="1"/>
  <c r="AU38" i="23" s="1"/>
  <c r="AU39" i="23" s="1"/>
  <c r="AU40" i="23" s="1"/>
  <c r="AU41" i="23" s="1"/>
  <c r="AU42" i="23" s="1"/>
  <c r="AU43" i="23" s="1"/>
  <c r="AU44" i="23" s="1"/>
  <c r="AU45" i="23" s="1"/>
  <c r="AU46" i="23" s="1"/>
  <c r="AU47" i="23" s="1"/>
  <c r="AU48" i="23" s="1"/>
  <c r="AU49" i="23" s="1"/>
  <c r="AU50" i="23" s="1"/>
  <c r="AU51" i="23" s="1"/>
  <c r="AU52" i="23" s="1"/>
  <c r="AU53" i="23" s="1"/>
  <c r="AI9" i="23"/>
  <c r="AI4" i="23" s="1"/>
  <c r="AI15" i="23"/>
  <c r="AI5" i="23" s="1"/>
  <c r="AI16" i="23"/>
  <c r="AI18" i="23"/>
  <c r="AI19" i="23"/>
  <c r="AJ10" i="23"/>
  <c r="AJ11" i="23"/>
  <c r="AJ12" i="23"/>
  <c r="AJ13" i="23"/>
  <c r="AJ14" i="23"/>
  <c r="AJ25" i="23"/>
  <c r="AJ26" i="23" s="1"/>
  <c r="AJ27" i="23" s="1"/>
  <c r="AJ28" i="23" s="1"/>
  <c r="AJ29" i="23" s="1"/>
  <c r="AJ30" i="23" s="1"/>
  <c r="AJ31" i="23" s="1"/>
  <c r="AJ32" i="23" s="1"/>
  <c r="AJ33" i="23" s="1"/>
  <c r="AJ34" i="23" s="1"/>
  <c r="AJ35" i="23" s="1"/>
  <c r="AJ36" i="23" s="1"/>
  <c r="AJ37" i="23" s="1"/>
  <c r="AJ38" i="23" s="1"/>
  <c r="AJ39" i="23" s="1"/>
  <c r="AJ40" i="23" s="1"/>
  <c r="AJ41" i="23" s="1"/>
  <c r="AJ42" i="23" s="1"/>
  <c r="AJ43" i="23" s="1"/>
  <c r="AJ44" i="23" s="1"/>
  <c r="AJ45" i="23" s="1"/>
  <c r="AJ46" i="23" s="1"/>
  <c r="AJ47" i="23" s="1"/>
  <c r="AJ48" i="23" s="1"/>
  <c r="AJ49" i="23" s="1"/>
  <c r="AJ50" i="23" s="1"/>
  <c r="AJ51" i="23" s="1"/>
  <c r="AJ52" i="23" s="1"/>
  <c r="AJ53" i="23" s="1"/>
  <c r="AK10" i="23"/>
  <c r="AK11" i="23"/>
  <c r="AK12" i="23"/>
  <c r="AK13" i="23"/>
  <c r="AK14" i="23"/>
  <c r="AK25" i="23"/>
  <c r="AK26" i="23" s="1"/>
  <c r="AK27" i="23" s="1"/>
  <c r="AK28" i="23" s="1"/>
  <c r="AK29" i="23" s="1"/>
  <c r="AK30" i="23" s="1"/>
  <c r="AK31" i="23" s="1"/>
  <c r="AK32" i="23" s="1"/>
  <c r="AK33" i="23" s="1"/>
  <c r="AK34" i="23" s="1"/>
  <c r="AK35" i="23" s="1"/>
  <c r="AK36" i="23" s="1"/>
  <c r="AK37" i="23" s="1"/>
  <c r="AK38" i="23" s="1"/>
  <c r="AK39" i="23" s="1"/>
  <c r="AK40" i="23" s="1"/>
  <c r="AK41" i="23" s="1"/>
  <c r="AK42" i="23" s="1"/>
  <c r="AK43" i="23" s="1"/>
  <c r="AK44" i="23" s="1"/>
  <c r="AK45" i="23" s="1"/>
  <c r="AK46" i="23" s="1"/>
  <c r="AK47" i="23" s="1"/>
  <c r="AK48" i="23" s="1"/>
  <c r="AK49" i="23" s="1"/>
  <c r="AK50" i="23" s="1"/>
  <c r="AK51" i="23" s="1"/>
  <c r="AK52" i="23" s="1"/>
  <c r="AK53" i="23" s="1"/>
  <c r="V20" i="23"/>
  <c r="V21" i="23" s="1"/>
  <c r="V22" i="23" s="1"/>
  <c r="V23" i="23" s="1"/>
  <c r="V24" i="23" s="1"/>
  <c r="V25" i="23" s="1"/>
  <c r="V26" i="23" s="1"/>
  <c r="V27" i="23" s="1"/>
  <c r="V28" i="23" s="1"/>
  <c r="V29" i="23" s="1"/>
  <c r="V30" i="23" s="1"/>
  <c r="V31" i="23" s="1"/>
  <c r="V32" i="23" s="1"/>
  <c r="V33" i="23" s="1"/>
  <c r="V34" i="23" s="1"/>
  <c r="V35" i="23" s="1"/>
  <c r="V36" i="23" s="1"/>
  <c r="V37" i="23" s="1"/>
  <c r="V38" i="23" s="1"/>
  <c r="V39" i="23" s="1"/>
  <c r="V40" i="23" s="1"/>
  <c r="V41" i="23" s="1"/>
  <c r="V42" i="23" s="1"/>
  <c r="V43" i="23" s="1"/>
  <c r="V44" i="23" s="1"/>
  <c r="V45" i="23" s="1"/>
  <c r="V46" i="23" s="1"/>
  <c r="V47" i="23" s="1"/>
  <c r="V48" i="23" s="1"/>
  <c r="V49" i="23" s="1"/>
  <c r="V50" i="23" s="1"/>
  <c r="V51" i="23" s="1"/>
  <c r="V52" i="23" s="1"/>
  <c r="V53" i="23" s="1"/>
  <c r="W20" i="23"/>
  <c r="W21" i="23" s="1"/>
  <c r="W22" i="23" s="1"/>
  <c r="W23" i="23" s="1"/>
  <c r="W24" i="23" s="1"/>
  <c r="W25" i="23" s="1"/>
  <c r="W26" i="23" s="1"/>
  <c r="W27" i="23" s="1"/>
  <c r="W28" i="23" s="1"/>
  <c r="W29" i="23" s="1"/>
  <c r="W30" i="23" s="1"/>
  <c r="W31" i="23" s="1"/>
  <c r="W32" i="23" s="1"/>
  <c r="W33" i="23" s="1"/>
  <c r="W34" i="23" s="1"/>
  <c r="W35" i="23" s="1"/>
  <c r="W36" i="23" s="1"/>
  <c r="W37" i="23" s="1"/>
  <c r="W38" i="23" s="1"/>
  <c r="W39" i="23" s="1"/>
  <c r="W40" i="23" s="1"/>
  <c r="W41" i="23" s="1"/>
  <c r="W42" i="23" s="1"/>
  <c r="W43" i="23" s="1"/>
  <c r="W44" i="23" s="1"/>
  <c r="W45" i="23" s="1"/>
  <c r="W46" i="23" s="1"/>
  <c r="W47" i="23" s="1"/>
  <c r="W48" i="23" s="1"/>
  <c r="W49" i="23" s="1"/>
  <c r="W50" i="23" s="1"/>
  <c r="W51" i="23" s="1"/>
  <c r="W52" i="23" s="1"/>
  <c r="W53" i="23" s="1"/>
  <c r="X20" i="23"/>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Y20" i="23"/>
  <c r="Y21" i="23" s="1"/>
  <c r="Y22" i="23" s="1"/>
  <c r="Y23" i="23" s="1"/>
  <c r="Y24" i="23" s="1"/>
  <c r="Y25" i="23" s="1"/>
  <c r="Y26" i="23" s="1"/>
  <c r="Y27" i="23" s="1"/>
  <c r="Y28" i="23" s="1"/>
  <c r="Y29" i="23" s="1"/>
  <c r="Y30" i="23" s="1"/>
  <c r="Y31" i="23" s="1"/>
  <c r="Y32" i="23" s="1"/>
  <c r="Y33" i="23" s="1"/>
  <c r="Y34" i="23" s="1"/>
  <c r="Y35" i="23" s="1"/>
  <c r="Y36" i="23" s="1"/>
  <c r="Y37" i="23" s="1"/>
  <c r="Y38" i="23" s="1"/>
  <c r="Y39" i="23" s="1"/>
  <c r="Y40" i="23" s="1"/>
  <c r="Y41" i="23" s="1"/>
  <c r="Y42" i="23" s="1"/>
  <c r="Y43" i="23" s="1"/>
  <c r="Y44" i="23" s="1"/>
  <c r="Y45" i="23" s="1"/>
  <c r="Y46" i="23" s="1"/>
  <c r="Y47" i="23" s="1"/>
  <c r="Y48" i="23" s="1"/>
  <c r="Y49" i="23" s="1"/>
  <c r="Y50" i="23" s="1"/>
  <c r="Y51" i="23" s="1"/>
  <c r="Y52" i="23" s="1"/>
  <c r="Y53" i="23" s="1"/>
  <c r="Z20" i="23"/>
  <c r="Z21" i="23" s="1"/>
  <c r="Z22" i="23" s="1"/>
  <c r="Z23" i="23" s="1"/>
  <c r="Z24" i="23" s="1"/>
  <c r="Z25" i="23" s="1"/>
  <c r="Z26" i="23" s="1"/>
  <c r="Z27" i="23" s="1"/>
  <c r="Z28" i="23" s="1"/>
  <c r="Z29" i="23" s="1"/>
  <c r="Z30" i="23" s="1"/>
  <c r="Z31" i="23" s="1"/>
  <c r="Z32" i="23" s="1"/>
  <c r="Z33" i="23" s="1"/>
  <c r="Z34" i="23" s="1"/>
  <c r="Z35" i="23" s="1"/>
  <c r="Z36" i="23" s="1"/>
  <c r="Z37" i="23" s="1"/>
  <c r="Z38" i="23" s="1"/>
  <c r="Z39" i="23" s="1"/>
  <c r="Z40" i="23" s="1"/>
  <c r="Z41" i="23" s="1"/>
  <c r="Z42" i="23" s="1"/>
  <c r="Z43" i="23" s="1"/>
  <c r="Z44" i="23" s="1"/>
  <c r="Z45" i="23" s="1"/>
  <c r="Z46" i="23" s="1"/>
  <c r="Z47" i="23" s="1"/>
  <c r="Z48" i="23" s="1"/>
  <c r="Z49" i="23" s="1"/>
  <c r="Z50" i="23" s="1"/>
  <c r="Z51" i="23" s="1"/>
  <c r="Z52" i="23" s="1"/>
  <c r="Z53" i="23" s="1"/>
  <c r="AA20" i="23"/>
  <c r="AA21" i="23" s="1"/>
  <c r="AA22" i="23" s="1"/>
  <c r="AA23" i="23" s="1"/>
  <c r="AA24" i="23" s="1"/>
  <c r="AA25" i="23" s="1"/>
  <c r="AA26" i="23" s="1"/>
  <c r="AA27" i="23" s="1"/>
  <c r="AA28" i="23" s="1"/>
  <c r="AA29" i="23" s="1"/>
  <c r="AA30" i="23" s="1"/>
  <c r="AA31" i="23" s="1"/>
  <c r="AA32" i="23" s="1"/>
  <c r="AA33" i="23" s="1"/>
  <c r="AA34" i="23" s="1"/>
  <c r="AA35" i="23" s="1"/>
  <c r="AA36" i="23" s="1"/>
  <c r="AA37" i="23" s="1"/>
  <c r="AA38" i="23" s="1"/>
  <c r="AA39" i="23" s="1"/>
  <c r="AA40" i="23" s="1"/>
  <c r="AA41" i="23" s="1"/>
  <c r="AA42" i="23" s="1"/>
  <c r="AA43" i="23" s="1"/>
  <c r="AA44" i="23" s="1"/>
  <c r="AA45" i="23" s="1"/>
  <c r="AA46" i="23" s="1"/>
  <c r="AA47" i="23" s="1"/>
  <c r="AA48" i="23" s="1"/>
  <c r="AA49" i="23" s="1"/>
  <c r="AA50" i="23" s="1"/>
  <c r="AA51" i="23" s="1"/>
  <c r="AA52" i="23" s="1"/>
  <c r="AA53" i="23" s="1"/>
  <c r="P25" i="23"/>
  <c r="P26" i="23" s="1"/>
  <c r="P27" i="23" s="1"/>
  <c r="P28" i="23" s="1"/>
  <c r="P29" i="23" s="1"/>
  <c r="P30" i="23" s="1"/>
  <c r="P31" i="23" s="1"/>
  <c r="P32" i="23" s="1"/>
  <c r="P33" i="23" s="1"/>
  <c r="P34" i="23" s="1"/>
  <c r="P35" i="23" s="1"/>
  <c r="P36" i="23" s="1"/>
  <c r="P37" i="23" s="1"/>
  <c r="P38" i="23" s="1"/>
  <c r="P39" i="23" s="1"/>
  <c r="P40" i="23" s="1"/>
  <c r="P41" i="23" s="1"/>
  <c r="P42" i="23" s="1"/>
  <c r="P43" i="23" s="1"/>
  <c r="P44" i="23" s="1"/>
  <c r="P45" i="23" s="1"/>
  <c r="P46" i="23" s="1"/>
  <c r="P47" i="23" s="1"/>
  <c r="P48" i="23" s="1"/>
  <c r="P49" i="23" s="1"/>
  <c r="P50" i="23" s="1"/>
  <c r="P51" i="23" s="1"/>
  <c r="P52" i="23" s="1"/>
  <c r="P53" i="23" s="1"/>
  <c r="Q25" i="23"/>
  <c r="Q26" i="23" s="1"/>
  <c r="Q27" i="23" s="1"/>
  <c r="Q28" i="23" s="1"/>
  <c r="Q29" i="23" s="1"/>
  <c r="Q30" i="23" s="1"/>
  <c r="Q31" i="23" s="1"/>
  <c r="Q32" i="23" s="1"/>
  <c r="Q33" i="23" s="1"/>
  <c r="Q34" i="23" s="1"/>
  <c r="Q35" i="23" s="1"/>
  <c r="Q36" i="23" s="1"/>
  <c r="Q37" i="23" s="1"/>
  <c r="Q38" i="23" s="1"/>
  <c r="Q39" i="23" s="1"/>
  <c r="Q40" i="23" s="1"/>
  <c r="Q41" i="23" s="1"/>
  <c r="Q42" i="23" s="1"/>
  <c r="Q43" i="23" s="1"/>
  <c r="Q44" i="23" s="1"/>
  <c r="Q45" i="23" s="1"/>
  <c r="Q46" i="23" s="1"/>
  <c r="Q47" i="23" s="1"/>
  <c r="Q48" i="23" s="1"/>
  <c r="Q49" i="23" s="1"/>
  <c r="Q50" i="23" s="1"/>
  <c r="Q51" i="23" s="1"/>
  <c r="Q52" i="23" s="1"/>
  <c r="Q53" i="23" s="1"/>
  <c r="C5" i="23"/>
  <c r="E16" i="23"/>
  <c r="E18" i="23"/>
  <c r="E19" i="23"/>
  <c r="D5" i="23"/>
  <c r="E17" i="23"/>
  <c r="F10" i="23"/>
  <c r="F11" i="23"/>
  <c r="F12" i="23"/>
  <c r="F13" i="23"/>
  <c r="F14" i="23"/>
  <c r="F25" i="23"/>
  <c r="F26" i="23" s="1"/>
  <c r="F27" i="23" s="1"/>
  <c r="F28" i="23" s="1"/>
  <c r="F29" i="23" s="1"/>
  <c r="F30" i="23" s="1"/>
  <c r="F31" i="23" s="1"/>
  <c r="F32" i="23" s="1"/>
  <c r="F33" i="23" s="1"/>
  <c r="F34" i="23" s="1"/>
  <c r="F35" i="23" s="1"/>
  <c r="F36" i="23" s="1"/>
  <c r="F37" i="23" s="1"/>
  <c r="F38" i="23" s="1"/>
  <c r="F39" i="23" s="1"/>
  <c r="F40" i="23" s="1"/>
  <c r="F41" i="23" s="1"/>
  <c r="F42" i="23" s="1"/>
  <c r="F43" i="23" s="1"/>
  <c r="F44" i="23" s="1"/>
  <c r="F45" i="23" s="1"/>
  <c r="F46" i="23" s="1"/>
  <c r="F47" i="23" s="1"/>
  <c r="F48" i="23" s="1"/>
  <c r="F49" i="23" s="1"/>
  <c r="F50" i="23" s="1"/>
  <c r="F51" i="23" s="1"/>
  <c r="F52" i="23" s="1"/>
  <c r="F53" i="23" s="1"/>
  <c r="G10" i="23"/>
  <c r="G11" i="23"/>
  <c r="G12" i="23"/>
  <c r="G13" i="23"/>
  <c r="G14" i="23"/>
  <c r="G25" i="23"/>
  <c r="G26" i="23" s="1"/>
  <c r="G27" i="23" s="1"/>
  <c r="G28" i="23" s="1"/>
  <c r="G29" i="23" s="1"/>
  <c r="G30" i="23" s="1"/>
  <c r="G31" i="23" s="1"/>
  <c r="G32" i="23" s="1"/>
  <c r="G33" i="23" s="1"/>
  <c r="G34" i="23" s="1"/>
  <c r="G35" i="23" s="1"/>
  <c r="G36" i="23" s="1"/>
  <c r="G37" i="23" s="1"/>
  <c r="G38" i="23" s="1"/>
  <c r="G39" i="23" s="1"/>
  <c r="G40" i="23" s="1"/>
  <c r="G41" i="23" s="1"/>
  <c r="G42" i="23" s="1"/>
  <c r="G43" i="23" s="1"/>
  <c r="G44" i="23" s="1"/>
  <c r="G45" i="23" s="1"/>
  <c r="G46" i="23" s="1"/>
  <c r="G47" i="23" s="1"/>
  <c r="G48" i="23" s="1"/>
  <c r="G49" i="23" s="1"/>
  <c r="G50" i="23" s="1"/>
  <c r="G51" i="23" s="1"/>
  <c r="G52" i="23" s="1"/>
  <c r="G53" i="23" s="1"/>
  <c r="C4" i="23"/>
  <c r="D4" i="23"/>
  <c r="AU20" i="22"/>
  <c r="AU21" i="22" s="1"/>
  <c r="AU22" i="22" s="1"/>
  <c r="AU23" i="22" s="1"/>
  <c r="AU24" i="22" s="1"/>
  <c r="AU25" i="22" s="1"/>
  <c r="AU26" i="22" s="1"/>
  <c r="AU27" i="22" s="1"/>
  <c r="AU28" i="22" s="1"/>
  <c r="AU29" i="22" s="1"/>
  <c r="AU30" i="22" s="1"/>
  <c r="AU31" i="22" s="1"/>
  <c r="AU32" i="22" s="1"/>
  <c r="AU33" i="22" s="1"/>
  <c r="AU34" i="22" s="1"/>
  <c r="AU35" i="22" s="1"/>
  <c r="AU36" i="22" s="1"/>
  <c r="AU37" i="22" s="1"/>
  <c r="AU38" i="22" s="1"/>
  <c r="AU39" i="22" s="1"/>
  <c r="AU40" i="22" s="1"/>
  <c r="AU41" i="22" s="1"/>
  <c r="AU42" i="22" s="1"/>
  <c r="AU43" i="22" s="1"/>
  <c r="AU44" i="22" s="1"/>
  <c r="AU45" i="22" s="1"/>
  <c r="AU46" i="22" s="1"/>
  <c r="AU47" i="22" s="1"/>
  <c r="AU48" i="22" s="1"/>
  <c r="AU49" i="22" s="1"/>
  <c r="AU50" i="22" s="1"/>
  <c r="AU51" i="22" s="1"/>
  <c r="AU52" i="22" s="1"/>
  <c r="AU53" i="22" s="1"/>
  <c r="AT20" i="22"/>
  <c r="AT21" i="22" s="1"/>
  <c r="AT22" i="22" s="1"/>
  <c r="AT23" i="22" s="1"/>
  <c r="AT24" i="22" s="1"/>
  <c r="AT25" i="22" s="1"/>
  <c r="AT26" i="22" s="1"/>
  <c r="AT27" i="22" s="1"/>
  <c r="AT28" i="22" s="1"/>
  <c r="AT29" i="22" s="1"/>
  <c r="AT30" i="22" s="1"/>
  <c r="AT31" i="22" s="1"/>
  <c r="AT32" i="22" s="1"/>
  <c r="AT33" i="22" s="1"/>
  <c r="AT34" i="22" s="1"/>
  <c r="AT35" i="22" s="1"/>
  <c r="AT36" i="22" s="1"/>
  <c r="AT37" i="22" s="1"/>
  <c r="AT38" i="22" s="1"/>
  <c r="AT39" i="22" s="1"/>
  <c r="AT40" i="22" s="1"/>
  <c r="AT41" i="22" s="1"/>
  <c r="AT42" i="22" s="1"/>
  <c r="AT43" i="22" s="1"/>
  <c r="AT44" i="22" s="1"/>
  <c r="AT45" i="22" s="1"/>
  <c r="AT46" i="22" s="1"/>
  <c r="AT47" i="22" s="1"/>
  <c r="AT48" i="22" s="1"/>
  <c r="AT49" i="22" s="1"/>
  <c r="AT50" i="22" s="1"/>
  <c r="AT51" i="22" s="1"/>
  <c r="AT52" i="22" s="1"/>
  <c r="AT53" i="22" s="1"/>
  <c r="AJ20" i="22"/>
  <c r="AJ21" i="22" s="1"/>
  <c r="AJ22" i="22" s="1"/>
  <c r="AJ23" i="22" s="1"/>
  <c r="AJ24" i="22" s="1"/>
  <c r="AJ25" i="22" s="1"/>
  <c r="AJ26" i="22" s="1"/>
  <c r="AJ27" i="22" s="1"/>
  <c r="AJ28" i="22" s="1"/>
  <c r="AJ29" i="22" s="1"/>
  <c r="AJ30" i="22" s="1"/>
  <c r="AJ31" i="22" s="1"/>
  <c r="AJ32" i="22" s="1"/>
  <c r="AJ33" i="22" s="1"/>
  <c r="AJ34" i="22" s="1"/>
  <c r="AJ35" i="22" s="1"/>
  <c r="AJ36" i="22" s="1"/>
  <c r="AJ37" i="22" s="1"/>
  <c r="AJ38" i="22" s="1"/>
  <c r="AJ39" i="22" s="1"/>
  <c r="AJ40" i="22" s="1"/>
  <c r="AJ41" i="22" s="1"/>
  <c r="AJ42" i="22" s="1"/>
  <c r="AJ43" i="22" s="1"/>
  <c r="AJ44" i="22" s="1"/>
  <c r="AJ45" i="22" s="1"/>
  <c r="AJ46" i="22" s="1"/>
  <c r="AJ47" i="22" s="1"/>
  <c r="AJ48" i="22" s="1"/>
  <c r="AJ49" i="22" s="1"/>
  <c r="AJ50" i="22" s="1"/>
  <c r="AJ51" i="22" s="1"/>
  <c r="AJ52" i="22" s="1"/>
  <c r="AJ53" i="22" s="1"/>
  <c r="AK20" i="22"/>
  <c r="AK21" i="22" s="1"/>
  <c r="AK22" i="22" s="1"/>
  <c r="AK23" i="22" s="1"/>
  <c r="AK24" i="22" s="1"/>
  <c r="AK25" i="22" s="1"/>
  <c r="AK26" i="22" s="1"/>
  <c r="AK27" i="22" s="1"/>
  <c r="AK28" i="22" s="1"/>
  <c r="AK29" i="22" s="1"/>
  <c r="AK30" i="22" s="1"/>
  <c r="AK31" i="22" s="1"/>
  <c r="AK32" i="22" s="1"/>
  <c r="AK33" i="22" s="1"/>
  <c r="AK34" i="22" s="1"/>
  <c r="AK35" i="22" s="1"/>
  <c r="AK36" i="22" s="1"/>
  <c r="AK37" i="22" s="1"/>
  <c r="AK38" i="22" s="1"/>
  <c r="AK39" i="22" s="1"/>
  <c r="AK40" i="22" s="1"/>
  <c r="AK41" i="22" s="1"/>
  <c r="AK42" i="22" s="1"/>
  <c r="AK43" i="22" s="1"/>
  <c r="AK44" i="22" s="1"/>
  <c r="AK45" i="22" s="1"/>
  <c r="AK46" i="22" s="1"/>
  <c r="AK47" i="22" s="1"/>
  <c r="AK48" i="22" s="1"/>
  <c r="AK49" i="22" s="1"/>
  <c r="AK50" i="22" s="1"/>
  <c r="AK51" i="22" s="1"/>
  <c r="AK52" i="22" s="1"/>
  <c r="AK53" i="22" s="1"/>
  <c r="V20" i="22"/>
  <c r="V21" i="22" s="1"/>
  <c r="V22" i="22" s="1"/>
  <c r="V23" i="22" s="1"/>
  <c r="V24" i="22" s="1"/>
  <c r="V25" i="22" s="1"/>
  <c r="V26" i="22" s="1"/>
  <c r="V27" i="22" s="1"/>
  <c r="V28" i="22" s="1"/>
  <c r="V29" i="22" s="1"/>
  <c r="V30" i="22" s="1"/>
  <c r="V31" i="22" s="1"/>
  <c r="V32" i="22" s="1"/>
  <c r="V33" i="22" s="1"/>
  <c r="V34" i="22" s="1"/>
  <c r="V35" i="22" s="1"/>
  <c r="V36" i="22" s="1"/>
  <c r="V37" i="22" s="1"/>
  <c r="V38" i="22" s="1"/>
  <c r="V39" i="22" s="1"/>
  <c r="V40" i="22" s="1"/>
  <c r="V41" i="22" s="1"/>
  <c r="V42" i="22" s="1"/>
  <c r="V43" i="22" s="1"/>
  <c r="V44" i="22" s="1"/>
  <c r="V45" i="22" s="1"/>
  <c r="V46" i="22" s="1"/>
  <c r="V47" i="22" s="1"/>
  <c r="V48" i="22" s="1"/>
  <c r="V49" i="22" s="1"/>
  <c r="V50" i="22" s="1"/>
  <c r="V51" i="22" s="1"/>
  <c r="V52" i="22" s="1"/>
  <c r="V53" i="22" s="1"/>
  <c r="P20" i="22"/>
  <c r="P21" i="22" s="1"/>
  <c r="AU14" i="22"/>
  <c r="AU13" i="22"/>
  <c r="AU12" i="22"/>
  <c r="AU11" i="22"/>
  <c r="AU10" i="22"/>
  <c r="AK14" i="22"/>
  <c r="AJ14" i="22"/>
  <c r="AK13" i="22"/>
  <c r="AJ13" i="22"/>
  <c r="AK12" i="22"/>
  <c r="AJ12" i="22"/>
  <c r="AK11" i="22"/>
  <c r="AJ11" i="22"/>
  <c r="AK10" i="22"/>
  <c r="AJ10" i="22"/>
  <c r="E33" i="20"/>
  <c r="B4" i="23"/>
  <c r="B5" i="23"/>
  <c r="R107" i="12"/>
  <c r="AB121" i="20"/>
  <c r="AB126" i="20"/>
  <c r="AH126" i="20"/>
  <c r="AC120" i="20"/>
  <c r="AD120" i="20"/>
  <c r="AE120" i="20"/>
  <c r="AF120" i="20"/>
  <c r="AH120" i="20"/>
  <c r="J130" i="20"/>
  <c r="J129" i="20"/>
  <c r="J128" i="20"/>
  <c r="J127" i="20"/>
  <c r="J126" i="20"/>
  <c r="J125" i="20"/>
  <c r="J124" i="20"/>
  <c r="J123" i="20"/>
  <c r="J122" i="20"/>
  <c r="J121" i="20"/>
  <c r="J120" i="20"/>
  <c r="AT30" i="10"/>
  <c r="AT34" i="10"/>
  <c r="AT38" i="10"/>
  <c r="AT42" i="10"/>
  <c r="AT46" i="10"/>
  <c r="AT50" i="10"/>
  <c r="B24" i="23"/>
  <c r="AD34" i="20"/>
  <c r="B26" i="23" s="1"/>
  <c r="AD35" i="20"/>
  <c r="AD36" i="20"/>
  <c r="AD37" i="20"/>
  <c r="AD38" i="20"/>
  <c r="AD39" i="20"/>
  <c r="AD40" i="20"/>
  <c r="AD41" i="20"/>
  <c r="AD42" i="20"/>
  <c r="AD43" i="20"/>
  <c r="AD45" i="20"/>
  <c r="AD46" i="20"/>
  <c r="AD48" i="20"/>
  <c r="AD49" i="20"/>
  <c r="AD50" i="20"/>
  <c r="AD51" i="20"/>
  <c r="AD52" i="20"/>
  <c r="AD53" i="20"/>
  <c r="AD54" i="20"/>
  <c r="AD56" i="20"/>
  <c r="AD57" i="20"/>
  <c r="AD58" i="20"/>
  <c r="AD59" i="20"/>
  <c r="AD61" i="20"/>
  <c r="T130" i="20"/>
  <c r="T129" i="20"/>
  <c r="T128" i="20"/>
  <c r="T127" i="20"/>
  <c r="T120" i="20"/>
  <c r="C11" i="12"/>
  <c r="C17" i="12" s="1"/>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AG18" i="12"/>
  <c r="AH18" i="12"/>
  <c r="AI18" i="12"/>
  <c r="AJ18" i="12"/>
  <c r="AK18" i="12"/>
  <c r="AL18" i="12"/>
  <c r="AM18" i="12"/>
  <c r="AN18" i="12"/>
  <c r="AO18" i="12"/>
  <c r="AP18" i="12"/>
  <c r="AQ18" i="12"/>
  <c r="AR18" i="12"/>
  <c r="AS18" i="12"/>
  <c r="AT18" i="12"/>
  <c r="AU18" i="12"/>
  <c r="AV18" i="12"/>
  <c r="C18" i="12"/>
  <c r="AT11" i="12"/>
  <c r="AT15" i="12" s="1"/>
  <c r="AU17" i="12"/>
  <c r="AV11" i="12"/>
  <c r="AV15" i="12" s="1"/>
  <c r="D11" i="12"/>
  <c r="E11" i="12"/>
  <c r="E17" i="12" s="1"/>
  <c r="F11" i="12"/>
  <c r="G11" i="12"/>
  <c r="H11" i="12"/>
  <c r="I11" i="12"/>
  <c r="J11" i="12"/>
  <c r="K11" i="12"/>
  <c r="L11" i="12"/>
  <c r="M11" i="12"/>
  <c r="N11" i="12"/>
  <c r="O11" i="12"/>
  <c r="P11" i="12"/>
  <c r="P15" i="12" s="1"/>
  <c r="Q11" i="12"/>
  <c r="Q15" i="12" s="1"/>
  <c r="R11" i="12"/>
  <c r="R15" i="12" s="1"/>
  <c r="S11" i="12"/>
  <c r="S15" i="12" s="1"/>
  <c r="T11" i="12"/>
  <c r="T15" i="12" s="1"/>
  <c r="U11" i="12"/>
  <c r="U15" i="12" s="1"/>
  <c r="V11" i="12"/>
  <c r="V15" i="12" s="1"/>
  <c r="W11" i="12"/>
  <c r="W15" i="12" s="1"/>
  <c r="X11" i="12"/>
  <c r="X15" i="12" s="1"/>
  <c r="Y11" i="12"/>
  <c r="Y15" i="12" s="1"/>
  <c r="Z11" i="12"/>
  <c r="Z15" i="12" s="1"/>
  <c r="AA11" i="12"/>
  <c r="AA15" i="12" s="1"/>
  <c r="AB11" i="12"/>
  <c r="AB15" i="12" s="1"/>
  <c r="AC11" i="12"/>
  <c r="AC15" i="12" s="1"/>
  <c r="AD11" i="12"/>
  <c r="AD15" i="12" s="1"/>
  <c r="AE11" i="12"/>
  <c r="AE15" i="12" s="1"/>
  <c r="AF11" i="12"/>
  <c r="AF15" i="12" s="1"/>
  <c r="AG11" i="12"/>
  <c r="AG15" i="12" s="1"/>
  <c r="AH11" i="12"/>
  <c r="AH15" i="12" s="1"/>
  <c r="AI11" i="12"/>
  <c r="AI15" i="12" s="1"/>
  <c r="AJ11" i="12"/>
  <c r="AJ15" i="12" s="1"/>
  <c r="AK11" i="12"/>
  <c r="AK15" i="12" s="1"/>
  <c r="AL11" i="12"/>
  <c r="AL15" i="12" s="1"/>
  <c r="AM11" i="12"/>
  <c r="AM15" i="12" s="1"/>
  <c r="AN11" i="12"/>
  <c r="AN15" i="12" s="1"/>
  <c r="AO11" i="12"/>
  <c r="AO15" i="12" s="1"/>
  <c r="AP17" i="12"/>
  <c r="AQ11" i="12"/>
  <c r="AQ15" i="12" s="1"/>
  <c r="AR11" i="12"/>
  <c r="AR15" i="12" s="1"/>
  <c r="AS11" i="12"/>
  <c r="AS15" i="12" s="1"/>
  <c r="F4" i="13"/>
  <c r="O74" i="12"/>
  <c r="D19" i="12" s="1"/>
  <c r="P74" i="12"/>
  <c r="E19" i="12" s="1"/>
  <c r="Q74" i="12"/>
  <c r="F19" i="12" s="1"/>
  <c r="R74" i="12"/>
  <c r="G19" i="12" s="1"/>
  <c r="S74" i="12"/>
  <c r="H19" i="12" s="1"/>
  <c r="T74" i="12"/>
  <c r="I19" i="12" s="1"/>
  <c r="U74" i="12"/>
  <c r="J19" i="12" s="1"/>
  <c r="V74" i="12"/>
  <c r="K19" i="12"/>
  <c r="W74" i="12"/>
  <c r="L19" i="12" s="1"/>
  <c r="X74" i="12"/>
  <c r="M19" i="12" s="1"/>
  <c r="Y74" i="12"/>
  <c r="N19" i="12" s="1"/>
  <c r="Z74" i="12"/>
  <c r="O19" i="12"/>
  <c r="AA74" i="12"/>
  <c r="P19" i="12" s="1"/>
  <c r="AB74" i="12"/>
  <c r="Q19" i="12" s="1"/>
  <c r="AC74" i="12"/>
  <c r="R19" i="12" s="1"/>
  <c r="AD74" i="12"/>
  <c r="S19" i="12"/>
  <c r="AE74" i="12"/>
  <c r="T19" i="12" s="1"/>
  <c r="AF74" i="12"/>
  <c r="U19" i="12" s="1"/>
  <c r="AG74" i="12"/>
  <c r="V19" i="12" s="1"/>
  <c r="AH74" i="12"/>
  <c r="W19" i="12" s="1"/>
  <c r="AI74" i="12"/>
  <c r="X19" i="12" s="1"/>
  <c r="AJ74" i="12"/>
  <c r="Y19" i="12" s="1"/>
  <c r="AK74" i="12"/>
  <c r="Z19" i="12" s="1"/>
  <c r="AL74" i="12"/>
  <c r="AA19" i="12"/>
  <c r="AM74" i="12"/>
  <c r="AB19" i="12" s="1"/>
  <c r="AN74" i="12"/>
  <c r="AC19" i="12" s="1"/>
  <c r="AO74" i="12"/>
  <c r="AD19" i="12" s="1"/>
  <c r="AP74" i="12"/>
  <c r="AE19" i="12"/>
  <c r="AQ74" i="12"/>
  <c r="AF19" i="12" s="1"/>
  <c r="AR74" i="12"/>
  <c r="AG19" i="12" s="1"/>
  <c r="AS74" i="12"/>
  <c r="AH19" i="12" s="1"/>
  <c r="AT74" i="12"/>
  <c r="AI19" i="12" s="1"/>
  <c r="AU74" i="12"/>
  <c r="AJ19" i="12" s="1"/>
  <c r="AV74" i="12"/>
  <c r="AK19" i="12" s="1"/>
  <c r="AW74" i="12"/>
  <c r="AL19" i="12" s="1"/>
  <c r="AX74" i="12"/>
  <c r="AM19" i="12" s="1"/>
  <c r="AY74" i="12"/>
  <c r="AN19" i="12" s="1"/>
  <c r="AZ74" i="12"/>
  <c r="AO19" i="12" s="1"/>
  <c r="BA74" i="12"/>
  <c r="AP19" i="12" s="1"/>
  <c r="BB74" i="12"/>
  <c r="AQ19" i="12"/>
  <c r="BC74" i="12"/>
  <c r="AR19" i="12" s="1"/>
  <c r="BD74" i="12"/>
  <c r="AS19" i="12" s="1"/>
  <c r="BE74" i="12"/>
  <c r="AT19" i="12" s="1"/>
  <c r="BF74" i="12"/>
  <c r="AU19" i="12"/>
  <c r="BG74" i="12"/>
  <c r="AV19" i="12" s="1"/>
  <c r="N74" i="12"/>
  <c r="C19" i="12" s="1"/>
  <c r="Z48" i="12"/>
  <c r="AA48" i="12" s="1"/>
  <c r="Z49" i="12"/>
  <c r="AA49" i="12"/>
  <c r="Z50" i="12"/>
  <c r="AA50" i="12" s="1"/>
  <c r="AS14" i="12"/>
  <c r="AQ10" i="12"/>
  <c r="AR10" i="12"/>
  <c r="AS10" i="12"/>
  <c r="AT10" i="12"/>
  <c r="AU10" i="12"/>
  <c r="AV10" i="12"/>
  <c r="AI10" i="12"/>
  <c r="AJ10" i="12"/>
  <c r="AK10" i="12"/>
  <c r="AL10" i="12"/>
  <c r="AM10" i="12"/>
  <c r="AN10" i="12"/>
  <c r="AO10" i="12"/>
  <c r="AP10" i="12"/>
  <c r="X10" i="12"/>
  <c r="Y10" i="12"/>
  <c r="Z10" i="12"/>
  <c r="AA10" i="12"/>
  <c r="AB10" i="12"/>
  <c r="AC10" i="12"/>
  <c r="AD10" i="12"/>
  <c r="AE10" i="12"/>
  <c r="AF10" i="12"/>
  <c r="AG10" i="12"/>
  <c r="AH10" i="12"/>
  <c r="E10" i="12"/>
  <c r="F10" i="12"/>
  <c r="G10" i="12"/>
  <c r="H10" i="12"/>
  <c r="I10" i="12"/>
  <c r="J10" i="12"/>
  <c r="K10" i="12"/>
  <c r="L10" i="12"/>
  <c r="M10" i="12"/>
  <c r="N10" i="12"/>
  <c r="O10" i="12"/>
  <c r="P10" i="12"/>
  <c r="Q10" i="12"/>
  <c r="R10" i="12"/>
  <c r="S10" i="12"/>
  <c r="T10" i="12"/>
  <c r="U10" i="12"/>
  <c r="V10" i="12"/>
  <c r="W10" i="12"/>
  <c r="D10" i="12"/>
  <c r="C10" i="12"/>
  <c r="AG120" i="20"/>
  <c r="O14" i="4"/>
  <c r="O34" i="4"/>
  <c r="O15" i="4"/>
  <c r="O35" i="4"/>
  <c r="O16" i="4"/>
  <c r="O36" i="4"/>
  <c r="O17" i="4"/>
  <c r="O37" i="4"/>
  <c r="O38" i="4"/>
  <c r="O64" i="4" s="1"/>
  <c r="O8" i="4"/>
  <c r="O28" i="4"/>
  <c r="N27" i="5"/>
  <c r="N34" i="5"/>
  <c r="N36" i="5"/>
  <c r="N37" i="5"/>
  <c r="N8" i="5"/>
  <c r="N9" i="5"/>
  <c r="N10" i="5"/>
  <c r="N11" i="5"/>
  <c r="N12" i="5"/>
  <c r="N59" i="5" s="1"/>
  <c r="N13" i="5"/>
  <c r="N14" i="5"/>
  <c r="N15" i="5"/>
  <c r="N16" i="5"/>
  <c r="O13" i="4"/>
  <c r="O7" i="4"/>
  <c r="O27" i="4"/>
  <c r="N38" i="5"/>
  <c r="N64" i="5" s="1"/>
  <c r="N17" i="5"/>
  <c r="O28" i="1"/>
  <c r="O29" i="1"/>
  <c r="O30" i="1"/>
  <c r="O31" i="1"/>
  <c r="O27" i="1"/>
  <c r="E35" i="4"/>
  <c r="D35" i="4"/>
  <c r="E14" i="4"/>
  <c r="D14" i="4"/>
  <c r="M36" i="1"/>
  <c r="K33" i="1"/>
  <c r="F28" i="1"/>
  <c r="L28" i="1" s="1"/>
  <c r="F29" i="1"/>
  <c r="M29" i="1" s="1"/>
  <c r="F30" i="1"/>
  <c r="J30" i="1" s="1"/>
  <c r="F31" i="1"/>
  <c r="M31" i="1" s="1"/>
  <c r="F32" i="1"/>
  <c r="L32" i="1" s="1"/>
  <c r="F33" i="1"/>
  <c r="M33" i="1" s="1"/>
  <c r="F34" i="1"/>
  <c r="J34" i="1" s="1"/>
  <c r="F35" i="1"/>
  <c r="M35" i="1" s="1"/>
  <c r="F36" i="1"/>
  <c r="L36" i="1" s="1"/>
  <c r="F37" i="1"/>
  <c r="M37" i="1" s="1"/>
  <c r="F27" i="1"/>
  <c r="M27" i="1" s="1"/>
  <c r="F13" i="1"/>
  <c r="I13" i="1" s="1"/>
  <c r="J12" i="1"/>
  <c r="I15" i="1"/>
  <c r="F8" i="1"/>
  <c r="I8" i="1" s="1"/>
  <c r="F9" i="1"/>
  <c r="I9" i="1" s="1"/>
  <c r="F10" i="1"/>
  <c r="K10" i="1" s="1"/>
  <c r="F11" i="1"/>
  <c r="M11" i="1" s="1"/>
  <c r="F12" i="1"/>
  <c r="I12" i="1" s="1"/>
  <c r="F14" i="1"/>
  <c r="M14" i="1" s="1"/>
  <c r="F15" i="1"/>
  <c r="K15" i="1" s="1"/>
  <c r="F16" i="1"/>
  <c r="I16" i="1" s="1"/>
  <c r="F17" i="1"/>
  <c r="I17" i="1" s="1"/>
  <c r="F7" i="1"/>
  <c r="M7" i="1" s="1"/>
  <c r="L52" i="22" l="1"/>
  <c r="AF52" i="22"/>
  <c r="L44" i="22"/>
  <c r="AF44" i="22"/>
  <c r="L40" i="22"/>
  <c r="AF40" i="22"/>
  <c r="L36" i="22"/>
  <c r="AF36" i="22"/>
  <c r="L32" i="22"/>
  <c r="AF32" i="22"/>
  <c r="L48" i="22"/>
  <c r="AF48" i="22"/>
  <c r="AA32" i="14"/>
  <c r="AM32" i="14" s="1"/>
  <c r="AM36" i="10" s="1"/>
  <c r="AQ6" i="53"/>
  <c r="AS6" i="53" s="1"/>
  <c r="I112" i="50"/>
  <c r="I110" i="50"/>
  <c r="N63" i="5"/>
  <c r="N62" i="5"/>
  <c r="N60" i="5"/>
  <c r="N61" i="5"/>
  <c r="I111" i="50"/>
  <c r="B16" i="53"/>
  <c r="AF16" i="53"/>
  <c r="AD159" i="20"/>
  <c r="AC159" i="20"/>
  <c r="AD151" i="20"/>
  <c r="AC151" i="20"/>
  <c r="AC155" i="20"/>
  <c r="AD155" i="20"/>
  <c r="AC147" i="20"/>
  <c r="AD147" i="20"/>
  <c r="AC143" i="20"/>
  <c r="AD143" i="20"/>
  <c r="AC163" i="20"/>
  <c r="AD163" i="20"/>
  <c r="AD23" i="10"/>
  <c r="AF22" i="23"/>
  <c r="L22" i="23"/>
  <c r="B22" i="23"/>
  <c r="AF21" i="23"/>
  <c r="B21" i="23"/>
  <c r="L21" i="23"/>
  <c r="L20" i="23"/>
  <c r="B20" i="23"/>
  <c r="AF20" i="23"/>
  <c r="L24" i="23"/>
  <c r="AF24" i="23"/>
  <c r="B23" i="23"/>
  <c r="AF23" i="23"/>
  <c r="L23" i="23"/>
  <c r="M15" i="1"/>
  <c r="K13" i="1"/>
  <c r="L13" i="1"/>
  <c r="I32" i="1"/>
  <c r="L14" i="1"/>
  <c r="M12" i="1"/>
  <c r="M32" i="1"/>
  <c r="L37" i="1"/>
  <c r="J37" i="1"/>
  <c r="L9" i="1"/>
  <c r="J29" i="1"/>
  <c r="K37" i="1"/>
  <c r="I7" i="1"/>
  <c r="K29" i="1"/>
  <c r="J15" i="1"/>
  <c r="M13" i="1"/>
  <c r="L29" i="1"/>
  <c r="O62" i="4"/>
  <c r="O60" i="4"/>
  <c r="L18" i="53"/>
  <c r="AE58" i="20"/>
  <c r="AE50" i="20"/>
  <c r="AE42" i="20"/>
  <c r="AE34" i="20"/>
  <c r="AC36" i="20"/>
  <c r="AC44" i="20"/>
  <c r="AC52" i="20"/>
  <c r="AC60" i="20"/>
  <c r="L10" i="1"/>
  <c r="I10" i="1"/>
  <c r="L8" i="1"/>
  <c r="Q14" i="12"/>
  <c r="I28" i="1"/>
  <c r="O61" i="4"/>
  <c r="AE60" i="20"/>
  <c r="AE52" i="20"/>
  <c r="AE44" i="20"/>
  <c r="AE36" i="20"/>
  <c r="AC38" i="20"/>
  <c r="AC46" i="20"/>
  <c r="AC54" i="20"/>
  <c r="M10" i="1"/>
  <c r="L33" i="1"/>
  <c r="L17" i="1"/>
  <c r="J13" i="1"/>
  <c r="M8" i="1"/>
  <c r="J35" i="1"/>
  <c r="J17" i="1"/>
  <c r="J8" i="1"/>
  <c r="J31" i="1"/>
  <c r="L35" i="1"/>
  <c r="L15" i="1"/>
  <c r="L12" i="1"/>
  <c r="M17" i="1"/>
  <c r="L31" i="1"/>
  <c r="I36" i="1"/>
  <c r="AE54" i="20"/>
  <c r="AE46" i="20"/>
  <c r="AE38" i="20"/>
  <c r="AC40" i="20"/>
  <c r="AC48" i="20"/>
  <c r="AC56" i="20"/>
  <c r="O63" i="4"/>
  <c r="J10" i="1"/>
  <c r="M28" i="1"/>
  <c r="J33" i="1"/>
  <c r="AE56" i="20"/>
  <c r="AE48" i="20"/>
  <c r="AE40" i="20"/>
  <c r="AC34" i="20"/>
  <c r="AC42" i="20"/>
  <c r="AC50" i="20"/>
  <c r="AC58" i="20"/>
  <c r="L17" i="53"/>
  <c r="L20" i="53"/>
  <c r="U34" i="20"/>
  <c r="AG34" i="20" s="1"/>
  <c r="O33" i="20"/>
  <c r="L7" i="1"/>
  <c r="K17" i="1"/>
  <c r="K16" i="1"/>
  <c r="K14" i="1"/>
  <c r="K12" i="1"/>
  <c r="K11" i="1"/>
  <c r="K9" i="1"/>
  <c r="K8" i="1"/>
  <c r="M16" i="1"/>
  <c r="M9" i="1"/>
  <c r="K27" i="1"/>
  <c r="J28" i="1"/>
  <c r="I29" i="1"/>
  <c r="L30" i="1"/>
  <c r="K31" i="1"/>
  <c r="J32" i="1"/>
  <c r="I33" i="1"/>
  <c r="L34" i="1"/>
  <c r="K35" i="1"/>
  <c r="J36" i="1"/>
  <c r="I37" i="1"/>
  <c r="AC14" i="12"/>
  <c r="AT48" i="10"/>
  <c r="AT44" i="10"/>
  <c r="AT40" i="10"/>
  <c r="AT36" i="10"/>
  <c r="AT32" i="10"/>
  <c r="AT28" i="10"/>
  <c r="AT24" i="10"/>
  <c r="AG33" i="20"/>
  <c r="AE59" i="20"/>
  <c r="AE55" i="20"/>
  <c r="AE51" i="20"/>
  <c r="AE47" i="20"/>
  <c r="AE43" i="20"/>
  <c r="AE39" i="20"/>
  <c r="AE35" i="20"/>
  <c r="AC33" i="20"/>
  <c r="AC37" i="20"/>
  <c r="AC41" i="20"/>
  <c r="AC45" i="20"/>
  <c r="AC49" i="20"/>
  <c r="AC53" i="20"/>
  <c r="AC57" i="20"/>
  <c r="AC61" i="20"/>
  <c r="AD24" i="10"/>
  <c r="AN20" i="14"/>
  <c r="L16" i="1"/>
  <c r="K30" i="1"/>
  <c r="K34" i="1"/>
  <c r="AT45" i="10"/>
  <c r="AT37" i="10"/>
  <c r="AT33" i="10"/>
  <c r="J11" i="1"/>
  <c r="K28" i="1"/>
  <c r="I30" i="1"/>
  <c r="K32" i="1"/>
  <c r="I34" i="1"/>
  <c r="AT47" i="10"/>
  <c r="AT39" i="10"/>
  <c r="AT31" i="10"/>
  <c r="L16" i="53"/>
  <c r="AQ16" i="53"/>
  <c r="AS16" i="53" s="1"/>
  <c r="AG16" i="53"/>
  <c r="AI16" i="53" s="1"/>
  <c r="M16" i="53"/>
  <c r="AI19" i="10"/>
  <c r="L19" i="53"/>
  <c r="Y21" i="14"/>
  <c r="AL21" i="14" s="1"/>
  <c r="L11" i="1"/>
  <c r="J27" i="1"/>
  <c r="K24" i="55"/>
  <c r="B3" i="40" s="1"/>
  <c r="AO23" i="55"/>
  <c r="AF2" i="40" s="1"/>
  <c r="AB23" i="55"/>
  <c r="S2" i="40" s="1"/>
  <c r="AA28" i="55"/>
  <c r="R7" i="40" s="1"/>
  <c r="L28" i="55"/>
  <c r="C7" i="40" s="1"/>
  <c r="X25" i="55"/>
  <c r="O4" i="40" s="1"/>
  <c r="Q28" i="55"/>
  <c r="H7" i="40" s="1"/>
  <c r="I25" i="55"/>
  <c r="AU27" i="55"/>
  <c r="AL6" i="40" s="1"/>
  <c r="L27" i="55"/>
  <c r="C6" i="40" s="1"/>
  <c r="AP26" i="55"/>
  <c r="AG5" i="40" s="1"/>
  <c r="AC26" i="55"/>
  <c r="T5" i="40" s="1"/>
  <c r="AA25" i="55"/>
  <c r="R4" i="40" s="1"/>
  <c r="I24" i="55"/>
  <c r="AU26" i="55"/>
  <c r="AL5" i="40" s="1"/>
  <c r="AM23" i="55"/>
  <c r="AD2" i="40" s="1"/>
  <c r="AF26" i="55"/>
  <c r="W5" i="40" s="1"/>
  <c r="H23" i="55"/>
  <c r="AT25" i="55"/>
  <c r="AK4" i="40" s="1"/>
  <c r="AM28" i="55"/>
  <c r="AD7" i="40" s="1"/>
  <c r="AE25" i="55"/>
  <c r="V4" i="40" s="1"/>
  <c r="X28" i="55"/>
  <c r="O7" i="40" s="1"/>
  <c r="R25" i="55"/>
  <c r="I4" i="40" s="1"/>
  <c r="K28" i="55"/>
  <c r="B7" i="40" s="1"/>
  <c r="C25" i="55"/>
  <c r="AO27" i="55"/>
  <c r="AF6" i="40" s="1"/>
  <c r="AP23" i="55"/>
  <c r="AG2" i="40" s="1"/>
  <c r="P25" i="55"/>
  <c r="G4" i="40" s="1"/>
  <c r="AI26" i="55"/>
  <c r="Z5" i="40" s="1"/>
  <c r="I28" i="55"/>
  <c r="AA23" i="55"/>
  <c r="R2" i="40" s="1"/>
  <c r="AT24" i="55"/>
  <c r="AK3" i="40" s="1"/>
  <c r="T26" i="55"/>
  <c r="K5" i="40" s="1"/>
  <c r="AM27" i="55"/>
  <c r="AD6" i="40" s="1"/>
  <c r="X23" i="55"/>
  <c r="O2" i="40" s="1"/>
  <c r="I23" i="55"/>
  <c r="AN28" i="55"/>
  <c r="AE7" i="40" s="1"/>
  <c r="M23" i="55"/>
  <c r="D2" i="40" s="1"/>
  <c r="AR28" i="55"/>
  <c r="AI7" i="40" s="1"/>
  <c r="AN25" i="55"/>
  <c r="AE4" i="40" s="1"/>
  <c r="AG28" i="55"/>
  <c r="X7" i="40" s="1"/>
  <c r="Y25" i="55"/>
  <c r="P4" i="40" s="1"/>
  <c r="R28" i="55"/>
  <c r="I7" i="40" s="1"/>
  <c r="AR27" i="55"/>
  <c r="AI6" i="40" s="1"/>
  <c r="AC27" i="55"/>
  <c r="T6" i="40" s="1"/>
  <c r="P27" i="55"/>
  <c r="G6" i="40" s="1"/>
  <c r="AG27" i="55"/>
  <c r="X6" i="40" s="1"/>
  <c r="L25" i="55"/>
  <c r="C4" i="40" s="1"/>
  <c r="E28" i="55"/>
  <c r="AP24" i="55"/>
  <c r="AG3" i="40" s="1"/>
  <c r="AI27" i="55"/>
  <c r="Z6" i="40" s="1"/>
  <c r="AI24" i="55"/>
  <c r="Z3" i="40" s="1"/>
  <c r="AB27" i="55"/>
  <c r="S6" i="40" s="1"/>
  <c r="T24" i="55"/>
  <c r="K3" i="40" s="1"/>
  <c r="M27" i="55"/>
  <c r="D6" i="40" s="1"/>
  <c r="G24" i="55"/>
  <c r="AS26" i="55"/>
  <c r="AJ5" i="40" s="1"/>
  <c r="AK23" i="55"/>
  <c r="AB2" i="40" s="1"/>
  <c r="AD26" i="55"/>
  <c r="U5" i="40" s="1"/>
  <c r="N23" i="55"/>
  <c r="E2" i="40" s="1"/>
  <c r="AG24" i="55"/>
  <c r="X3" i="40" s="1"/>
  <c r="G26" i="55"/>
  <c r="Z27" i="55"/>
  <c r="Q6" i="40" s="1"/>
  <c r="AS28" i="55"/>
  <c r="AJ7" i="40" s="1"/>
  <c r="R24" i="55"/>
  <c r="I3" i="40" s="1"/>
  <c r="AK25" i="55"/>
  <c r="AB4" i="40" s="1"/>
  <c r="K27" i="55"/>
  <c r="B6" i="40" s="1"/>
  <c r="AD28" i="55"/>
  <c r="U7" i="40" s="1"/>
  <c r="AD25" i="55"/>
  <c r="U4" i="40" s="1"/>
  <c r="O25" i="55"/>
  <c r="F4" i="40" s="1"/>
  <c r="O24" i="55"/>
  <c r="F3" i="40" s="1"/>
  <c r="AS23" i="55"/>
  <c r="AJ2" i="40" s="1"/>
  <c r="R23" i="55"/>
  <c r="I2" i="40" s="1"/>
  <c r="K26" i="55"/>
  <c r="B5" i="40" s="1"/>
  <c r="C23" i="55"/>
  <c r="AO25" i="55"/>
  <c r="AF4" i="40" s="1"/>
  <c r="AH28" i="55"/>
  <c r="Y7" i="40" s="1"/>
  <c r="AE28" i="55"/>
  <c r="V7" i="40" s="1"/>
  <c r="P28" i="55"/>
  <c r="G7" i="40" s="1"/>
  <c r="C28" i="55"/>
  <c r="AT26" i="55"/>
  <c r="AK5" i="40" s="1"/>
  <c r="AO24" i="55"/>
  <c r="AF3" i="40" s="1"/>
  <c r="AH27" i="55"/>
  <c r="Y6" i="40" s="1"/>
  <c r="Z24" i="55"/>
  <c r="Q3" i="40" s="1"/>
  <c r="S27" i="55"/>
  <c r="J6" i="40" s="1"/>
  <c r="AN23" i="55"/>
  <c r="AE2" i="40" s="1"/>
  <c r="AG26" i="55"/>
  <c r="X5" i="40" s="1"/>
  <c r="Y23" i="55"/>
  <c r="P2" i="40" s="1"/>
  <c r="R26" i="55"/>
  <c r="I5" i="40" s="1"/>
  <c r="L23" i="55"/>
  <c r="C2" i="40" s="1"/>
  <c r="E26" i="55"/>
  <c r="AQ28" i="55"/>
  <c r="AH7" i="40" s="1"/>
  <c r="AI25" i="55"/>
  <c r="Z4" i="40" s="1"/>
  <c r="AB28" i="55"/>
  <c r="S7" i="40" s="1"/>
  <c r="M24" i="55"/>
  <c r="D3" i="40" s="1"/>
  <c r="AF25" i="55"/>
  <c r="W4" i="40" s="1"/>
  <c r="F27" i="55"/>
  <c r="Y28" i="55"/>
  <c r="P7" i="40" s="1"/>
  <c r="AQ23" i="55"/>
  <c r="AH2" i="40" s="1"/>
  <c r="Q25" i="55"/>
  <c r="H4" i="40" s="1"/>
  <c r="AJ26" i="55"/>
  <c r="AA5" i="40" s="1"/>
  <c r="J28" i="55"/>
  <c r="AQ24" i="55"/>
  <c r="AH3" i="40" s="1"/>
  <c r="AB24" i="55"/>
  <c r="S3" i="40" s="1"/>
  <c r="AU24" i="55"/>
  <c r="AL3" i="40" s="1"/>
  <c r="AF24" i="55"/>
  <c r="W3" i="40" s="1"/>
  <c r="AH23" i="55"/>
  <c r="Y2" i="40" s="1"/>
  <c r="AA26" i="55"/>
  <c r="R5" i="40" s="1"/>
  <c r="S23" i="55"/>
  <c r="J2" i="40" s="1"/>
  <c r="L26" i="55"/>
  <c r="C5" i="40" s="1"/>
  <c r="AF23" i="55"/>
  <c r="W2" i="40" s="1"/>
  <c r="Q23" i="55"/>
  <c r="H2" i="40" s="1"/>
  <c r="D23" i="55"/>
  <c r="AI28" i="55"/>
  <c r="Z7" i="40" s="1"/>
  <c r="F23" i="55"/>
  <c r="AR25" i="55"/>
  <c r="AI4" i="40" s="1"/>
  <c r="AK28" i="55"/>
  <c r="AB7" i="40" s="1"/>
  <c r="AC25" i="55"/>
  <c r="T4" i="40" s="1"/>
  <c r="V28" i="55"/>
  <c r="M7" i="40" s="1"/>
  <c r="V25" i="55"/>
  <c r="M4" i="40" s="1"/>
  <c r="O28" i="55"/>
  <c r="F7" i="40" s="1"/>
  <c r="G25" i="55"/>
  <c r="AS27" i="55"/>
  <c r="AJ6" i="40" s="1"/>
  <c r="AM24" i="55"/>
  <c r="AD3" i="40" s="1"/>
  <c r="AF27" i="55"/>
  <c r="W6" i="40" s="1"/>
  <c r="X24" i="55"/>
  <c r="O3" i="40" s="1"/>
  <c r="Q27" i="55"/>
  <c r="H6" i="40" s="1"/>
  <c r="AD23" i="55"/>
  <c r="U2" i="40" s="1"/>
  <c r="D25" i="55"/>
  <c r="W26" i="55"/>
  <c r="N5" i="40" s="1"/>
  <c r="AP27" i="55"/>
  <c r="AG6" i="40" s="1"/>
  <c r="O23" i="55"/>
  <c r="F2" i="40" s="1"/>
  <c r="AH24" i="55"/>
  <c r="Y3" i="40" s="1"/>
  <c r="H26" i="55"/>
  <c r="AA27" i="55"/>
  <c r="R6" i="40" s="1"/>
  <c r="AT28" i="55"/>
  <c r="AK7" i="40" s="1"/>
  <c r="D27" i="55"/>
  <c r="AH25" i="55"/>
  <c r="Y4" i="40" s="1"/>
  <c r="E24" i="55"/>
  <c r="AI23" i="55"/>
  <c r="Z2" i="40" s="1"/>
  <c r="S24" i="55"/>
  <c r="J3" i="40" s="1"/>
  <c r="AJ23" i="55"/>
  <c r="AA2" i="40" s="1"/>
  <c r="T28" i="55"/>
  <c r="K7" i="40" s="1"/>
  <c r="U28" i="55"/>
  <c r="L7" i="40" s="1"/>
  <c r="F28" i="55"/>
  <c r="T27" i="55"/>
  <c r="K6" i="40" s="1"/>
  <c r="E27" i="55"/>
  <c r="AK26" i="55"/>
  <c r="AB5" i="40" s="1"/>
  <c r="V26" i="55"/>
  <c r="M5" i="40" s="1"/>
  <c r="AC24" i="55"/>
  <c r="T3" i="40" s="1"/>
  <c r="V27" i="55"/>
  <c r="M6" i="40" s="1"/>
  <c r="N24" i="55"/>
  <c r="E3" i="40" s="1"/>
  <c r="G27" i="55"/>
  <c r="Q26" i="55"/>
  <c r="H5" i="40" s="1"/>
  <c r="U26" i="55"/>
  <c r="L5" i="40" s="1"/>
  <c r="U24" i="55"/>
  <c r="L3" i="40" s="1"/>
  <c r="F24" i="55"/>
  <c r="F25" i="55"/>
  <c r="W24" i="55"/>
  <c r="N3" i="40" s="1"/>
  <c r="AL23" i="55"/>
  <c r="AC2" i="40" s="1"/>
  <c r="W23" i="55"/>
  <c r="N2" i="40" s="1"/>
  <c r="P23" i="55"/>
  <c r="G2" i="40" s="1"/>
  <c r="AU28" i="55"/>
  <c r="AL7" i="40" s="1"/>
  <c r="AF28" i="55"/>
  <c r="W7" i="40" s="1"/>
  <c r="S28" i="55"/>
  <c r="J7" i="40" s="1"/>
  <c r="D28" i="55"/>
  <c r="T25" i="55"/>
  <c r="K4" i="40" s="1"/>
  <c r="M28" i="55"/>
  <c r="D7" i="40" s="1"/>
  <c r="E25" i="55"/>
  <c r="AQ27" i="55"/>
  <c r="AH6" i="40" s="1"/>
  <c r="W28" i="55"/>
  <c r="N7" i="40" s="1"/>
  <c r="H27" i="55"/>
  <c r="AK24" i="55"/>
  <c r="AB3" i="40" s="1"/>
  <c r="V24" i="55"/>
  <c r="M3" i="40" s="1"/>
  <c r="AL25" i="55"/>
  <c r="AC4" i="40" s="1"/>
  <c r="J25" i="55"/>
  <c r="V23" i="55"/>
  <c r="M2" i="40" s="1"/>
  <c r="G23" i="55"/>
  <c r="AL28" i="55"/>
  <c r="AC7" i="40" s="1"/>
  <c r="G28" i="55"/>
  <c r="AK27" i="55"/>
  <c r="AB6" i="40" s="1"/>
  <c r="X27" i="55"/>
  <c r="O6" i="40" s="1"/>
  <c r="I27" i="55"/>
  <c r="AS24" i="55"/>
  <c r="AJ3" i="40" s="1"/>
  <c r="AL27" i="55"/>
  <c r="AC6" i="40" s="1"/>
  <c r="AD24" i="55"/>
  <c r="U3" i="40" s="1"/>
  <c r="W27" i="55"/>
  <c r="N6" i="40" s="1"/>
  <c r="AJ27" i="55"/>
  <c r="AA6" i="40" s="1"/>
  <c r="AN27" i="55"/>
  <c r="AE6" i="40" s="1"/>
  <c r="H25" i="55"/>
  <c r="AL24" i="55"/>
  <c r="AC3" i="40" s="1"/>
  <c r="Y26" i="55"/>
  <c r="P5" i="40" s="1"/>
  <c r="AP25" i="55"/>
  <c r="AG4" i="40" s="1"/>
  <c r="Y24" i="55"/>
  <c r="P3" i="40" s="1"/>
  <c r="J24" i="55"/>
  <c r="C24" i="55"/>
  <c r="AG23" i="55"/>
  <c r="X2" i="40" s="1"/>
  <c r="T23" i="55"/>
  <c r="K2" i="40" s="1"/>
  <c r="E23" i="55"/>
  <c r="AJ28" i="55"/>
  <c r="AA7" i="40" s="1"/>
  <c r="AJ25" i="55"/>
  <c r="AA4" i="40" s="1"/>
  <c r="AC28" i="55"/>
  <c r="T7" i="40" s="1"/>
  <c r="U25" i="55"/>
  <c r="L4" i="40" s="1"/>
  <c r="N28" i="55"/>
  <c r="E7" i="40" s="1"/>
  <c r="AH26" i="55"/>
  <c r="Y5" i="40" s="1"/>
  <c r="AQ26" i="55"/>
  <c r="AH5" i="40" s="1"/>
  <c r="D24" i="55"/>
  <c r="AB25" i="55"/>
  <c r="S4" i="40" s="1"/>
  <c r="AA24" i="55"/>
  <c r="R3" i="40" s="1"/>
  <c r="AR23" i="55"/>
  <c r="AI2" i="40" s="1"/>
  <c r="J23" i="55"/>
  <c r="AO28" i="55"/>
  <c r="AF7" i="40" s="1"/>
  <c r="Z28" i="55"/>
  <c r="Q7" i="40" s="1"/>
  <c r="F26" i="55"/>
  <c r="AR26" i="55"/>
  <c r="AI5" i="40" s="1"/>
  <c r="AN24" i="55"/>
  <c r="AE3" i="40" s="1"/>
  <c r="P26" i="55"/>
  <c r="G5" i="40" s="1"/>
  <c r="AM25" i="55"/>
  <c r="AD4" i="40" s="1"/>
  <c r="K25" i="55"/>
  <c r="B4" i="40" s="1"/>
  <c r="AM26" i="55"/>
  <c r="AD5" i="40" s="1"/>
  <c r="X26" i="55"/>
  <c r="O5" i="40" s="1"/>
  <c r="O27" i="55"/>
  <c r="F6" i="40" s="1"/>
  <c r="H24" i="55"/>
  <c r="AR24" i="55"/>
  <c r="AI3" i="40" s="1"/>
  <c r="S26" i="55"/>
  <c r="J5" i="40" s="1"/>
  <c r="U27" i="55"/>
  <c r="L6" i="40" s="1"/>
  <c r="J26" i="55"/>
  <c r="AO26" i="55"/>
  <c r="AF5" i="40" s="1"/>
  <c r="Q24" i="55"/>
  <c r="H3" i="40" s="1"/>
  <c r="H28" i="55"/>
  <c r="AD27" i="55"/>
  <c r="U6" i="40" s="1"/>
  <c r="W25" i="55"/>
  <c r="N4" i="40" s="1"/>
  <c r="O26" i="55"/>
  <c r="F5" i="40" s="1"/>
  <c r="N25" i="55"/>
  <c r="E4" i="40" s="1"/>
  <c r="AE24" i="55"/>
  <c r="V3" i="40" s="1"/>
  <c r="Z23" i="55"/>
  <c r="Q2" i="40" s="1"/>
  <c r="K23" i="55"/>
  <c r="B2" i="40" s="1"/>
  <c r="AP28" i="55"/>
  <c r="AG7" i="40" s="1"/>
  <c r="Y27" i="55"/>
  <c r="P6" i="40" s="1"/>
  <c r="AE27" i="55"/>
  <c r="V6" i="40" s="1"/>
  <c r="N26" i="55"/>
  <c r="E5" i="40" s="1"/>
  <c r="C27" i="55"/>
  <c r="Z26" i="55"/>
  <c r="Q5" i="40" s="1"/>
  <c r="AQ25" i="55"/>
  <c r="AH4" i="40" s="1"/>
  <c r="J27" i="55"/>
  <c r="AN26" i="55"/>
  <c r="AE5" i="40" s="1"/>
  <c r="S25" i="55"/>
  <c r="J4" i="40" s="1"/>
  <c r="AB26" i="55"/>
  <c r="S5" i="40" s="1"/>
  <c r="U23" i="55"/>
  <c r="L2" i="40" s="1"/>
  <c r="M25" i="55"/>
  <c r="D4" i="40" s="1"/>
  <c r="L24" i="55"/>
  <c r="C3" i="40" s="1"/>
  <c r="AC23" i="55"/>
  <c r="T2" i="40" s="1"/>
  <c r="C26" i="55"/>
  <c r="AG25" i="55"/>
  <c r="X4" i="40" s="1"/>
  <c r="AU25" i="55"/>
  <c r="AL4" i="40" s="1"/>
  <c r="N27" i="55"/>
  <c r="E6" i="40" s="1"/>
  <c r="AJ24" i="55"/>
  <c r="AA3" i="40" s="1"/>
  <c r="AE26" i="55"/>
  <c r="V5" i="40" s="1"/>
  <c r="I26" i="55"/>
  <c r="Z25" i="55"/>
  <c r="Q4" i="40" s="1"/>
  <c r="AT23" i="55"/>
  <c r="AK2" i="40" s="1"/>
  <c r="AE23" i="55"/>
  <c r="V2" i="40" s="1"/>
  <c r="AL26" i="55"/>
  <c r="AC5" i="40" s="1"/>
  <c r="AS25" i="55"/>
  <c r="AJ4" i="40" s="1"/>
  <c r="P24" i="55"/>
  <c r="G3" i="40" s="1"/>
  <c r="D26" i="55"/>
  <c r="AT27" i="55"/>
  <c r="AK6" i="40" s="1"/>
  <c r="R27" i="55"/>
  <c r="I6" i="40" s="1"/>
  <c r="M26" i="55"/>
  <c r="D5" i="40" s="1"/>
  <c r="AU23" i="55"/>
  <c r="AL2" i="40" s="1"/>
  <c r="AD55" i="20"/>
  <c r="AD47" i="20"/>
  <c r="AT49" i="10"/>
  <c r="AT41" i="10"/>
  <c r="AT29" i="10"/>
  <c r="AT25" i="10"/>
  <c r="K7" i="1"/>
  <c r="J16" i="1"/>
  <c r="J14" i="1"/>
  <c r="J9" i="1"/>
  <c r="L27" i="1"/>
  <c r="M30" i="1"/>
  <c r="M34" i="1"/>
  <c r="K36" i="1"/>
  <c r="Z54" i="12"/>
  <c r="AT51" i="10"/>
  <c r="AT43" i="10"/>
  <c r="AT35" i="10"/>
  <c r="J7" i="1"/>
  <c r="I14" i="1"/>
  <c r="I11" i="1"/>
  <c r="I27" i="1"/>
  <c r="I31" i="1"/>
  <c r="I35" i="1"/>
  <c r="BB54" i="12"/>
  <c r="AD60" i="20"/>
  <c r="AD44" i="20"/>
  <c r="AE33" i="20"/>
  <c r="AE61" i="20"/>
  <c r="AE57" i="20"/>
  <c r="AE53" i="20"/>
  <c r="AE49" i="20"/>
  <c r="AE45" i="20"/>
  <c r="AE41" i="20"/>
  <c r="AE37" i="20"/>
  <c r="AC35" i="20"/>
  <c r="AC39" i="20"/>
  <c r="AC43" i="20"/>
  <c r="AC47" i="20"/>
  <c r="AC51" i="20"/>
  <c r="AC55" i="20"/>
  <c r="AC59" i="20"/>
  <c r="AF4" i="23"/>
  <c r="AF5" i="23"/>
  <c r="D22" i="22"/>
  <c r="AP44" i="22"/>
  <c r="D20" i="22"/>
  <c r="AH23" i="22"/>
  <c r="AR23" i="22"/>
  <c r="D23" i="22"/>
  <c r="B40" i="22"/>
  <c r="Z19" i="10"/>
  <c r="AA18" i="10"/>
  <c r="Y18" i="10" s="1"/>
  <c r="AO14" i="12"/>
  <c r="AT54" i="12"/>
  <c r="AP54" i="12"/>
  <c r="M14" i="12"/>
  <c r="Y14" i="12"/>
  <c r="AD54" i="12"/>
  <c r="I14" i="12"/>
  <c r="AK14" i="12"/>
  <c r="U14" i="12"/>
  <c r="AH54" i="12"/>
  <c r="AX54" i="12"/>
  <c r="E14" i="12"/>
  <c r="AG14" i="12"/>
  <c r="AV14" i="12"/>
  <c r="AL54" i="12"/>
  <c r="BP54" i="12"/>
  <c r="BH54" i="12"/>
  <c r="AZ54" i="12"/>
  <c r="AR54" i="12"/>
  <c r="AJ54" i="12"/>
  <c r="AB54" i="12"/>
  <c r="S14" i="12"/>
  <c r="AA14" i="12"/>
  <c r="AI14" i="12"/>
  <c r="AU14" i="12"/>
  <c r="K14" i="12"/>
  <c r="BO54" i="12"/>
  <c r="BK54" i="12"/>
  <c r="BC54" i="12"/>
  <c r="AU54" i="12"/>
  <c r="AM54" i="12"/>
  <c r="AE54" i="12"/>
  <c r="W54" i="12"/>
  <c r="T14" i="12"/>
  <c r="AB14" i="12"/>
  <c r="AF14" i="12"/>
  <c r="AN14" i="12"/>
  <c r="D14" i="12"/>
  <c r="H14" i="12"/>
  <c r="P14" i="12"/>
  <c r="BF54" i="12"/>
  <c r="BM54" i="12"/>
  <c r="BI54" i="12"/>
  <c r="BE54" i="12"/>
  <c r="BA54" i="12"/>
  <c r="AW54" i="12"/>
  <c r="AS54" i="12"/>
  <c r="AO54" i="12"/>
  <c r="AK54" i="12"/>
  <c r="AG54" i="12"/>
  <c r="AC54" i="12"/>
  <c r="Y54" i="12"/>
  <c r="R14" i="12"/>
  <c r="V14" i="12"/>
  <c r="Z14" i="12"/>
  <c r="AD14" i="12"/>
  <c r="AH14" i="12"/>
  <c r="AL14" i="12"/>
  <c r="AP14" i="12"/>
  <c r="AT14" i="12"/>
  <c r="F14" i="12"/>
  <c r="J14" i="12"/>
  <c r="N14" i="12"/>
  <c r="C14" i="12"/>
  <c r="BL54" i="12"/>
  <c r="BD54" i="12"/>
  <c r="AV54" i="12"/>
  <c r="AN54" i="12"/>
  <c r="AF54" i="12"/>
  <c r="X54" i="12"/>
  <c r="W14" i="12"/>
  <c r="AE14" i="12"/>
  <c r="AM14" i="12"/>
  <c r="AQ14" i="12"/>
  <c r="G14" i="12"/>
  <c r="O14" i="12"/>
  <c r="BG54" i="12"/>
  <c r="AY54" i="12"/>
  <c r="AQ54" i="12"/>
  <c r="AI54" i="12"/>
  <c r="AA54" i="12"/>
  <c r="X14" i="12"/>
  <c r="AJ14" i="12"/>
  <c r="AR14" i="12"/>
  <c r="L14" i="12"/>
  <c r="BN54" i="12"/>
  <c r="BJ54" i="12"/>
  <c r="AR17" i="12"/>
  <c r="AN17" i="12"/>
  <c r="AL17" i="12"/>
  <c r="AJ17" i="12"/>
  <c r="AH17" i="12"/>
  <c r="AF17" i="12"/>
  <c r="AD17" i="12"/>
  <c r="AB17" i="12"/>
  <c r="Z17" i="12"/>
  <c r="X17" i="12"/>
  <c r="V17" i="12"/>
  <c r="T17" i="12"/>
  <c r="R17" i="12"/>
  <c r="P17" i="12"/>
  <c r="AO17" i="12"/>
  <c r="AM17" i="12"/>
  <c r="AK17" i="12"/>
  <c r="AI17" i="12"/>
  <c r="AG17" i="12"/>
  <c r="AE17" i="12"/>
  <c r="AC17" i="12"/>
  <c r="AA17" i="12"/>
  <c r="Y17" i="12"/>
  <c r="W17" i="12"/>
  <c r="U17" i="12"/>
  <c r="S17" i="12"/>
  <c r="Q17" i="12"/>
  <c r="AT17" i="12"/>
  <c r="AS17" i="12"/>
  <c r="AQ17" i="12"/>
  <c r="AV17" i="12"/>
  <c r="C23" i="7" a="1"/>
  <c r="R23" i="7" s="1"/>
  <c r="P22" i="22"/>
  <c r="Q21" i="22"/>
  <c r="Q20" i="22"/>
  <c r="C23" i="27" a="1"/>
  <c r="Z23" i="27" s="1"/>
  <c r="Z23" i="26" s="1"/>
  <c r="Q2" i="45" s="1"/>
  <c r="AS12" i="22"/>
  <c r="AS13" i="22"/>
  <c r="AS11" i="22"/>
  <c r="AS10" i="22"/>
  <c r="AS14" i="22"/>
  <c r="O9" i="22"/>
  <c r="O4" i="22" s="1"/>
  <c r="M4" i="22"/>
  <c r="C11" i="22"/>
  <c r="B12" i="22"/>
  <c r="B11" i="22"/>
  <c r="B13" i="22"/>
  <c r="B14" i="22"/>
  <c r="B10" i="22"/>
  <c r="N10" i="22"/>
  <c r="N11" i="22"/>
  <c r="N12" i="22"/>
  <c r="N13" i="22"/>
  <c r="AI13" i="22"/>
  <c r="AI12" i="22"/>
  <c r="AI11" i="22"/>
  <c r="AI10" i="22"/>
  <c r="AI14" i="22"/>
  <c r="D12" i="22"/>
  <c r="E15" i="23"/>
  <c r="E5" i="23" s="1"/>
  <c r="E10" i="22"/>
  <c r="C10" i="22"/>
  <c r="C12" i="22"/>
  <c r="C13" i="22"/>
  <c r="E11" i="22"/>
  <c r="E12" i="22"/>
  <c r="D10" i="22"/>
  <c r="D14" i="22"/>
  <c r="D11" i="22"/>
  <c r="E14" i="22"/>
  <c r="C23" i="27"/>
  <c r="C23" i="26" s="1"/>
  <c r="O26" i="27"/>
  <c r="O26" i="26" s="1"/>
  <c r="F5" i="45" s="1"/>
  <c r="AH28" i="27"/>
  <c r="AH28" i="26" s="1"/>
  <c r="Y7" i="45" s="1"/>
  <c r="E13" i="22"/>
  <c r="D13" i="22"/>
  <c r="X26" i="27"/>
  <c r="X26" i="26" s="1"/>
  <c r="O5" i="45" s="1"/>
  <c r="C14" i="22"/>
  <c r="AB24" i="7"/>
  <c r="E9" i="23"/>
  <c r="E4" i="23" s="1"/>
  <c r="AF27" i="7"/>
  <c r="AS11" i="23"/>
  <c r="AS13" i="23"/>
  <c r="AS12" i="23"/>
  <c r="AS14" i="23"/>
  <c r="AS10" i="23"/>
  <c r="AI10" i="23"/>
  <c r="AI11" i="23"/>
  <c r="AI13" i="23"/>
  <c r="AI12" i="23"/>
  <c r="AI14" i="23"/>
  <c r="AJ28" i="7"/>
  <c r="AP25" i="7"/>
  <c r="H27" i="7"/>
  <c r="T25" i="7"/>
  <c r="N23" i="7"/>
  <c r="AP28" i="7"/>
  <c r="Z28" i="7"/>
  <c r="AL27" i="7"/>
  <c r="V27" i="7"/>
  <c r="N27" i="7"/>
  <c r="F27" i="7"/>
  <c r="H26" i="7"/>
  <c r="AT23" i="7"/>
  <c r="AH23" i="7"/>
  <c r="L23" i="7"/>
  <c r="C24" i="7"/>
  <c r="AF28" i="7"/>
  <c r="AR27" i="7"/>
  <c r="AB27" i="7"/>
  <c r="T27" i="7"/>
  <c r="L27" i="7"/>
  <c r="Z26" i="7"/>
  <c r="AH24" i="7"/>
  <c r="V24" i="7"/>
  <c r="AR23" i="7"/>
  <c r="AD23" i="7"/>
  <c r="AT28" i="7"/>
  <c r="N28" i="7"/>
  <c r="F28" i="7"/>
  <c r="AH27" i="7"/>
  <c r="Z27" i="7"/>
  <c r="AT26" i="7"/>
  <c r="V25" i="7"/>
  <c r="J25" i="7"/>
  <c r="AF24" i="7"/>
  <c r="R24" i="7"/>
  <c r="X23" i="7"/>
  <c r="N26" i="7"/>
  <c r="AJ25" i="7"/>
  <c r="Z25" i="7"/>
  <c r="D25" i="7"/>
  <c r="P24" i="7"/>
  <c r="E23" i="7"/>
  <c r="J23" i="7"/>
  <c r="T23" i="7"/>
  <c r="Z23" i="7"/>
  <c r="AP23" i="7"/>
  <c r="X24" i="7"/>
  <c r="AD24" i="7"/>
  <c r="AN24" i="7"/>
  <c r="AT24" i="7"/>
  <c r="R25" i="7"/>
  <c r="AR25" i="7"/>
  <c r="F26" i="7"/>
  <c r="P26" i="7"/>
  <c r="V26" i="7"/>
  <c r="AL26" i="7"/>
  <c r="V23" i="7"/>
  <c r="AF23" i="7"/>
  <c r="AL23" i="7"/>
  <c r="D24" i="7"/>
  <c r="T24" i="7"/>
  <c r="AP24" i="7"/>
  <c r="H25" i="7"/>
  <c r="N25" i="7"/>
  <c r="X25" i="7"/>
  <c r="AN25" i="7"/>
  <c r="R26" i="7"/>
  <c r="AB26" i="7"/>
  <c r="AH26" i="7"/>
  <c r="AQ26" i="7"/>
  <c r="AU26" i="7"/>
  <c r="I27" i="7"/>
  <c r="K27" i="7"/>
  <c r="M27" i="7"/>
  <c r="O27" i="7"/>
  <c r="S27" i="7"/>
  <c r="Y27" i="7"/>
  <c r="AA27" i="7"/>
  <c r="AC27" i="7"/>
  <c r="AE27" i="7"/>
  <c r="AI27" i="7"/>
  <c r="AO27" i="7"/>
  <c r="AQ27" i="7"/>
  <c r="AS27" i="7"/>
  <c r="AU27" i="7"/>
  <c r="G28" i="7"/>
  <c r="M28" i="7"/>
  <c r="O28" i="7"/>
  <c r="Q28" i="7"/>
  <c r="S28" i="7"/>
  <c r="W28" i="7"/>
  <c r="AC28" i="7"/>
  <c r="AE28" i="7"/>
  <c r="AG28" i="7"/>
  <c r="AI28" i="7"/>
  <c r="AM28" i="7"/>
  <c r="AS28" i="7"/>
  <c r="AU28" i="7"/>
  <c r="C25" i="7"/>
  <c r="C27" i="7"/>
  <c r="AO26" i="7"/>
  <c r="AI26" i="7"/>
  <c r="AG26" i="7"/>
  <c r="AE26" i="7"/>
  <c r="AC26" i="7"/>
  <c r="Y26" i="7"/>
  <c r="S26" i="7"/>
  <c r="Q26" i="7"/>
  <c r="O26" i="7"/>
  <c r="M26" i="7"/>
  <c r="I26" i="7"/>
  <c r="AU25" i="7"/>
  <c r="AS25" i="7"/>
  <c r="AQ25" i="7"/>
  <c r="AO25" i="7"/>
  <c r="AK25" i="7"/>
  <c r="AE25" i="7"/>
  <c r="AC25" i="7"/>
  <c r="AA25" i="7"/>
  <c r="Y25" i="7"/>
  <c r="U25" i="7"/>
  <c r="O25" i="7"/>
  <c r="M25" i="7"/>
  <c r="K25" i="7"/>
  <c r="I25" i="7"/>
  <c r="E25" i="7"/>
  <c r="AQ24" i="7"/>
  <c r="AO24" i="7"/>
  <c r="AM24" i="7"/>
  <c r="AK24" i="7"/>
  <c r="AG24" i="7"/>
  <c r="AA24" i="7"/>
  <c r="Y24" i="7"/>
  <c r="W24" i="7"/>
  <c r="U24" i="7"/>
  <c r="Q24" i="7"/>
  <c r="K24" i="7"/>
  <c r="I24" i="7"/>
  <c r="G24" i="7"/>
  <c r="E24" i="7"/>
  <c r="AS23" i="7"/>
  <c r="AM23" i="7"/>
  <c r="AK23" i="7"/>
  <c r="AI23" i="7"/>
  <c r="AG23" i="7"/>
  <c r="AC23" i="7"/>
  <c r="W23" i="7"/>
  <c r="U23" i="7"/>
  <c r="S23" i="7"/>
  <c r="Q23" i="7"/>
  <c r="M23" i="7"/>
  <c r="G23" i="7"/>
  <c r="N12" i="12"/>
  <c r="N16" i="12" s="1"/>
  <c r="N15" i="12"/>
  <c r="J12" i="12"/>
  <c r="J16" i="12" s="1"/>
  <c r="J15" i="12"/>
  <c r="F12" i="12"/>
  <c r="F16" i="12" s="1"/>
  <c r="F15" i="12"/>
  <c r="O12" i="12"/>
  <c r="O16" i="12" s="1"/>
  <c r="O15" i="12"/>
  <c r="K12" i="12"/>
  <c r="K16" i="12" s="1"/>
  <c r="K15" i="12"/>
  <c r="G12" i="12"/>
  <c r="G16" i="12" s="1"/>
  <c r="G15" i="12"/>
  <c r="D12" i="12"/>
  <c r="D16" i="12" s="1"/>
  <c r="D15" i="12"/>
  <c r="C12" i="12"/>
  <c r="C16" i="12" s="1"/>
  <c r="C15" i="12"/>
  <c r="M12" i="12"/>
  <c r="M16" i="12" s="1"/>
  <c r="M15" i="12"/>
  <c r="I12" i="12"/>
  <c r="I16" i="12" s="1"/>
  <c r="I15" i="12"/>
  <c r="L12" i="12"/>
  <c r="L16" i="12" s="1"/>
  <c r="L15" i="12"/>
  <c r="H12" i="12"/>
  <c r="H16" i="12" s="1"/>
  <c r="H15" i="12"/>
  <c r="E12" i="12"/>
  <c r="E16" i="12" s="1"/>
  <c r="E15" i="12"/>
  <c r="O17" i="12"/>
  <c r="M17" i="12"/>
  <c r="K17" i="12"/>
  <c r="I17" i="12"/>
  <c r="G17" i="12"/>
  <c r="N17" i="12"/>
  <c r="L17" i="12"/>
  <c r="J17" i="12"/>
  <c r="H17" i="12"/>
  <c r="F17" i="12"/>
  <c r="D17" i="12"/>
  <c r="L51" i="22" l="1"/>
  <c r="AF51" i="22"/>
  <c r="L47" i="22"/>
  <c r="AF47" i="22"/>
  <c r="L26" i="22"/>
  <c r="AF26" i="22"/>
  <c r="L35" i="22"/>
  <c r="AF35" i="22"/>
  <c r="L39" i="22"/>
  <c r="AF39" i="22"/>
  <c r="L37" i="22"/>
  <c r="AF37" i="22"/>
  <c r="L33" i="22"/>
  <c r="AF33" i="22"/>
  <c r="L30" i="22"/>
  <c r="AF30" i="22"/>
  <c r="L34" i="22"/>
  <c r="AF34" i="22"/>
  <c r="L38" i="22"/>
  <c r="AF38" i="22"/>
  <c r="L27" i="22"/>
  <c r="AF27" i="22"/>
  <c r="L53" i="22"/>
  <c r="AF53" i="22"/>
  <c r="L31" i="22"/>
  <c r="AF31" i="22"/>
  <c r="L49" i="22"/>
  <c r="AF49" i="22"/>
  <c r="L43" i="22"/>
  <c r="AF43" i="22"/>
  <c r="L42" i="22"/>
  <c r="AF42" i="22"/>
  <c r="L46" i="22"/>
  <c r="AF46" i="22"/>
  <c r="L45" i="22"/>
  <c r="AF45" i="22"/>
  <c r="L41" i="22"/>
  <c r="AF41" i="22"/>
  <c r="L50" i="22"/>
  <c r="AF50" i="22"/>
  <c r="AA33" i="14"/>
  <c r="AM33" i="14" s="1"/>
  <c r="AM37" i="10" s="1"/>
  <c r="AD150" i="20"/>
  <c r="AC150" i="20"/>
  <c r="AD148" i="20"/>
  <c r="AC148" i="20"/>
  <c r="B46" i="22"/>
  <c r="AD157" i="20"/>
  <c r="AC157" i="20"/>
  <c r="B50" i="22"/>
  <c r="AC161" i="20"/>
  <c r="AD161" i="20"/>
  <c r="AC144" i="20"/>
  <c r="AD144" i="20"/>
  <c r="B35" i="22"/>
  <c r="AD146" i="20"/>
  <c r="AC146" i="20"/>
  <c r="AC137" i="20"/>
  <c r="AD137" i="20"/>
  <c r="B30" i="22"/>
  <c r="AD141" i="20"/>
  <c r="AC141" i="20"/>
  <c r="AD142" i="20"/>
  <c r="AC142" i="20"/>
  <c r="B49" i="22"/>
  <c r="AC160" i="20"/>
  <c r="AD160" i="20"/>
  <c r="B47" i="22"/>
  <c r="AD158" i="20"/>
  <c r="AC158" i="20"/>
  <c r="AC145" i="20"/>
  <c r="AD145" i="20"/>
  <c r="AD154" i="20"/>
  <c r="AC154" i="20"/>
  <c r="AC149" i="20"/>
  <c r="AD149" i="20"/>
  <c r="AD156" i="20"/>
  <c r="AC156" i="20"/>
  <c r="B53" i="22"/>
  <c r="AD164" i="20"/>
  <c r="AC164" i="20"/>
  <c r="AC138" i="20"/>
  <c r="AD138" i="20"/>
  <c r="AC152" i="20"/>
  <c r="AD152" i="20"/>
  <c r="AC162" i="20"/>
  <c r="AD162" i="20"/>
  <c r="AC153" i="20"/>
  <c r="AD153" i="20"/>
  <c r="AG20" i="23"/>
  <c r="AI20" i="23" s="1"/>
  <c r="AQ20" i="23"/>
  <c r="AS20" i="23" s="1"/>
  <c r="AB24" i="10"/>
  <c r="O23" i="7"/>
  <c r="AE23" i="7"/>
  <c r="AU23" i="7"/>
  <c r="S24" i="7"/>
  <c r="AI24" i="7"/>
  <c r="G25" i="7"/>
  <c r="W25" i="7"/>
  <c r="AM25" i="7"/>
  <c r="K26" i="7"/>
  <c r="AA26" i="7"/>
  <c r="C23" i="7"/>
  <c r="AK28" i="7"/>
  <c r="U28" i="7"/>
  <c r="E28" i="7"/>
  <c r="AG27" i="7"/>
  <c r="Q27" i="7"/>
  <c r="AS26" i="7"/>
  <c r="AD25" i="7"/>
  <c r="J24" i="7"/>
  <c r="AF26" i="7"/>
  <c r="L25" i="7"/>
  <c r="AJ23" i="7"/>
  <c r="AL24" i="7"/>
  <c r="AN23" i="7"/>
  <c r="R27" i="7"/>
  <c r="H23" i="7"/>
  <c r="AN26" i="7"/>
  <c r="AN28" i="7"/>
  <c r="AD26" i="7"/>
  <c r="AH28" i="7"/>
  <c r="D28" i="7"/>
  <c r="I23" i="7"/>
  <c r="Y23" i="7"/>
  <c r="AO23" i="7"/>
  <c r="M24" i="7"/>
  <c r="AC24" i="7"/>
  <c r="AS24" i="7"/>
  <c r="Q25" i="7"/>
  <c r="AG25" i="7"/>
  <c r="E26" i="7"/>
  <c r="U26" i="7"/>
  <c r="AK26" i="7"/>
  <c r="AQ28" i="7"/>
  <c r="AA28" i="7"/>
  <c r="K28" i="7"/>
  <c r="AM27" i="7"/>
  <c r="W27" i="7"/>
  <c r="G27" i="7"/>
  <c r="L26" i="7"/>
  <c r="AJ24" i="7"/>
  <c r="P23" i="7"/>
  <c r="AH25" i="7"/>
  <c r="N24" i="7"/>
  <c r="AB23" i="7"/>
  <c r="X26" i="7"/>
  <c r="T26" i="7"/>
  <c r="V28" i="7"/>
  <c r="AF25" i="7"/>
  <c r="H28" i="7"/>
  <c r="AR24" i="7"/>
  <c r="AT27" i="7"/>
  <c r="AB28" i="7"/>
  <c r="K23" i="7"/>
  <c r="AA23" i="7"/>
  <c r="AQ23" i="7"/>
  <c r="O24" i="7"/>
  <c r="AE24" i="7"/>
  <c r="AU24" i="7"/>
  <c r="S25" i="7"/>
  <c r="AI25" i="7"/>
  <c r="G26" i="7"/>
  <c r="W26" i="7"/>
  <c r="AM26" i="7"/>
  <c r="AO28" i="7"/>
  <c r="Y28" i="7"/>
  <c r="I28" i="7"/>
  <c r="AK27" i="7"/>
  <c r="U27" i="7"/>
  <c r="E27" i="7"/>
  <c r="AT25" i="7"/>
  <c r="Z24" i="7"/>
  <c r="F23" i="7"/>
  <c r="AB25" i="7"/>
  <c r="H24" i="7"/>
  <c r="F24" i="7"/>
  <c r="D23" i="7"/>
  <c r="AJ26" i="7"/>
  <c r="AL28" i="7"/>
  <c r="D26" i="7"/>
  <c r="P28" i="7"/>
  <c r="AL25" i="7"/>
  <c r="J28" i="7"/>
  <c r="L24" i="7"/>
  <c r="AR26" i="7"/>
  <c r="AR25" i="27"/>
  <c r="AR25" i="26" s="1"/>
  <c r="AI4" i="45" s="1"/>
  <c r="Y22" i="14"/>
  <c r="AL22" i="14" s="1"/>
  <c r="X23" i="27"/>
  <c r="X23" i="26" s="1"/>
  <c r="O2" i="45" s="1"/>
  <c r="AN21" i="14"/>
  <c r="AG17" i="53"/>
  <c r="AI17" i="53" s="1"/>
  <c r="AQ17" i="53"/>
  <c r="AS17" i="53" s="1"/>
  <c r="M17" i="53"/>
  <c r="AI20" i="10"/>
  <c r="AJ20" i="10" s="1"/>
  <c r="AH20" i="10" s="1"/>
  <c r="U35" i="20"/>
  <c r="O34" i="20"/>
  <c r="B38" i="22"/>
  <c r="AJ19" i="10"/>
  <c r="AH19" i="10" s="1"/>
  <c r="AJ18" i="10"/>
  <c r="AH18" i="10" s="1"/>
  <c r="B39" i="22"/>
  <c r="B34" i="22"/>
  <c r="AR20" i="22"/>
  <c r="AP20" i="22"/>
  <c r="B51" i="22"/>
  <c r="B28" i="22"/>
  <c r="B33" i="22"/>
  <c r="AH20" i="22"/>
  <c r="AR22" i="22"/>
  <c r="B44" i="22"/>
  <c r="AH22" i="22"/>
  <c r="B31" i="22"/>
  <c r="B37" i="22"/>
  <c r="AP28" i="22"/>
  <c r="AS23" i="22"/>
  <c r="AI23" i="22"/>
  <c r="C23" i="22"/>
  <c r="E23" i="22" s="1"/>
  <c r="AA19" i="10"/>
  <c r="Z20" i="10"/>
  <c r="AP48" i="22"/>
  <c r="AH21" i="22"/>
  <c r="AR21" i="22"/>
  <c r="D21" i="22"/>
  <c r="AP29" i="22"/>
  <c r="AP45" i="22"/>
  <c r="AP27" i="22"/>
  <c r="AP26" i="22"/>
  <c r="AP42" i="22"/>
  <c r="AS21" i="22"/>
  <c r="AI21" i="22"/>
  <c r="C21" i="22"/>
  <c r="E21" i="22" s="1"/>
  <c r="AP24" i="22"/>
  <c r="AP41" i="22"/>
  <c r="AP36" i="22"/>
  <c r="B48" i="22"/>
  <c r="AP35" i="22"/>
  <c r="AP30" i="22"/>
  <c r="AP46" i="22"/>
  <c r="AI24" i="22"/>
  <c r="AS24" i="22"/>
  <c r="C24" i="22"/>
  <c r="E24" i="22" s="1"/>
  <c r="B41" i="22"/>
  <c r="AP32" i="22"/>
  <c r="AP21" i="22"/>
  <c r="AP37" i="22"/>
  <c r="AP53" i="22"/>
  <c r="AP52" i="22"/>
  <c r="B32" i="22"/>
  <c r="AP31" i="22"/>
  <c r="AP43" i="22"/>
  <c r="AP34" i="22"/>
  <c r="AP50" i="22"/>
  <c r="AP23" i="22"/>
  <c r="AH24" i="22"/>
  <c r="AR24" i="22"/>
  <c r="D24" i="22"/>
  <c r="B26" i="22"/>
  <c r="B42" i="22"/>
  <c r="B27" i="22"/>
  <c r="B43" i="22"/>
  <c r="B29" i="22"/>
  <c r="B45" i="22"/>
  <c r="AP40" i="22"/>
  <c r="AP33" i="22"/>
  <c r="AP49" i="22"/>
  <c r="AS22" i="22"/>
  <c r="AI22" i="22"/>
  <c r="C22" i="22"/>
  <c r="E22" i="22" s="1"/>
  <c r="AS20" i="22"/>
  <c r="AI20" i="22"/>
  <c r="C20" i="22"/>
  <c r="E20" i="22" s="1"/>
  <c r="B36" i="22"/>
  <c r="AP47" i="22"/>
  <c r="AP51" i="22"/>
  <c r="AP22" i="22"/>
  <c r="AP38" i="22"/>
  <c r="B52" i="22"/>
  <c r="AP39" i="22"/>
  <c r="C28" i="7"/>
  <c r="L28" i="7"/>
  <c r="T28" i="7"/>
  <c r="T28" i="25" s="1"/>
  <c r="S7" i="35" s="1"/>
  <c r="AO23" i="25"/>
  <c r="AF2" i="35" s="1"/>
  <c r="I25" i="25"/>
  <c r="AG25" i="25"/>
  <c r="X4" i="35" s="1"/>
  <c r="AC26" i="25"/>
  <c r="T5" i="35" s="1"/>
  <c r="K28" i="25"/>
  <c r="O27" i="25"/>
  <c r="F6" i="35" s="1"/>
  <c r="X25" i="25"/>
  <c r="W4" i="35" s="1"/>
  <c r="AT24" i="25"/>
  <c r="AB23" i="25"/>
  <c r="AA2" i="35" s="1"/>
  <c r="R24" i="25"/>
  <c r="Q3" i="35" s="1"/>
  <c r="T26" i="25"/>
  <c r="S5" i="35" s="1"/>
  <c r="R27" i="25"/>
  <c r="Q6" i="35" s="1"/>
  <c r="AR27" i="25"/>
  <c r="AL27" i="25"/>
  <c r="AK6" i="35" s="1"/>
  <c r="Z28" i="25"/>
  <c r="Y7" i="35" s="1"/>
  <c r="N23" i="25"/>
  <c r="M2" i="35" s="1"/>
  <c r="AB28" i="25"/>
  <c r="AA7" i="35" s="1"/>
  <c r="D28" i="25"/>
  <c r="C7" i="35" s="1"/>
  <c r="AA25" i="25"/>
  <c r="R4" i="35" s="1"/>
  <c r="T23" i="25"/>
  <c r="S2" i="35" s="1"/>
  <c r="U23" i="25"/>
  <c r="L2" i="35" s="1"/>
  <c r="AC23" i="25"/>
  <c r="T2" i="35" s="1"/>
  <c r="AK23" i="25"/>
  <c r="AB2" i="35" s="1"/>
  <c r="I24" i="25"/>
  <c r="Q24" i="25"/>
  <c r="H3" i="35" s="1"/>
  <c r="Y24" i="25"/>
  <c r="P3" i="35" s="1"/>
  <c r="AO24" i="25"/>
  <c r="AF3" i="35" s="1"/>
  <c r="E25" i="25"/>
  <c r="M25" i="25"/>
  <c r="D4" i="35" s="1"/>
  <c r="U25" i="25"/>
  <c r="L4" i="35" s="1"/>
  <c r="AK25" i="25"/>
  <c r="AB4" i="35" s="1"/>
  <c r="AS25" i="25"/>
  <c r="AJ4" i="35" s="1"/>
  <c r="Q26" i="25"/>
  <c r="H5" i="35" s="1"/>
  <c r="AG26" i="25"/>
  <c r="X5" i="35" s="1"/>
  <c r="AU28" i="25"/>
  <c r="AL7" i="35" s="1"/>
  <c r="AE28" i="25"/>
  <c r="V7" i="35" s="1"/>
  <c r="O28" i="25"/>
  <c r="F7" i="35" s="1"/>
  <c r="AQ27" i="25"/>
  <c r="AH6" i="35" s="1"/>
  <c r="AI27" i="25"/>
  <c r="Z6" i="35" s="1"/>
  <c r="S27" i="25"/>
  <c r="J6" i="35" s="1"/>
  <c r="K27" i="25"/>
  <c r="AB26" i="25"/>
  <c r="AA5" i="35" s="1"/>
  <c r="H25" i="25"/>
  <c r="G4" i="35" s="1"/>
  <c r="AF23" i="25"/>
  <c r="AE2" i="35" s="1"/>
  <c r="AL26" i="25"/>
  <c r="AK5" i="35" s="1"/>
  <c r="R25" i="25"/>
  <c r="Q4" i="35" s="1"/>
  <c r="AD24" i="25"/>
  <c r="AC3" i="35" s="1"/>
  <c r="AP23" i="25"/>
  <c r="J23" i="25"/>
  <c r="I2" i="35" s="1"/>
  <c r="AJ25" i="25"/>
  <c r="AI4" i="35" s="1"/>
  <c r="J25" i="25"/>
  <c r="I4" i="35" s="1"/>
  <c r="AT26" i="25"/>
  <c r="V28" i="25"/>
  <c r="U7" i="35" s="1"/>
  <c r="AN26" i="25"/>
  <c r="AR24" i="25"/>
  <c r="G23" i="25"/>
  <c r="O23" i="25"/>
  <c r="F2" i="35" s="1"/>
  <c r="W23" i="25"/>
  <c r="N2" i="35" s="1"/>
  <c r="AE23" i="25"/>
  <c r="V2" i="35" s="1"/>
  <c r="AM23" i="25"/>
  <c r="AD2" i="35" s="1"/>
  <c r="AU23" i="25"/>
  <c r="AL2" i="35" s="1"/>
  <c r="K24" i="25"/>
  <c r="S24" i="25"/>
  <c r="J3" i="35" s="1"/>
  <c r="AA24" i="25"/>
  <c r="R3" i="35" s="1"/>
  <c r="AI24" i="25"/>
  <c r="Z3" i="35" s="1"/>
  <c r="AQ24" i="25"/>
  <c r="AH3" i="35" s="1"/>
  <c r="G25" i="25"/>
  <c r="O25" i="25"/>
  <c r="F4" i="35" s="1"/>
  <c r="W25" i="25"/>
  <c r="N4" i="35" s="1"/>
  <c r="AE25" i="25"/>
  <c r="V4" i="35" s="1"/>
  <c r="AM25" i="25"/>
  <c r="AD4" i="35" s="1"/>
  <c r="AU25" i="25"/>
  <c r="AL4" i="35" s="1"/>
  <c r="K26" i="25"/>
  <c r="S26" i="25"/>
  <c r="J5" i="35" s="1"/>
  <c r="AA26" i="25"/>
  <c r="R5" i="35" s="1"/>
  <c r="AI26" i="25"/>
  <c r="Z5" i="35" s="1"/>
  <c r="C23" i="25"/>
  <c r="AS28" i="25"/>
  <c r="AJ7" i="35" s="1"/>
  <c r="AK28" i="25"/>
  <c r="AB7" i="35" s="1"/>
  <c r="AC28" i="25"/>
  <c r="T7" i="35" s="1"/>
  <c r="U28" i="25"/>
  <c r="L7" i="35" s="1"/>
  <c r="M28" i="25"/>
  <c r="D7" i="35" s="1"/>
  <c r="E28" i="25"/>
  <c r="AO27" i="25"/>
  <c r="AF6" i="35" s="1"/>
  <c r="AG27" i="25"/>
  <c r="X6" i="35" s="1"/>
  <c r="Y27" i="25"/>
  <c r="P6" i="35" s="1"/>
  <c r="Q27" i="25"/>
  <c r="H6" i="35" s="1"/>
  <c r="I27" i="25"/>
  <c r="AS26" i="25"/>
  <c r="AJ5" i="35" s="1"/>
  <c r="R26" i="25"/>
  <c r="Q5" i="35" s="1"/>
  <c r="AD25" i="25"/>
  <c r="AC4" i="35" s="1"/>
  <c r="AP24" i="25"/>
  <c r="J24" i="25"/>
  <c r="I3" i="35" s="1"/>
  <c r="V23" i="25"/>
  <c r="U2" i="35" s="1"/>
  <c r="AF26" i="25"/>
  <c r="AE5" i="35" s="1"/>
  <c r="AR25" i="25"/>
  <c r="L25" i="25"/>
  <c r="K4" i="35" s="1"/>
  <c r="X24" i="25"/>
  <c r="W3" i="35" s="1"/>
  <c r="AJ23" i="25"/>
  <c r="AI2" i="35" s="1"/>
  <c r="E23" i="25"/>
  <c r="AL24" i="25"/>
  <c r="AK3" i="35" s="1"/>
  <c r="N26" i="25"/>
  <c r="M5" i="35" s="1"/>
  <c r="AN23" i="25"/>
  <c r="V25" i="25"/>
  <c r="U4" i="35" s="1"/>
  <c r="J27" i="7"/>
  <c r="AP27" i="7"/>
  <c r="AD28" i="7"/>
  <c r="AD23" i="25"/>
  <c r="AC2" i="35" s="1"/>
  <c r="AF25" i="25"/>
  <c r="AE4" i="35" s="1"/>
  <c r="D27" i="7"/>
  <c r="AJ27" i="7"/>
  <c r="X28" i="7"/>
  <c r="L23" i="25"/>
  <c r="K2" i="35" s="1"/>
  <c r="P25" i="7"/>
  <c r="AP26" i="7"/>
  <c r="AD27" i="7"/>
  <c r="R28" i="7"/>
  <c r="C26" i="7"/>
  <c r="AN27" i="7"/>
  <c r="P27" i="7"/>
  <c r="F25" i="7"/>
  <c r="J26" i="7"/>
  <c r="X27" i="7"/>
  <c r="I23" i="25"/>
  <c r="Y23" i="25"/>
  <c r="P2" i="35" s="1"/>
  <c r="AG23" i="25"/>
  <c r="X2" i="35" s="1"/>
  <c r="E24" i="25"/>
  <c r="U24" i="25"/>
  <c r="L3" i="35" s="1"/>
  <c r="AC24" i="25"/>
  <c r="T3" i="35" s="1"/>
  <c r="AK24" i="25"/>
  <c r="AB3" i="35" s="1"/>
  <c r="AS24" i="25"/>
  <c r="AJ3" i="35" s="1"/>
  <c r="Q25" i="25"/>
  <c r="H4" i="35" s="1"/>
  <c r="AO25" i="25"/>
  <c r="AF4" i="35" s="1"/>
  <c r="E26" i="25"/>
  <c r="M26" i="25"/>
  <c r="D5" i="35" s="1"/>
  <c r="U26" i="25"/>
  <c r="L5" i="35" s="1"/>
  <c r="C27" i="25"/>
  <c r="AI28" i="25"/>
  <c r="Z7" i="35" s="1"/>
  <c r="S28" i="25"/>
  <c r="J7" i="35" s="1"/>
  <c r="AE27" i="25"/>
  <c r="V6" i="35" s="1"/>
  <c r="G27" i="25"/>
  <c r="L26" i="25"/>
  <c r="K5" i="35" s="1"/>
  <c r="AJ24" i="25"/>
  <c r="AI3" i="35" s="1"/>
  <c r="P23" i="25"/>
  <c r="O2" i="35" s="1"/>
  <c r="V26" i="25"/>
  <c r="U5" i="35" s="1"/>
  <c r="N24" i="25"/>
  <c r="M3" i="35" s="1"/>
  <c r="D25" i="25"/>
  <c r="C4" i="35" s="1"/>
  <c r="F28" i="25"/>
  <c r="E7" i="35" s="1"/>
  <c r="AR23" i="25"/>
  <c r="D26" i="25"/>
  <c r="C5" i="35" s="1"/>
  <c r="L27" i="25"/>
  <c r="K6" i="35" s="1"/>
  <c r="AF28" i="25"/>
  <c r="AE7" i="35" s="1"/>
  <c r="AH23" i="25"/>
  <c r="AG2" i="35" s="1"/>
  <c r="AL25" i="25"/>
  <c r="AK4" i="35" s="1"/>
  <c r="S23" i="25"/>
  <c r="J2" i="35" s="1"/>
  <c r="AI23" i="25"/>
  <c r="Z2" i="35" s="1"/>
  <c r="O24" i="25"/>
  <c r="F3" i="35" s="1"/>
  <c r="AM24" i="25"/>
  <c r="AD3" i="35" s="1"/>
  <c r="K25" i="25"/>
  <c r="AI25" i="25"/>
  <c r="Z4" i="35" s="1"/>
  <c r="O26" i="25"/>
  <c r="F5" i="35" s="1"/>
  <c r="C25" i="25"/>
  <c r="AG28" i="25"/>
  <c r="X7" i="35" s="1"/>
  <c r="Y28" i="25"/>
  <c r="P7" i="35" s="1"/>
  <c r="AS27" i="25"/>
  <c r="AJ6" i="35" s="1"/>
  <c r="AC27" i="25"/>
  <c r="T6" i="35" s="1"/>
  <c r="M27" i="25"/>
  <c r="D6" i="35" s="1"/>
  <c r="AH26" i="25"/>
  <c r="AG5" i="35" s="1"/>
  <c r="N25" i="25"/>
  <c r="M4" i="35" s="1"/>
  <c r="P26" i="25"/>
  <c r="O5" i="35" s="1"/>
  <c r="AN24" i="25"/>
  <c r="F24" i="25"/>
  <c r="E3" i="35" s="1"/>
  <c r="D23" i="25"/>
  <c r="C2" i="35" s="1"/>
  <c r="AJ26" i="25"/>
  <c r="AI5" i="35" s="1"/>
  <c r="Z27" i="25"/>
  <c r="Y6" i="35" s="1"/>
  <c r="N28" i="25"/>
  <c r="M7" i="35" s="1"/>
  <c r="AT28" i="25"/>
  <c r="Z26" i="25"/>
  <c r="Y5" i="35" s="1"/>
  <c r="T27" i="25"/>
  <c r="S6" i="35" s="1"/>
  <c r="H28" i="25"/>
  <c r="G7" i="35" s="1"/>
  <c r="AN28" i="25"/>
  <c r="AT23" i="25"/>
  <c r="H26" i="25"/>
  <c r="G5" i="35" s="1"/>
  <c r="N27" i="25"/>
  <c r="M6" i="35" s="1"/>
  <c r="AT27" i="25"/>
  <c r="AH28" i="25"/>
  <c r="AG7" i="35" s="1"/>
  <c r="T25" i="25"/>
  <c r="S4" i="35" s="1"/>
  <c r="L24" i="25"/>
  <c r="K3" i="35" s="1"/>
  <c r="AJ28" i="25"/>
  <c r="AI7" i="35" s="1"/>
  <c r="C28" i="25"/>
  <c r="AR26" i="25"/>
  <c r="AB24" i="25"/>
  <c r="AA3" i="35" s="1"/>
  <c r="R23" i="25"/>
  <c r="Q2" i="35" s="1"/>
  <c r="Q23" i="25"/>
  <c r="H2" i="35" s="1"/>
  <c r="M24" i="25"/>
  <c r="D3" i="35" s="1"/>
  <c r="Y25" i="25"/>
  <c r="P4" i="35" s="1"/>
  <c r="AK26" i="25"/>
  <c r="AB5" i="35" s="1"/>
  <c r="AQ28" i="25"/>
  <c r="AH7" i="35" s="1"/>
  <c r="AA28" i="25"/>
  <c r="R7" i="35" s="1"/>
  <c r="AU27" i="25"/>
  <c r="AL6" i="35" s="1"/>
  <c r="AM27" i="25"/>
  <c r="AD6" i="35" s="1"/>
  <c r="W27" i="25"/>
  <c r="N6" i="35" s="1"/>
  <c r="AQ26" i="25"/>
  <c r="AH5" i="35" s="1"/>
  <c r="D24" i="25"/>
  <c r="C3" i="35" s="1"/>
  <c r="AH25" i="25"/>
  <c r="AG4" i="35" s="1"/>
  <c r="Z23" i="25"/>
  <c r="Y2" i="35" s="1"/>
  <c r="X26" i="25"/>
  <c r="W5" i="35" s="1"/>
  <c r="AL28" i="25"/>
  <c r="AK7" i="35" s="1"/>
  <c r="F27" i="25"/>
  <c r="E6" i="35" s="1"/>
  <c r="AF27" i="25"/>
  <c r="AE6" i="35" s="1"/>
  <c r="L28" i="25"/>
  <c r="K7" i="35" s="1"/>
  <c r="K23" i="25"/>
  <c r="B2" i="35" s="1"/>
  <c r="AA23" i="25"/>
  <c r="R2" i="35" s="1"/>
  <c r="AQ23" i="25"/>
  <c r="AH2" i="35" s="1"/>
  <c r="G24" i="25"/>
  <c r="W24" i="25"/>
  <c r="N3" i="35" s="1"/>
  <c r="AE24" i="25"/>
  <c r="V3" i="35" s="1"/>
  <c r="AU24" i="25"/>
  <c r="AL3" i="35" s="1"/>
  <c r="S25" i="25"/>
  <c r="J4" i="35" s="1"/>
  <c r="AQ25" i="25"/>
  <c r="AH4" i="35" s="1"/>
  <c r="G26" i="25"/>
  <c r="W26" i="25"/>
  <c r="N5" i="35" s="1"/>
  <c r="AE26" i="25"/>
  <c r="V5" i="35" s="1"/>
  <c r="AM26" i="25"/>
  <c r="AD5" i="35" s="1"/>
  <c r="AO28" i="25"/>
  <c r="AF7" i="35" s="1"/>
  <c r="Q28" i="25"/>
  <c r="H7" i="35" s="1"/>
  <c r="I28" i="25"/>
  <c r="AK27" i="25"/>
  <c r="AB6" i="35" s="1"/>
  <c r="U27" i="25"/>
  <c r="L6" i="35" s="1"/>
  <c r="E27" i="25"/>
  <c r="AT25" i="25"/>
  <c r="Z24" i="25"/>
  <c r="Y3" i="35" s="1"/>
  <c r="AL23" i="25"/>
  <c r="AK2" i="35" s="1"/>
  <c r="F23" i="25"/>
  <c r="E2" i="35" s="1"/>
  <c r="AB25" i="25"/>
  <c r="AA4" i="35" s="1"/>
  <c r="H24" i="25"/>
  <c r="G3" i="35" s="1"/>
  <c r="Z25" i="25"/>
  <c r="Y4" i="35" s="1"/>
  <c r="AF24" i="25"/>
  <c r="AE3" i="35" s="1"/>
  <c r="V24" i="25"/>
  <c r="U3" i="35" s="1"/>
  <c r="M23" i="25"/>
  <c r="D2" i="35" s="1"/>
  <c r="AS23" i="25"/>
  <c r="AJ2" i="35" s="1"/>
  <c r="AG24" i="25"/>
  <c r="X3" i="35" s="1"/>
  <c r="AC25" i="25"/>
  <c r="T4" i="35" s="1"/>
  <c r="I26" i="25"/>
  <c r="Y26" i="25"/>
  <c r="P5" i="35" s="1"/>
  <c r="AO26" i="25"/>
  <c r="AF5" i="35" s="1"/>
  <c r="AM28" i="25"/>
  <c r="AD7" i="35" s="1"/>
  <c r="W28" i="25"/>
  <c r="N7" i="35" s="1"/>
  <c r="G28" i="25"/>
  <c r="AA27" i="25"/>
  <c r="R6" i="35" s="1"/>
  <c r="AU26" i="25"/>
  <c r="AL5" i="35" s="1"/>
  <c r="AN25" i="25"/>
  <c r="T24" i="25"/>
  <c r="S3" i="35" s="1"/>
  <c r="F26" i="25"/>
  <c r="E5" i="35" s="1"/>
  <c r="P24" i="25"/>
  <c r="O3" i="35" s="1"/>
  <c r="X23" i="25"/>
  <c r="W2" i="35" s="1"/>
  <c r="AH27" i="25"/>
  <c r="AG6" i="35" s="1"/>
  <c r="H23" i="25"/>
  <c r="G2" i="35" s="1"/>
  <c r="AH24" i="25"/>
  <c r="AG3" i="35" s="1"/>
  <c r="AB27" i="25"/>
  <c r="AA6" i="35" s="1"/>
  <c r="P28" i="25"/>
  <c r="O7" i="35" s="1"/>
  <c r="C24" i="25"/>
  <c r="AD26" i="25"/>
  <c r="AC5" i="35" s="1"/>
  <c r="V27" i="25"/>
  <c r="U6" i="35" s="1"/>
  <c r="J28" i="25"/>
  <c r="I7" i="35" s="1"/>
  <c r="AP28" i="25"/>
  <c r="H27" i="25"/>
  <c r="G6" i="35" s="1"/>
  <c r="AP25" i="25"/>
  <c r="E13" i="23"/>
  <c r="E12" i="23"/>
  <c r="E10" i="23"/>
  <c r="E14" i="23"/>
  <c r="E11" i="23"/>
  <c r="AR28" i="7"/>
  <c r="U23" i="27"/>
  <c r="U23" i="26" s="1"/>
  <c r="L2" i="45" s="1"/>
  <c r="AU26" i="27"/>
  <c r="AU26" i="26" s="1"/>
  <c r="AL5" i="45" s="1"/>
  <c r="AB24" i="27"/>
  <c r="AB24" i="26" s="1"/>
  <c r="S3" i="45" s="1"/>
  <c r="AE27" i="27"/>
  <c r="AE27" i="26" s="1"/>
  <c r="V6" i="45" s="1"/>
  <c r="K25" i="27"/>
  <c r="K25" i="26" s="1"/>
  <c r="B4" i="45" s="1"/>
  <c r="G26" i="27"/>
  <c r="G26" i="26" s="1"/>
  <c r="AP27" i="27"/>
  <c r="AP27" i="26" s="1"/>
  <c r="AG6" i="45" s="1"/>
  <c r="R28" i="27"/>
  <c r="R28" i="26" s="1"/>
  <c r="I7" i="45" s="1"/>
  <c r="AR24" i="27"/>
  <c r="AR24" i="26" s="1"/>
  <c r="AI3" i="45" s="1"/>
  <c r="AU27" i="27"/>
  <c r="AU27" i="26" s="1"/>
  <c r="AL6" i="45" s="1"/>
  <c r="AB25" i="27"/>
  <c r="AB25" i="26" s="1"/>
  <c r="S4" i="45" s="1"/>
  <c r="Y24" i="27"/>
  <c r="Y24" i="26" s="1"/>
  <c r="P3" i="45" s="1"/>
  <c r="AE24" i="27"/>
  <c r="AE24" i="26" s="1"/>
  <c r="V3" i="45" s="1"/>
  <c r="AQ24" i="27"/>
  <c r="AQ24" i="26" s="1"/>
  <c r="AH3" i="45" s="1"/>
  <c r="AE26" i="27"/>
  <c r="AE26" i="26" s="1"/>
  <c r="V5" i="45" s="1"/>
  <c r="K24" i="27"/>
  <c r="K24" i="26" s="1"/>
  <c r="B3" i="45" s="1"/>
  <c r="O27" i="27"/>
  <c r="O27" i="26" s="1"/>
  <c r="F6" i="45" s="1"/>
  <c r="AI23" i="27"/>
  <c r="AI23" i="26" s="1"/>
  <c r="Z2" i="45" s="1"/>
  <c r="F23" i="27"/>
  <c r="F23" i="26" s="1"/>
  <c r="AO28" i="27"/>
  <c r="AO28" i="26" s="1"/>
  <c r="AF7" i="45" s="1"/>
  <c r="I28" i="27"/>
  <c r="I28" i="26" s="1"/>
  <c r="T27" i="27"/>
  <c r="T27" i="26" s="1"/>
  <c r="K6" i="45" s="1"/>
  <c r="AH26" i="27"/>
  <c r="AH26" i="26" s="1"/>
  <c r="Y5" i="45" s="1"/>
  <c r="C26" i="27"/>
  <c r="C26" i="26" s="1"/>
  <c r="U25" i="27"/>
  <c r="U25" i="26" s="1"/>
  <c r="L4" i="45" s="1"/>
  <c r="AK24" i="27"/>
  <c r="AK24" i="26" s="1"/>
  <c r="AB3" i="45" s="1"/>
  <c r="E24" i="27"/>
  <c r="E24" i="26" s="1"/>
  <c r="R23" i="27"/>
  <c r="R23" i="26" s="1"/>
  <c r="I2" i="45" s="1"/>
  <c r="AI28" i="27"/>
  <c r="AI28" i="26" s="1"/>
  <c r="Z7" i="45" s="1"/>
  <c r="AT27" i="27"/>
  <c r="AT27" i="26" s="1"/>
  <c r="AK6" i="45" s="1"/>
  <c r="N27" i="27"/>
  <c r="N27" i="26" s="1"/>
  <c r="E6" i="45" s="1"/>
  <c r="AB26" i="27"/>
  <c r="AB26" i="26" s="1"/>
  <c r="S5" i="45" s="1"/>
  <c r="AM25" i="27"/>
  <c r="AM25" i="26" s="1"/>
  <c r="AD4" i="45" s="1"/>
  <c r="J25" i="27"/>
  <c r="J25" i="26" s="1"/>
  <c r="W24" i="27"/>
  <c r="W24" i="26" s="1"/>
  <c r="N3" i="45" s="1"/>
  <c r="AO23" i="27"/>
  <c r="AO23" i="26" s="1"/>
  <c r="AF2" i="45" s="1"/>
  <c r="I23" i="27"/>
  <c r="I23" i="26" s="1"/>
  <c r="AK28" i="27"/>
  <c r="AK28" i="26" s="1"/>
  <c r="AB7" i="45" s="1"/>
  <c r="E28" i="27"/>
  <c r="E28" i="26" s="1"/>
  <c r="P27" i="27"/>
  <c r="P27" i="26" s="1"/>
  <c r="G6" i="45" s="1"/>
  <c r="AD26" i="27"/>
  <c r="AD26" i="26" s="1"/>
  <c r="U5" i="45" s="1"/>
  <c r="AO25" i="27"/>
  <c r="AO25" i="26" s="1"/>
  <c r="AF4" i="45" s="1"/>
  <c r="I25" i="27"/>
  <c r="I25" i="26" s="1"/>
  <c r="Q24" i="27"/>
  <c r="Q24" i="26" s="1"/>
  <c r="H3" i="45" s="1"/>
  <c r="AD23" i="27"/>
  <c r="AD23" i="26" s="1"/>
  <c r="U2" i="45" s="1"/>
  <c r="G23" i="27"/>
  <c r="G23" i="26" s="1"/>
  <c r="W23" i="27"/>
  <c r="W23" i="26" s="1"/>
  <c r="N2" i="45" s="1"/>
  <c r="AM23" i="27"/>
  <c r="AM23" i="26" s="1"/>
  <c r="AD2" i="45" s="1"/>
  <c r="J24" i="27"/>
  <c r="J24" i="26" s="1"/>
  <c r="N25" i="27"/>
  <c r="N25" i="26" s="1"/>
  <c r="E4" i="45" s="1"/>
  <c r="V25" i="27"/>
  <c r="V25" i="26" s="1"/>
  <c r="M4" i="45" s="1"/>
  <c r="AD25" i="27"/>
  <c r="AD25" i="26" s="1"/>
  <c r="U4" i="45" s="1"/>
  <c r="AL25" i="27"/>
  <c r="AL25" i="26" s="1"/>
  <c r="AC4" i="45" s="1"/>
  <c r="AT25" i="27"/>
  <c r="AT25" i="26" s="1"/>
  <c r="AK4" i="45" s="1"/>
  <c r="E27" i="27"/>
  <c r="E27" i="26" s="1"/>
  <c r="Q27" i="27"/>
  <c r="Q27" i="26" s="1"/>
  <c r="H6" i="45" s="1"/>
  <c r="Y27" i="27"/>
  <c r="Y27" i="26" s="1"/>
  <c r="P6" i="45" s="1"/>
  <c r="AG27" i="27"/>
  <c r="AG27" i="26" s="1"/>
  <c r="X6" i="45" s="1"/>
  <c r="AO27" i="27"/>
  <c r="AO27" i="26" s="1"/>
  <c r="AF6" i="45" s="1"/>
  <c r="F28" i="27"/>
  <c r="F28" i="26" s="1"/>
  <c r="L23" i="27"/>
  <c r="L23" i="26" s="1"/>
  <c r="C2" i="45" s="1"/>
  <c r="AB23" i="27"/>
  <c r="AB23" i="26" s="1"/>
  <c r="S2" i="45" s="1"/>
  <c r="AR23" i="27"/>
  <c r="AR23" i="26" s="1"/>
  <c r="AI2" i="45" s="1"/>
  <c r="N24" i="27"/>
  <c r="N24" i="26" s="1"/>
  <c r="E3" i="45" s="1"/>
  <c r="V24" i="27"/>
  <c r="V24" i="26" s="1"/>
  <c r="M3" i="45" s="1"/>
  <c r="AD24" i="27"/>
  <c r="AD24" i="26" s="1"/>
  <c r="U3" i="45" s="1"/>
  <c r="AL24" i="27"/>
  <c r="AL24" i="26" s="1"/>
  <c r="AC3" i="45" s="1"/>
  <c r="AT24" i="27"/>
  <c r="AT24" i="26" s="1"/>
  <c r="AK3" i="45" s="1"/>
  <c r="E26" i="27"/>
  <c r="E26" i="26" s="1"/>
  <c r="Q26" i="27"/>
  <c r="Q26" i="26" s="1"/>
  <c r="H5" i="45" s="1"/>
  <c r="Y26" i="27"/>
  <c r="Y26" i="26" s="1"/>
  <c r="P5" i="45" s="1"/>
  <c r="AG26" i="27"/>
  <c r="AG26" i="26" s="1"/>
  <c r="X5" i="45" s="1"/>
  <c r="AO26" i="27"/>
  <c r="AO26" i="26" s="1"/>
  <c r="AF5" i="45" s="1"/>
  <c r="F27" i="27"/>
  <c r="F27" i="26" s="1"/>
  <c r="K28" i="27"/>
  <c r="K28" i="26" s="1"/>
  <c r="B7" i="45" s="1"/>
  <c r="T28" i="27"/>
  <c r="T28" i="26" s="1"/>
  <c r="K7" i="45" s="1"/>
  <c r="AB28" i="27"/>
  <c r="AB28" i="26" s="1"/>
  <c r="S7" i="45" s="1"/>
  <c r="AJ28" i="27"/>
  <c r="AJ28" i="26" s="1"/>
  <c r="AA7" i="45" s="1"/>
  <c r="AR28" i="27"/>
  <c r="AR28" i="26" s="1"/>
  <c r="AI7" i="45" s="1"/>
  <c r="AU28" i="27"/>
  <c r="AU28" i="26" s="1"/>
  <c r="AL7" i="45" s="1"/>
  <c r="O28" i="27"/>
  <c r="O28" i="26" s="1"/>
  <c r="F7" i="45" s="1"/>
  <c r="AH27" i="27"/>
  <c r="AH27" i="26" s="1"/>
  <c r="Y6" i="45" s="1"/>
  <c r="D27" i="27"/>
  <c r="D27" i="26" s="1"/>
  <c r="P26" i="27"/>
  <c r="P26" i="26" s="1"/>
  <c r="G5" i="45" s="1"/>
  <c r="AA25" i="27"/>
  <c r="AA25" i="26" s="1"/>
  <c r="R4" i="45" s="1"/>
  <c r="AI24" i="27"/>
  <c r="AI24" i="26" s="1"/>
  <c r="Z3" i="45" s="1"/>
  <c r="AS23" i="27"/>
  <c r="AS23" i="26" s="1"/>
  <c r="AJ2" i="45" s="1"/>
  <c r="M23" i="27"/>
  <c r="M23" i="26" s="1"/>
  <c r="D2" i="45" s="1"/>
  <c r="AG28" i="27"/>
  <c r="AG28" i="26" s="1"/>
  <c r="X7" i="45" s="1"/>
  <c r="AR27" i="27"/>
  <c r="AR27" i="26" s="1"/>
  <c r="AI6" i="45" s="1"/>
  <c r="K27" i="27"/>
  <c r="K27" i="26" s="1"/>
  <c r="B6" i="45" s="1"/>
  <c r="Z26" i="27"/>
  <c r="Z26" i="26" s="1"/>
  <c r="Q5" i="45" s="1"/>
  <c r="AS25" i="27"/>
  <c r="AS25" i="26" s="1"/>
  <c r="AJ4" i="45" s="1"/>
  <c r="M25" i="27"/>
  <c r="M25" i="26" s="1"/>
  <c r="D4" i="45" s="1"/>
  <c r="AC24" i="27"/>
  <c r="AC24" i="26" s="1"/>
  <c r="T3" i="45" s="1"/>
  <c r="AP23" i="27"/>
  <c r="AP23" i="26" s="1"/>
  <c r="AG2" i="45" s="1"/>
  <c r="J23" i="27"/>
  <c r="J23" i="26" s="1"/>
  <c r="AA28" i="27"/>
  <c r="AA28" i="26" s="1"/>
  <c r="R7" i="45" s="1"/>
  <c r="AL27" i="27"/>
  <c r="AL27" i="26" s="1"/>
  <c r="AC6" i="45" s="1"/>
  <c r="H27" i="27"/>
  <c r="H27" i="26" s="1"/>
  <c r="T26" i="27"/>
  <c r="T26" i="26" s="1"/>
  <c r="K5" i="45" s="1"/>
  <c r="AE25" i="27"/>
  <c r="AE25" i="26" s="1"/>
  <c r="V4" i="45" s="1"/>
  <c r="AU24" i="27"/>
  <c r="AU24" i="26" s="1"/>
  <c r="AL3" i="45" s="1"/>
  <c r="O24" i="27"/>
  <c r="O24" i="26" s="1"/>
  <c r="F3" i="45" s="1"/>
  <c r="AG23" i="27"/>
  <c r="AG23" i="26" s="1"/>
  <c r="X2" i="45" s="1"/>
  <c r="AC28" i="27"/>
  <c r="AC28" i="26" s="1"/>
  <c r="T7" i="45" s="1"/>
  <c r="AN27" i="27"/>
  <c r="AN27" i="26" s="1"/>
  <c r="AE6" i="45" s="1"/>
  <c r="G27" i="27"/>
  <c r="G27" i="26" s="1"/>
  <c r="V26" i="27"/>
  <c r="V26" i="26" s="1"/>
  <c r="M5" i="45" s="1"/>
  <c r="AG25" i="27"/>
  <c r="AG25" i="26" s="1"/>
  <c r="X4" i="45" s="1"/>
  <c r="AO24" i="27"/>
  <c r="AO24" i="26" s="1"/>
  <c r="AF3" i="45" s="1"/>
  <c r="I24" i="27"/>
  <c r="I24" i="26" s="1"/>
  <c r="V23" i="27"/>
  <c r="V23" i="26" s="1"/>
  <c r="M2" i="45" s="1"/>
  <c r="K23" i="27"/>
  <c r="K23" i="26" s="1"/>
  <c r="B2" i="45" s="1"/>
  <c r="AA23" i="27"/>
  <c r="AA23" i="26" s="1"/>
  <c r="R2" i="45" s="1"/>
  <c r="AQ23" i="27"/>
  <c r="AQ23" i="26" s="1"/>
  <c r="AH2" i="45" s="1"/>
  <c r="C25" i="27"/>
  <c r="C25" i="26" s="1"/>
  <c r="P25" i="27"/>
  <c r="P25" i="26" s="1"/>
  <c r="G4" i="45" s="1"/>
  <c r="X25" i="27"/>
  <c r="X25" i="26" s="1"/>
  <c r="O4" i="45" s="1"/>
  <c r="AF25" i="27"/>
  <c r="AF25" i="26" s="1"/>
  <c r="W4" i="45" s="1"/>
  <c r="AN25" i="27"/>
  <c r="AN25" i="26" s="1"/>
  <c r="AE4" i="45" s="1"/>
  <c r="D26" i="27"/>
  <c r="D26" i="26" s="1"/>
  <c r="I27" i="27"/>
  <c r="I27" i="26" s="1"/>
  <c r="S27" i="27"/>
  <c r="S27" i="26" s="1"/>
  <c r="J6" i="45" s="1"/>
  <c r="AA27" i="27"/>
  <c r="AA27" i="26" s="1"/>
  <c r="R6" i="45" s="1"/>
  <c r="AI27" i="27"/>
  <c r="AI27" i="26" s="1"/>
  <c r="Z6" i="45" s="1"/>
  <c r="AQ27" i="27"/>
  <c r="AQ27" i="26" s="1"/>
  <c r="AH6" i="45" s="1"/>
  <c r="J28" i="27"/>
  <c r="J28" i="26" s="1"/>
  <c r="P23" i="27"/>
  <c r="P23" i="26" s="1"/>
  <c r="G2" i="45" s="1"/>
  <c r="AF23" i="27"/>
  <c r="AF23" i="26" s="1"/>
  <c r="W2" i="45" s="1"/>
  <c r="C24" i="27"/>
  <c r="C24" i="26" s="1"/>
  <c r="P24" i="27"/>
  <c r="P24" i="26" s="1"/>
  <c r="G3" i="45" s="1"/>
  <c r="X24" i="27"/>
  <c r="X24" i="26" s="1"/>
  <c r="O3" i="45" s="1"/>
  <c r="AF24" i="27"/>
  <c r="AF24" i="26" s="1"/>
  <c r="W3" i="45" s="1"/>
  <c r="AN24" i="27"/>
  <c r="AN24" i="26" s="1"/>
  <c r="AE3" i="45" s="1"/>
  <c r="D25" i="27"/>
  <c r="D25" i="26" s="1"/>
  <c r="I26" i="27"/>
  <c r="I26" i="26" s="1"/>
  <c r="S26" i="27"/>
  <c r="S26" i="26" s="1"/>
  <c r="J5" i="45" s="1"/>
  <c r="AA26" i="27"/>
  <c r="AA26" i="26" s="1"/>
  <c r="R5" i="45" s="1"/>
  <c r="AI26" i="27"/>
  <c r="AI26" i="26" s="1"/>
  <c r="Z5" i="45" s="1"/>
  <c r="AQ26" i="27"/>
  <c r="AQ26" i="26" s="1"/>
  <c r="AH5" i="45" s="1"/>
  <c r="J27" i="27"/>
  <c r="J27" i="26" s="1"/>
  <c r="N28" i="27"/>
  <c r="N28" i="26" s="1"/>
  <c r="E7" i="45" s="1"/>
  <c r="V28" i="27"/>
  <c r="V28" i="26" s="1"/>
  <c r="M7" i="45" s="1"/>
  <c r="AD28" i="27"/>
  <c r="AD28" i="26" s="1"/>
  <c r="U7" i="45" s="1"/>
  <c r="AL28" i="27"/>
  <c r="AL28" i="26" s="1"/>
  <c r="AC7" i="45" s="1"/>
  <c r="AT28" i="27"/>
  <c r="AT28" i="26" s="1"/>
  <c r="AK7" i="45" s="1"/>
  <c r="AM28" i="27"/>
  <c r="AM28" i="26" s="1"/>
  <c r="AD7" i="45" s="1"/>
  <c r="L28" i="27"/>
  <c r="L28" i="26" s="1"/>
  <c r="C7" i="45" s="1"/>
  <c r="Z27" i="27"/>
  <c r="Z27" i="26" s="1"/>
  <c r="Q6" i="45" s="1"/>
  <c r="AN26" i="27"/>
  <c r="AN26" i="26" s="1"/>
  <c r="AE5" i="45" s="1"/>
  <c r="F26" i="27"/>
  <c r="F26" i="26" s="1"/>
  <c r="S25" i="27"/>
  <c r="S25" i="26" s="1"/>
  <c r="J4" i="45" s="1"/>
  <c r="AA24" i="27"/>
  <c r="AA24" i="26" s="1"/>
  <c r="R3" i="45" s="1"/>
  <c r="AK23" i="27"/>
  <c r="AK23" i="26" s="1"/>
  <c r="AB2" i="45" s="1"/>
  <c r="E23" i="27"/>
  <c r="E23" i="26" s="1"/>
  <c r="Y28" i="27"/>
  <c r="Y28" i="26" s="1"/>
  <c r="P7" i="45" s="1"/>
  <c r="AJ27" i="27"/>
  <c r="AJ27" i="26" s="1"/>
  <c r="AA6" i="45" s="1"/>
  <c r="C27" i="27"/>
  <c r="C27" i="26" s="1"/>
  <c r="R26" i="27"/>
  <c r="R26" i="26" s="1"/>
  <c r="I5" i="45" s="1"/>
  <c r="AK25" i="27"/>
  <c r="AK25" i="26" s="1"/>
  <c r="AB4" i="45" s="1"/>
  <c r="E25" i="27"/>
  <c r="E25" i="26" s="1"/>
  <c r="U24" i="27"/>
  <c r="U24" i="26" s="1"/>
  <c r="L3" i="45" s="1"/>
  <c r="AH23" i="27"/>
  <c r="AH23" i="26" s="1"/>
  <c r="Y2" i="45" s="1"/>
  <c r="S28" i="27"/>
  <c r="S28" i="26" s="1"/>
  <c r="J7" i="45" s="1"/>
  <c r="AD27" i="27"/>
  <c r="AD27" i="26" s="1"/>
  <c r="U6" i="45" s="1"/>
  <c r="AR26" i="27"/>
  <c r="AR26" i="26" s="1"/>
  <c r="AI5" i="45" s="1"/>
  <c r="J26" i="27"/>
  <c r="J26" i="26" s="1"/>
  <c r="W25" i="27"/>
  <c r="W25" i="26" s="1"/>
  <c r="N4" i="45" s="1"/>
  <c r="AM24" i="27"/>
  <c r="AM24" i="26" s="1"/>
  <c r="AD3" i="45" s="1"/>
  <c r="L24" i="27"/>
  <c r="L24" i="26" s="1"/>
  <c r="C3" i="45" s="1"/>
  <c r="Y23" i="27"/>
  <c r="Y23" i="26" s="1"/>
  <c r="P2" i="45" s="1"/>
  <c r="AF27" i="27"/>
  <c r="AF27" i="26" s="1"/>
  <c r="W6" i="45" s="1"/>
  <c r="AC23" i="27"/>
  <c r="AC23" i="26" s="1"/>
  <c r="T2" i="45" s="1"/>
  <c r="F25" i="27"/>
  <c r="F25" i="26" s="1"/>
  <c r="AF26" i="27"/>
  <c r="AF26" i="26" s="1"/>
  <c r="W5" i="45" s="1"/>
  <c r="D28" i="27"/>
  <c r="D28" i="26" s="1"/>
  <c r="AF28" i="27"/>
  <c r="AF28" i="26" s="1"/>
  <c r="W7" i="45" s="1"/>
  <c r="P28" i="27"/>
  <c r="P28" i="26" s="1"/>
  <c r="G7" i="45" s="1"/>
  <c r="AS26" i="27"/>
  <c r="AS26" i="26" s="1"/>
  <c r="AJ5" i="45" s="1"/>
  <c r="AC26" i="27"/>
  <c r="AC26" i="26" s="1"/>
  <c r="T5" i="45" s="1"/>
  <c r="M26" i="27"/>
  <c r="M26" i="26" s="1"/>
  <c r="D5" i="45" s="1"/>
  <c r="AP24" i="27"/>
  <c r="AP24" i="26" s="1"/>
  <c r="AG3" i="45" s="1"/>
  <c r="Z24" i="27"/>
  <c r="Z24" i="26" s="1"/>
  <c r="Q3" i="45" s="1"/>
  <c r="G24" i="27"/>
  <c r="G24" i="26" s="1"/>
  <c r="T23" i="27"/>
  <c r="T23" i="26" s="1"/>
  <c r="K2" i="45" s="1"/>
  <c r="AS27" i="27"/>
  <c r="AS27" i="26" s="1"/>
  <c r="AJ6" i="45" s="1"/>
  <c r="AC27" i="27"/>
  <c r="AC27" i="26" s="1"/>
  <c r="T6" i="45" s="1"/>
  <c r="M27" i="27"/>
  <c r="M27" i="26" s="1"/>
  <c r="D6" i="45" s="1"/>
  <c r="AP25" i="27"/>
  <c r="AP25" i="26" s="1"/>
  <c r="AG4" i="45" s="1"/>
  <c r="Z25" i="27"/>
  <c r="Z25" i="26" s="1"/>
  <c r="Q4" i="45" s="1"/>
  <c r="G25" i="27"/>
  <c r="G25" i="26" s="1"/>
  <c r="AE23" i="27"/>
  <c r="AE23" i="26" s="1"/>
  <c r="V2" i="45" s="1"/>
  <c r="N23" i="27"/>
  <c r="N23" i="26" s="1"/>
  <c r="E2" i="45" s="1"/>
  <c r="AG24" i="27"/>
  <c r="AG24" i="26" s="1"/>
  <c r="X3" i="45" s="1"/>
  <c r="N26" i="27"/>
  <c r="N26" i="26" s="1"/>
  <c r="E5" i="45" s="1"/>
  <c r="M28" i="27"/>
  <c r="M28" i="26" s="1"/>
  <c r="D7" i="45" s="1"/>
  <c r="O25" i="27"/>
  <c r="O25" i="26" s="1"/>
  <c r="F4" i="45" s="1"/>
  <c r="H28" i="27"/>
  <c r="H28" i="26" s="1"/>
  <c r="M24" i="27"/>
  <c r="M24" i="26" s="1"/>
  <c r="D3" i="45" s="1"/>
  <c r="AP26" i="27"/>
  <c r="AP26" i="26" s="1"/>
  <c r="AG5" i="45" s="1"/>
  <c r="X27" i="27"/>
  <c r="X27" i="26" s="1"/>
  <c r="O6" i="45" s="1"/>
  <c r="V27" i="27"/>
  <c r="V27" i="26" s="1"/>
  <c r="M6" i="45" s="1"/>
  <c r="K26" i="27"/>
  <c r="K26" i="26" s="1"/>
  <c r="B5" i="45" s="1"/>
  <c r="H24" i="27"/>
  <c r="H24" i="26" s="1"/>
  <c r="AI25" i="27"/>
  <c r="AI25" i="26" s="1"/>
  <c r="Z4" i="45" s="1"/>
  <c r="L27" i="27"/>
  <c r="L27" i="26" s="1"/>
  <c r="C6" i="45" s="1"/>
  <c r="W28" i="27"/>
  <c r="W28" i="26" s="1"/>
  <c r="N7" i="45" s="1"/>
  <c r="AP28" i="27"/>
  <c r="AP28" i="26" s="1"/>
  <c r="AG7" i="45" s="1"/>
  <c r="Z28" i="27"/>
  <c r="Z28" i="26" s="1"/>
  <c r="Q7" i="45" s="1"/>
  <c r="G28" i="27"/>
  <c r="G28" i="26" s="1"/>
  <c r="AM26" i="27"/>
  <c r="AM26" i="26" s="1"/>
  <c r="AD5" i="45" s="1"/>
  <c r="W26" i="27"/>
  <c r="W26" i="26" s="1"/>
  <c r="N5" i="45" s="1"/>
  <c r="L25" i="27"/>
  <c r="L25" i="26" s="1"/>
  <c r="C4" i="45" s="1"/>
  <c r="AJ24" i="27"/>
  <c r="AJ24" i="26" s="1"/>
  <c r="AA3" i="45" s="1"/>
  <c r="T24" i="27"/>
  <c r="T24" i="26" s="1"/>
  <c r="K3" i="45" s="1"/>
  <c r="AN23" i="27"/>
  <c r="AN23" i="26" s="1"/>
  <c r="AE2" i="45" s="1"/>
  <c r="H23" i="27"/>
  <c r="H23" i="26" s="1"/>
  <c r="AM27" i="27"/>
  <c r="AM27" i="26" s="1"/>
  <c r="AD6" i="45" s="1"/>
  <c r="W27" i="27"/>
  <c r="W27" i="26" s="1"/>
  <c r="N6" i="45" s="1"/>
  <c r="L26" i="27"/>
  <c r="L26" i="26" s="1"/>
  <c r="C5" i="45" s="1"/>
  <c r="AJ25" i="27"/>
  <c r="AJ25" i="26" s="1"/>
  <c r="AA4" i="45" s="1"/>
  <c r="T25" i="27"/>
  <c r="T25" i="26" s="1"/>
  <c r="K4" i="45" s="1"/>
  <c r="F24" i="27"/>
  <c r="F24" i="26" s="1"/>
  <c r="S23" i="27"/>
  <c r="S23" i="26" s="1"/>
  <c r="J2" i="45" s="1"/>
  <c r="AL23" i="27"/>
  <c r="AL23" i="26" s="1"/>
  <c r="AC2" i="45" s="1"/>
  <c r="Q25" i="27"/>
  <c r="Q25" i="26" s="1"/>
  <c r="H4" i="45" s="1"/>
  <c r="AL26" i="27"/>
  <c r="AL26" i="26" s="1"/>
  <c r="AC5" i="45" s="1"/>
  <c r="U28" i="27"/>
  <c r="U28" i="26" s="1"/>
  <c r="L7" i="45" s="1"/>
  <c r="Q23" i="27"/>
  <c r="Q23" i="26" s="1"/>
  <c r="H2" i="45" s="1"/>
  <c r="AU25" i="27"/>
  <c r="AU25" i="26" s="1"/>
  <c r="AL4" i="45" s="1"/>
  <c r="AQ28" i="27"/>
  <c r="AQ28" i="26" s="1"/>
  <c r="AH7" i="45" s="1"/>
  <c r="AS24" i="27"/>
  <c r="AS24" i="26" s="1"/>
  <c r="AJ3" i="45" s="1"/>
  <c r="AB27" i="27"/>
  <c r="AB27" i="26" s="1"/>
  <c r="S6" i="45" s="1"/>
  <c r="S24" i="27"/>
  <c r="S24" i="26" s="1"/>
  <c r="J3" i="45" s="1"/>
  <c r="AQ25" i="27"/>
  <c r="AQ25" i="26" s="1"/>
  <c r="AH4" i="45" s="1"/>
  <c r="R27" i="27"/>
  <c r="R27" i="26" s="1"/>
  <c r="I6" i="45" s="1"/>
  <c r="AE28" i="27"/>
  <c r="AE28" i="26" s="1"/>
  <c r="V7" i="45" s="1"/>
  <c r="AN28" i="27"/>
  <c r="AN28" i="26" s="1"/>
  <c r="AE7" i="45" s="1"/>
  <c r="X28" i="27"/>
  <c r="X28" i="26" s="1"/>
  <c r="O7" i="45" s="1"/>
  <c r="C28" i="27"/>
  <c r="C28" i="26" s="1"/>
  <c r="AK26" i="27"/>
  <c r="AK26" i="26" s="1"/>
  <c r="AB5" i="45" s="1"/>
  <c r="U26" i="27"/>
  <c r="U26" i="26" s="1"/>
  <c r="L5" i="45" s="1"/>
  <c r="H25" i="27"/>
  <c r="H25" i="26" s="1"/>
  <c r="AH24" i="27"/>
  <c r="AH24" i="26" s="1"/>
  <c r="Y3" i="45" s="1"/>
  <c r="R24" i="27"/>
  <c r="R24" i="26" s="1"/>
  <c r="I3" i="45" s="1"/>
  <c r="AJ23" i="27"/>
  <c r="AJ23" i="26" s="1"/>
  <c r="AA2" i="45" s="1"/>
  <c r="D23" i="27"/>
  <c r="D23" i="26" s="1"/>
  <c r="AK27" i="27"/>
  <c r="AK27" i="26" s="1"/>
  <c r="AB6" i="45" s="1"/>
  <c r="U27" i="27"/>
  <c r="U27" i="26" s="1"/>
  <c r="L6" i="45" s="1"/>
  <c r="H26" i="27"/>
  <c r="H26" i="26" s="1"/>
  <c r="AH25" i="27"/>
  <c r="AH25" i="26" s="1"/>
  <c r="Y4" i="45" s="1"/>
  <c r="R25" i="27"/>
  <c r="R25" i="26" s="1"/>
  <c r="I4" i="45" s="1"/>
  <c r="AU23" i="27"/>
  <c r="AU23" i="26" s="1"/>
  <c r="AL2" i="45" s="1"/>
  <c r="O23" i="27"/>
  <c r="O23" i="26" s="1"/>
  <c r="F2" i="45" s="1"/>
  <c r="AT23" i="27"/>
  <c r="AT23" i="26" s="1"/>
  <c r="AK2" i="45" s="1"/>
  <c r="Y25" i="27"/>
  <c r="Y25" i="26" s="1"/>
  <c r="P4" i="45" s="1"/>
  <c r="AT26" i="27"/>
  <c r="AT26" i="26" s="1"/>
  <c r="AK5" i="45" s="1"/>
  <c r="AS28" i="27"/>
  <c r="AS28" i="26" s="1"/>
  <c r="AJ7" i="45" s="1"/>
  <c r="D24" i="27"/>
  <c r="D24" i="26" s="1"/>
  <c r="AJ26" i="27"/>
  <c r="AJ26" i="26" s="1"/>
  <c r="AA5" i="45" s="1"/>
  <c r="AC25" i="27"/>
  <c r="AC25" i="26" s="1"/>
  <c r="T4" i="45" s="1"/>
  <c r="Q28" i="27"/>
  <c r="Q28" i="26" s="1"/>
  <c r="H7" i="45" s="1"/>
  <c r="P23" i="22"/>
  <c r="Q22" i="22"/>
  <c r="T135" i="20"/>
  <c r="T134" i="20"/>
  <c r="T133" i="20"/>
  <c r="T131" i="20"/>
  <c r="T132" i="20"/>
  <c r="AI17" i="23"/>
  <c r="AA34" i="14" l="1"/>
  <c r="AM34" i="14" s="1"/>
  <c r="AM38" i="10" s="1"/>
  <c r="AG21" i="23"/>
  <c r="AI21" i="23" s="1"/>
  <c r="AQ21" i="23"/>
  <c r="AS21" i="23" s="1"/>
  <c r="AH20" i="23"/>
  <c r="M20" i="23"/>
  <c r="O20" i="23" s="1"/>
  <c r="C20" i="23"/>
  <c r="E20" i="23" s="1"/>
  <c r="U36" i="20"/>
  <c r="O35" i="20"/>
  <c r="AG35" i="20"/>
  <c r="Y23" i="14"/>
  <c r="AL23" i="14" s="1"/>
  <c r="AA34" i="20"/>
  <c r="AN22" i="14"/>
  <c r="AG18" i="53"/>
  <c r="AI18" i="53" s="1"/>
  <c r="AQ18" i="53"/>
  <c r="AS18" i="53" s="1"/>
  <c r="M18" i="53"/>
  <c r="AI21" i="10"/>
  <c r="AD25" i="10"/>
  <c r="AB25" i="10"/>
  <c r="N17" i="53"/>
  <c r="D17" i="53"/>
  <c r="C17" i="53"/>
  <c r="E17" i="53" s="1"/>
  <c r="AR17" i="53"/>
  <c r="AH17" i="53"/>
  <c r="AR18" i="53"/>
  <c r="AH18" i="53"/>
  <c r="N18" i="53"/>
  <c r="C18" i="53"/>
  <c r="E18" i="53" s="1"/>
  <c r="D18" i="53"/>
  <c r="AH16" i="53"/>
  <c r="D16" i="53"/>
  <c r="N16" i="53"/>
  <c r="AR16" i="53"/>
  <c r="C16" i="53"/>
  <c r="Y19" i="10"/>
  <c r="Z21" i="10"/>
  <c r="AA20" i="10"/>
  <c r="J26" i="25"/>
  <c r="I5" i="35" s="1"/>
  <c r="C26" i="25"/>
  <c r="P25" i="25"/>
  <c r="O4" i="35" s="1"/>
  <c r="X28" i="25"/>
  <c r="W7" i="35" s="1"/>
  <c r="F25" i="25"/>
  <c r="E4" i="35" s="1"/>
  <c r="R28" i="25"/>
  <c r="Q7" i="35" s="1"/>
  <c r="AJ27" i="25"/>
  <c r="AI6" i="35" s="1"/>
  <c r="AD28" i="25"/>
  <c r="AC7" i="35" s="1"/>
  <c r="P27" i="25"/>
  <c r="O6" i="35" s="1"/>
  <c r="AD27" i="25"/>
  <c r="AC6" i="35" s="1"/>
  <c r="D27" i="25"/>
  <c r="C6" i="35" s="1"/>
  <c r="AP27" i="25"/>
  <c r="AR28" i="25"/>
  <c r="X27" i="25"/>
  <c r="W6" i="35" s="1"/>
  <c r="AN27" i="25"/>
  <c r="AP26" i="25"/>
  <c r="J27" i="25"/>
  <c r="I6" i="35" s="1"/>
  <c r="Q23" i="22"/>
  <c r="P24" i="22"/>
  <c r="AA35" i="14" l="1"/>
  <c r="AM35" i="14" s="1"/>
  <c r="AM39" i="10" s="1"/>
  <c r="N20" i="23"/>
  <c r="D20" i="23"/>
  <c r="AQ22" i="23"/>
  <c r="AS22" i="23" s="1"/>
  <c r="AG22" i="23"/>
  <c r="AI22" i="23" s="1"/>
  <c r="C21" i="23"/>
  <c r="E21" i="23" s="1"/>
  <c r="AH21" i="23"/>
  <c r="M21" i="23"/>
  <c r="O21" i="23" s="1"/>
  <c r="J132" i="20"/>
  <c r="Y24" i="14"/>
  <c r="AL24" i="14" s="1"/>
  <c r="AG19" i="53"/>
  <c r="AI19" i="53" s="1"/>
  <c r="M19" i="53"/>
  <c r="AQ19" i="53"/>
  <c r="AS19" i="53" s="1"/>
  <c r="AI22" i="10"/>
  <c r="AJ21" i="10"/>
  <c r="AH21" i="10" s="1"/>
  <c r="AA35" i="20"/>
  <c r="B27" i="23"/>
  <c r="AD26" i="10"/>
  <c r="AB26" i="10"/>
  <c r="AN23" i="14"/>
  <c r="U37" i="20"/>
  <c r="O36" i="20"/>
  <c r="AG36" i="20"/>
  <c r="E16" i="53"/>
  <c r="J134" i="20"/>
  <c r="J131" i="20"/>
  <c r="Y20" i="10"/>
  <c r="Z22" i="10"/>
  <c r="AA21" i="10"/>
  <c r="P25" i="22"/>
  <c r="Q24" i="22"/>
  <c r="J135" i="20"/>
  <c r="J133" i="20"/>
  <c r="AF33" i="20"/>
  <c r="AF25" i="23" s="1"/>
  <c r="AA36" i="14" l="1"/>
  <c r="AM36" i="14" s="1"/>
  <c r="AM40" i="10" s="1"/>
  <c r="M22" i="23"/>
  <c r="O22" i="23" s="1"/>
  <c r="C22" i="23"/>
  <c r="E22" i="23" s="1"/>
  <c r="AH22" i="23"/>
  <c r="D21" i="23"/>
  <c r="N21" i="23"/>
  <c r="AG23" i="23"/>
  <c r="AI23" i="23" s="1"/>
  <c r="AQ23" i="23"/>
  <c r="AS23" i="23" s="1"/>
  <c r="U38" i="20"/>
  <c r="O37" i="20"/>
  <c r="AG37" i="20"/>
  <c r="N19" i="53"/>
  <c r="AH19" i="53"/>
  <c r="C19" i="53"/>
  <c r="E19" i="53" s="1"/>
  <c r="D19" i="53"/>
  <c r="AR19" i="53"/>
  <c r="AD27" i="10"/>
  <c r="AB27" i="10"/>
  <c r="AQ20" i="53"/>
  <c r="AS20" i="53" s="1"/>
  <c r="M20" i="53"/>
  <c r="AG20" i="53"/>
  <c r="AI20" i="53" s="1"/>
  <c r="AI23" i="10"/>
  <c r="AJ22" i="10"/>
  <c r="AH22" i="10" s="1"/>
  <c r="AH55" i="10" s="1"/>
  <c r="AN24" i="14"/>
  <c r="AA36" i="20"/>
  <c r="B28" i="23"/>
  <c r="Y25" i="14"/>
  <c r="AL25" i="14" s="1"/>
  <c r="Y21" i="10"/>
  <c r="AA22" i="10"/>
  <c r="Y22" i="10" s="1"/>
  <c r="Z23" i="10"/>
  <c r="AQ25" i="23" s="1"/>
  <c r="Q25" i="22"/>
  <c r="P26" i="22"/>
  <c r="AF34" i="20"/>
  <c r="AF26" i="23" s="1"/>
  <c r="L11" i="22"/>
  <c r="L25" i="23" l="1"/>
  <c r="AH33" i="20"/>
  <c r="AA37" i="14"/>
  <c r="AM37" i="14" s="1"/>
  <c r="AM41" i="10" s="1"/>
  <c r="N22" i="23"/>
  <c r="D22" i="23"/>
  <c r="AG24" i="23"/>
  <c r="AI24" i="23" s="1"/>
  <c r="AQ24" i="23"/>
  <c r="AS24" i="23" s="1"/>
  <c r="C23" i="23"/>
  <c r="E23" i="23" s="1"/>
  <c r="AH23" i="23"/>
  <c r="M23" i="23"/>
  <c r="O23" i="23" s="1"/>
  <c r="AN25" i="14"/>
  <c r="AH20" i="53"/>
  <c r="N20" i="53"/>
  <c r="C20" i="53"/>
  <c r="E20" i="53" s="1"/>
  <c r="AR20" i="53"/>
  <c r="D20" i="53"/>
  <c r="Y26" i="14"/>
  <c r="AL26" i="14" s="1"/>
  <c r="AG21" i="53"/>
  <c r="AI21" i="53" s="1"/>
  <c r="AQ21" i="53"/>
  <c r="AS21" i="53" s="1"/>
  <c r="M21" i="53"/>
  <c r="AI24" i="10"/>
  <c r="AJ23" i="10"/>
  <c r="B29" i="23"/>
  <c r="AA37" i="20"/>
  <c r="AD28" i="10"/>
  <c r="AB28" i="10"/>
  <c r="U39" i="20"/>
  <c r="O38" i="20"/>
  <c r="AG38" i="20"/>
  <c r="AS25" i="23"/>
  <c r="AA23" i="10"/>
  <c r="Z24" i="10"/>
  <c r="AQ26" i="23" s="1"/>
  <c r="P27" i="22"/>
  <c r="Q26" i="22"/>
  <c r="AF35" i="20"/>
  <c r="AF27" i="23" s="1"/>
  <c r="AB34" i="20"/>
  <c r="AP25" i="23"/>
  <c r="L10" i="22"/>
  <c r="L12" i="22"/>
  <c r="L13" i="22"/>
  <c r="L26" i="23" l="1"/>
  <c r="AH34" i="20"/>
  <c r="AA38" i="14"/>
  <c r="AM38" i="14" s="1"/>
  <c r="AM42" i="10" s="1"/>
  <c r="AG25" i="23"/>
  <c r="AI25" i="23" s="1"/>
  <c r="Y23" i="10"/>
  <c r="X23" i="10" s="1"/>
  <c r="D23" i="23"/>
  <c r="N23" i="23"/>
  <c r="M24" i="23"/>
  <c r="C24" i="23"/>
  <c r="E24" i="23" s="1"/>
  <c r="AH24" i="23"/>
  <c r="B30" i="23"/>
  <c r="Y27" i="14"/>
  <c r="AL27" i="14" s="1"/>
  <c r="AA38" i="20"/>
  <c r="AD29" i="10"/>
  <c r="AB29" i="10"/>
  <c r="U40" i="20"/>
  <c r="O39" i="20"/>
  <c r="AG39" i="20"/>
  <c r="AG22" i="53"/>
  <c r="AI22" i="53" s="1"/>
  <c r="AQ22" i="53"/>
  <c r="AS22" i="53" s="1"/>
  <c r="M22" i="53"/>
  <c r="AI25" i="10"/>
  <c r="AJ24" i="10"/>
  <c r="AN26" i="14"/>
  <c r="AS26" i="23"/>
  <c r="Z25" i="10"/>
  <c r="AQ27" i="23" s="1"/>
  <c r="AA24" i="10"/>
  <c r="AG26" i="23" s="1"/>
  <c r="AI26" i="23" s="1"/>
  <c r="Q27" i="22"/>
  <c r="P28" i="22"/>
  <c r="AP26" i="23"/>
  <c r="AB35" i="20"/>
  <c r="AF36" i="20"/>
  <c r="AF28" i="23" s="1"/>
  <c r="L27" i="23" l="1"/>
  <c r="AH35" i="20"/>
  <c r="AA39" i="14"/>
  <c r="AM39" i="14" s="1"/>
  <c r="AM43" i="10" s="1"/>
  <c r="N24" i="23"/>
  <c r="D24" i="23"/>
  <c r="O24" i="23"/>
  <c r="O25" i="23" s="1"/>
  <c r="O26" i="23" s="1"/>
  <c r="O27" i="23" s="1"/>
  <c r="O28" i="23" s="1"/>
  <c r="O29" i="23" s="1"/>
  <c r="O30" i="23" s="1"/>
  <c r="O31" i="23" s="1"/>
  <c r="O32" i="23" s="1"/>
  <c r="O33" i="23" s="1"/>
  <c r="O34" i="23" s="1"/>
  <c r="O35" i="23" s="1"/>
  <c r="O36" i="23" s="1"/>
  <c r="O37" i="23" s="1"/>
  <c r="O38" i="23" s="1"/>
  <c r="O39" i="23" s="1"/>
  <c r="O40" i="23" s="1"/>
  <c r="O41" i="23" s="1"/>
  <c r="O42" i="23" s="1"/>
  <c r="O43" i="23" s="1"/>
  <c r="O44" i="23" s="1"/>
  <c r="O45" i="23" s="1"/>
  <c r="O46" i="23" s="1"/>
  <c r="O47" i="23" s="1"/>
  <c r="O48" i="23" s="1"/>
  <c r="O49" i="23" s="1"/>
  <c r="O50" i="23" s="1"/>
  <c r="O51" i="23" s="1"/>
  <c r="O52" i="23" s="1"/>
  <c r="O53" i="23" s="1"/>
  <c r="M25" i="23"/>
  <c r="M26" i="23" s="1"/>
  <c r="M27" i="23" s="1"/>
  <c r="M28" i="23" s="1"/>
  <c r="M29" i="23" s="1"/>
  <c r="M30" i="23" s="1"/>
  <c r="M31" i="23" s="1"/>
  <c r="M32" i="23" s="1"/>
  <c r="M33" i="23" s="1"/>
  <c r="M34" i="23" s="1"/>
  <c r="M35" i="23" s="1"/>
  <c r="M36" i="23" s="1"/>
  <c r="M37" i="23" s="1"/>
  <c r="M38" i="23" s="1"/>
  <c r="M39" i="23" s="1"/>
  <c r="M40" i="23" s="1"/>
  <c r="M41" i="23" s="1"/>
  <c r="M42" i="23" s="1"/>
  <c r="M43" i="23" s="1"/>
  <c r="M44" i="23" s="1"/>
  <c r="M45" i="23" s="1"/>
  <c r="M46" i="23" s="1"/>
  <c r="M47" i="23" s="1"/>
  <c r="M48" i="23" s="1"/>
  <c r="M49" i="23" s="1"/>
  <c r="M50" i="23" s="1"/>
  <c r="M51" i="23" s="1"/>
  <c r="M52" i="23" s="1"/>
  <c r="M53" i="23" s="1"/>
  <c r="AN27" i="14"/>
  <c r="AD30" i="10"/>
  <c r="AB30" i="10"/>
  <c r="AA39" i="20"/>
  <c r="Y28" i="14"/>
  <c r="AL28" i="14" s="1"/>
  <c r="AG23" i="53"/>
  <c r="AI23" i="53" s="1"/>
  <c r="M23" i="53"/>
  <c r="AQ23" i="53"/>
  <c r="AS23" i="53" s="1"/>
  <c r="AI26" i="10"/>
  <c r="AJ25" i="10"/>
  <c r="U41" i="20"/>
  <c r="O40" i="20"/>
  <c r="AG40" i="20"/>
  <c r="B31" i="23"/>
  <c r="AH25" i="23"/>
  <c r="C25" i="23"/>
  <c r="E25" i="23" s="1"/>
  <c r="Y24" i="10"/>
  <c r="AS27" i="23"/>
  <c r="Z26" i="10"/>
  <c r="AQ28" i="23" s="1"/>
  <c r="AA25" i="10"/>
  <c r="AG27" i="23" s="1"/>
  <c r="P29" i="22"/>
  <c r="Q28" i="22"/>
  <c r="AP27" i="23"/>
  <c r="AB36" i="20"/>
  <c r="AF37" i="20"/>
  <c r="AF29" i="23" s="1"/>
  <c r="L28" i="23" l="1"/>
  <c r="AH36" i="20"/>
  <c r="AA40" i="14"/>
  <c r="AM40" i="14" s="1"/>
  <c r="AM44" i="10" s="1"/>
  <c r="AQ24" i="53"/>
  <c r="AS24" i="53" s="1"/>
  <c r="AG24" i="53"/>
  <c r="AI24" i="53" s="1"/>
  <c r="M24" i="53"/>
  <c r="AI27" i="10"/>
  <c r="AJ26" i="10"/>
  <c r="B32" i="23"/>
  <c r="AA40" i="20"/>
  <c r="Y29" i="14"/>
  <c r="AL29" i="14" s="1"/>
  <c r="AN28" i="14"/>
  <c r="U42" i="20"/>
  <c r="O41" i="20"/>
  <c r="AG41" i="20"/>
  <c r="AD31" i="10"/>
  <c r="AB31" i="10"/>
  <c r="N25" i="23"/>
  <c r="AR25" i="23"/>
  <c r="D25" i="23"/>
  <c r="X24" i="10"/>
  <c r="AH26" i="23"/>
  <c r="C26" i="23"/>
  <c r="E26" i="23" s="1"/>
  <c r="Y25" i="10"/>
  <c r="X25" i="10" s="1"/>
  <c r="AS28" i="23"/>
  <c r="AA26" i="10"/>
  <c r="AG28" i="23" s="1"/>
  <c r="AI28" i="23" s="1"/>
  <c r="Z27" i="10"/>
  <c r="AQ29" i="23" s="1"/>
  <c r="AI27" i="23"/>
  <c r="Q29" i="22"/>
  <c r="P30" i="22"/>
  <c r="AP28" i="23"/>
  <c r="AF38" i="20"/>
  <c r="AF30" i="23" s="1"/>
  <c r="AB37" i="20"/>
  <c r="L29" i="23" l="1"/>
  <c r="AH37" i="20"/>
  <c r="AA41" i="14"/>
  <c r="AM41" i="14" s="1"/>
  <c r="AM45" i="10" s="1"/>
  <c r="AD32" i="10"/>
  <c r="AB32" i="10"/>
  <c r="AA41" i="20"/>
  <c r="AN29" i="14"/>
  <c r="AQ25" i="53"/>
  <c r="AS25" i="53" s="1"/>
  <c r="AG25" i="53"/>
  <c r="AI25" i="53" s="1"/>
  <c r="M25" i="53"/>
  <c r="AI28" i="10"/>
  <c r="AJ27" i="10"/>
  <c r="B33" i="23"/>
  <c r="U43" i="20"/>
  <c r="O42" i="20"/>
  <c r="AG42" i="20"/>
  <c r="Y30" i="14"/>
  <c r="AL30" i="14" s="1"/>
  <c r="D26" i="23"/>
  <c r="N26" i="23"/>
  <c r="AR26" i="23"/>
  <c r="C27" i="23"/>
  <c r="E27" i="23" s="1"/>
  <c r="AH27" i="23"/>
  <c r="Y26" i="10"/>
  <c r="AS29" i="23"/>
  <c r="Z28" i="10"/>
  <c r="AQ30" i="23" s="1"/>
  <c r="AA27" i="10"/>
  <c r="AG29" i="23" s="1"/>
  <c r="P31" i="22"/>
  <c r="Q30" i="22"/>
  <c r="AF39" i="20"/>
  <c r="AF31" i="23" s="1"/>
  <c r="AB38" i="20"/>
  <c r="AP29" i="23"/>
  <c r="L30" i="23" l="1"/>
  <c r="AH38" i="20"/>
  <c r="AA42" i="14"/>
  <c r="AM42" i="14" s="1"/>
  <c r="AM46" i="10" s="1"/>
  <c r="AA42" i="20"/>
  <c r="AN30" i="14"/>
  <c r="U44" i="20"/>
  <c r="O43" i="20"/>
  <c r="AG43" i="20"/>
  <c r="AQ26" i="53"/>
  <c r="AS26" i="53" s="1"/>
  <c r="M26" i="53"/>
  <c r="AG26" i="53"/>
  <c r="AI26" i="53" s="1"/>
  <c r="AI29" i="10"/>
  <c r="AJ28" i="10"/>
  <c r="B34" i="23"/>
  <c r="Y31" i="14"/>
  <c r="AL31" i="14" s="1"/>
  <c r="AD33" i="10"/>
  <c r="AB33" i="10"/>
  <c r="D27" i="23"/>
  <c r="N27" i="23"/>
  <c r="AR27" i="23"/>
  <c r="X26" i="10"/>
  <c r="C28" i="23"/>
  <c r="E28" i="23" s="1"/>
  <c r="AH28" i="23"/>
  <c r="Y27" i="10"/>
  <c r="AS30" i="23"/>
  <c r="Z29" i="10"/>
  <c r="AQ31" i="23" s="1"/>
  <c r="AA28" i="10"/>
  <c r="AG30" i="23" s="1"/>
  <c r="AI30" i="23" s="1"/>
  <c r="AI29" i="23"/>
  <c r="Q31" i="22"/>
  <c r="P32" i="22"/>
  <c r="AP30" i="23"/>
  <c r="AB39" i="20"/>
  <c r="AF40" i="20"/>
  <c r="AF32" i="23" s="1"/>
  <c r="L31" i="23" l="1"/>
  <c r="AH39" i="20"/>
  <c r="AA43" i="14"/>
  <c r="AM43" i="14" s="1"/>
  <c r="AM47" i="10" s="1"/>
  <c r="B35" i="23"/>
  <c r="AA43" i="20"/>
  <c r="Y32" i="14"/>
  <c r="AL32" i="14" s="1"/>
  <c r="U45" i="20"/>
  <c r="O44" i="20"/>
  <c r="AG44" i="20"/>
  <c r="AQ27" i="53"/>
  <c r="AS27" i="53" s="1"/>
  <c r="M27" i="53"/>
  <c r="AG27" i="53"/>
  <c r="AI27" i="53" s="1"/>
  <c r="AI30" i="10"/>
  <c r="AJ29" i="10"/>
  <c r="AN31" i="14"/>
  <c r="AD34" i="10"/>
  <c r="AB34" i="10"/>
  <c r="N28" i="23"/>
  <c r="AR28" i="23"/>
  <c r="X27" i="10"/>
  <c r="AH29" i="23"/>
  <c r="C29" i="23"/>
  <c r="E29" i="23" s="1"/>
  <c r="D28" i="23"/>
  <c r="Y28" i="10"/>
  <c r="AS31" i="23"/>
  <c r="Z30" i="10"/>
  <c r="AQ32" i="23" s="1"/>
  <c r="AA29" i="10"/>
  <c r="AG31" i="23" s="1"/>
  <c r="AI31" i="23" s="1"/>
  <c r="P33" i="22"/>
  <c r="Q32" i="22"/>
  <c r="AB40" i="20"/>
  <c r="AF41" i="20"/>
  <c r="AF33" i="23" s="1"/>
  <c r="AP31" i="23"/>
  <c r="L32" i="23" l="1"/>
  <c r="AH40" i="20"/>
  <c r="AA44" i="14"/>
  <c r="AM44" i="14" s="1"/>
  <c r="AM48" i="10" s="1"/>
  <c r="AA44" i="20"/>
  <c r="B36" i="23"/>
  <c r="U46" i="20"/>
  <c r="O45" i="20"/>
  <c r="AG45" i="20"/>
  <c r="AN32" i="14"/>
  <c r="AD35" i="10"/>
  <c r="AB35" i="10"/>
  <c r="AQ28" i="53"/>
  <c r="AS28" i="53" s="1"/>
  <c r="AG28" i="53"/>
  <c r="AI28" i="53" s="1"/>
  <c r="M28" i="53"/>
  <c r="AI31" i="10"/>
  <c r="AJ30" i="10"/>
  <c r="Y33" i="14"/>
  <c r="AL33" i="14" s="1"/>
  <c r="D29" i="23"/>
  <c r="N29" i="23"/>
  <c r="AR29" i="23"/>
  <c r="X28" i="10"/>
  <c r="AH30" i="23"/>
  <c r="C30" i="23"/>
  <c r="E30" i="23" s="1"/>
  <c r="Y29" i="10"/>
  <c r="AS32" i="23"/>
  <c r="AA30" i="10"/>
  <c r="AG32" i="23" s="1"/>
  <c r="AI32" i="23" s="1"/>
  <c r="Z31" i="10"/>
  <c r="AQ33" i="23" s="1"/>
  <c r="Q33" i="22"/>
  <c r="P34" i="22"/>
  <c r="AP32" i="23"/>
  <c r="AF42" i="20"/>
  <c r="AF34" i="23" s="1"/>
  <c r="AB41" i="20"/>
  <c r="L33" i="23" l="1"/>
  <c r="AH41" i="20"/>
  <c r="AA45" i="14"/>
  <c r="AM45" i="14" s="1"/>
  <c r="AM49" i="10" s="1"/>
  <c r="AQ29" i="53"/>
  <c r="AS29" i="53" s="1"/>
  <c r="AG29" i="53"/>
  <c r="AI29" i="53" s="1"/>
  <c r="M29" i="53"/>
  <c r="AI32" i="10"/>
  <c r="AJ31" i="10"/>
  <c r="AN33" i="14"/>
  <c r="B37" i="23"/>
  <c r="Y34" i="14"/>
  <c r="AL34" i="14" s="1"/>
  <c r="AA45" i="20"/>
  <c r="AD36" i="10"/>
  <c r="AB36" i="10"/>
  <c r="U47" i="20"/>
  <c r="O46" i="20"/>
  <c r="AG46" i="20"/>
  <c r="N30" i="23"/>
  <c r="AR30" i="23"/>
  <c r="X29" i="10"/>
  <c r="C31" i="23"/>
  <c r="E31" i="23" s="1"/>
  <c r="AH31" i="23"/>
  <c r="D30" i="23"/>
  <c r="Y30" i="10"/>
  <c r="AS33" i="23"/>
  <c r="AA31" i="10"/>
  <c r="AG33" i="23" s="1"/>
  <c r="AI33" i="23" s="1"/>
  <c r="Z32" i="10"/>
  <c r="AQ34" i="23" s="1"/>
  <c r="P35" i="22"/>
  <c r="Q34" i="22"/>
  <c r="AF43" i="20"/>
  <c r="AF35" i="23" s="1"/>
  <c r="AB42" i="20"/>
  <c r="AP33" i="23"/>
  <c r="L34" i="23" l="1"/>
  <c r="AH42" i="20"/>
  <c r="AB47" i="14"/>
  <c r="AA47" i="14" s="1"/>
  <c r="AM47" i="14" s="1"/>
  <c r="AM51" i="10" s="1"/>
  <c r="AA46" i="14"/>
  <c r="AM46" i="14" s="1"/>
  <c r="AM50" i="10" s="1"/>
  <c r="AN34" i="14"/>
  <c r="AQ30" i="53"/>
  <c r="AS30" i="53" s="1"/>
  <c r="M30" i="53"/>
  <c r="AG30" i="53"/>
  <c r="AI30" i="53" s="1"/>
  <c r="AI33" i="10"/>
  <c r="AJ32" i="10"/>
  <c r="AA46" i="20"/>
  <c r="Y35" i="14"/>
  <c r="AL35" i="14" s="1"/>
  <c r="AD37" i="10"/>
  <c r="AB37" i="10"/>
  <c r="B38" i="23"/>
  <c r="U48" i="20"/>
  <c r="O47" i="20"/>
  <c r="AG47" i="20"/>
  <c r="D31" i="23"/>
  <c r="N31" i="23"/>
  <c r="AR31" i="23"/>
  <c r="X30" i="10"/>
  <c r="C32" i="23"/>
  <c r="E32" i="23" s="1"/>
  <c r="AH32" i="23"/>
  <c r="Y31" i="10"/>
  <c r="AS34" i="23"/>
  <c r="Z33" i="10"/>
  <c r="AQ35" i="23" s="1"/>
  <c r="AA32" i="10"/>
  <c r="AG34" i="23" s="1"/>
  <c r="AI34" i="23" s="1"/>
  <c r="Q35" i="22"/>
  <c r="P36" i="22"/>
  <c r="AP34" i="23"/>
  <c r="AB43" i="20"/>
  <c r="AF44" i="20"/>
  <c r="AF36" i="23" s="1"/>
  <c r="L35" i="23" l="1"/>
  <c r="AH43" i="20"/>
  <c r="AN35" i="14"/>
  <c r="U49" i="20"/>
  <c r="O48" i="20"/>
  <c r="AG48" i="20"/>
  <c r="Y36" i="14"/>
  <c r="AL36" i="14" s="1"/>
  <c r="AQ31" i="53"/>
  <c r="AS31" i="53" s="1"/>
  <c r="M31" i="53"/>
  <c r="AG31" i="53"/>
  <c r="AI31" i="53" s="1"/>
  <c r="AI34" i="10"/>
  <c r="AJ33" i="10"/>
  <c r="AD38" i="10"/>
  <c r="AB38" i="10"/>
  <c r="AA47" i="20"/>
  <c r="B39" i="23"/>
  <c r="N32" i="23"/>
  <c r="AR32" i="23"/>
  <c r="D32" i="23"/>
  <c r="X31" i="10"/>
  <c r="AH33" i="23"/>
  <c r="C33" i="23"/>
  <c r="E33" i="23" s="1"/>
  <c r="Y32" i="10"/>
  <c r="AS35" i="23"/>
  <c r="Z34" i="10"/>
  <c r="AQ36" i="23" s="1"/>
  <c r="AA33" i="10"/>
  <c r="AG35" i="23" s="1"/>
  <c r="AI35" i="23" s="1"/>
  <c r="P37" i="22"/>
  <c r="Q36" i="22"/>
  <c r="AB44" i="20"/>
  <c r="AF45" i="20"/>
  <c r="AF37" i="23" s="1"/>
  <c r="AP35" i="23"/>
  <c r="L36" i="23" l="1"/>
  <c r="AH44" i="20"/>
  <c r="AN36" i="14"/>
  <c r="B40" i="23"/>
  <c r="Y37" i="14"/>
  <c r="AL37" i="14" s="1"/>
  <c r="AQ32" i="53"/>
  <c r="AS32" i="53" s="1"/>
  <c r="AG32" i="53"/>
  <c r="AI32" i="53" s="1"/>
  <c r="M32" i="53"/>
  <c r="AI35" i="10"/>
  <c r="AJ34" i="10"/>
  <c r="U50" i="20"/>
  <c r="O49" i="20"/>
  <c r="AG49" i="20"/>
  <c r="AA48" i="20"/>
  <c r="AD39" i="10"/>
  <c r="AB39" i="10"/>
  <c r="D33" i="23"/>
  <c r="N33" i="23"/>
  <c r="AR33" i="23"/>
  <c r="X32" i="10"/>
  <c r="AH34" i="23"/>
  <c r="C34" i="23"/>
  <c r="E34" i="23" s="1"/>
  <c r="Y33" i="10"/>
  <c r="AS36" i="23"/>
  <c r="AA34" i="10"/>
  <c r="AG36" i="23" s="1"/>
  <c r="AI36" i="23" s="1"/>
  <c r="Z35" i="10"/>
  <c r="AQ37" i="23" s="1"/>
  <c r="Q37" i="22"/>
  <c r="P38" i="22"/>
  <c r="AF46" i="20"/>
  <c r="AF38" i="23" s="1"/>
  <c r="AB45" i="20"/>
  <c r="AP36" i="23"/>
  <c r="L37" i="23" l="1"/>
  <c r="AH45" i="20"/>
  <c r="U51" i="20"/>
  <c r="O50" i="20"/>
  <c r="AG50" i="20"/>
  <c r="B41" i="23"/>
  <c r="AQ33" i="53"/>
  <c r="AS33" i="53" s="1"/>
  <c r="AG33" i="53"/>
  <c r="AI33" i="53" s="1"/>
  <c r="M33" i="53"/>
  <c r="AI36" i="10"/>
  <c r="AJ35" i="10"/>
  <c r="AN37" i="14"/>
  <c r="AA49" i="20"/>
  <c r="Y38" i="14"/>
  <c r="AL38" i="14" s="1"/>
  <c r="AD40" i="10"/>
  <c r="AB40" i="10"/>
  <c r="N34" i="23"/>
  <c r="AR34" i="23"/>
  <c r="X33" i="10"/>
  <c r="C35" i="23"/>
  <c r="E35" i="23" s="1"/>
  <c r="AH35" i="23"/>
  <c r="D34" i="23"/>
  <c r="Y34" i="10"/>
  <c r="AS37" i="23"/>
  <c r="Z36" i="10"/>
  <c r="AQ38" i="23" s="1"/>
  <c r="AA35" i="10"/>
  <c r="AG37" i="23" s="1"/>
  <c r="AI37" i="23" s="1"/>
  <c r="P39" i="22"/>
  <c r="Q38" i="22"/>
  <c r="AP37" i="23"/>
  <c r="AF47" i="20"/>
  <c r="AF39" i="23" s="1"/>
  <c r="AB46" i="20"/>
  <c r="L38" i="23" l="1"/>
  <c r="AH46" i="20"/>
  <c r="Y39" i="14"/>
  <c r="AL39" i="14" s="1"/>
  <c r="AD41" i="10"/>
  <c r="AB41" i="10"/>
  <c r="B42" i="23"/>
  <c r="AA50" i="20"/>
  <c r="AN38" i="14"/>
  <c r="AQ34" i="53"/>
  <c r="AS34" i="53" s="1"/>
  <c r="M34" i="53"/>
  <c r="AG34" i="53"/>
  <c r="AI34" i="53" s="1"/>
  <c r="AJ36" i="10"/>
  <c r="AI37" i="10"/>
  <c r="U52" i="20"/>
  <c r="O51" i="20"/>
  <c r="AG51" i="20"/>
  <c r="N35" i="23"/>
  <c r="AR35" i="23"/>
  <c r="X34" i="10"/>
  <c r="C36" i="23"/>
  <c r="E36" i="23" s="1"/>
  <c r="AH36" i="23"/>
  <c r="D35" i="23"/>
  <c r="Y35" i="10"/>
  <c r="AS38" i="23"/>
  <c r="Z37" i="10"/>
  <c r="AQ39" i="23" s="1"/>
  <c r="AA36" i="10"/>
  <c r="AG38" i="23" s="1"/>
  <c r="AI38" i="23" s="1"/>
  <c r="Q39" i="22"/>
  <c r="P40" i="22"/>
  <c r="AP38" i="23"/>
  <c r="AB47" i="20"/>
  <c r="AF48" i="20"/>
  <c r="AF40" i="23" s="1"/>
  <c r="L39" i="23" l="1"/>
  <c r="AH47" i="20"/>
  <c r="M35" i="53"/>
  <c r="AQ35" i="53"/>
  <c r="AS35" i="53" s="1"/>
  <c r="AG35" i="53"/>
  <c r="AI35" i="53" s="1"/>
  <c r="AI38" i="10"/>
  <c r="AJ37" i="10"/>
  <c r="B43" i="23"/>
  <c r="AD42" i="10"/>
  <c r="AB42" i="10"/>
  <c r="AA51" i="20"/>
  <c r="AN39" i="14"/>
  <c r="U53" i="20"/>
  <c r="O52" i="20"/>
  <c r="AG52" i="20"/>
  <c r="Y40" i="14"/>
  <c r="AL40" i="14" s="1"/>
  <c r="N36" i="23"/>
  <c r="AR36" i="23"/>
  <c r="D36" i="23"/>
  <c r="X35" i="10"/>
  <c r="C37" i="23"/>
  <c r="E37" i="23" s="1"/>
  <c r="AH37" i="23"/>
  <c r="Y36" i="10"/>
  <c r="AS39" i="23"/>
  <c r="Z38" i="10"/>
  <c r="AQ40" i="23" s="1"/>
  <c r="AA37" i="10"/>
  <c r="AG39" i="23" s="1"/>
  <c r="AI39" i="23" s="1"/>
  <c r="P41" i="22"/>
  <c r="Q40" i="22"/>
  <c r="AP39" i="23"/>
  <c r="AB48" i="20"/>
  <c r="AF49" i="20"/>
  <c r="AF41" i="23" s="1"/>
  <c r="L40" i="23" l="1"/>
  <c r="AH48" i="20"/>
  <c r="AD43" i="10"/>
  <c r="AB43" i="10"/>
  <c r="AQ36" i="53"/>
  <c r="AS36" i="53" s="1"/>
  <c r="AG36" i="53"/>
  <c r="AI36" i="53" s="1"/>
  <c r="M36" i="53"/>
  <c r="AI39" i="10"/>
  <c r="AJ38" i="10"/>
  <c r="AN40" i="14"/>
  <c r="AA52" i="20"/>
  <c r="B44" i="23"/>
  <c r="Y41" i="14"/>
  <c r="AL41" i="14" s="1"/>
  <c r="U54" i="20"/>
  <c r="O53" i="20"/>
  <c r="AG53" i="20"/>
  <c r="N37" i="23"/>
  <c r="AR37" i="23"/>
  <c r="D37" i="23"/>
  <c r="X36" i="10"/>
  <c r="AH38" i="23"/>
  <c r="C38" i="23"/>
  <c r="E38" i="23" s="1"/>
  <c r="Y37" i="10"/>
  <c r="AS40" i="23"/>
  <c r="AA38" i="10"/>
  <c r="AG40" i="23" s="1"/>
  <c r="AI40" i="23" s="1"/>
  <c r="Z39" i="10"/>
  <c r="AQ41" i="23" s="1"/>
  <c r="Q41" i="22"/>
  <c r="P42" i="22"/>
  <c r="AP40" i="23"/>
  <c r="AF50" i="20"/>
  <c r="AF42" i="23" s="1"/>
  <c r="AB49" i="20"/>
  <c r="L41" i="23" l="1"/>
  <c r="AH49" i="20"/>
  <c r="AD44" i="10"/>
  <c r="AB44" i="10"/>
  <c r="U55" i="20"/>
  <c r="O54" i="20"/>
  <c r="AG54" i="20"/>
  <c r="AN41" i="14"/>
  <c r="Y42" i="14"/>
  <c r="AL42" i="14" s="1"/>
  <c r="AQ37" i="53"/>
  <c r="AS37" i="53" s="1"/>
  <c r="AG37" i="53"/>
  <c r="AI37" i="53" s="1"/>
  <c r="M37" i="53"/>
  <c r="AJ39" i="10"/>
  <c r="AI40" i="10"/>
  <c r="B45" i="23"/>
  <c r="AA53" i="20"/>
  <c r="N38" i="23"/>
  <c r="AR38" i="23"/>
  <c r="X37" i="10"/>
  <c r="C39" i="23"/>
  <c r="E39" i="23" s="1"/>
  <c r="AH39" i="23"/>
  <c r="D38" i="23"/>
  <c r="Y38" i="10"/>
  <c r="AS41" i="23"/>
  <c r="AA39" i="10"/>
  <c r="AG41" i="23" s="1"/>
  <c r="AI41" i="23" s="1"/>
  <c r="Z40" i="10"/>
  <c r="AQ42" i="23" s="1"/>
  <c r="P43" i="22"/>
  <c r="Q42" i="22"/>
  <c r="AP41" i="23"/>
  <c r="AF51" i="20"/>
  <c r="AF43" i="23" s="1"/>
  <c r="AB50" i="20"/>
  <c r="L42" i="23" l="1"/>
  <c r="AH50" i="20"/>
  <c r="Y43" i="14"/>
  <c r="AL43" i="14" s="1"/>
  <c r="AA54" i="20"/>
  <c r="B46" i="23"/>
  <c r="AN42" i="14"/>
  <c r="AQ38" i="53"/>
  <c r="AS38" i="53" s="1"/>
  <c r="M38" i="53"/>
  <c r="AG38" i="53"/>
  <c r="AI38" i="53" s="1"/>
  <c r="AJ40" i="10"/>
  <c r="AI41" i="10"/>
  <c r="AD45" i="10"/>
  <c r="AB45" i="10"/>
  <c r="U56" i="20"/>
  <c r="O55" i="20"/>
  <c r="AG55" i="20"/>
  <c r="N39" i="23"/>
  <c r="AR39" i="23"/>
  <c r="X38" i="10"/>
  <c r="C40" i="23"/>
  <c r="E40" i="23" s="1"/>
  <c r="AH40" i="23"/>
  <c r="D39" i="23"/>
  <c r="Y39" i="10"/>
  <c r="AS42" i="23"/>
  <c r="Z41" i="10"/>
  <c r="AQ43" i="23" s="1"/>
  <c r="AA40" i="10"/>
  <c r="AG42" i="23" s="1"/>
  <c r="AI42" i="23" s="1"/>
  <c r="Q43" i="22"/>
  <c r="P44" i="22"/>
  <c r="AP42" i="23"/>
  <c r="AB51" i="20"/>
  <c r="AF52" i="20"/>
  <c r="AF44" i="23" s="1"/>
  <c r="L43" i="23" l="1"/>
  <c r="AH51" i="20"/>
  <c r="B47" i="23"/>
  <c r="AN43" i="14"/>
  <c r="AA55" i="20"/>
  <c r="M39" i="53"/>
  <c r="AG39" i="53"/>
  <c r="AI39" i="53" s="1"/>
  <c r="AQ39" i="53"/>
  <c r="AS39" i="53" s="1"/>
  <c r="AI42" i="10"/>
  <c r="AJ41" i="10"/>
  <c r="Y44" i="14"/>
  <c r="AL44" i="14" s="1"/>
  <c r="U57" i="20"/>
  <c r="O56" i="20"/>
  <c r="AG56" i="20"/>
  <c r="AD46" i="10"/>
  <c r="AB46" i="10"/>
  <c r="D40" i="23"/>
  <c r="N40" i="23"/>
  <c r="AR40" i="23"/>
  <c r="X39" i="10"/>
  <c r="AH41" i="23"/>
  <c r="C41" i="23"/>
  <c r="E41" i="23" s="1"/>
  <c r="Y40" i="10"/>
  <c r="AS43" i="23"/>
  <c r="Z42" i="10"/>
  <c r="AQ44" i="23" s="1"/>
  <c r="AA41" i="10"/>
  <c r="AG43" i="23" s="1"/>
  <c r="AI43" i="23" s="1"/>
  <c r="P45" i="22"/>
  <c r="Q44" i="22"/>
  <c r="AP43" i="23"/>
  <c r="AB52" i="20"/>
  <c r="AF53" i="20"/>
  <c r="AF45" i="23" s="1"/>
  <c r="L44" i="23" l="1"/>
  <c r="AH52" i="20"/>
  <c r="AN44" i="14"/>
  <c r="U58" i="20"/>
  <c r="O57" i="20"/>
  <c r="AG57" i="20"/>
  <c r="AQ40" i="53"/>
  <c r="AS40" i="53" s="1"/>
  <c r="AG40" i="53"/>
  <c r="AI40" i="53" s="1"/>
  <c r="M40" i="53"/>
  <c r="AI43" i="10"/>
  <c r="AJ42" i="10"/>
  <c r="Y45" i="14"/>
  <c r="AL45" i="14" s="1"/>
  <c r="B48" i="23"/>
  <c r="AA56" i="20"/>
  <c r="AD47" i="10"/>
  <c r="AB47" i="10"/>
  <c r="N41" i="23"/>
  <c r="AR41" i="23"/>
  <c r="X40" i="10"/>
  <c r="AH42" i="23"/>
  <c r="C42" i="23"/>
  <c r="E42" i="23" s="1"/>
  <c r="D41" i="23"/>
  <c r="Y41" i="10"/>
  <c r="AS44" i="23"/>
  <c r="AA42" i="10"/>
  <c r="AG44" i="23" s="1"/>
  <c r="AI44" i="23" s="1"/>
  <c r="Z43" i="10"/>
  <c r="AQ45" i="23" s="1"/>
  <c r="Q45" i="22"/>
  <c r="P46" i="22"/>
  <c r="AF54" i="20"/>
  <c r="AF46" i="23" s="1"/>
  <c r="AB53" i="20"/>
  <c r="AP44" i="23"/>
  <c r="L45" i="23" l="1"/>
  <c r="AH53" i="20"/>
  <c r="B49" i="23"/>
  <c r="Y47" i="14"/>
  <c r="AL47" i="14" s="1"/>
  <c r="Y46" i="14"/>
  <c r="AL46" i="14" s="1"/>
  <c r="U59" i="20"/>
  <c r="O58" i="20"/>
  <c r="AG58" i="20"/>
  <c r="AQ41" i="53"/>
  <c r="AS41" i="53" s="1"/>
  <c r="AG41" i="53"/>
  <c r="AI41" i="53" s="1"/>
  <c r="M41" i="53"/>
  <c r="AJ43" i="10"/>
  <c r="AI44" i="10"/>
  <c r="AN45" i="14"/>
  <c r="AA57" i="20"/>
  <c r="AD48" i="10"/>
  <c r="AB48" i="10"/>
  <c r="N42" i="23"/>
  <c r="AR42" i="23"/>
  <c r="X41" i="10"/>
  <c r="C43" i="23"/>
  <c r="E43" i="23" s="1"/>
  <c r="AH43" i="23"/>
  <c r="D42" i="23"/>
  <c r="Y42" i="10"/>
  <c r="AS45" i="23"/>
  <c r="Z44" i="10"/>
  <c r="AQ46" i="23" s="1"/>
  <c r="AA43" i="10"/>
  <c r="AG45" i="23" s="1"/>
  <c r="AI45" i="23" s="1"/>
  <c r="P47" i="22"/>
  <c r="Q46" i="22"/>
  <c r="AP45" i="23"/>
  <c r="AF55" i="20"/>
  <c r="AF47" i="23" s="1"/>
  <c r="AB54" i="20"/>
  <c r="L46" i="23" l="1"/>
  <c r="AH54" i="20"/>
  <c r="AN47" i="14"/>
  <c r="B50" i="23"/>
  <c r="AD49" i="10"/>
  <c r="AB49" i="10"/>
  <c r="AA58" i="20"/>
  <c r="U60" i="20"/>
  <c r="O59" i="20"/>
  <c r="AG59" i="20"/>
  <c r="AQ42" i="53"/>
  <c r="AS42" i="53" s="1"/>
  <c r="M42" i="53"/>
  <c r="AG42" i="53"/>
  <c r="AI42" i="53" s="1"/>
  <c r="AI45" i="10"/>
  <c r="AJ44" i="10"/>
  <c r="AN46" i="14"/>
  <c r="N43" i="23"/>
  <c r="AR43" i="23"/>
  <c r="X42" i="10"/>
  <c r="C44" i="23"/>
  <c r="E44" i="23" s="1"/>
  <c r="AH44" i="23"/>
  <c r="D43" i="23"/>
  <c r="Y43" i="10"/>
  <c r="AS46" i="23"/>
  <c r="Z45" i="10"/>
  <c r="AQ47" i="23" s="1"/>
  <c r="AA44" i="10"/>
  <c r="AG46" i="23" s="1"/>
  <c r="AI46" i="23" s="1"/>
  <c r="Q47" i="22"/>
  <c r="P48" i="22"/>
  <c r="AP46" i="23"/>
  <c r="AB55" i="20"/>
  <c r="AF56" i="20"/>
  <c r="AF48" i="23" s="1"/>
  <c r="L47" i="23" l="1"/>
  <c r="AH55" i="20"/>
  <c r="U61" i="20"/>
  <c r="O60" i="20"/>
  <c r="AG60" i="20"/>
  <c r="B51" i="23"/>
  <c r="AQ43" i="53"/>
  <c r="AS43" i="53" s="1"/>
  <c r="M43" i="53"/>
  <c r="AG43" i="53"/>
  <c r="AI43" i="53" s="1"/>
  <c r="AJ45" i="10"/>
  <c r="AI46" i="10"/>
  <c r="AB51" i="10"/>
  <c r="AD50" i="10"/>
  <c r="AB50" i="10"/>
  <c r="AA59" i="20"/>
  <c r="D44" i="23"/>
  <c r="N44" i="23"/>
  <c r="AR44" i="23"/>
  <c r="X43" i="10"/>
  <c r="C45" i="23"/>
  <c r="E45" i="23" s="1"/>
  <c r="AH45" i="23"/>
  <c r="Y44" i="10"/>
  <c r="AS47" i="23"/>
  <c r="Z46" i="10"/>
  <c r="AQ48" i="23" s="1"/>
  <c r="AA45" i="10"/>
  <c r="AG47" i="23" s="1"/>
  <c r="AI47" i="23" s="1"/>
  <c r="P49" i="22"/>
  <c r="Q48" i="22"/>
  <c r="AB56" i="20"/>
  <c r="AF57" i="20"/>
  <c r="AF49" i="23" s="1"/>
  <c r="AP47" i="23"/>
  <c r="L48" i="23" l="1"/>
  <c r="AH56" i="20"/>
  <c r="B52" i="23"/>
  <c r="AQ44" i="53"/>
  <c r="AS44" i="53" s="1"/>
  <c r="AG44" i="53"/>
  <c r="AI44" i="53" s="1"/>
  <c r="M44" i="53"/>
  <c r="AJ46" i="10"/>
  <c r="AI47" i="10"/>
  <c r="AA60" i="20"/>
  <c r="O61" i="20"/>
  <c r="AG61" i="20"/>
  <c r="B53" i="23"/>
  <c r="N45" i="23"/>
  <c r="AR45" i="23"/>
  <c r="X44" i="10"/>
  <c r="AH46" i="23"/>
  <c r="C46" i="23"/>
  <c r="E46" i="23" s="1"/>
  <c r="D45" i="23"/>
  <c r="Y45" i="10"/>
  <c r="AS48" i="23"/>
  <c r="AA46" i="10"/>
  <c r="AG48" i="23" s="1"/>
  <c r="AI48" i="23" s="1"/>
  <c r="Z47" i="10"/>
  <c r="AQ49" i="23" s="1"/>
  <c r="Q49" i="22"/>
  <c r="P50" i="22"/>
  <c r="AP48" i="23"/>
  <c r="AF58" i="20"/>
  <c r="AF50" i="23" s="1"/>
  <c r="AB57" i="20"/>
  <c r="L49" i="23" l="1"/>
  <c r="AH57" i="20"/>
  <c r="AA61" i="20"/>
  <c r="AQ45" i="53"/>
  <c r="AS45" i="53" s="1"/>
  <c r="AG45" i="53"/>
  <c r="AI45" i="53" s="1"/>
  <c r="M45" i="53"/>
  <c r="AJ47" i="10"/>
  <c r="AI48" i="10"/>
  <c r="D46" i="23"/>
  <c r="N46" i="23"/>
  <c r="AR46" i="23"/>
  <c r="X45" i="10"/>
  <c r="C47" i="23"/>
  <c r="E47" i="23" s="1"/>
  <c r="AH47" i="23"/>
  <c r="Y46" i="10"/>
  <c r="AS49" i="23"/>
  <c r="AA47" i="10"/>
  <c r="AG49" i="23" s="1"/>
  <c r="AI49" i="23" s="1"/>
  <c r="Z48" i="10"/>
  <c r="AQ50" i="23" s="1"/>
  <c r="P51" i="22"/>
  <c r="Q50" i="22"/>
  <c r="AP49" i="23"/>
  <c r="AF59" i="20"/>
  <c r="AF51" i="23" s="1"/>
  <c r="AB58" i="20"/>
  <c r="L50" i="23" l="1"/>
  <c r="AH58" i="20"/>
  <c r="AQ46" i="53"/>
  <c r="AS46" i="53" s="1"/>
  <c r="M46" i="53"/>
  <c r="AG46" i="53"/>
  <c r="AI46" i="53" s="1"/>
  <c r="AI49" i="10"/>
  <c r="AJ48" i="10"/>
  <c r="N47" i="23"/>
  <c r="AR47" i="23"/>
  <c r="X46" i="10"/>
  <c r="C48" i="23"/>
  <c r="E48" i="23" s="1"/>
  <c r="AH48" i="23"/>
  <c r="D47" i="23"/>
  <c r="Y47" i="10"/>
  <c r="AS50" i="23"/>
  <c r="Z49" i="10"/>
  <c r="AQ51" i="23" s="1"/>
  <c r="AA48" i="10"/>
  <c r="AG50" i="23" s="1"/>
  <c r="AI50" i="23" s="1"/>
  <c r="Q51" i="22"/>
  <c r="P52" i="22"/>
  <c r="AB59" i="20"/>
  <c r="AP50" i="23"/>
  <c r="L51" i="23" l="1"/>
  <c r="AH59" i="20"/>
  <c r="AQ47" i="53"/>
  <c r="AS47" i="53" s="1"/>
  <c r="M47" i="53"/>
  <c r="AG47" i="53"/>
  <c r="AI47" i="53" s="1"/>
  <c r="AI50" i="10"/>
  <c r="AJ49" i="10"/>
  <c r="D48" i="23"/>
  <c r="N48" i="23"/>
  <c r="AR48" i="23"/>
  <c r="X47" i="10"/>
  <c r="AH49" i="23"/>
  <c r="C49" i="23"/>
  <c r="E49" i="23" s="1"/>
  <c r="AF60" i="20"/>
  <c r="AF52" i="23" s="1"/>
  <c r="AF61" i="20"/>
  <c r="AF53" i="23" s="1"/>
  <c r="Y48" i="10"/>
  <c r="AS51" i="23"/>
  <c r="Z50" i="10"/>
  <c r="AQ52" i="23" s="1"/>
  <c r="AA49" i="10"/>
  <c r="AG51" i="23" s="1"/>
  <c r="AI51" i="23" s="1"/>
  <c r="P53" i="22"/>
  <c r="Q53" i="22" s="1"/>
  <c r="Q52" i="22"/>
  <c r="AB60" i="20"/>
  <c r="AP51" i="23"/>
  <c r="L52" i="23" l="1"/>
  <c r="AH60" i="20"/>
  <c r="AQ48" i="53"/>
  <c r="AS48" i="53" s="1"/>
  <c r="AG48" i="53"/>
  <c r="AI48" i="53" s="1"/>
  <c r="M48" i="53"/>
  <c r="AI51" i="10"/>
  <c r="AJ50" i="10"/>
  <c r="N49" i="23"/>
  <c r="AR49" i="23"/>
  <c r="X48" i="10"/>
  <c r="AH50" i="23"/>
  <c r="C50" i="23"/>
  <c r="E50" i="23" s="1"/>
  <c r="D49" i="23"/>
  <c r="Y49" i="10"/>
  <c r="AS52" i="23"/>
  <c r="AA50" i="10"/>
  <c r="AG52" i="23" s="1"/>
  <c r="AI52" i="23" s="1"/>
  <c r="Z51" i="10"/>
  <c r="AQ53" i="23" s="1"/>
  <c r="AP52" i="23"/>
  <c r="AB61" i="20"/>
  <c r="L53" i="23" l="1"/>
  <c r="AH61" i="20"/>
  <c r="AJ51" i="10"/>
  <c r="AQ49" i="53"/>
  <c r="AS49" i="53" s="1"/>
  <c r="AG49" i="53"/>
  <c r="AI49" i="53" s="1"/>
  <c r="M49" i="53"/>
  <c r="D50" i="23"/>
  <c r="N50" i="23"/>
  <c r="AR50" i="23"/>
  <c r="X49" i="10"/>
  <c r="C51" i="23"/>
  <c r="E51" i="23" s="1"/>
  <c r="AH51" i="23"/>
  <c r="Y50" i="10"/>
  <c r="AS53" i="23"/>
  <c r="AA51" i="10"/>
  <c r="AG53" i="23" s="1"/>
  <c r="AI53" i="23" s="1"/>
  <c r="AP53" i="23"/>
  <c r="D51" i="23" l="1"/>
  <c r="N51" i="23"/>
  <c r="AR51" i="23"/>
  <c r="X50" i="10"/>
  <c r="C52" i="23"/>
  <c r="E52" i="23" s="1"/>
  <c r="AH52" i="23"/>
  <c r="Y51" i="10"/>
  <c r="D52" i="23" l="1"/>
  <c r="N52" i="23"/>
  <c r="AR52" i="23"/>
  <c r="X51" i="10"/>
  <c r="C53" i="23"/>
  <c r="E53" i="23" s="1"/>
  <c r="AH53" i="23"/>
  <c r="C32" i="7" s="1" a="1"/>
  <c r="S37" i="7" s="1"/>
  <c r="D53" i="23" l="1"/>
  <c r="C5" i="7" s="1" a="1"/>
  <c r="AD6" i="7" s="1"/>
  <c r="AD6" i="25" s="1"/>
  <c r="U3" i="32" s="1"/>
  <c r="N53" i="23"/>
  <c r="C14" i="7" s="1" a="1"/>
  <c r="AR53" i="23"/>
  <c r="C41" i="7" s="1" a="1"/>
  <c r="AH46" i="7" s="1"/>
  <c r="AH46" i="25" s="1"/>
  <c r="Y7" i="39" s="1"/>
  <c r="AH32" i="7"/>
  <c r="AC35" i="7"/>
  <c r="AG35" i="7"/>
  <c r="AG35" i="25" s="1"/>
  <c r="X5" i="38" s="1"/>
  <c r="E33" i="7"/>
  <c r="E33" i="25" s="1"/>
  <c r="AM32" i="7"/>
  <c r="X32" i="7"/>
  <c r="M34" i="7"/>
  <c r="F32" i="7"/>
  <c r="F32" i="25" s="1"/>
  <c r="L34" i="7"/>
  <c r="L34" i="25" s="1"/>
  <c r="C4" i="38" s="1"/>
  <c r="AH34" i="7"/>
  <c r="AK36" i="7"/>
  <c r="N35" i="7"/>
  <c r="E34" i="7"/>
  <c r="AJ32" i="7"/>
  <c r="AJ32" i="25" s="1"/>
  <c r="AA2" i="38" s="1"/>
  <c r="AF34" i="7"/>
  <c r="AP32" i="7"/>
  <c r="AG32" i="7"/>
  <c r="J34" i="7"/>
  <c r="J34" i="25" s="1"/>
  <c r="T36" i="7"/>
  <c r="AO32" i="7"/>
  <c r="AO32" i="25" s="1"/>
  <c r="AF2" i="38" s="1"/>
  <c r="Q36" i="7"/>
  <c r="AE33" i="7"/>
  <c r="U33" i="7"/>
  <c r="AJ34" i="7"/>
  <c r="AI33" i="7"/>
  <c r="J35" i="7"/>
  <c r="J35" i="25" s="1"/>
  <c r="P34" i="7"/>
  <c r="R36" i="7"/>
  <c r="R36" i="25" s="1"/>
  <c r="I6" i="38" s="1"/>
  <c r="AR35" i="7"/>
  <c r="N37" i="7"/>
  <c r="AF35" i="7"/>
  <c r="AF35" i="25" s="1"/>
  <c r="W5" i="38" s="1"/>
  <c r="AN36" i="7"/>
  <c r="AN36" i="25" s="1"/>
  <c r="AE6" i="38" s="1"/>
  <c r="AI34" i="7"/>
  <c r="AS37" i="7"/>
  <c r="AM33" i="7"/>
  <c r="Y32" i="7"/>
  <c r="Q32" i="7"/>
  <c r="X34" i="7"/>
  <c r="K37" i="7"/>
  <c r="P36" i="7"/>
  <c r="AU36" i="7"/>
  <c r="AU36" i="25" s="1"/>
  <c r="AL6" i="38" s="1"/>
  <c r="X35" i="7"/>
  <c r="X35" i="25" s="1"/>
  <c r="O5" i="38" s="1"/>
  <c r="AT32" i="7"/>
  <c r="AT32" i="25" s="1"/>
  <c r="AK2" i="38" s="1"/>
  <c r="AP35" i="7"/>
  <c r="AP35" i="25" s="1"/>
  <c r="AG5" i="38" s="1"/>
  <c r="K33" i="7"/>
  <c r="AS34" i="7"/>
  <c r="L37" i="7"/>
  <c r="L37" i="25" s="1"/>
  <c r="C7" i="38" s="1"/>
  <c r="AJ37" i="7"/>
  <c r="AU35" i="7"/>
  <c r="U32" i="7"/>
  <c r="AB34" i="7"/>
  <c r="AB34" i="25" s="1"/>
  <c r="S4" i="38" s="1"/>
  <c r="V33" i="7"/>
  <c r="N33" i="7"/>
  <c r="N33" i="25" s="1"/>
  <c r="E3" i="38" s="1"/>
  <c r="L33" i="7"/>
  <c r="L33" i="25" s="1"/>
  <c r="C3" i="38" s="1"/>
  <c r="G36" i="7"/>
  <c r="G36" i="25" s="1"/>
  <c r="F34" i="7"/>
  <c r="AL34" i="7"/>
  <c r="H35" i="7"/>
  <c r="AK35" i="7"/>
  <c r="AK35" i="25" s="1"/>
  <c r="AB5" i="38" s="1"/>
  <c r="C33" i="7"/>
  <c r="C33" i="25" s="1"/>
  <c r="D37" i="7"/>
  <c r="AT35" i="7"/>
  <c r="AI32" i="7"/>
  <c r="P32" i="7"/>
  <c r="P32" i="25" s="1"/>
  <c r="G2" i="38" s="1"/>
  <c r="AJ35" i="7"/>
  <c r="AT37" i="7"/>
  <c r="AT37" i="25" s="1"/>
  <c r="AK7" i="38" s="1"/>
  <c r="AM37" i="7"/>
  <c r="Z37" i="7"/>
  <c r="E37" i="7"/>
  <c r="AD37" i="7"/>
  <c r="AP33" i="7"/>
  <c r="AG34" i="7"/>
  <c r="C37" i="7"/>
  <c r="W37" i="7"/>
  <c r="W37" i="25" s="1"/>
  <c r="N7" i="38" s="1"/>
  <c r="C32" i="7"/>
  <c r="I36" i="7"/>
  <c r="AQ34" i="7"/>
  <c r="AQ34" i="25" s="1"/>
  <c r="AH4" i="38" s="1"/>
  <c r="Y35" i="7"/>
  <c r="F35" i="7"/>
  <c r="D36" i="7"/>
  <c r="U37" i="7"/>
  <c r="U37" i="25" s="1"/>
  <c r="L7" i="38" s="1"/>
  <c r="M35" i="7"/>
  <c r="AO36" i="7"/>
  <c r="AI35" i="7"/>
  <c r="T32" i="7"/>
  <c r="AG36" i="7"/>
  <c r="AE32" i="7"/>
  <c r="L32" i="7"/>
  <c r="L32" i="25" s="1"/>
  <c r="C2" i="38" s="1"/>
  <c r="G33" i="7"/>
  <c r="G33" i="25" s="1"/>
  <c r="M33" i="7"/>
  <c r="M33" i="25" s="1"/>
  <c r="D3" i="38" s="1"/>
  <c r="E32" i="7"/>
  <c r="E32" i="25" s="1"/>
  <c r="K36" i="7"/>
  <c r="X33" i="7"/>
  <c r="X33" i="25" s="1"/>
  <c r="O3" i="38" s="1"/>
  <c r="AE35" i="7"/>
  <c r="AE35" i="25" s="1"/>
  <c r="V5" i="38" s="1"/>
  <c r="I33" i="7"/>
  <c r="V34" i="7"/>
  <c r="V34" i="25" s="1"/>
  <c r="M4" i="38" s="1"/>
  <c r="V37" i="7"/>
  <c r="AC37" i="7"/>
  <c r="AC37" i="25" s="1"/>
  <c r="T7" i="38" s="1"/>
  <c r="AP36" i="7"/>
  <c r="AP36" i="25" s="1"/>
  <c r="AG6" i="38" s="1"/>
  <c r="R37" i="7"/>
  <c r="R37" i="25" s="1"/>
  <c r="I7" i="38" s="1"/>
  <c r="G32" i="7"/>
  <c r="AB35" i="7"/>
  <c r="S32" i="7"/>
  <c r="R35" i="7"/>
  <c r="AB36" i="7"/>
  <c r="AT33" i="7"/>
  <c r="X37" i="7"/>
  <c r="W34" i="7"/>
  <c r="H32" i="7"/>
  <c r="H32" i="25" s="1"/>
  <c r="S35" i="7"/>
  <c r="AU32" i="7"/>
  <c r="AU32" i="25" s="1"/>
  <c r="AL2" i="38" s="1"/>
  <c r="V32" i="7"/>
  <c r="AR36" i="7"/>
  <c r="T35" i="7"/>
  <c r="AE34" i="7"/>
  <c r="AE34" i="25" s="1"/>
  <c r="V4" i="38" s="1"/>
  <c r="AS33" i="7"/>
  <c r="AH35" i="7"/>
  <c r="U34" i="7"/>
  <c r="AQ33" i="7"/>
  <c r="Y33" i="7"/>
  <c r="AC33" i="7"/>
  <c r="AC33" i="25" s="1"/>
  <c r="T3" i="38" s="1"/>
  <c r="AK34" i="7"/>
  <c r="AS32" i="7"/>
  <c r="AR34" i="7"/>
  <c r="AR34" i="25" s="1"/>
  <c r="AI4" i="38" s="1"/>
  <c r="D32" i="7"/>
  <c r="G34" i="7"/>
  <c r="E36" i="7"/>
  <c r="E36" i="25" s="1"/>
  <c r="AN33" i="7"/>
  <c r="AN33" i="25" s="1"/>
  <c r="AE3" i="38" s="1"/>
  <c r="F36" i="7"/>
  <c r="F36" i="25" s="1"/>
  <c r="H33" i="7"/>
  <c r="AA36" i="7"/>
  <c r="AD32" i="7"/>
  <c r="W33" i="7"/>
  <c r="R33" i="7"/>
  <c r="AF32" i="7"/>
  <c r="AR32" i="7"/>
  <c r="AR32" i="25" s="1"/>
  <c r="AI2" i="38" s="1"/>
  <c r="I34" i="7"/>
  <c r="Z33" i="7"/>
  <c r="V36" i="7"/>
  <c r="K32" i="7"/>
  <c r="W32" i="7"/>
  <c r="AA34" i="7"/>
  <c r="AK32" i="7"/>
  <c r="L35" i="7"/>
  <c r="AC36" i="7"/>
  <c r="AC36" i="25" s="1"/>
  <c r="T6" i="38" s="1"/>
  <c r="Q37" i="7"/>
  <c r="AD36" i="7"/>
  <c r="K35" i="7"/>
  <c r="C35" i="7"/>
  <c r="AK37" i="7"/>
  <c r="Q35" i="7"/>
  <c r="Q35" i="25" s="1"/>
  <c r="H5" i="38" s="1"/>
  <c r="AJ33" i="7"/>
  <c r="AJ33" i="25" s="1"/>
  <c r="AA3" i="38" s="1"/>
  <c r="S33" i="7"/>
  <c r="Y34" i="7"/>
  <c r="U36" i="7"/>
  <c r="U36" i="25" s="1"/>
  <c r="L6" i="38" s="1"/>
  <c r="S34" i="7"/>
  <c r="AS36" i="7"/>
  <c r="C34" i="7"/>
  <c r="AH33" i="7"/>
  <c r="AN35" i="7"/>
  <c r="T33" i="7"/>
  <c r="AF37" i="7"/>
  <c r="R34" i="7"/>
  <c r="R34" i="25" s="1"/>
  <c r="I4" i="38" s="1"/>
  <c r="AD34" i="7"/>
  <c r="I32" i="7"/>
  <c r="T34" i="7"/>
  <c r="AL33" i="7"/>
  <c r="AL33" i="25" s="1"/>
  <c r="AC3" i="38" s="1"/>
  <c r="AL32" i="7"/>
  <c r="I37" i="7"/>
  <c r="AL36" i="7"/>
  <c r="AR37" i="7"/>
  <c r="AR37" i="25" s="1"/>
  <c r="AI7" i="38" s="1"/>
  <c r="AQ35" i="7"/>
  <c r="AI37" i="7"/>
  <c r="AI37" i="25" s="1"/>
  <c r="Z7" i="38" s="1"/>
  <c r="AL37" i="7"/>
  <c r="X36" i="7"/>
  <c r="X36" i="25" s="1"/>
  <c r="O6" i="38" s="1"/>
  <c r="U35" i="7"/>
  <c r="AB33" i="7"/>
  <c r="AS35" i="7"/>
  <c r="AM36" i="7"/>
  <c r="G37" i="7"/>
  <c r="G37" i="25" s="1"/>
  <c r="AP37" i="7"/>
  <c r="W36" i="7"/>
  <c r="W36" i="25" s="1"/>
  <c r="N6" i="38" s="1"/>
  <c r="Z36" i="7"/>
  <c r="H34" i="7"/>
  <c r="AB32" i="7"/>
  <c r="AE36" i="7"/>
  <c r="O37" i="7"/>
  <c r="M37" i="7"/>
  <c r="AO35" i="7"/>
  <c r="AB37" i="7"/>
  <c r="N34" i="7"/>
  <c r="N34" i="25" s="1"/>
  <c r="E4" i="38" s="1"/>
  <c r="AN37" i="7"/>
  <c r="AN37" i="25" s="1"/>
  <c r="AE7" i="38" s="1"/>
  <c r="Q34" i="7"/>
  <c r="I35" i="7"/>
  <c r="AP34" i="7"/>
  <c r="Q33" i="7"/>
  <c r="Q33" i="25" s="1"/>
  <c r="H3" i="38" s="1"/>
  <c r="AE37" i="7"/>
  <c r="AQ37" i="7"/>
  <c r="J36" i="7"/>
  <c r="H36" i="7"/>
  <c r="H36" i="25" s="1"/>
  <c r="D34" i="7"/>
  <c r="Z32" i="7"/>
  <c r="P37" i="7"/>
  <c r="P37" i="25" s="1"/>
  <c r="G7" i="38" s="1"/>
  <c r="M32" i="7"/>
  <c r="AD35" i="7"/>
  <c r="AF36" i="7"/>
  <c r="AG33" i="7"/>
  <c r="AT34" i="7"/>
  <c r="O35" i="7"/>
  <c r="AN32" i="7"/>
  <c r="AI36" i="7"/>
  <c r="V35" i="7"/>
  <c r="L36" i="7"/>
  <c r="L36" i="25" s="1"/>
  <c r="C6" i="38" s="1"/>
  <c r="P33" i="7"/>
  <c r="P33" i="25" s="1"/>
  <c r="G3" i="38" s="1"/>
  <c r="T37" i="7"/>
  <c r="AJ36" i="7"/>
  <c r="AR33" i="7"/>
  <c r="S36" i="7"/>
  <c r="AQ36" i="7"/>
  <c r="N36" i="7"/>
  <c r="AN34" i="7"/>
  <c r="Y36" i="7"/>
  <c r="Y36" i="25" s="1"/>
  <c r="P6" i="38" s="1"/>
  <c r="AA32" i="7"/>
  <c r="AA33" i="7"/>
  <c r="AA37" i="7"/>
  <c r="J33" i="7"/>
  <c r="F37" i="7"/>
  <c r="F37" i="25" s="1"/>
  <c r="O32" i="7"/>
  <c r="W35" i="7"/>
  <c r="AF33" i="7"/>
  <c r="AU37" i="7"/>
  <c r="E35" i="7"/>
  <c r="J32" i="7"/>
  <c r="J32" i="25" s="1"/>
  <c r="R32" i="7"/>
  <c r="AC32" i="7"/>
  <c r="C36" i="7"/>
  <c r="AO37" i="7"/>
  <c r="AO37" i="25" s="1"/>
  <c r="AF7" i="38" s="1"/>
  <c r="O33" i="7"/>
  <c r="AM34" i="7"/>
  <c r="AD33" i="7"/>
  <c r="AD33" i="25" s="1"/>
  <c r="U3" i="38" s="1"/>
  <c r="O36" i="7"/>
  <c r="H37" i="7"/>
  <c r="H37" i="25" s="1"/>
  <c r="Z34" i="7"/>
  <c r="AK33" i="7"/>
  <c r="AU34" i="7"/>
  <c r="P35" i="7"/>
  <c r="AQ32" i="7"/>
  <c r="AH36" i="7"/>
  <c r="D35" i="7"/>
  <c r="J37" i="7"/>
  <c r="AG37" i="7"/>
  <c r="AO34" i="7"/>
  <c r="AH37" i="7"/>
  <c r="AH37" i="25" s="1"/>
  <c r="Y7" i="38" s="1"/>
  <c r="AC34" i="7"/>
  <c r="Y37" i="7"/>
  <c r="N32" i="7"/>
  <c r="AO33" i="7"/>
  <c r="AO33" i="25" s="1"/>
  <c r="AF3" i="38" s="1"/>
  <c r="Z35" i="7"/>
  <c r="O34" i="7"/>
  <c r="O34" i="25" s="1"/>
  <c r="F4" i="38" s="1"/>
  <c r="M36" i="7"/>
  <c r="K34" i="7"/>
  <c r="K34" i="25" s="1"/>
  <c r="B4" i="38" s="1"/>
  <c r="G35" i="7"/>
  <c r="D33" i="7"/>
  <c r="AM35" i="7"/>
  <c r="AU33" i="7"/>
  <c r="AT36" i="7"/>
  <c r="AL35" i="7"/>
  <c r="AL35" i="25" s="1"/>
  <c r="AC5" i="38" s="1"/>
  <c r="F33" i="7"/>
  <c r="AA35" i="7"/>
  <c r="S37" i="25"/>
  <c r="J7" i="38" s="1"/>
  <c r="AA45" i="7" l="1"/>
  <c r="P42" i="7"/>
  <c r="AF44" i="7"/>
  <c r="Z46" i="7"/>
  <c r="AA42" i="7"/>
  <c r="AS44" i="7"/>
  <c r="T42" i="7"/>
  <c r="F46" i="7"/>
  <c r="F46" i="25" s="1"/>
  <c r="Z43" i="7"/>
  <c r="AN42" i="7"/>
  <c r="C45" i="7"/>
  <c r="N46" i="7"/>
  <c r="S41" i="7"/>
  <c r="AO43" i="7"/>
  <c r="AA46" i="7"/>
  <c r="AO42" i="7"/>
  <c r="V44" i="7"/>
  <c r="V41" i="7"/>
  <c r="W45" i="7"/>
  <c r="W45" i="25" s="1"/>
  <c r="N6" i="39" s="1"/>
  <c r="AM45" i="7"/>
  <c r="I45" i="7"/>
  <c r="H46" i="7"/>
  <c r="AK44" i="7"/>
  <c r="AK44" i="25" s="1"/>
  <c r="AB5" i="39" s="1"/>
  <c r="N45" i="7"/>
  <c r="O44" i="7"/>
  <c r="N41" i="7"/>
  <c r="Y45" i="7"/>
  <c r="T46" i="7"/>
  <c r="AP45" i="7"/>
  <c r="K42" i="7"/>
  <c r="K42" i="25" s="1"/>
  <c r="B3" i="39" s="1"/>
  <c r="M43" i="7"/>
  <c r="K43" i="7"/>
  <c r="W43" i="7"/>
  <c r="Q43" i="7"/>
  <c r="AB43" i="7"/>
  <c r="AF42" i="7"/>
  <c r="X46" i="7"/>
  <c r="X46" i="25" s="1"/>
  <c r="O7" i="39" s="1"/>
  <c r="AG45" i="7"/>
  <c r="AB42" i="7"/>
  <c r="AB42" i="25" s="1"/>
  <c r="S3" i="39" s="1"/>
  <c r="AQ43" i="7"/>
  <c r="AK45" i="7"/>
  <c r="M42" i="7"/>
  <c r="L43" i="7"/>
  <c r="L43" i="25" s="1"/>
  <c r="C4" i="39" s="1"/>
  <c r="Z44" i="7"/>
  <c r="AQ45" i="7"/>
  <c r="P44" i="7"/>
  <c r="AJ41" i="7"/>
  <c r="AJ41" i="25" s="1"/>
  <c r="AA2" i="39" s="1"/>
  <c r="AI42" i="7"/>
  <c r="AI42" i="25" s="1"/>
  <c r="Z3" i="39" s="1"/>
  <c r="AA43" i="7"/>
  <c r="AC41" i="7"/>
  <c r="C43" i="7"/>
  <c r="Z42" i="7"/>
  <c r="Z42" i="25" s="1"/>
  <c r="Q3" i="39" s="1"/>
  <c r="J44" i="7"/>
  <c r="AG46" i="7"/>
  <c r="L45" i="7"/>
  <c r="AN43" i="7"/>
  <c r="M44" i="7"/>
  <c r="AR46" i="7"/>
  <c r="U46" i="7"/>
  <c r="G44" i="7"/>
  <c r="G44" i="25" s="1"/>
  <c r="W46" i="7"/>
  <c r="N44" i="7"/>
  <c r="AO41" i="7"/>
  <c r="W44" i="7"/>
  <c r="W44" i="25" s="1"/>
  <c r="N5" i="39" s="1"/>
  <c r="U44" i="7"/>
  <c r="AU44" i="7"/>
  <c r="AR43" i="7"/>
  <c r="S44" i="7"/>
  <c r="AI41" i="7"/>
  <c r="AO45" i="7"/>
  <c r="M46" i="7"/>
  <c r="M46" i="25" s="1"/>
  <c r="D7" i="39" s="1"/>
  <c r="G43" i="7"/>
  <c r="AE10" i="7"/>
  <c r="AK5" i="7"/>
  <c r="AK5" i="25" s="1"/>
  <c r="L8" i="7"/>
  <c r="L8" i="25" s="1"/>
  <c r="C5" i="32" s="1"/>
  <c r="AQ7" i="7"/>
  <c r="W7" i="7"/>
  <c r="AU6" i="7"/>
  <c r="D6" i="7"/>
  <c r="AM7" i="7"/>
  <c r="AG7" i="7"/>
  <c r="AG7" i="25" s="1"/>
  <c r="X4" i="32" s="1"/>
  <c r="AO6" i="7"/>
  <c r="AO6" i="25" s="1"/>
  <c r="AF3" i="32" s="1"/>
  <c r="W8" i="7"/>
  <c r="AM9" i="7"/>
  <c r="X6" i="7"/>
  <c r="AL6" i="7"/>
  <c r="AL6" i="25" s="1"/>
  <c r="AC3" i="32" s="1"/>
  <c r="AT8" i="7"/>
  <c r="AQ6" i="7"/>
  <c r="AQ6" i="25" s="1"/>
  <c r="AH3" i="32" s="1"/>
  <c r="AH9" i="7"/>
  <c r="AI10" i="7"/>
  <c r="AH8" i="7"/>
  <c r="AH8" i="25" s="1"/>
  <c r="Y5" i="32" s="1"/>
  <c r="M10" i="7"/>
  <c r="AQ5" i="7"/>
  <c r="AQ5" i="25" s="1"/>
  <c r="AD5" i="7"/>
  <c r="AD5" i="25" s="1"/>
  <c r="AF5" i="7"/>
  <c r="AF5" i="25" s="1"/>
  <c r="AU8" i="7"/>
  <c r="AU8" i="25" s="1"/>
  <c r="AL5" i="32" s="1"/>
  <c r="AI6" i="7"/>
  <c r="AI6" i="25" s="1"/>
  <c r="Z3" i="32" s="1"/>
  <c r="AP5" i="7"/>
  <c r="Y9" i="7"/>
  <c r="T9" i="7"/>
  <c r="T9" i="25" s="1"/>
  <c r="K6" i="32" s="1"/>
  <c r="L6" i="7"/>
  <c r="L6" i="25" s="1"/>
  <c r="C3" i="32" s="1"/>
  <c r="AC8" i="7"/>
  <c r="AC8" i="25" s="1"/>
  <c r="T5" i="32" s="1"/>
  <c r="AM8" i="7"/>
  <c r="AM8" i="25" s="1"/>
  <c r="AD5" i="32" s="1"/>
  <c r="AT44" i="7"/>
  <c r="AN46" i="7"/>
  <c r="AP42" i="7"/>
  <c r="J45" i="7"/>
  <c r="R41" i="7"/>
  <c r="R43" i="7"/>
  <c r="X42" i="7"/>
  <c r="AM46" i="7"/>
  <c r="AM46" i="25" s="1"/>
  <c r="AD7" i="39" s="1"/>
  <c r="AC45" i="7"/>
  <c r="AF41" i="7"/>
  <c r="AJ46" i="7"/>
  <c r="AE45" i="7"/>
  <c r="AJ42" i="7"/>
  <c r="AQ41" i="7"/>
  <c r="AQ41" i="25" s="1"/>
  <c r="AH2" i="39" s="1"/>
  <c r="AQ46" i="7"/>
  <c r="AQ46" i="25" s="1"/>
  <c r="AH7" i="39" s="1"/>
  <c r="AF43" i="7"/>
  <c r="P8" i="7"/>
  <c r="P8" i="25" s="1"/>
  <c r="G5" i="32" s="1"/>
  <c r="AA10" i="7"/>
  <c r="AA10" i="25" s="1"/>
  <c r="R7" i="32" s="1"/>
  <c r="AF9" i="7"/>
  <c r="X9" i="7"/>
  <c r="T10" i="7"/>
  <c r="H5" i="7"/>
  <c r="H5" i="25" s="1"/>
  <c r="N6" i="7"/>
  <c r="N6" i="25" s="1"/>
  <c r="E3" i="32" s="1"/>
  <c r="C9" i="7"/>
  <c r="AB8" i="7"/>
  <c r="AB8" i="25" s="1"/>
  <c r="S5" i="32" s="1"/>
  <c r="D7" i="7"/>
  <c r="AN7" i="7"/>
  <c r="AN7" i="25" s="1"/>
  <c r="AE4" i="32" s="1"/>
  <c r="AO9" i="7"/>
  <c r="AJ10" i="7"/>
  <c r="AJ10" i="25" s="1"/>
  <c r="AA7" i="32" s="1"/>
  <c r="AH7" i="7"/>
  <c r="V9" i="7"/>
  <c r="V9" i="25" s="1"/>
  <c r="M6" i="32" s="1"/>
  <c r="G8" i="7"/>
  <c r="O9" i="7"/>
  <c r="O9" i="25" s="1"/>
  <c r="F6" i="32" s="1"/>
  <c r="Y10" i="7"/>
  <c r="AM44" i="7"/>
  <c r="AC46" i="7"/>
  <c r="U45" i="7"/>
  <c r="U45" i="25" s="1"/>
  <c r="L6" i="39" s="1"/>
  <c r="AS42" i="7"/>
  <c r="K45" i="7"/>
  <c r="K45" i="25" s="1"/>
  <c r="B6" i="39" s="1"/>
  <c r="W42" i="7"/>
  <c r="AB46" i="7"/>
  <c r="AK41" i="7"/>
  <c r="AC42" i="7"/>
  <c r="AJ44" i="7"/>
  <c r="AE44" i="7"/>
  <c r="J41" i="7"/>
  <c r="V42" i="7"/>
  <c r="N43" i="7"/>
  <c r="H45" i="7"/>
  <c r="AK42" i="7"/>
  <c r="Q10" i="7"/>
  <c r="Q10" i="25" s="1"/>
  <c r="H7" i="32" s="1"/>
  <c r="F8" i="7"/>
  <c r="F8" i="25" s="1"/>
  <c r="J8" i="7"/>
  <c r="C8" i="7"/>
  <c r="C8" i="25" s="1"/>
  <c r="I9" i="7"/>
  <c r="AI5" i="7"/>
  <c r="V6" i="7"/>
  <c r="V6" i="25" s="1"/>
  <c r="M3" i="32" s="1"/>
  <c r="O7" i="7"/>
  <c r="O7" i="25" s="1"/>
  <c r="F4" i="32" s="1"/>
  <c r="AU10" i="7"/>
  <c r="AU10" i="25" s="1"/>
  <c r="AL7" i="32" s="1"/>
  <c r="AO8" i="7"/>
  <c r="Y6" i="7"/>
  <c r="AA9" i="7"/>
  <c r="AA9" i="25" s="1"/>
  <c r="R6" i="32" s="1"/>
  <c r="AR10" i="7"/>
  <c r="M5" i="7"/>
  <c r="M5" i="25" s="1"/>
  <c r="AP7" i="7"/>
  <c r="AP7" i="25" s="1"/>
  <c r="AG4" i="32" s="1"/>
  <c r="AA6" i="7"/>
  <c r="AA6" i="25" s="1"/>
  <c r="R3" i="32" s="1"/>
  <c r="M6" i="7"/>
  <c r="M6" i="25" s="1"/>
  <c r="D3" i="32" s="1"/>
  <c r="AA7" i="7"/>
  <c r="AA7" i="25" s="1"/>
  <c r="R4" i="32" s="1"/>
  <c r="L7" i="7"/>
  <c r="I8" i="7"/>
  <c r="I8" i="25" s="1"/>
  <c r="F9" i="7"/>
  <c r="F9" i="25" s="1"/>
  <c r="AH10" i="7"/>
  <c r="AA8" i="7"/>
  <c r="AA8" i="25" s="1"/>
  <c r="R5" i="32" s="1"/>
  <c r="AF7" i="7"/>
  <c r="AF7" i="25" s="1"/>
  <c r="W4" i="32" s="1"/>
  <c r="D8" i="7"/>
  <c r="O6" i="7"/>
  <c r="AM10" i="7"/>
  <c r="AK8" i="7"/>
  <c r="AK8" i="25" s="1"/>
  <c r="AB5" i="32" s="1"/>
  <c r="AU5" i="7"/>
  <c r="AU5" i="25" s="1"/>
  <c r="AN5" i="7"/>
  <c r="AA5" i="7"/>
  <c r="AA5" i="25" s="1"/>
  <c r="K7" i="7"/>
  <c r="V5" i="7"/>
  <c r="V5" i="25" s="1"/>
  <c r="D5" i="7"/>
  <c r="AS9" i="7"/>
  <c r="J7" i="7"/>
  <c r="J7" i="25" s="1"/>
  <c r="C46" i="7"/>
  <c r="C46" i="25" s="1"/>
  <c r="G41" i="7"/>
  <c r="G41" i="25" s="1"/>
  <c r="Y44" i="7"/>
  <c r="AS41" i="7"/>
  <c r="AH42" i="7"/>
  <c r="AH42" i="25" s="1"/>
  <c r="Y3" i="39" s="1"/>
  <c r="Q42" i="7"/>
  <c r="Q42" i="25" s="1"/>
  <c r="H3" i="39" s="1"/>
  <c r="P46" i="7"/>
  <c r="P46" i="25" s="1"/>
  <c r="G7" i="39" s="1"/>
  <c r="R42" i="7"/>
  <c r="U42" i="7"/>
  <c r="U42" i="25" s="1"/>
  <c r="L3" i="39" s="1"/>
  <c r="S42" i="7"/>
  <c r="U9" i="7"/>
  <c r="AG10" i="7"/>
  <c r="AG10" i="25" s="1"/>
  <c r="X7" i="32" s="1"/>
  <c r="AL5" i="7"/>
  <c r="AL5" i="25" s="1"/>
  <c r="P10" i="7"/>
  <c r="P10" i="25" s="1"/>
  <c r="G7" i="32" s="1"/>
  <c r="AB10" i="7"/>
  <c r="AB10" i="25" s="1"/>
  <c r="S7" i="32" s="1"/>
  <c r="E7" i="7"/>
  <c r="E7" i="25" s="1"/>
  <c r="J9" i="7"/>
  <c r="J9" i="25" s="1"/>
  <c r="AT6" i="7"/>
  <c r="AO10" i="7"/>
  <c r="AO10" i="25" s="1"/>
  <c r="AF7" i="32" s="1"/>
  <c r="AU7" i="7"/>
  <c r="AU7" i="25" s="1"/>
  <c r="AL4" i="32" s="1"/>
  <c r="O5" i="7"/>
  <c r="I6" i="7"/>
  <c r="Q7" i="7"/>
  <c r="Q7" i="25" s="1"/>
  <c r="H4" i="32" s="1"/>
  <c r="H6" i="7"/>
  <c r="AQ8" i="7"/>
  <c r="AQ8" i="25" s="1"/>
  <c r="AH5" i="32" s="1"/>
  <c r="H8" i="7"/>
  <c r="AF8" i="7"/>
  <c r="AF8" i="25" s="1"/>
  <c r="W5" i="32" s="1"/>
  <c r="AH5" i="7"/>
  <c r="AH5" i="25" s="1"/>
  <c r="L41" i="7"/>
  <c r="C44" i="7"/>
  <c r="AB41" i="7"/>
  <c r="F42" i="7"/>
  <c r="AM42" i="7"/>
  <c r="AL45" i="7"/>
  <c r="AL45" i="25" s="1"/>
  <c r="AC6" i="39" s="1"/>
  <c r="AP43" i="7"/>
  <c r="AP43" i="25" s="1"/>
  <c r="AG4" i="39" s="1"/>
  <c r="AA44" i="7"/>
  <c r="I43" i="7"/>
  <c r="I43" i="25" s="1"/>
  <c r="F44" i="7"/>
  <c r="F44" i="25" s="1"/>
  <c r="AI44" i="7"/>
  <c r="AI44" i="25" s="1"/>
  <c r="Z5" i="39" s="1"/>
  <c r="K41" i="7"/>
  <c r="D42" i="7"/>
  <c r="J43" i="7"/>
  <c r="J43" i="25" s="1"/>
  <c r="H43" i="7"/>
  <c r="H43" i="25" s="1"/>
  <c r="AJ43" i="7"/>
  <c r="AS46" i="7"/>
  <c r="AS46" i="25" s="1"/>
  <c r="AJ7" i="39" s="1"/>
  <c r="K46" i="7"/>
  <c r="E10" i="7"/>
  <c r="E10" i="25" s="1"/>
  <c r="Z7" i="7"/>
  <c r="Z7" i="25" s="1"/>
  <c r="Q4" i="32" s="1"/>
  <c r="F6" i="7"/>
  <c r="F6" i="25" s="1"/>
  <c r="X10" i="7"/>
  <c r="X10" i="25" s="1"/>
  <c r="O7" i="32" s="1"/>
  <c r="T6" i="7"/>
  <c r="T6" i="25" s="1"/>
  <c r="K3" i="32" s="1"/>
  <c r="N8" i="7"/>
  <c r="N8" i="25" s="1"/>
  <c r="E5" i="32" s="1"/>
  <c r="C7" i="7"/>
  <c r="AR7" i="7"/>
  <c r="AR7" i="25" s="1"/>
  <c r="AI4" i="32" s="1"/>
  <c r="AD10" i="7"/>
  <c r="AP8" i="7"/>
  <c r="AP8" i="25" s="1"/>
  <c r="AG5" i="32" s="1"/>
  <c r="AK6" i="7"/>
  <c r="AL7" i="7"/>
  <c r="AL7" i="25" s="1"/>
  <c r="AC4" i="32" s="1"/>
  <c r="E6" i="7"/>
  <c r="E6" i="25" s="1"/>
  <c r="S7" i="7"/>
  <c r="S7" i="25" s="1"/>
  <c r="J4" i="32" s="1"/>
  <c r="AS7" i="7"/>
  <c r="AS7" i="25" s="1"/>
  <c r="AJ4" i="32" s="1"/>
  <c r="K9" i="7"/>
  <c r="K9" i="25" s="1"/>
  <c r="B6" i="32" s="1"/>
  <c r="AQ10" i="7"/>
  <c r="AQ10" i="25" s="1"/>
  <c r="AH7" i="32" s="1"/>
  <c r="M9" i="7"/>
  <c r="M9" i="25" s="1"/>
  <c r="D6" i="32" s="1"/>
  <c r="AB6" i="7"/>
  <c r="AB6" i="25" s="1"/>
  <c r="S3" i="32" s="1"/>
  <c r="N7" i="7"/>
  <c r="N7" i="25" s="1"/>
  <c r="E4" i="32" s="1"/>
  <c r="R9" i="7"/>
  <c r="R9" i="25" s="1"/>
  <c r="I6" i="32" s="1"/>
  <c r="AG5" i="7"/>
  <c r="AG5" i="25" s="1"/>
  <c r="AH6" i="7"/>
  <c r="AH6" i="25" s="1"/>
  <c r="Y3" i="32" s="1"/>
  <c r="AT9" i="7"/>
  <c r="AT9" i="25" s="1"/>
  <c r="AK6" i="32" s="1"/>
  <c r="P7" i="7"/>
  <c r="P7" i="25" s="1"/>
  <c r="G4" i="32" s="1"/>
  <c r="V7" i="7"/>
  <c r="V7" i="25" s="1"/>
  <c r="M4" i="32" s="1"/>
  <c r="J5" i="7"/>
  <c r="J5" i="25" s="1"/>
  <c r="Q8" i="7"/>
  <c r="Q8" i="25" s="1"/>
  <c r="H5" i="32" s="1"/>
  <c r="AI7" i="7"/>
  <c r="AI7" i="25" s="1"/>
  <c r="Z4" i="32" s="1"/>
  <c r="H7" i="7"/>
  <c r="H7" i="25" s="1"/>
  <c r="I5" i="7"/>
  <c r="I5" i="25" s="1"/>
  <c r="AJ5" i="7"/>
  <c r="P6" i="7"/>
  <c r="P6" i="25" s="1"/>
  <c r="G3" i="32" s="1"/>
  <c r="AM6" i="7"/>
  <c r="AM6" i="25" s="1"/>
  <c r="AD3" i="32" s="1"/>
  <c r="I7" i="7"/>
  <c r="I7" i="25" s="1"/>
  <c r="R5" i="7"/>
  <c r="R5" i="25" s="1"/>
  <c r="H10" i="7"/>
  <c r="H10" i="25" s="1"/>
  <c r="M8" i="7"/>
  <c r="M8" i="25" s="1"/>
  <c r="D5" i="32" s="1"/>
  <c r="S5" i="7"/>
  <c r="S5" i="25" s="1"/>
  <c r="AM5" i="7"/>
  <c r="AM5" i="25" s="1"/>
  <c r="Q6" i="7"/>
  <c r="Q6" i="25" s="1"/>
  <c r="H3" i="32" s="1"/>
  <c r="W9" i="7"/>
  <c r="W9" i="25" s="1"/>
  <c r="N6" i="32" s="1"/>
  <c r="AB7" i="7"/>
  <c r="AB7" i="25" s="1"/>
  <c r="S4" i="32" s="1"/>
  <c r="AE6" i="7"/>
  <c r="AE6" i="25" s="1"/>
  <c r="V3" i="32" s="1"/>
  <c r="U7" i="7"/>
  <c r="U7" i="25" s="1"/>
  <c r="L4" i="32" s="1"/>
  <c r="J6" i="7"/>
  <c r="J6" i="25" s="1"/>
  <c r="T7" i="7"/>
  <c r="I10" i="7"/>
  <c r="I10" i="25" s="1"/>
  <c r="W6" i="7"/>
  <c r="W6" i="25" s="1"/>
  <c r="N3" i="32" s="1"/>
  <c r="AJ6" i="7"/>
  <c r="AJ6" i="25" s="1"/>
  <c r="AA3" i="32" s="1"/>
  <c r="K8" i="7"/>
  <c r="K8" i="25" s="1"/>
  <c r="B5" i="32" s="1"/>
  <c r="O8" i="7"/>
  <c r="O8" i="25" s="1"/>
  <c r="F5" i="32" s="1"/>
  <c r="H9" i="7"/>
  <c r="H9" i="25" s="1"/>
  <c r="O10" i="7"/>
  <c r="O10" i="25" s="1"/>
  <c r="F7" i="32" s="1"/>
  <c r="F5" i="7"/>
  <c r="F5" i="25" s="1"/>
  <c r="D10" i="7"/>
  <c r="D10" i="25" s="1"/>
  <c r="Q5" i="7"/>
  <c r="Q5" i="25" s="1"/>
  <c r="AK10" i="7"/>
  <c r="AK10" i="25" s="1"/>
  <c r="AB7" i="32" s="1"/>
  <c r="E5" i="7"/>
  <c r="E5" i="25" s="1"/>
  <c r="L10" i="7"/>
  <c r="L10" i="25" s="1"/>
  <c r="C7" i="32" s="1"/>
  <c r="U8" i="7"/>
  <c r="U8" i="25" s="1"/>
  <c r="L5" i="32" s="1"/>
  <c r="AJ8" i="7"/>
  <c r="AJ8" i="25" s="1"/>
  <c r="AA5" i="32" s="1"/>
  <c r="Z10" i="7"/>
  <c r="L9" i="7"/>
  <c r="L9" i="25" s="1"/>
  <c r="C6" i="32" s="1"/>
  <c r="AE7" i="7"/>
  <c r="AE7" i="25" s="1"/>
  <c r="V4" i="32" s="1"/>
  <c r="U6" i="7"/>
  <c r="U6" i="25" s="1"/>
  <c r="L3" i="32" s="1"/>
  <c r="AN9" i="7"/>
  <c r="AN9" i="25" s="1"/>
  <c r="AE6" i="32" s="1"/>
  <c r="AC7" i="7"/>
  <c r="S8" i="7"/>
  <c r="S8" i="25" s="1"/>
  <c r="J5" i="32" s="1"/>
  <c r="AE9" i="7"/>
  <c r="AE9" i="25" s="1"/>
  <c r="V6" i="32" s="1"/>
  <c r="AR8" i="7"/>
  <c r="AR8" i="25" s="1"/>
  <c r="AI5" i="32" s="1"/>
  <c r="N10" i="7"/>
  <c r="N10" i="25" s="1"/>
  <c r="E7" i="32" s="1"/>
  <c r="R10" i="7"/>
  <c r="R10" i="25" s="1"/>
  <c r="I7" i="32" s="1"/>
  <c r="T8" i="7"/>
  <c r="T8" i="25" s="1"/>
  <c r="K5" i="32" s="1"/>
  <c r="G5" i="7"/>
  <c r="G5" i="25" s="1"/>
  <c r="X7" i="7"/>
  <c r="X7" i="25" s="1"/>
  <c r="O4" i="32" s="1"/>
  <c r="AR6" i="7"/>
  <c r="K6" i="7"/>
  <c r="K6" i="25" s="1"/>
  <c r="B3" i="32" s="1"/>
  <c r="AO5" i="7"/>
  <c r="AO5" i="25" s="1"/>
  <c r="AJ7" i="7"/>
  <c r="AJ7" i="25" s="1"/>
  <c r="AA4" i="32" s="1"/>
  <c r="AL8" i="7"/>
  <c r="AL8" i="25" s="1"/>
  <c r="AC5" i="32" s="1"/>
  <c r="AI9" i="7"/>
  <c r="AI9" i="25" s="1"/>
  <c r="Z6" i="32" s="1"/>
  <c r="G10" i="7"/>
  <c r="G10" i="25" s="1"/>
  <c r="AO7" i="7"/>
  <c r="AO7" i="25" s="1"/>
  <c r="AF4" i="32" s="1"/>
  <c r="Y5" i="7"/>
  <c r="Y5" i="25" s="1"/>
  <c r="AE5" i="7"/>
  <c r="AE5" i="25" s="1"/>
  <c r="P9" i="7"/>
  <c r="P9" i="25" s="1"/>
  <c r="G6" i="32" s="1"/>
  <c r="AB9" i="7"/>
  <c r="AB9" i="25" s="1"/>
  <c r="S6" i="32" s="1"/>
  <c r="Q9" i="7"/>
  <c r="Q9" i="25" s="1"/>
  <c r="H6" i="32" s="1"/>
  <c r="R7" i="7"/>
  <c r="R7" i="25" s="1"/>
  <c r="I4" i="32" s="1"/>
  <c r="AC6" i="7"/>
  <c r="AC6" i="25" s="1"/>
  <c r="T3" i="32" s="1"/>
  <c r="U10" i="7"/>
  <c r="U10" i="25" s="1"/>
  <c r="L7" i="32" s="1"/>
  <c r="Y8" i="7"/>
  <c r="Y8" i="25" s="1"/>
  <c r="P5" i="32" s="1"/>
  <c r="AL9" i="7"/>
  <c r="AL9" i="25" s="1"/>
  <c r="AC6" i="32" s="1"/>
  <c r="AK9" i="7"/>
  <c r="AK9" i="25" s="1"/>
  <c r="AB6" i="32" s="1"/>
  <c r="J10" i="7"/>
  <c r="J10" i="25" s="1"/>
  <c r="Z8" i="7"/>
  <c r="Z8" i="25" s="1"/>
  <c r="Q5" i="32" s="1"/>
  <c r="AF6" i="7"/>
  <c r="AF6" i="25" s="1"/>
  <c r="W3" i="32" s="1"/>
  <c r="X5" i="7"/>
  <c r="X5" i="25" s="1"/>
  <c r="K5" i="7"/>
  <c r="K5" i="25" s="1"/>
  <c r="AJ9" i="7"/>
  <c r="AJ9" i="25" s="1"/>
  <c r="AA6" i="32" s="1"/>
  <c r="W5" i="7"/>
  <c r="W5" i="25" s="1"/>
  <c r="N5" i="7"/>
  <c r="N5" i="25" s="1"/>
  <c r="AN10" i="7"/>
  <c r="AN10" i="25" s="1"/>
  <c r="AE7" i="32" s="1"/>
  <c r="AC9" i="7"/>
  <c r="AC9" i="25" s="1"/>
  <c r="T6" i="32" s="1"/>
  <c r="G6" i="7"/>
  <c r="G6" i="25" s="1"/>
  <c r="AF10" i="7"/>
  <c r="AF10" i="25" s="1"/>
  <c r="W7" i="32" s="1"/>
  <c r="Z6" i="7"/>
  <c r="Z6" i="25" s="1"/>
  <c r="Q3" i="32" s="1"/>
  <c r="L5" i="7"/>
  <c r="L5" i="25" s="1"/>
  <c r="AT7" i="7"/>
  <c r="AT7" i="25" s="1"/>
  <c r="AK4" i="32" s="1"/>
  <c r="F7" i="7"/>
  <c r="F7" i="25" s="1"/>
  <c r="AP10" i="7"/>
  <c r="AP10" i="25" s="1"/>
  <c r="AG7" i="32" s="1"/>
  <c r="D9" i="7"/>
  <c r="D9" i="25" s="1"/>
  <c r="W10" i="7"/>
  <c r="W10" i="25" s="1"/>
  <c r="N7" i="32" s="1"/>
  <c r="K10" i="7"/>
  <c r="K10" i="25" s="1"/>
  <c r="B7" i="32" s="1"/>
  <c r="AB5" i="7"/>
  <c r="AB5" i="25" s="1"/>
  <c r="D17" i="7"/>
  <c r="D17" i="25" s="1"/>
  <c r="AM15" i="7"/>
  <c r="AM15" i="25" s="1"/>
  <c r="AD3" i="33" s="1"/>
  <c r="X16" i="7"/>
  <c r="X16" i="25" s="1"/>
  <c r="O4" i="33" s="1"/>
  <c r="AI14" i="7"/>
  <c r="AI14" i="25" s="1"/>
  <c r="Z2" i="33" s="1"/>
  <c r="AT19" i="7"/>
  <c r="AT19" i="25" s="1"/>
  <c r="AK7" i="33" s="1"/>
  <c r="Q19" i="7"/>
  <c r="Q19" i="25" s="1"/>
  <c r="H7" i="33" s="1"/>
  <c r="J17" i="7"/>
  <c r="J17" i="25" s="1"/>
  <c r="AH19" i="7"/>
  <c r="AH19" i="25" s="1"/>
  <c r="Y7" i="33" s="1"/>
  <c r="AK16" i="7"/>
  <c r="AK16" i="25" s="1"/>
  <c r="AB4" i="33" s="1"/>
  <c r="N15" i="7"/>
  <c r="N15" i="25" s="1"/>
  <c r="E3" i="33" s="1"/>
  <c r="AN16" i="7"/>
  <c r="AN16" i="25" s="1"/>
  <c r="AE4" i="33" s="1"/>
  <c r="X17" i="7"/>
  <c r="X17" i="25" s="1"/>
  <c r="O5" i="33" s="1"/>
  <c r="X18" i="7"/>
  <c r="X18" i="25" s="1"/>
  <c r="O6" i="33" s="1"/>
  <c r="L19" i="7"/>
  <c r="L19" i="25" s="1"/>
  <c r="C7" i="33" s="1"/>
  <c r="M16" i="7"/>
  <c r="M16" i="25" s="1"/>
  <c r="D4" i="33" s="1"/>
  <c r="AK14" i="7"/>
  <c r="AK14" i="25" s="1"/>
  <c r="AB2" i="33" s="1"/>
  <c r="P19" i="7"/>
  <c r="P19" i="25" s="1"/>
  <c r="G7" i="33" s="1"/>
  <c r="AO18" i="7"/>
  <c r="AO18" i="25" s="1"/>
  <c r="AF6" i="33" s="1"/>
  <c r="R14" i="7"/>
  <c r="R14" i="25" s="1"/>
  <c r="I2" i="33" s="1"/>
  <c r="AG17" i="7"/>
  <c r="AG17" i="25" s="1"/>
  <c r="X5" i="33" s="1"/>
  <c r="AH16" i="7"/>
  <c r="AH16" i="25" s="1"/>
  <c r="Y4" i="33" s="1"/>
  <c r="AK19" i="7"/>
  <c r="AK19" i="25" s="1"/>
  <c r="AB7" i="33" s="1"/>
  <c r="I17" i="7"/>
  <c r="I17" i="25" s="1"/>
  <c r="N19" i="7"/>
  <c r="N19" i="25" s="1"/>
  <c r="E7" i="33" s="1"/>
  <c r="F15" i="7"/>
  <c r="F15" i="25" s="1"/>
  <c r="AH17" i="7"/>
  <c r="AH17" i="25" s="1"/>
  <c r="Y5" i="33" s="1"/>
  <c r="W18" i="7"/>
  <c r="W18" i="25" s="1"/>
  <c r="N6" i="33" s="1"/>
  <c r="C17" i="7"/>
  <c r="C17" i="25" s="1"/>
  <c r="I19" i="7"/>
  <c r="I19" i="25" s="1"/>
  <c r="G16" i="7"/>
  <c r="G16" i="25" s="1"/>
  <c r="N14" i="7"/>
  <c r="N14" i="25" s="1"/>
  <c r="E2" i="33" s="1"/>
  <c r="AB18" i="7"/>
  <c r="AB18" i="25" s="1"/>
  <c r="S6" i="33" s="1"/>
  <c r="R19" i="7"/>
  <c r="R19" i="25" s="1"/>
  <c r="I7" i="33" s="1"/>
  <c r="Y16" i="7"/>
  <c r="Y16" i="25" s="1"/>
  <c r="P4" i="33" s="1"/>
  <c r="AL16" i="7"/>
  <c r="AL16" i="25" s="1"/>
  <c r="AC4" i="33" s="1"/>
  <c r="AL15" i="7"/>
  <c r="AL15" i="25" s="1"/>
  <c r="AC3" i="33" s="1"/>
  <c r="AR17" i="7"/>
  <c r="AR17" i="25" s="1"/>
  <c r="AI5" i="33" s="1"/>
  <c r="W19" i="7"/>
  <c r="W19" i="25" s="1"/>
  <c r="N7" i="33" s="1"/>
  <c r="AB16" i="7"/>
  <c r="AB16" i="25" s="1"/>
  <c r="S4" i="33" s="1"/>
  <c r="Y14" i="7"/>
  <c r="Y14" i="25" s="1"/>
  <c r="P2" i="33" s="1"/>
  <c r="E17" i="7"/>
  <c r="E17" i="25" s="1"/>
  <c r="J18" i="7"/>
  <c r="J18" i="25" s="1"/>
  <c r="M14" i="7"/>
  <c r="M14" i="25" s="1"/>
  <c r="D2" i="33" s="1"/>
  <c r="O16" i="7"/>
  <c r="O16" i="25" s="1"/>
  <c r="F4" i="33" s="1"/>
  <c r="AE15" i="7"/>
  <c r="AE15" i="25" s="1"/>
  <c r="V3" i="33" s="1"/>
  <c r="N16" i="7"/>
  <c r="N16" i="25" s="1"/>
  <c r="E4" i="33" s="1"/>
  <c r="AP18" i="7"/>
  <c r="AP18" i="25" s="1"/>
  <c r="AG6" i="33" s="1"/>
  <c r="AK17" i="7"/>
  <c r="AK17" i="25" s="1"/>
  <c r="AB5" i="33" s="1"/>
  <c r="AM17" i="7"/>
  <c r="AM17" i="25" s="1"/>
  <c r="AD5" i="33" s="1"/>
  <c r="AB17" i="7"/>
  <c r="AB17" i="25" s="1"/>
  <c r="S5" i="33" s="1"/>
  <c r="Y17" i="7"/>
  <c r="Y17" i="25" s="1"/>
  <c r="P5" i="33" s="1"/>
  <c r="L15" i="7"/>
  <c r="L15" i="25" s="1"/>
  <c r="C3" i="33" s="1"/>
  <c r="O18" i="7"/>
  <c r="O18" i="25" s="1"/>
  <c r="F6" i="33" s="1"/>
  <c r="AE14" i="7"/>
  <c r="AE14" i="25" s="1"/>
  <c r="V2" i="33" s="1"/>
  <c r="AM18" i="7"/>
  <c r="AM18" i="25" s="1"/>
  <c r="AD6" i="33" s="1"/>
  <c r="C18" i="7"/>
  <c r="C18" i="25" s="1"/>
  <c r="AQ16" i="7"/>
  <c r="AQ16" i="25" s="1"/>
  <c r="AH4" i="33" s="1"/>
  <c r="N18" i="7"/>
  <c r="N18" i="25" s="1"/>
  <c r="E6" i="33" s="1"/>
  <c r="P16" i="7"/>
  <c r="P16" i="25" s="1"/>
  <c r="G4" i="33" s="1"/>
  <c r="AC19" i="7"/>
  <c r="AC19" i="25" s="1"/>
  <c r="T7" i="33" s="1"/>
  <c r="AQ14" i="7"/>
  <c r="AQ14" i="25" s="1"/>
  <c r="AH2" i="33" s="1"/>
  <c r="Q17" i="7"/>
  <c r="Q17" i="25" s="1"/>
  <c r="H5" i="33" s="1"/>
  <c r="G15" i="7"/>
  <c r="G15" i="25" s="1"/>
  <c r="U16" i="7"/>
  <c r="U16" i="25" s="1"/>
  <c r="L4" i="33" s="1"/>
  <c r="AD18" i="7"/>
  <c r="AD18" i="25" s="1"/>
  <c r="U6" i="33" s="1"/>
  <c r="U17" i="7"/>
  <c r="U17" i="25" s="1"/>
  <c r="L5" i="33" s="1"/>
  <c r="AR15" i="7"/>
  <c r="AR15" i="25" s="1"/>
  <c r="AI3" i="33" s="1"/>
  <c r="AQ15" i="7"/>
  <c r="AQ15" i="25" s="1"/>
  <c r="AH3" i="33" s="1"/>
  <c r="K16" i="7"/>
  <c r="K16" i="25" s="1"/>
  <c r="B4" i="33" s="1"/>
  <c r="AB19" i="7"/>
  <c r="AB19" i="25" s="1"/>
  <c r="S7" i="33" s="1"/>
  <c r="G14" i="7"/>
  <c r="G14" i="25" s="1"/>
  <c r="AT17" i="7"/>
  <c r="AT17" i="25" s="1"/>
  <c r="AK5" i="33" s="1"/>
  <c r="T16" i="7"/>
  <c r="T16" i="25" s="1"/>
  <c r="K4" i="33" s="1"/>
  <c r="R16" i="7"/>
  <c r="R16" i="25" s="1"/>
  <c r="I4" i="33" s="1"/>
  <c r="AF15" i="7"/>
  <c r="AF15" i="25" s="1"/>
  <c r="W3" i="33" s="1"/>
  <c r="AS17" i="7"/>
  <c r="AS17" i="25" s="1"/>
  <c r="AJ5" i="33" s="1"/>
  <c r="AJ16" i="7"/>
  <c r="AJ16" i="25" s="1"/>
  <c r="AA4" i="33" s="1"/>
  <c r="AJ17" i="7"/>
  <c r="AJ17" i="25" s="1"/>
  <c r="AA5" i="33" s="1"/>
  <c r="T17" i="7"/>
  <c r="T17" i="25" s="1"/>
  <c r="K5" i="33" s="1"/>
  <c r="AA14" i="7"/>
  <c r="AA14" i="25" s="1"/>
  <c r="R2" i="33" s="1"/>
  <c r="AD16" i="7"/>
  <c r="AD16" i="25" s="1"/>
  <c r="U4" i="33" s="1"/>
  <c r="J19" i="7"/>
  <c r="J19" i="25" s="1"/>
  <c r="Z19" i="7"/>
  <c r="Z19" i="25" s="1"/>
  <c r="Q7" i="33" s="1"/>
  <c r="AP15" i="7"/>
  <c r="AP15" i="25" s="1"/>
  <c r="AG3" i="33" s="1"/>
  <c r="C16" i="7"/>
  <c r="C16" i="25" s="1"/>
  <c r="AK15" i="7"/>
  <c r="AK15" i="25" s="1"/>
  <c r="AB3" i="33" s="1"/>
  <c r="O15" i="7"/>
  <c r="O15" i="25" s="1"/>
  <c r="F3" i="33" s="1"/>
  <c r="AN14" i="7"/>
  <c r="AN14" i="25" s="1"/>
  <c r="AE2" i="33" s="1"/>
  <c r="AF17" i="7"/>
  <c r="AF17" i="25" s="1"/>
  <c r="W5" i="33" s="1"/>
  <c r="AU16" i="7"/>
  <c r="AU16" i="25" s="1"/>
  <c r="AL4" i="33" s="1"/>
  <c r="P18" i="7"/>
  <c r="P18" i="25" s="1"/>
  <c r="G6" i="33" s="1"/>
  <c r="AD15" i="7"/>
  <c r="AD15" i="25" s="1"/>
  <c r="U3" i="33" s="1"/>
  <c r="AT14" i="7"/>
  <c r="AT14" i="25" s="1"/>
  <c r="AK2" i="33" s="1"/>
  <c r="R17" i="7"/>
  <c r="R17" i="25" s="1"/>
  <c r="I5" i="33" s="1"/>
  <c r="AJ18" i="7"/>
  <c r="AJ18" i="25" s="1"/>
  <c r="AA6" i="33" s="1"/>
  <c r="V15" i="7"/>
  <c r="V15" i="25" s="1"/>
  <c r="M3" i="33" s="1"/>
  <c r="AG19" i="7"/>
  <c r="AG19" i="25" s="1"/>
  <c r="X7" i="33" s="1"/>
  <c r="Y19" i="7"/>
  <c r="Y19" i="25" s="1"/>
  <c r="P7" i="33" s="1"/>
  <c r="AF14" i="7"/>
  <c r="AF14" i="25" s="1"/>
  <c r="W2" i="33" s="1"/>
  <c r="AI18" i="7"/>
  <c r="AI18" i="25" s="1"/>
  <c r="Z6" i="33" s="1"/>
  <c r="G19" i="7"/>
  <c r="G19" i="25" s="1"/>
  <c r="AF18" i="7"/>
  <c r="AF18" i="25" s="1"/>
  <c r="W6" i="33" s="1"/>
  <c r="L14" i="7"/>
  <c r="L14" i="25" s="1"/>
  <c r="C2" i="33" s="1"/>
  <c r="D15" i="7"/>
  <c r="D15" i="25" s="1"/>
  <c r="D19" i="7"/>
  <c r="D19" i="25" s="1"/>
  <c r="AC16" i="7"/>
  <c r="AC16" i="25" s="1"/>
  <c r="T4" i="33" s="1"/>
  <c r="AM14" i="7"/>
  <c r="AM14" i="25" s="1"/>
  <c r="AD2" i="33" s="1"/>
  <c r="AE17" i="7"/>
  <c r="AE17" i="25" s="1"/>
  <c r="V5" i="33" s="1"/>
  <c r="AR18" i="7"/>
  <c r="AR18" i="25" s="1"/>
  <c r="AI6" i="33" s="1"/>
  <c r="AQ18" i="7"/>
  <c r="AQ18" i="25" s="1"/>
  <c r="AH6" i="33" s="1"/>
  <c r="AC18" i="7"/>
  <c r="AC18" i="25" s="1"/>
  <c r="T6" i="33" s="1"/>
  <c r="M19" i="7"/>
  <c r="M19" i="25" s="1"/>
  <c r="D7" i="33" s="1"/>
  <c r="L17" i="7"/>
  <c r="L17" i="25" s="1"/>
  <c r="C5" i="33" s="1"/>
  <c r="AS18" i="7"/>
  <c r="AS18" i="25" s="1"/>
  <c r="AJ6" i="33" s="1"/>
  <c r="U18" i="7"/>
  <c r="U18" i="25" s="1"/>
  <c r="L6" i="33" s="1"/>
  <c r="W16" i="7"/>
  <c r="W16" i="25" s="1"/>
  <c r="N4" i="33" s="1"/>
  <c r="F19" i="7"/>
  <c r="F19" i="25" s="1"/>
  <c r="E14" i="7"/>
  <c r="E14" i="25" s="1"/>
  <c r="K19" i="7"/>
  <c r="K19" i="25" s="1"/>
  <c r="B7" i="33" s="1"/>
  <c r="K15" i="7"/>
  <c r="K15" i="25" s="1"/>
  <c r="B3" i="33" s="1"/>
  <c r="AU14" i="7"/>
  <c r="AU14" i="25" s="1"/>
  <c r="AL2" i="33" s="1"/>
  <c r="S16" i="7"/>
  <c r="S16" i="25" s="1"/>
  <c r="J4" i="33" s="1"/>
  <c r="V17" i="7"/>
  <c r="V17" i="25" s="1"/>
  <c r="M5" i="33" s="1"/>
  <c r="AQ17" i="7"/>
  <c r="AQ17" i="25" s="1"/>
  <c r="AH5" i="33" s="1"/>
  <c r="AP16" i="7"/>
  <c r="AP16" i="25" s="1"/>
  <c r="AG4" i="33" s="1"/>
  <c r="I14" i="7"/>
  <c r="I14" i="25" s="1"/>
  <c r="F16" i="7"/>
  <c r="F16" i="25" s="1"/>
  <c r="AS15" i="7"/>
  <c r="AS15" i="25" s="1"/>
  <c r="AJ3" i="33" s="1"/>
  <c r="AO15" i="7"/>
  <c r="AO15" i="25" s="1"/>
  <c r="AF3" i="33" s="1"/>
  <c r="AL18" i="7"/>
  <c r="AL18" i="25" s="1"/>
  <c r="AC6" i="33" s="1"/>
  <c r="AA15" i="7"/>
  <c r="AA15" i="25" s="1"/>
  <c r="R3" i="33" s="1"/>
  <c r="X14" i="7"/>
  <c r="X14" i="25" s="1"/>
  <c r="O2" i="33" s="1"/>
  <c r="AN15" i="7"/>
  <c r="AN15" i="25" s="1"/>
  <c r="AE3" i="33" s="1"/>
  <c r="AO19" i="7"/>
  <c r="AO19" i="25" s="1"/>
  <c r="AF7" i="33" s="1"/>
  <c r="AP14" i="7"/>
  <c r="AP14" i="25" s="1"/>
  <c r="AG2" i="33" s="1"/>
  <c r="M18" i="7"/>
  <c r="M18" i="25" s="1"/>
  <c r="D6" i="33" s="1"/>
  <c r="E15" i="7"/>
  <c r="E15" i="25" s="1"/>
  <c r="C19" i="7"/>
  <c r="C19" i="25" s="1"/>
  <c r="AJ19" i="7"/>
  <c r="AJ19" i="25" s="1"/>
  <c r="AA7" i="33" s="1"/>
  <c r="AS16" i="7"/>
  <c r="AS16" i="25" s="1"/>
  <c r="AJ4" i="33" s="1"/>
  <c r="Z18" i="7"/>
  <c r="Z18" i="25" s="1"/>
  <c r="Q6" i="33" s="1"/>
  <c r="K17" i="7"/>
  <c r="K17" i="25" s="1"/>
  <c r="B5" i="33" s="1"/>
  <c r="E19" i="7"/>
  <c r="E19" i="25" s="1"/>
  <c r="N17" i="7"/>
  <c r="N17" i="25" s="1"/>
  <c r="E5" i="33" s="1"/>
  <c r="AP17" i="7"/>
  <c r="AP17" i="25" s="1"/>
  <c r="AG5" i="33" s="1"/>
  <c r="AU15" i="7"/>
  <c r="AU15" i="25" s="1"/>
  <c r="AL3" i="33" s="1"/>
  <c r="V18" i="7"/>
  <c r="V18" i="25" s="1"/>
  <c r="M6" i="33" s="1"/>
  <c r="I16" i="7"/>
  <c r="I16" i="25" s="1"/>
  <c r="AF16" i="7"/>
  <c r="AF16" i="25" s="1"/>
  <c r="W4" i="33" s="1"/>
  <c r="AC15" i="7"/>
  <c r="AC15" i="25" s="1"/>
  <c r="T3" i="33" s="1"/>
  <c r="D14" i="7"/>
  <c r="D14" i="25" s="1"/>
  <c r="X15" i="7"/>
  <c r="X15" i="25" s="1"/>
  <c r="O3" i="33" s="1"/>
  <c r="U14" i="7"/>
  <c r="U14" i="25" s="1"/>
  <c r="L2" i="33" s="1"/>
  <c r="AP19" i="7"/>
  <c r="AP19" i="25" s="1"/>
  <c r="AG7" i="33" s="1"/>
  <c r="AE16" i="7"/>
  <c r="AE16" i="25" s="1"/>
  <c r="V4" i="33" s="1"/>
  <c r="C14" i="7"/>
  <c r="C14" i="25" s="1"/>
  <c r="AL17" i="7"/>
  <c r="AL17" i="25" s="1"/>
  <c r="AC5" i="33" s="1"/>
  <c r="S17" i="7"/>
  <c r="S17" i="25" s="1"/>
  <c r="J5" i="33" s="1"/>
  <c r="AD19" i="7"/>
  <c r="AD19" i="25" s="1"/>
  <c r="U7" i="33" s="1"/>
  <c r="AA19" i="7"/>
  <c r="AA19" i="25" s="1"/>
  <c r="R7" i="33" s="1"/>
  <c r="E18" i="7"/>
  <c r="E18" i="25" s="1"/>
  <c r="V19" i="7"/>
  <c r="V19" i="25" s="1"/>
  <c r="M7" i="33" s="1"/>
  <c r="AQ19" i="7"/>
  <c r="AQ19" i="25" s="1"/>
  <c r="AH7" i="33" s="1"/>
  <c r="J15" i="7"/>
  <c r="J15" i="25" s="1"/>
  <c r="AM19" i="7"/>
  <c r="AM19" i="25" s="1"/>
  <c r="AD7" i="33" s="1"/>
  <c r="T14" i="7"/>
  <c r="T14" i="25" s="1"/>
  <c r="K2" i="33" s="1"/>
  <c r="AC14" i="7"/>
  <c r="AC14" i="25" s="1"/>
  <c r="T2" i="33" s="1"/>
  <c r="AI19" i="7"/>
  <c r="AI19" i="25" s="1"/>
  <c r="Z7" i="33" s="1"/>
  <c r="W14" i="7"/>
  <c r="W14" i="25" s="1"/>
  <c r="N2" i="33" s="1"/>
  <c r="AI16" i="7"/>
  <c r="AI16" i="25" s="1"/>
  <c r="Z4" i="33" s="1"/>
  <c r="T19" i="7"/>
  <c r="T19" i="25" s="1"/>
  <c r="K7" i="33" s="1"/>
  <c r="P14" i="7"/>
  <c r="P14" i="25" s="1"/>
  <c r="G2" i="33" s="1"/>
  <c r="Z15" i="7"/>
  <c r="Z15" i="25" s="1"/>
  <c r="Q3" i="33" s="1"/>
  <c r="AC17" i="7"/>
  <c r="AC17" i="25" s="1"/>
  <c r="T5" i="33" s="1"/>
  <c r="AN17" i="7"/>
  <c r="AN17" i="25" s="1"/>
  <c r="AE5" i="33" s="1"/>
  <c r="U15" i="7"/>
  <c r="U15" i="25" s="1"/>
  <c r="L3" i="33" s="1"/>
  <c r="S15" i="7"/>
  <c r="S15" i="25" s="1"/>
  <c r="J3" i="33" s="1"/>
  <c r="AR14" i="7"/>
  <c r="AR14" i="25" s="1"/>
  <c r="AI2" i="33" s="1"/>
  <c r="AJ14" i="7"/>
  <c r="AJ14" i="25" s="1"/>
  <c r="AA2" i="33" s="1"/>
  <c r="Q16" i="7"/>
  <c r="Q16" i="25" s="1"/>
  <c r="H4" i="33" s="1"/>
  <c r="AB15" i="7"/>
  <c r="AB15" i="25" s="1"/>
  <c r="S3" i="33" s="1"/>
  <c r="AT18" i="7"/>
  <c r="AT18" i="25" s="1"/>
  <c r="AK6" i="33" s="1"/>
  <c r="H16" i="7"/>
  <c r="H16" i="25" s="1"/>
  <c r="AA18" i="7"/>
  <c r="AA18" i="25" s="1"/>
  <c r="R6" i="33" s="1"/>
  <c r="AR16" i="7"/>
  <c r="AR16" i="25" s="1"/>
  <c r="AI4" i="33" s="1"/>
  <c r="Q15" i="7"/>
  <c r="Q15" i="25" s="1"/>
  <c r="H3" i="33" s="1"/>
  <c r="H14" i="7"/>
  <c r="H14" i="25" s="1"/>
  <c r="W17" i="7"/>
  <c r="W17" i="25" s="1"/>
  <c r="N5" i="33" s="1"/>
  <c r="U19" i="7"/>
  <c r="U19" i="25" s="1"/>
  <c r="L7" i="33" s="1"/>
  <c r="AI17" i="7"/>
  <c r="AI17" i="25" s="1"/>
  <c r="Z5" i="33" s="1"/>
  <c r="AE18" i="7"/>
  <c r="AE18" i="25" s="1"/>
  <c r="V6" i="33" s="1"/>
  <c r="R15" i="7"/>
  <c r="R15" i="25" s="1"/>
  <c r="I3" i="33" s="1"/>
  <c r="H15" i="7"/>
  <c r="H15" i="25" s="1"/>
  <c r="D16" i="7"/>
  <c r="D16" i="25" s="1"/>
  <c r="W15" i="7"/>
  <c r="W15" i="25" s="1"/>
  <c r="N3" i="33" s="1"/>
  <c r="P15" i="7"/>
  <c r="P15" i="25" s="1"/>
  <c r="G3" i="33" s="1"/>
  <c r="AA17" i="7"/>
  <c r="AA17" i="25" s="1"/>
  <c r="R5" i="33" s="1"/>
  <c r="O17" i="7"/>
  <c r="O17" i="25" s="1"/>
  <c r="F5" i="33" s="1"/>
  <c r="K14" i="7"/>
  <c r="K14" i="25" s="1"/>
  <c r="B2" i="33" s="1"/>
  <c r="AK18" i="7"/>
  <c r="AK18" i="25" s="1"/>
  <c r="AB6" i="33" s="1"/>
  <c r="S19" i="7"/>
  <c r="S19" i="25" s="1"/>
  <c r="J7" i="33" s="1"/>
  <c r="J16" i="7"/>
  <c r="J16" i="25" s="1"/>
  <c r="AG14" i="7"/>
  <c r="AG14" i="25" s="1"/>
  <c r="X2" i="33" s="1"/>
  <c r="F14" i="7"/>
  <c r="F14" i="25" s="1"/>
  <c r="I18" i="7"/>
  <c r="I18" i="25" s="1"/>
  <c r="X19" i="7"/>
  <c r="X19" i="25" s="1"/>
  <c r="O7" i="33" s="1"/>
  <c r="J14" i="7"/>
  <c r="J14" i="25" s="1"/>
  <c r="AO14" i="7"/>
  <c r="AO14" i="25" s="1"/>
  <c r="AF2" i="33" s="1"/>
  <c r="M17" i="7"/>
  <c r="M17" i="25" s="1"/>
  <c r="D5" i="33" s="1"/>
  <c r="T18" i="7"/>
  <c r="T18" i="25" s="1"/>
  <c r="K6" i="33" s="1"/>
  <c r="AN18" i="7"/>
  <c r="AN18" i="25" s="1"/>
  <c r="AE6" i="33" s="1"/>
  <c r="Y18" i="7"/>
  <c r="Y18" i="25" s="1"/>
  <c r="P6" i="33" s="1"/>
  <c r="AL14" i="7"/>
  <c r="AL14" i="25" s="1"/>
  <c r="AC2" i="33" s="1"/>
  <c r="V14" i="7"/>
  <c r="V14" i="25" s="1"/>
  <c r="M2" i="33" s="1"/>
  <c r="AU17" i="7"/>
  <c r="AU17" i="25" s="1"/>
  <c r="AL5" i="33" s="1"/>
  <c r="T15" i="7"/>
  <c r="T15" i="25" s="1"/>
  <c r="K3" i="33" s="1"/>
  <c r="AH14" i="7"/>
  <c r="AH14" i="25" s="1"/>
  <c r="Y2" i="33" s="1"/>
  <c r="G17" i="7"/>
  <c r="G17" i="25" s="1"/>
  <c r="R18" i="7"/>
  <c r="R18" i="25" s="1"/>
  <c r="I6" i="33" s="1"/>
  <c r="O19" i="7"/>
  <c r="O19" i="25" s="1"/>
  <c r="F7" i="33" s="1"/>
  <c r="Y15" i="7"/>
  <c r="Y15" i="25" s="1"/>
  <c r="P3" i="33" s="1"/>
  <c r="AH15" i="7"/>
  <c r="AH15" i="25" s="1"/>
  <c r="Y3" i="33" s="1"/>
  <c r="AN19" i="7"/>
  <c r="AN19" i="25" s="1"/>
  <c r="AE7" i="33" s="1"/>
  <c r="AM16" i="7"/>
  <c r="AM16" i="25" s="1"/>
  <c r="AD4" i="33" s="1"/>
  <c r="AS14" i="7"/>
  <c r="AS14" i="25" s="1"/>
  <c r="AJ2" i="33" s="1"/>
  <c r="AA16" i="7"/>
  <c r="AA16" i="25" s="1"/>
  <c r="R4" i="33" s="1"/>
  <c r="O14" i="7"/>
  <c r="O14" i="25" s="1"/>
  <c r="F2" i="33" s="1"/>
  <c r="AU18" i="7"/>
  <c r="AU18" i="25" s="1"/>
  <c r="AL6" i="33" s="1"/>
  <c r="H17" i="7"/>
  <c r="H17" i="25" s="1"/>
  <c r="AG16" i="7"/>
  <c r="AG16" i="25" s="1"/>
  <c r="X4" i="33" s="1"/>
  <c r="AJ15" i="7"/>
  <c r="AJ15" i="25" s="1"/>
  <c r="AA3" i="33" s="1"/>
  <c r="F18" i="7"/>
  <c r="F18" i="25" s="1"/>
  <c r="AO16" i="7"/>
  <c r="AO16" i="25" s="1"/>
  <c r="AF4" i="33" s="1"/>
  <c r="M15" i="7"/>
  <c r="M15" i="25" s="1"/>
  <c r="D3" i="33" s="1"/>
  <c r="AB14" i="7"/>
  <c r="AB14" i="25" s="1"/>
  <c r="S2" i="33" s="1"/>
  <c r="L16" i="7"/>
  <c r="L16" i="25" s="1"/>
  <c r="C4" i="33" s="1"/>
  <c r="P17" i="7"/>
  <c r="P17" i="25" s="1"/>
  <c r="G5" i="33" s="1"/>
  <c r="H19" i="7"/>
  <c r="H19" i="25" s="1"/>
  <c r="AD14" i="7"/>
  <c r="AD14" i="25" s="1"/>
  <c r="U2" i="33" s="1"/>
  <c r="AH18" i="7"/>
  <c r="AH18" i="25" s="1"/>
  <c r="Y6" i="33" s="1"/>
  <c r="Q14" i="7"/>
  <c r="Q14" i="25" s="1"/>
  <c r="H2" i="33" s="1"/>
  <c r="F17" i="7"/>
  <c r="F17" i="25" s="1"/>
  <c r="AD17" i="7"/>
  <c r="AD17" i="25" s="1"/>
  <c r="U5" i="33" s="1"/>
  <c r="AG15" i="7"/>
  <c r="AG15" i="25" s="1"/>
  <c r="X3" i="33" s="1"/>
  <c r="Q18" i="7"/>
  <c r="Q18" i="25" s="1"/>
  <c r="H6" i="33" s="1"/>
  <c r="AS19" i="7"/>
  <c r="AS19" i="25" s="1"/>
  <c r="AJ7" i="33" s="1"/>
  <c r="D18" i="7"/>
  <c r="D18" i="25" s="1"/>
  <c r="AL19" i="7"/>
  <c r="AL19" i="25" s="1"/>
  <c r="AC7" i="33" s="1"/>
  <c r="AR19" i="7"/>
  <c r="AR19" i="25" s="1"/>
  <c r="AI7" i="33" s="1"/>
  <c r="AT15" i="7"/>
  <c r="AT15" i="25" s="1"/>
  <c r="AK3" i="33" s="1"/>
  <c r="AU19" i="7"/>
  <c r="AU19" i="25" s="1"/>
  <c r="AL7" i="33" s="1"/>
  <c r="S14" i="7"/>
  <c r="S14" i="25" s="1"/>
  <c r="J2" i="33" s="1"/>
  <c r="I15" i="7"/>
  <c r="I15" i="25" s="1"/>
  <c r="C15" i="7"/>
  <c r="C15" i="25" s="1"/>
  <c r="AE19" i="7"/>
  <c r="AE19" i="25" s="1"/>
  <c r="V7" i="33" s="1"/>
  <c r="Z16" i="7"/>
  <c r="Z16" i="25" s="1"/>
  <c r="Q4" i="33" s="1"/>
  <c r="AG18" i="7"/>
  <c r="AG18" i="25" s="1"/>
  <c r="X6" i="33" s="1"/>
  <c r="S18" i="7"/>
  <c r="S18" i="25" s="1"/>
  <c r="J6" i="33" s="1"/>
  <c r="H18" i="7"/>
  <c r="H18" i="25" s="1"/>
  <c r="Z14" i="7"/>
  <c r="Z14" i="25" s="1"/>
  <c r="Q2" i="33" s="1"/>
  <c r="K18" i="7"/>
  <c r="K18" i="25" s="1"/>
  <c r="B6" i="33" s="1"/>
  <c r="Z17" i="7"/>
  <c r="Z17" i="25" s="1"/>
  <c r="Q5" i="33" s="1"/>
  <c r="E16" i="7"/>
  <c r="E16" i="25" s="1"/>
  <c r="AF19" i="7"/>
  <c r="AF19" i="25" s="1"/>
  <c r="W7" i="33" s="1"/>
  <c r="AO17" i="7"/>
  <c r="AO17" i="25" s="1"/>
  <c r="AF5" i="33" s="1"/>
  <c r="AI15" i="7"/>
  <c r="AI15" i="25" s="1"/>
  <c r="Z3" i="33" s="1"/>
  <c r="V16" i="7"/>
  <c r="V16" i="25" s="1"/>
  <c r="M4" i="33" s="1"/>
  <c r="G18" i="7"/>
  <c r="G18" i="25" s="1"/>
  <c r="AT16" i="7"/>
  <c r="AT16" i="25" s="1"/>
  <c r="AK4" i="33" s="1"/>
  <c r="L18" i="7"/>
  <c r="L18" i="25" s="1"/>
  <c r="C6" i="33" s="1"/>
  <c r="AU41" i="7"/>
  <c r="AU41" i="25" s="1"/>
  <c r="AL2" i="39" s="1"/>
  <c r="AH44" i="7"/>
  <c r="AH44" i="25" s="1"/>
  <c r="Y5" i="39" s="1"/>
  <c r="AD43" i="7"/>
  <c r="AD43" i="25" s="1"/>
  <c r="U4" i="39" s="1"/>
  <c r="G46" i="7"/>
  <c r="G46" i="25" s="1"/>
  <c r="Y46" i="7"/>
  <c r="Y46" i="25" s="1"/>
  <c r="P7" i="39" s="1"/>
  <c r="AC44" i="7"/>
  <c r="AQ44" i="7"/>
  <c r="AQ44" i="25" s="1"/>
  <c r="AH5" i="39" s="1"/>
  <c r="I46" i="7"/>
  <c r="I46" i="25" s="1"/>
  <c r="AE46" i="7"/>
  <c r="AE46" i="25" s="1"/>
  <c r="V7" i="39" s="1"/>
  <c r="S46" i="7"/>
  <c r="S46" i="25" s="1"/>
  <c r="J7" i="39" s="1"/>
  <c r="C41" i="7"/>
  <c r="C41" i="25" s="1"/>
  <c r="Q46" i="7"/>
  <c r="Q46" i="25" s="1"/>
  <c r="H7" i="39" s="1"/>
  <c r="AP46" i="7"/>
  <c r="AP46" i="25" s="1"/>
  <c r="AG7" i="39" s="1"/>
  <c r="R46" i="7"/>
  <c r="R46" i="25" s="1"/>
  <c r="I7" i="39" s="1"/>
  <c r="F45" i="7"/>
  <c r="F45" i="25" s="1"/>
  <c r="AD41" i="7"/>
  <c r="AD41" i="25" s="1"/>
  <c r="U2" i="39" s="1"/>
  <c r="AT41" i="7"/>
  <c r="AT41" i="25" s="1"/>
  <c r="AK2" i="39" s="1"/>
  <c r="P43" i="7"/>
  <c r="P43" i="25" s="1"/>
  <c r="G4" i="39" s="1"/>
  <c r="AL43" i="7"/>
  <c r="AL43" i="25" s="1"/>
  <c r="AC4" i="39" s="1"/>
  <c r="AT46" i="7"/>
  <c r="AT46" i="25" s="1"/>
  <c r="AK7" i="39" s="1"/>
  <c r="Z45" i="7"/>
  <c r="Z45" i="25" s="1"/>
  <c r="Q6" i="39" s="1"/>
  <c r="X43" i="7"/>
  <c r="X43" i="25" s="1"/>
  <c r="O4" i="39" s="1"/>
  <c r="D44" i="7"/>
  <c r="D44" i="25" s="1"/>
  <c r="Y43" i="7"/>
  <c r="Y43" i="25" s="1"/>
  <c r="P4" i="39" s="1"/>
  <c r="E41" i="7"/>
  <c r="E41" i="25" s="1"/>
  <c r="AF46" i="7"/>
  <c r="AF46" i="25" s="1"/>
  <c r="W7" i="39" s="1"/>
  <c r="T45" i="7"/>
  <c r="T45" i="25" s="1"/>
  <c r="K6" i="39" s="1"/>
  <c r="AG41" i="7"/>
  <c r="AG41" i="25" s="1"/>
  <c r="X2" i="39" s="1"/>
  <c r="T41" i="7"/>
  <c r="T41" i="25" s="1"/>
  <c r="K2" i="39" s="1"/>
  <c r="Q45" i="7"/>
  <c r="Q45" i="25" s="1"/>
  <c r="H6" i="39" s="1"/>
  <c r="Q44" i="7"/>
  <c r="Q44" i="25" s="1"/>
  <c r="H5" i="39" s="1"/>
  <c r="AH45" i="7"/>
  <c r="AH45" i="25" s="1"/>
  <c r="Y6" i="39" s="1"/>
  <c r="AG44" i="7"/>
  <c r="AG44" i="25" s="1"/>
  <c r="X5" i="39" s="1"/>
  <c r="J46" i="7"/>
  <c r="J46" i="25" s="1"/>
  <c r="V45" i="7"/>
  <c r="V45" i="25" s="1"/>
  <c r="M6" i="39" s="1"/>
  <c r="AH43" i="7"/>
  <c r="AH43" i="25" s="1"/>
  <c r="Y4" i="39" s="1"/>
  <c r="AK46" i="7"/>
  <c r="AK46" i="25" s="1"/>
  <c r="AB7" i="39" s="1"/>
  <c r="G45" i="7"/>
  <c r="G45" i="25" s="1"/>
  <c r="P41" i="7"/>
  <c r="P41" i="25" s="1"/>
  <c r="G2" i="39" s="1"/>
  <c r="C42" i="7"/>
  <c r="C42" i="25" s="1"/>
  <c r="AK43" i="7"/>
  <c r="AK43" i="25" s="1"/>
  <c r="AB4" i="39" s="1"/>
  <c r="AB45" i="7"/>
  <c r="AB45" i="25" s="1"/>
  <c r="S6" i="39" s="1"/>
  <c r="Y42" i="7"/>
  <c r="Y42" i="25" s="1"/>
  <c r="P3" i="39" s="1"/>
  <c r="X45" i="7"/>
  <c r="X45" i="25" s="1"/>
  <c r="O6" i="39" s="1"/>
  <c r="AT45" i="7"/>
  <c r="AT45" i="25" s="1"/>
  <c r="AK6" i="39" s="1"/>
  <c r="G42" i="7"/>
  <c r="G42" i="25" s="1"/>
  <c r="AQ42" i="7"/>
  <c r="AQ42" i="25" s="1"/>
  <c r="AH3" i="39" s="1"/>
  <c r="AN45" i="7"/>
  <c r="AN45" i="25" s="1"/>
  <c r="AE6" i="39" s="1"/>
  <c r="S45" i="7"/>
  <c r="S45" i="25" s="1"/>
  <c r="J6" i="39" s="1"/>
  <c r="F43" i="7"/>
  <c r="F43" i="25" s="1"/>
  <c r="D41" i="7"/>
  <c r="D41" i="25" s="1"/>
  <c r="AO46" i="7"/>
  <c r="AM43" i="7"/>
  <c r="AM43" i="25" s="1"/>
  <c r="AD4" i="39" s="1"/>
  <c r="F41" i="7"/>
  <c r="F41" i="25" s="1"/>
  <c r="T44" i="7"/>
  <c r="T44" i="25" s="1"/>
  <c r="K5" i="39" s="1"/>
  <c r="AL42" i="7"/>
  <c r="AL42" i="25" s="1"/>
  <c r="AC3" i="39" s="1"/>
  <c r="L44" i="7"/>
  <c r="L44" i="25" s="1"/>
  <c r="C5" i="39" s="1"/>
  <c r="O46" i="7"/>
  <c r="O46" i="25" s="1"/>
  <c r="F7" i="39" s="1"/>
  <c r="O43" i="7"/>
  <c r="O43" i="25" s="1"/>
  <c r="F4" i="39" s="1"/>
  <c r="L42" i="7"/>
  <c r="L42" i="25" s="1"/>
  <c r="C3" i="39" s="1"/>
  <c r="AR44" i="7"/>
  <c r="AS45" i="7"/>
  <c r="AS45" i="25" s="1"/>
  <c r="AJ6" i="39" s="1"/>
  <c r="J42" i="7"/>
  <c r="J42" i="25" s="1"/>
  <c r="U41" i="7"/>
  <c r="U41" i="25" s="1"/>
  <c r="L2" i="39" s="1"/>
  <c r="AL44" i="7"/>
  <c r="AL44" i="25" s="1"/>
  <c r="AC5" i="39" s="1"/>
  <c r="E44" i="7"/>
  <c r="E44" i="25" s="1"/>
  <c r="O45" i="7"/>
  <c r="AN44" i="7"/>
  <c r="AN44" i="25" s="1"/>
  <c r="AE5" i="39" s="1"/>
  <c r="AC10" i="7"/>
  <c r="AC10" i="25" s="1"/>
  <c r="T7" i="32" s="1"/>
  <c r="AI45" i="7"/>
  <c r="AI45" i="25" s="1"/>
  <c r="Z6" i="39" s="1"/>
  <c r="AI8" i="7"/>
  <c r="AI8" i="25" s="1"/>
  <c r="Z5" i="32" s="1"/>
  <c r="R8" i="7"/>
  <c r="R8" i="25" s="1"/>
  <c r="I5" i="32" s="1"/>
  <c r="E8" i="7"/>
  <c r="E8" i="25" s="1"/>
  <c r="S10" i="7"/>
  <c r="S10" i="25" s="1"/>
  <c r="J7" i="32" s="1"/>
  <c r="C10" i="7"/>
  <c r="C10" i="25" s="1"/>
  <c r="Z9" i="7"/>
  <c r="Z9" i="25" s="1"/>
  <c r="Q6" i="32" s="1"/>
  <c r="AD8" i="7"/>
  <c r="AD8" i="25" s="1"/>
  <c r="U5" i="32" s="1"/>
  <c r="AE8" i="7"/>
  <c r="AE8" i="25" s="1"/>
  <c r="V5" i="32" s="1"/>
  <c r="AG8" i="7"/>
  <c r="AG8" i="25" s="1"/>
  <c r="X5" i="32" s="1"/>
  <c r="P5" i="7"/>
  <c r="P5" i="25" s="1"/>
  <c r="V8" i="7"/>
  <c r="V8" i="25" s="1"/>
  <c r="M5" i="32" s="1"/>
  <c r="AG9" i="7"/>
  <c r="AG9" i="25" s="1"/>
  <c r="X6" i="32" s="1"/>
  <c r="AS5" i="7"/>
  <c r="AS5" i="25" s="1"/>
  <c r="AR5" i="7"/>
  <c r="AR5" i="25" s="1"/>
  <c r="G7" i="7"/>
  <c r="G7" i="25" s="1"/>
  <c r="E9" i="7"/>
  <c r="E9" i="25" s="1"/>
  <c r="F10" i="7"/>
  <c r="F10" i="25" s="1"/>
  <c r="AR9" i="7"/>
  <c r="AR9" i="25" s="1"/>
  <c r="AI6" i="32" s="1"/>
  <c r="S6" i="7"/>
  <c r="S6" i="25" s="1"/>
  <c r="J3" i="32" s="1"/>
  <c r="R6" i="7"/>
  <c r="R6" i="25" s="1"/>
  <c r="I3" i="32" s="1"/>
  <c r="Z5" i="7"/>
  <c r="Z5" i="25" s="1"/>
  <c r="T5" i="7"/>
  <c r="T5" i="25" s="1"/>
  <c r="AQ9" i="7"/>
  <c r="AQ9" i="25" s="1"/>
  <c r="AH6" i="32" s="1"/>
  <c r="AT5" i="7"/>
  <c r="AT5" i="25" s="1"/>
  <c r="AD9" i="7"/>
  <c r="AD9" i="25" s="1"/>
  <c r="U6" i="32" s="1"/>
  <c r="S9" i="7"/>
  <c r="S9" i="25" s="1"/>
  <c r="J6" i="32" s="1"/>
  <c r="AT10" i="7"/>
  <c r="AT10" i="25" s="1"/>
  <c r="AK7" i="32" s="1"/>
  <c r="AN6" i="7"/>
  <c r="AN6" i="25" s="1"/>
  <c r="AE3" i="32" s="1"/>
  <c r="AS10" i="7"/>
  <c r="AS10" i="25" s="1"/>
  <c r="AJ7" i="32" s="1"/>
  <c r="AC5" i="7"/>
  <c r="AC5" i="25" s="1"/>
  <c r="AU9" i="7"/>
  <c r="AU9" i="25" s="1"/>
  <c r="AL6" i="32" s="1"/>
  <c r="AP6" i="7"/>
  <c r="AP6" i="25" s="1"/>
  <c r="AG3" i="32" s="1"/>
  <c r="AK7" i="7"/>
  <c r="AK7" i="25" s="1"/>
  <c r="AB4" i="32" s="1"/>
  <c r="AN8" i="7"/>
  <c r="AN8" i="25" s="1"/>
  <c r="AE5" i="32" s="1"/>
  <c r="N9" i="7"/>
  <c r="N9" i="25" s="1"/>
  <c r="E6" i="32" s="1"/>
  <c r="AP9" i="7"/>
  <c r="AP9" i="25" s="1"/>
  <c r="AG6" i="32" s="1"/>
  <c r="AG6" i="7"/>
  <c r="AG6" i="25" s="1"/>
  <c r="X3" i="32" s="1"/>
  <c r="U5" i="7"/>
  <c r="U5" i="25" s="1"/>
  <c r="C6" i="7"/>
  <c r="C6" i="25" s="1"/>
  <c r="G9" i="7"/>
  <c r="G9" i="25" s="1"/>
  <c r="X8" i="7"/>
  <c r="X8" i="25" s="1"/>
  <c r="O5" i="32" s="1"/>
  <c r="Y7" i="7"/>
  <c r="Y7" i="25" s="1"/>
  <c r="P4" i="32" s="1"/>
  <c r="C5" i="7"/>
  <c r="AS6" i="7"/>
  <c r="AS6" i="25" s="1"/>
  <c r="AJ3" i="32" s="1"/>
  <c r="AL10" i="7"/>
  <c r="AL10" i="25" s="1"/>
  <c r="AC7" i="32" s="1"/>
  <c r="AS8" i="7"/>
  <c r="AS8" i="25" s="1"/>
  <c r="AJ5" i="32" s="1"/>
  <c r="V10" i="7"/>
  <c r="V10" i="25" s="1"/>
  <c r="M7" i="32" s="1"/>
  <c r="AD7" i="7"/>
  <c r="AD7" i="25" s="1"/>
  <c r="U4" i="32" s="1"/>
  <c r="M7" i="7"/>
  <c r="M7" i="25" s="1"/>
  <c r="D4" i="32" s="1"/>
  <c r="AN41" i="7"/>
  <c r="AN41" i="25" s="1"/>
  <c r="AE2" i="39" s="1"/>
  <c r="AD46" i="7"/>
  <c r="AD46" i="25" s="1"/>
  <c r="U7" i="39" s="1"/>
  <c r="AR42" i="7"/>
  <c r="AC43" i="7"/>
  <c r="AC43" i="25" s="1"/>
  <c r="T4" i="39" s="1"/>
  <c r="AD44" i="7"/>
  <c r="AD44" i="25" s="1"/>
  <c r="U5" i="39" s="1"/>
  <c r="AU45" i="7"/>
  <c r="AU45" i="25" s="1"/>
  <c r="AL6" i="39" s="1"/>
  <c r="AJ45" i="7"/>
  <c r="AJ45" i="25" s="1"/>
  <c r="AA6" i="39" s="1"/>
  <c r="I44" i="7"/>
  <c r="I44" i="25" s="1"/>
  <c r="AI46" i="7"/>
  <c r="AI46" i="25" s="1"/>
  <c r="Z7" i="39" s="1"/>
  <c r="D46" i="7"/>
  <c r="D46" i="25" s="1"/>
  <c r="H42" i="7"/>
  <c r="H42" i="25" s="1"/>
  <c r="D43" i="7"/>
  <c r="D43" i="25" s="1"/>
  <c r="AT43" i="7"/>
  <c r="AT43" i="25" s="1"/>
  <c r="AK4" i="39" s="1"/>
  <c r="V43" i="7"/>
  <c r="V43" i="25" s="1"/>
  <c r="M4" i="39" s="1"/>
  <c r="AU43" i="7"/>
  <c r="AD42" i="7"/>
  <c r="AD42" i="25" s="1"/>
  <c r="U3" i="39" s="1"/>
  <c r="AA41" i="7"/>
  <c r="E45" i="7"/>
  <c r="E45" i="25" s="1"/>
  <c r="H41" i="7"/>
  <c r="H41" i="25" s="1"/>
  <c r="P45" i="7"/>
  <c r="P45" i="25" s="1"/>
  <c r="G6" i="39" s="1"/>
  <c r="AO44" i="7"/>
  <c r="M45" i="7"/>
  <c r="M45" i="25" s="1"/>
  <c r="D6" i="39" s="1"/>
  <c r="AP44" i="7"/>
  <c r="AP44" i="25" s="1"/>
  <c r="AG5" i="39" s="1"/>
  <c r="R44" i="7"/>
  <c r="R44" i="25" s="1"/>
  <c r="I5" i="39" s="1"/>
  <c r="E43" i="7"/>
  <c r="E43" i="25" s="1"/>
  <c r="Y41" i="7"/>
  <c r="Y41" i="25" s="1"/>
  <c r="P2" i="39" s="1"/>
  <c r="U43" i="7"/>
  <c r="U43" i="25" s="1"/>
  <c r="L4" i="39" s="1"/>
  <c r="Q41" i="7"/>
  <c r="Q41" i="25" s="1"/>
  <c r="H2" i="39" s="1"/>
  <c r="AR41" i="7"/>
  <c r="AR41" i="25" s="1"/>
  <c r="AI2" i="39" s="1"/>
  <c r="R45" i="7"/>
  <c r="R45" i="25" s="1"/>
  <c r="I6" i="39" s="1"/>
  <c r="AE43" i="7"/>
  <c r="AE43" i="25" s="1"/>
  <c r="V4" i="39" s="1"/>
  <c r="K44" i="7"/>
  <c r="K44" i="25" s="1"/>
  <c r="B5" i="39" s="1"/>
  <c r="E42" i="7"/>
  <c r="E42" i="25" s="1"/>
  <c r="O41" i="7"/>
  <c r="O41" i="25" s="1"/>
  <c r="F2" i="39" s="1"/>
  <c r="AF45" i="7"/>
  <c r="AF45" i="25" s="1"/>
  <c r="W6" i="39" s="1"/>
  <c r="X44" i="7"/>
  <c r="X44" i="25" s="1"/>
  <c r="O5" i="39" s="1"/>
  <c r="AH41" i="7"/>
  <c r="H44" i="7"/>
  <c r="V46" i="7"/>
  <c r="V46" i="25" s="1"/>
  <c r="M7" i="39" s="1"/>
  <c r="AI43" i="7"/>
  <c r="AI43" i="25" s="1"/>
  <c r="Z4" i="39" s="1"/>
  <c r="I42" i="7"/>
  <c r="I42" i="25" s="1"/>
  <c r="AE42" i="7"/>
  <c r="AP41" i="7"/>
  <c r="O42" i="7"/>
  <c r="O42" i="25" s="1"/>
  <c r="F3" i="39" s="1"/>
  <c r="AM41" i="7"/>
  <c r="AM41" i="25" s="1"/>
  <c r="AD2" i="39" s="1"/>
  <c r="AG43" i="7"/>
  <c r="AG43" i="25" s="1"/>
  <c r="X4" i="39" s="1"/>
  <c r="W41" i="7"/>
  <c r="W41" i="25" s="1"/>
  <c r="N2" i="39" s="1"/>
  <c r="E46" i="7"/>
  <c r="S43" i="7"/>
  <c r="S43" i="25" s="1"/>
  <c r="J4" i="39" s="1"/>
  <c r="I41" i="7"/>
  <c r="I41" i="25" s="1"/>
  <c r="AE41" i="7"/>
  <c r="AE41" i="25" s="1"/>
  <c r="V2" i="39" s="1"/>
  <c r="N42" i="7"/>
  <c r="N42" i="25" s="1"/>
  <c r="E3" i="39" s="1"/>
  <c r="AS43" i="7"/>
  <c r="AS43" i="25" s="1"/>
  <c r="AJ4" i="39" s="1"/>
  <c r="X41" i="7"/>
  <c r="X41" i="25" s="1"/>
  <c r="O2" i="39" s="1"/>
  <c r="AB44" i="7"/>
  <c r="AB44" i="25" s="1"/>
  <c r="S5" i="39" s="1"/>
  <c r="AD45" i="7"/>
  <c r="AD45" i="25" s="1"/>
  <c r="U6" i="39" s="1"/>
  <c r="L46" i="7"/>
  <c r="L46" i="25" s="1"/>
  <c r="C7" i="39" s="1"/>
  <c r="M41" i="7"/>
  <c r="M41" i="25" s="1"/>
  <c r="D2" i="39" s="1"/>
  <c r="D45" i="7"/>
  <c r="D45" i="25" s="1"/>
  <c r="T43" i="7"/>
  <c r="T43" i="25" s="1"/>
  <c r="K4" i="39" s="1"/>
  <c r="AL46" i="7"/>
  <c r="AL46" i="25" s="1"/>
  <c r="AC7" i="39" s="1"/>
  <c r="AG42" i="7"/>
  <c r="AG42" i="25" s="1"/>
  <c r="X3" i="39" s="1"/>
  <c r="AR45" i="7"/>
  <c r="AR45" i="25" s="1"/>
  <c r="AI6" i="39" s="1"/>
  <c r="AU42" i="7"/>
  <c r="AU42" i="25" s="1"/>
  <c r="AL3" i="39" s="1"/>
  <c r="AU46" i="7"/>
  <c r="AU46" i="25" s="1"/>
  <c r="AL7" i="39" s="1"/>
  <c r="AT42" i="7"/>
  <c r="AT42" i="25" s="1"/>
  <c r="AK3" i="39" s="1"/>
  <c r="AL41" i="7"/>
  <c r="AL41" i="25" s="1"/>
  <c r="AC2" i="39" s="1"/>
  <c r="Z41" i="7"/>
  <c r="Z41" i="25" s="1"/>
  <c r="Q2" i="39" s="1"/>
  <c r="AE33" i="25"/>
  <c r="V3" i="38" s="1"/>
  <c r="X32" i="25"/>
  <c r="O2" i="38" s="1"/>
  <c r="S32" i="25"/>
  <c r="J2" i="38" s="1"/>
  <c r="M34" i="25"/>
  <c r="D4" i="38" s="1"/>
  <c r="O32" i="25"/>
  <c r="F2" i="38" s="1"/>
  <c r="M36" i="25"/>
  <c r="D6" i="38" s="1"/>
  <c r="AG33" i="25"/>
  <c r="X3" i="38" s="1"/>
  <c r="K35" i="25"/>
  <c r="B5" i="38" s="1"/>
  <c r="AN35" i="25"/>
  <c r="AE5" i="38" s="1"/>
  <c r="AM35" i="25"/>
  <c r="AD5" i="38" s="1"/>
  <c r="AO34" i="25"/>
  <c r="AF4" i="38" s="1"/>
  <c r="C36" i="25"/>
  <c r="AA32" i="25"/>
  <c r="R2" i="38" s="1"/>
  <c r="O37" i="25"/>
  <c r="F7" i="38" s="1"/>
  <c r="AK32" i="25"/>
  <c r="AB2" i="38" s="1"/>
  <c r="X37" i="25"/>
  <c r="O7" i="38" s="1"/>
  <c r="O5" i="25"/>
  <c r="F34" i="25"/>
  <c r="C35" i="25"/>
  <c r="E34" i="25"/>
  <c r="I37" i="25"/>
  <c r="V32" i="25"/>
  <c r="M2" i="38" s="1"/>
  <c r="Y33" i="25"/>
  <c r="P3" i="38" s="1"/>
  <c r="S34" i="25"/>
  <c r="J4" i="38" s="1"/>
  <c r="AB33" i="25"/>
  <c r="S3" i="38" s="1"/>
  <c r="AL32" i="25"/>
  <c r="AC2" i="38" s="1"/>
  <c r="AI35" i="25"/>
  <c r="Z5" i="38" s="1"/>
  <c r="Q36" i="25"/>
  <c r="H6" i="38" s="1"/>
  <c r="D7" i="25"/>
  <c r="AI5" i="25"/>
  <c r="AM9" i="25"/>
  <c r="AD6" i="32" s="1"/>
  <c r="AO36" i="25"/>
  <c r="AF6" i="38" s="1"/>
  <c r="AD35" i="25"/>
  <c r="U5" i="38" s="1"/>
  <c r="P35" i="25"/>
  <c r="G5" i="38" s="1"/>
  <c r="N35" i="25"/>
  <c r="E5" i="38" s="1"/>
  <c r="J8" i="25"/>
  <c r="Z35" i="25"/>
  <c r="Q5" i="38" s="1"/>
  <c r="D36" i="25"/>
  <c r="I36" i="25"/>
  <c r="AE10" i="25"/>
  <c r="V7" i="32" s="1"/>
  <c r="AI10" i="25"/>
  <c r="Z7" i="32" s="1"/>
  <c r="AQ7" i="25"/>
  <c r="AH4" i="32" s="1"/>
  <c r="T10" i="25"/>
  <c r="K7" i="32" s="1"/>
  <c r="P36" i="25"/>
  <c r="G6" i="38" s="1"/>
  <c r="I6" i="25"/>
  <c r="T7" i="25"/>
  <c r="K4" i="32" s="1"/>
  <c r="H8" i="25"/>
  <c r="Y9" i="25"/>
  <c r="P6" i="32" s="1"/>
  <c r="AI32" i="25"/>
  <c r="Z2" i="38" s="1"/>
  <c r="AI34" i="25"/>
  <c r="Z4" i="38" s="1"/>
  <c r="AM32" i="25"/>
  <c r="AD2" i="38" s="1"/>
  <c r="AI33" i="25"/>
  <c r="Z3" i="38" s="1"/>
  <c r="AO9" i="25"/>
  <c r="AF6" i="32" s="1"/>
  <c r="AS9" i="25"/>
  <c r="AJ6" i="32" s="1"/>
  <c r="X6" i="25"/>
  <c r="O3" i="32" s="1"/>
  <c r="K36" i="25"/>
  <c r="B6" i="38" s="1"/>
  <c r="AP5" i="25"/>
  <c r="AG32" i="25"/>
  <c r="X2" i="38" s="1"/>
  <c r="P42" i="25"/>
  <c r="G3" i="39" s="1"/>
  <c r="L45" i="25"/>
  <c r="C6" i="39" s="1"/>
  <c r="U9" i="25"/>
  <c r="L6" i="32" s="1"/>
  <c r="Y10" i="25"/>
  <c r="P7" i="32" s="1"/>
  <c r="AM37" i="25"/>
  <c r="AD7" i="38" s="1"/>
  <c r="Y32" i="25"/>
  <c r="P2" i="38" s="1"/>
  <c r="AR6" i="25"/>
  <c r="AI3" i="32" s="1"/>
  <c r="D6" i="25"/>
  <c r="C9" i="25"/>
  <c r="AR35" i="25"/>
  <c r="AI5" i="38" s="1"/>
  <c r="AH32" i="25"/>
  <c r="Y2" i="38" s="1"/>
  <c r="AR10" i="25"/>
  <c r="AI7" i="32" s="1"/>
  <c r="W8" i="25"/>
  <c r="N5" i="32" s="1"/>
  <c r="H6" i="25"/>
  <c r="AT8" i="25"/>
  <c r="AK5" i="32" s="1"/>
  <c r="AG34" i="25"/>
  <c r="X4" i="38" s="1"/>
  <c r="AT6" i="25"/>
  <c r="AK3" i="32" s="1"/>
  <c r="X9" i="25"/>
  <c r="O6" i="32" s="1"/>
  <c r="H45" i="25"/>
  <c r="K46" i="25"/>
  <c r="B7" i="39" s="1"/>
  <c r="F35" i="25"/>
  <c r="L7" i="25"/>
  <c r="C4" i="32" s="1"/>
  <c r="AH9" i="25"/>
  <c r="Y6" i="32" s="1"/>
  <c r="AH10" i="25"/>
  <c r="Y7" i="32" s="1"/>
  <c r="M10" i="25"/>
  <c r="D7" i="32" s="1"/>
  <c r="AM33" i="25"/>
  <c r="AD3" i="38" s="1"/>
  <c r="AM10" i="25"/>
  <c r="AD7" i="32" s="1"/>
  <c r="AO8" i="25"/>
  <c r="AF5" i="32" s="1"/>
  <c r="AD10" i="25"/>
  <c r="U7" i="32" s="1"/>
  <c r="AM7" i="25"/>
  <c r="AD4" i="32" s="1"/>
  <c r="AH7" i="25"/>
  <c r="Y4" i="32" s="1"/>
  <c r="D5" i="25"/>
  <c r="AJ5" i="25"/>
  <c r="AK6" i="25"/>
  <c r="AB3" i="32" s="1"/>
  <c r="AF9" i="25"/>
  <c r="W6" i="32" s="1"/>
  <c r="Y6" i="25"/>
  <c r="P3" i="32" s="1"/>
  <c r="K7" i="25"/>
  <c r="B4" i="32" s="1"/>
  <c r="G8" i="25"/>
  <c r="AP33" i="25"/>
  <c r="AG3" i="38" s="1"/>
  <c r="AN5" i="25"/>
  <c r="AQ45" i="25"/>
  <c r="AH6" i="39" s="1"/>
  <c r="N41" i="25"/>
  <c r="E2" i="39" s="1"/>
  <c r="N46" i="25"/>
  <c r="E7" i="39" s="1"/>
  <c r="AR33" i="25"/>
  <c r="AI3" i="38" s="1"/>
  <c r="AB32" i="25"/>
  <c r="S2" i="38" s="1"/>
  <c r="S33" i="25"/>
  <c r="J3" i="38" s="1"/>
  <c r="AH35" i="25"/>
  <c r="Y5" i="38" s="1"/>
  <c r="AB36" i="25"/>
  <c r="S6" i="38" s="1"/>
  <c r="AS37" i="25"/>
  <c r="AJ7" i="38" s="1"/>
  <c r="T32" i="25"/>
  <c r="K2" i="38" s="1"/>
  <c r="N37" i="25"/>
  <c r="E7" i="38" s="1"/>
  <c r="C37" i="25"/>
  <c r="F33" i="25"/>
  <c r="G35" i="25"/>
  <c r="N32" i="25"/>
  <c r="E2" i="38" s="1"/>
  <c r="AK33" i="25"/>
  <c r="AB3" i="38" s="1"/>
  <c r="Q32" i="25"/>
  <c r="H2" i="38" s="1"/>
  <c r="AQ33" i="25"/>
  <c r="AH3" i="38" s="1"/>
  <c r="V36" i="25"/>
  <c r="M6" i="38" s="1"/>
  <c r="AI36" i="25"/>
  <c r="Z6" i="38" s="1"/>
  <c r="AH34" i="25"/>
  <c r="Y4" i="38" s="1"/>
  <c r="V33" i="25"/>
  <c r="M3" i="38" s="1"/>
  <c r="AJ37" i="25"/>
  <c r="AA7" i="38" s="1"/>
  <c r="AS32" i="25"/>
  <c r="AJ2" i="38" s="1"/>
  <c r="AH36" i="25"/>
  <c r="Y6" i="38" s="1"/>
  <c r="E35" i="25"/>
  <c r="AC35" i="25"/>
  <c r="T5" i="38" s="1"/>
  <c r="AA36" i="25"/>
  <c r="R6" i="38" s="1"/>
  <c r="J36" i="25"/>
  <c r="AM36" i="25"/>
  <c r="AD6" i="38" s="1"/>
  <c r="AH33" i="25"/>
  <c r="Y3" i="38" s="1"/>
  <c r="AM53" i="7"/>
  <c r="K33" i="25"/>
  <c r="B3" i="38" s="1"/>
  <c r="AQ36" i="25"/>
  <c r="AH6" i="38" s="1"/>
  <c r="Z37" i="25"/>
  <c r="Q7" i="38" s="1"/>
  <c r="I33" i="25"/>
  <c r="AT35" i="25"/>
  <c r="AK5" i="38" s="1"/>
  <c r="I32" i="25"/>
  <c r="T33" i="25"/>
  <c r="K3" i="38" s="1"/>
  <c r="U32" i="25"/>
  <c r="L2" i="38" s="1"/>
  <c r="H35" i="25"/>
  <c r="G32" i="25"/>
  <c r="AT36" i="25"/>
  <c r="AK6" i="38" s="1"/>
  <c r="AF33" i="25"/>
  <c r="W3" i="38" s="1"/>
  <c r="AS36" i="25"/>
  <c r="AJ6" i="38" s="1"/>
  <c r="AD37" i="25"/>
  <c r="U7" i="38" s="1"/>
  <c r="D32" i="25"/>
  <c r="O35" i="25"/>
  <c r="F5" i="38" s="1"/>
  <c r="AJ34" i="25"/>
  <c r="AA4" i="38" s="1"/>
  <c r="C32" i="25"/>
  <c r="AR36" i="25"/>
  <c r="AI6" i="38" s="1"/>
  <c r="AC34" i="25"/>
  <c r="T4" i="38" s="1"/>
  <c r="J37" i="25"/>
  <c r="O33" i="25"/>
  <c r="F3" i="38" s="1"/>
  <c r="R32" i="25"/>
  <c r="I2" i="38" s="1"/>
  <c r="J33" i="25"/>
  <c r="K37" i="25"/>
  <c r="B7" i="38" s="1"/>
  <c r="AE32" i="25"/>
  <c r="V2" i="38" s="1"/>
  <c r="AN34" i="25"/>
  <c r="AE4" i="38" s="1"/>
  <c r="D34" i="25"/>
  <c r="AP32" i="25"/>
  <c r="AG2" i="38" s="1"/>
  <c r="AE37" i="25"/>
  <c r="V7" i="38" s="1"/>
  <c r="Q34" i="25"/>
  <c r="H4" i="38" s="1"/>
  <c r="AO35" i="25"/>
  <c r="AF5" i="38" s="1"/>
  <c r="AP37" i="25"/>
  <c r="AG7" i="38" s="1"/>
  <c r="AS34" i="25"/>
  <c r="AJ4" i="38" s="1"/>
  <c r="T36" i="25"/>
  <c r="K6" i="38" s="1"/>
  <c r="AD34" i="25"/>
  <c r="U4" i="38" s="1"/>
  <c r="U33" i="25"/>
  <c r="L3" i="38" s="1"/>
  <c r="C7" i="25"/>
  <c r="R35" i="25"/>
  <c r="I5" i="38" s="1"/>
  <c r="AD32" i="25"/>
  <c r="U2" i="38" s="1"/>
  <c r="AU33" i="25"/>
  <c r="AL3" i="38" s="1"/>
  <c r="O36" i="25"/>
  <c r="F6" i="38" s="1"/>
  <c r="W34" i="25"/>
  <c r="N4" i="38" s="1"/>
  <c r="AQ35" i="25"/>
  <c r="AH5" i="38" s="1"/>
  <c r="Y44" i="25"/>
  <c r="P5" i="39" s="1"/>
  <c r="R50" i="7"/>
  <c r="AK36" i="25"/>
  <c r="AB6" i="38" s="1"/>
  <c r="AS33" i="25"/>
  <c r="AJ3" i="38" s="1"/>
  <c r="K32" i="25"/>
  <c r="B2" i="38" s="1"/>
  <c r="AA35" i="25"/>
  <c r="R5" i="38" s="1"/>
  <c r="D35" i="25"/>
  <c r="AU34" i="25"/>
  <c r="AL4" i="38" s="1"/>
  <c r="W35" i="25"/>
  <c r="N5" i="38" s="1"/>
  <c r="AA37" i="25"/>
  <c r="R7" i="38" s="1"/>
  <c r="AF34" i="25"/>
  <c r="W4" i="38" s="1"/>
  <c r="P34" i="25"/>
  <c r="G4" i="38" s="1"/>
  <c r="AA33" i="25"/>
  <c r="R3" i="38" s="1"/>
  <c r="V35" i="25"/>
  <c r="M5" i="38" s="1"/>
  <c r="M32" i="25"/>
  <c r="D2" i="38" s="1"/>
  <c r="J45" i="25"/>
  <c r="U35" i="25"/>
  <c r="L5" i="38" s="1"/>
  <c r="L35" i="25"/>
  <c r="C5" i="38" s="1"/>
  <c r="AF44" i="25"/>
  <c r="W5" i="39" s="1"/>
  <c r="AQ52" i="7"/>
  <c r="Z10" i="25"/>
  <c r="Q7" i="32" s="1"/>
  <c r="AU35" i="25"/>
  <c r="AL5" i="38" s="1"/>
  <c r="I9" i="25"/>
  <c r="W7" i="25"/>
  <c r="N4" i="32" s="1"/>
  <c r="D8" i="25"/>
  <c r="AU6" i="25"/>
  <c r="AL3" i="32" s="1"/>
  <c r="O6" i="25"/>
  <c r="F3" i="32" s="1"/>
  <c r="AJ35" i="25"/>
  <c r="AA5" i="38" s="1"/>
  <c r="D37" i="25"/>
  <c r="AG36" i="25"/>
  <c r="X6" i="38" s="1"/>
  <c r="AL34" i="25"/>
  <c r="AC4" i="38" s="1"/>
  <c r="E37" i="25"/>
  <c r="V37" i="25"/>
  <c r="M7" i="38" s="1"/>
  <c r="AC7" i="25"/>
  <c r="T4" i="32" s="1"/>
  <c r="X34" i="25"/>
  <c r="O4" i="38" s="1"/>
  <c r="M35" i="25"/>
  <c r="D5" i="38" s="1"/>
  <c r="Y35" i="25"/>
  <c r="P5" i="38" s="1"/>
  <c r="AF41" i="25"/>
  <c r="W2" i="39" s="1"/>
  <c r="AR43" i="25"/>
  <c r="AI4" i="39" s="1"/>
  <c r="AE45" i="25"/>
  <c r="V6" i="39" s="1"/>
  <c r="AJ43" i="25"/>
  <c r="AA4" i="39" s="1"/>
  <c r="W33" i="25"/>
  <c r="N3" i="38" s="1"/>
  <c r="I34" i="25"/>
  <c r="W32" i="25"/>
  <c r="N2" i="38" s="1"/>
  <c r="AQ43" i="25"/>
  <c r="AH4" i="39" s="1"/>
  <c r="I45" i="25"/>
  <c r="AA43" i="25"/>
  <c r="R4" i="39" s="1"/>
  <c r="M43" i="25"/>
  <c r="D4" i="39" s="1"/>
  <c r="AM45" i="25"/>
  <c r="AD6" i="39" s="1"/>
  <c r="C45" i="25"/>
  <c r="Q43" i="25"/>
  <c r="H4" i="39" s="1"/>
  <c r="J44" i="25"/>
  <c r="J53" i="7"/>
  <c r="AA42" i="25"/>
  <c r="R3" i="39" s="1"/>
  <c r="AN43" i="25"/>
  <c r="AE4" i="39" s="1"/>
  <c r="M42" i="25"/>
  <c r="D3" i="39" s="1"/>
  <c r="T46" i="25"/>
  <c r="K7" i="39" s="1"/>
  <c r="Z44" i="25"/>
  <c r="Q5" i="39" s="1"/>
  <c r="S42" i="25"/>
  <c r="J3" i="39" s="1"/>
  <c r="U46" i="25"/>
  <c r="L7" i="39" s="1"/>
  <c r="AP42" i="25"/>
  <c r="AG3" i="39" s="1"/>
  <c r="F42" i="25"/>
  <c r="AS42" i="25"/>
  <c r="AJ3" i="39" s="1"/>
  <c r="W46" i="25"/>
  <c r="N7" i="39" s="1"/>
  <c r="N44" i="25"/>
  <c r="E5" i="39" s="1"/>
  <c r="W42" i="25"/>
  <c r="N3" i="39" s="1"/>
  <c r="N36" i="25"/>
  <c r="E6" i="38" s="1"/>
  <c r="AJ36" i="25"/>
  <c r="AA6" i="38" s="1"/>
  <c r="AT34" i="25"/>
  <c r="AK4" i="38" s="1"/>
  <c r="M37" i="25"/>
  <c r="D7" i="38" s="1"/>
  <c r="H34" i="25"/>
  <c r="AB46" i="25"/>
  <c r="S7" i="39" s="1"/>
  <c r="X42" i="25"/>
  <c r="O3" i="39" s="1"/>
  <c r="AJ44" i="25"/>
  <c r="AA5" i="39" s="1"/>
  <c r="K41" i="25"/>
  <c r="B2" i="39" s="1"/>
  <c r="AE44" i="25"/>
  <c r="V5" i="39" s="1"/>
  <c r="J41" i="25"/>
  <c r="S44" i="25"/>
  <c r="J5" i="39" s="1"/>
  <c r="V42" i="25"/>
  <c r="M3" i="39" s="1"/>
  <c r="AS41" i="25"/>
  <c r="AJ2" i="39" s="1"/>
  <c r="AC41" i="25"/>
  <c r="T2" i="39" s="1"/>
  <c r="K43" i="25"/>
  <c r="B4" i="39" s="1"/>
  <c r="R42" i="25"/>
  <c r="I3" i="39" s="1"/>
  <c r="AO45" i="25"/>
  <c r="AF6" i="39" s="1"/>
  <c r="AO54" i="7"/>
  <c r="W43" i="25"/>
  <c r="N4" i="39" s="1"/>
  <c r="V41" i="25"/>
  <c r="M2" i="39" s="1"/>
  <c r="F51" i="7"/>
  <c r="T37" i="25"/>
  <c r="K7" i="38" s="1"/>
  <c r="P55" i="7"/>
  <c r="AP34" i="25"/>
  <c r="AG4" i="38" s="1"/>
  <c r="Z36" i="25"/>
  <c r="Q6" i="38" s="1"/>
  <c r="AD36" i="25"/>
  <c r="U6" i="38" s="1"/>
  <c r="AF32" i="25"/>
  <c r="W2" i="38" s="1"/>
  <c r="AC42" i="25"/>
  <c r="T3" i="39" s="1"/>
  <c r="U44" i="25"/>
  <c r="L5" i="39" s="1"/>
  <c r="AC45" i="25"/>
  <c r="T6" i="39" s="1"/>
  <c r="AK42" i="25"/>
  <c r="AB3" i="39" s="1"/>
  <c r="G43" i="25"/>
  <c r="AF43" i="25"/>
  <c r="W4" i="39" s="1"/>
  <c r="Y37" i="25"/>
  <c r="P7" i="38" s="1"/>
  <c r="AG37" i="25"/>
  <c r="X7" i="38" s="1"/>
  <c r="AQ32" i="25"/>
  <c r="AH2" i="38" s="1"/>
  <c r="AQ50" i="7"/>
  <c r="Z34" i="25"/>
  <c r="Q4" i="38" s="1"/>
  <c r="AM34" i="25"/>
  <c r="AD4" i="38" s="1"/>
  <c r="AC32" i="25"/>
  <c r="T2" i="38" s="1"/>
  <c r="AU37" i="25"/>
  <c r="AL7" i="38" s="1"/>
  <c r="AF36" i="25"/>
  <c r="W6" i="38" s="1"/>
  <c r="Z32" i="25"/>
  <c r="Q2" i="38" s="1"/>
  <c r="AQ37" i="25"/>
  <c r="AH7" i="38" s="1"/>
  <c r="I35" i="25"/>
  <c r="AB37" i="25"/>
  <c r="S7" i="38" s="1"/>
  <c r="AE36" i="25"/>
  <c r="V6" i="38" s="1"/>
  <c r="AS35" i="25"/>
  <c r="AJ5" i="38" s="1"/>
  <c r="AL37" i="25"/>
  <c r="AC7" i="38" s="1"/>
  <c r="AL36" i="25"/>
  <c r="AC6" i="38" s="1"/>
  <c r="T34" i="25"/>
  <c r="K4" i="38" s="1"/>
  <c r="AF37" i="25"/>
  <c r="W7" i="38" s="1"/>
  <c r="C34" i="25"/>
  <c r="Y34" i="25"/>
  <c r="P4" i="38" s="1"/>
  <c r="AK37" i="25"/>
  <c r="AB7" i="38" s="1"/>
  <c r="Q37" i="25"/>
  <c r="H7" i="38" s="1"/>
  <c r="AA34" i="25"/>
  <c r="R4" i="38" s="1"/>
  <c r="Z33" i="25"/>
  <c r="Q3" i="38" s="1"/>
  <c r="R33" i="25"/>
  <c r="I3" i="38" s="1"/>
  <c r="H33" i="25"/>
  <c r="G34" i="25"/>
  <c r="U34" i="25"/>
  <c r="L4" i="38" s="1"/>
  <c r="T35" i="25"/>
  <c r="K5" i="38" s="1"/>
  <c r="S35" i="25"/>
  <c r="J5" i="38" s="1"/>
  <c r="D33" i="25"/>
  <c r="AB35" i="25"/>
  <c r="S5" i="38" s="1"/>
  <c r="AK34" i="25"/>
  <c r="AB4" i="38" s="1"/>
  <c r="AT33" i="25"/>
  <c r="AK3" i="38" s="1"/>
  <c r="S36" i="25"/>
  <c r="J6" i="38" s="1"/>
  <c r="AN32" i="25"/>
  <c r="AE2" i="38" s="1"/>
  <c r="AK45" i="25"/>
  <c r="AB6" i="39" s="1"/>
  <c r="S41" i="25"/>
  <c r="J2" i="39" s="1"/>
  <c r="Y45" i="25"/>
  <c r="P6" i="39" s="1"/>
  <c r="AO42" i="25"/>
  <c r="AF3" i="39" s="1"/>
  <c r="C43" i="25"/>
  <c r="AA45" i="25"/>
  <c r="R6" i="39" s="1"/>
  <c r="Z43" i="25"/>
  <c r="Q4" i="39" s="1"/>
  <c r="O44" i="25"/>
  <c r="F5" i="39" s="1"/>
  <c r="AO41" i="25"/>
  <c r="AF2" i="39" s="1"/>
  <c r="AK41" i="25"/>
  <c r="AB2" i="39" s="1"/>
  <c r="AF42" i="25"/>
  <c r="W3" i="39" s="1"/>
  <c r="H46" i="25"/>
  <c r="AG46" i="25"/>
  <c r="X7" i="39" s="1"/>
  <c r="AU44" i="25"/>
  <c r="AL5" i="39" s="1"/>
  <c r="D42" i="25"/>
  <c r="AJ46" i="25"/>
  <c r="AA7" i="39" s="1"/>
  <c r="AI41" i="25"/>
  <c r="Z2" i="39" s="1"/>
  <c r="AJ42" i="25"/>
  <c r="AA3" i="39" s="1"/>
  <c r="N43" i="25"/>
  <c r="E4" i="39" s="1"/>
  <c r="AB41" i="25"/>
  <c r="S2" i="39" s="1"/>
  <c r="AM42" i="25"/>
  <c r="AD3" i="39" s="1"/>
  <c r="R41" i="25"/>
  <c r="I2" i="39" s="1"/>
  <c r="R43" i="25"/>
  <c r="I4" i="39" s="1"/>
  <c r="AA44" i="25"/>
  <c r="R5" i="39" s="1"/>
  <c r="AS44" i="25"/>
  <c r="AJ5" i="39" s="1"/>
  <c r="P44" i="25"/>
  <c r="G5" i="39" s="1"/>
  <c r="T42" i="25"/>
  <c r="K3" i="39" s="1"/>
  <c r="AB43" i="25"/>
  <c r="S4" i="39" s="1"/>
  <c r="AA46" i="25"/>
  <c r="R7" i="39" s="1"/>
  <c r="AN42" i="25"/>
  <c r="AE3" i="39" s="1"/>
  <c r="AO43" i="25"/>
  <c r="AF4" i="39" s="1"/>
  <c r="Z46" i="25"/>
  <c r="Q7" i="39" s="1"/>
  <c r="N45" i="25"/>
  <c r="E6" i="39" s="1"/>
  <c r="V44" i="25"/>
  <c r="M5" i="39" s="1"/>
  <c r="AG45" i="25"/>
  <c r="X6" i="39" s="1"/>
  <c r="AP45" i="25"/>
  <c r="AG6" i="39" s="1"/>
  <c r="L41" i="25"/>
  <c r="C2" i="39" s="1"/>
  <c r="M44" i="25"/>
  <c r="D5" i="39" s="1"/>
  <c r="AT44" i="25"/>
  <c r="AK5" i="39" s="1"/>
  <c r="AM44" i="25"/>
  <c r="AD5" i="39" s="1"/>
  <c r="C44" i="25"/>
  <c r="AR46" i="25"/>
  <c r="AI7" i="39" s="1"/>
  <c r="AN46" i="25"/>
  <c r="AE7" i="39" s="1"/>
  <c r="AC46" i="25"/>
  <c r="T7" i="39" s="1"/>
  <c r="C53" i="7"/>
  <c r="C52" i="7" l="1"/>
  <c r="AJ53" i="7"/>
  <c r="AN52" i="7"/>
  <c r="AT53" i="7"/>
  <c r="J54" i="7"/>
  <c r="AK51" i="7"/>
  <c r="AG55" i="7"/>
  <c r="AF50" i="7"/>
  <c r="AP52" i="7"/>
  <c r="AU52" i="7"/>
  <c r="AF53" i="7"/>
  <c r="Y53" i="7"/>
  <c r="AF52" i="7"/>
  <c r="G55" i="7"/>
  <c r="AA50" i="7"/>
  <c r="AE51" i="7"/>
  <c r="AB52" i="7"/>
  <c r="S53" i="7"/>
  <c r="Y55" i="7"/>
  <c r="AR52" i="7"/>
  <c r="AC52" i="7"/>
  <c r="AR50" i="7"/>
  <c r="AR53" i="7"/>
  <c r="AJ52" i="7"/>
  <c r="O54" i="7"/>
  <c r="Z51" i="7"/>
  <c r="AE54" i="7"/>
  <c r="AP50" i="7"/>
  <c r="AS50" i="7"/>
  <c r="N51" i="7"/>
  <c r="P54" i="7"/>
  <c r="AD52" i="7"/>
  <c r="AH52" i="7"/>
  <c r="Q55" i="7"/>
  <c r="V53" i="7"/>
  <c r="AU53" i="7"/>
  <c r="AU50" i="7"/>
  <c r="N52" i="7"/>
  <c r="G50" i="7"/>
  <c r="U55" i="7"/>
  <c r="AR51" i="7"/>
  <c r="P51" i="7"/>
  <c r="AC50" i="7"/>
  <c r="D52" i="7"/>
  <c r="U50" i="7"/>
  <c r="AA41" i="25"/>
  <c r="R2" i="39" s="1"/>
  <c r="AC55" i="7"/>
  <c r="U53" i="7"/>
  <c r="AM51" i="7"/>
  <c r="AR42" i="25"/>
  <c r="AI3" i="39" s="1"/>
  <c r="AL51" i="7"/>
  <c r="O45" i="25"/>
  <c r="F6" i="39" s="1"/>
  <c r="U52" i="7"/>
  <c r="AE50" i="7"/>
  <c r="Y50" i="7"/>
  <c r="AU43" i="25"/>
  <c r="AL4" i="39" s="1"/>
  <c r="AB53" i="7"/>
  <c r="AK52" i="7"/>
  <c r="I55" i="7"/>
  <c r="H51" i="7"/>
  <c r="AC51" i="7"/>
  <c r="AG50" i="7"/>
  <c r="AI51" i="7"/>
  <c r="E55" i="7"/>
  <c r="AH51" i="7"/>
  <c r="P53" i="7"/>
  <c r="O53" i="7"/>
  <c r="M51" i="7"/>
  <c r="S55" i="7"/>
  <c r="AO51" i="7"/>
  <c r="W51" i="7"/>
  <c r="U54" i="7"/>
  <c r="K52" i="7"/>
  <c r="AA52" i="7"/>
  <c r="X55" i="7"/>
  <c r="E46" i="25"/>
  <c r="E48" i="25" s="1"/>
  <c r="E49" i="25" s="1"/>
  <c r="E51" i="25" s="1"/>
  <c r="H50" i="7"/>
  <c r="W50" i="7"/>
  <c r="AI52" i="7"/>
  <c r="X50" i="7"/>
  <c r="T52" i="7"/>
  <c r="AP53" i="7"/>
  <c r="C55" i="7"/>
  <c r="AI53" i="7"/>
  <c r="I53" i="7"/>
  <c r="K53" i="7"/>
  <c r="AB55" i="7"/>
  <c r="AP41" i="25"/>
  <c r="AG2" i="39" s="1"/>
  <c r="L50" i="7"/>
  <c r="AL54" i="7"/>
  <c r="L55" i="7"/>
  <c r="M50" i="7"/>
  <c r="E51" i="7"/>
  <c r="Q53" i="7"/>
  <c r="T53" i="7"/>
  <c r="D53" i="7"/>
  <c r="AB51" i="7"/>
  <c r="Y52" i="7"/>
  <c r="AR54" i="7"/>
  <c r="O51" i="7"/>
  <c r="AF51" i="7"/>
  <c r="N50" i="7"/>
  <c r="S51" i="7"/>
  <c r="N53" i="7"/>
  <c r="R52" i="7"/>
  <c r="W55" i="7"/>
  <c r="D55" i="7"/>
  <c r="AE55" i="7"/>
  <c r="AJ55" i="7"/>
  <c r="AF55" i="7"/>
  <c r="F53" i="7"/>
  <c r="I54" i="7"/>
  <c r="AP55" i="7"/>
  <c r="G53" i="7"/>
  <c r="R51" i="7"/>
  <c r="AO55" i="7"/>
  <c r="I50" i="7"/>
  <c r="AT55" i="7"/>
  <c r="AO46" i="25"/>
  <c r="AF7" i="39" s="1"/>
  <c r="T54" i="7"/>
  <c r="Y51" i="7"/>
  <c r="Q51" i="7"/>
  <c r="AH50" i="7"/>
  <c r="J52" i="7"/>
  <c r="AC53" i="7"/>
  <c r="C51" i="7"/>
  <c r="V50" i="7"/>
  <c r="AF54" i="7"/>
  <c r="AK55" i="7"/>
  <c r="AO52" i="7"/>
  <c r="M53" i="7"/>
  <c r="Q50" i="7"/>
  <c r="AR55" i="7"/>
  <c r="K54" i="7"/>
  <c r="E52" i="7"/>
  <c r="AN55" i="7"/>
  <c r="L54" i="7"/>
  <c r="M55" i="7"/>
  <c r="J50" i="7"/>
  <c r="Z53" i="7"/>
  <c r="AU51" i="7"/>
  <c r="AL50" i="7"/>
  <c r="AA53" i="7"/>
  <c r="AM55" i="7"/>
  <c r="D54" i="7"/>
  <c r="AD54" i="7"/>
  <c r="F55" i="7"/>
  <c r="H53" i="7"/>
  <c r="AT52" i="7"/>
  <c r="AO53" i="7"/>
  <c r="AR44" i="25"/>
  <c r="AI5" i="39" s="1"/>
  <c r="H54" i="7"/>
  <c r="R53" i="7"/>
  <c r="J55" i="7"/>
  <c r="AQ54" i="7"/>
  <c r="AM52" i="7"/>
  <c r="H55" i="7"/>
  <c r="AD50" i="7"/>
  <c r="AG51" i="7"/>
  <c r="I2" i="32"/>
  <c r="R48" i="25"/>
  <c r="R49" i="25" s="1"/>
  <c r="R51" i="25" s="1"/>
  <c r="O2" i="32"/>
  <c r="X48" i="25"/>
  <c r="X49" i="25" s="1"/>
  <c r="X51" i="25" s="1"/>
  <c r="L2" i="32"/>
  <c r="U48" i="25"/>
  <c r="U49" i="25" s="1"/>
  <c r="U51" i="25" s="1"/>
  <c r="T2" i="32"/>
  <c r="K2" i="32"/>
  <c r="T48" i="25"/>
  <c r="T49" i="25" s="1"/>
  <c r="T51" i="25" s="1"/>
  <c r="AI2" i="32"/>
  <c r="I48" i="25"/>
  <c r="I49" i="25" s="1"/>
  <c r="I51" i="25" s="1"/>
  <c r="AC2" i="32"/>
  <c r="AL48" i="25"/>
  <c r="AL49" i="25" s="1"/>
  <c r="AL51" i="25" s="1"/>
  <c r="U2" i="32"/>
  <c r="AD48" i="25"/>
  <c r="AD49" i="25" s="1"/>
  <c r="AD51" i="25" s="1"/>
  <c r="V52" i="7"/>
  <c r="AH53" i="7"/>
  <c r="AS55" i="7"/>
  <c r="J48" i="25"/>
  <c r="J49" i="25" s="1"/>
  <c r="J51" i="25" s="1"/>
  <c r="Q54" i="7"/>
  <c r="G48" i="25"/>
  <c r="G49" i="25" s="1"/>
  <c r="G51" i="25" s="1"/>
  <c r="X2" i="32"/>
  <c r="AG48" i="25"/>
  <c r="AG49" i="25" s="1"/>
  <c r="AG51" i="25" s="1"/>
  <c r="Q2" i="32"/>
  <c r="Z48" i="25"/>
  <c r="Z49" i="25" s="1"/>
  <c r="Z51" i="25" s="1"/>
  <c r="AJ2" i="32"/>
  <c r="AS48" i="25"/>
  <c r="AS49" i="25" s="1"/>
  <c r="AS51" i="25" s="1"/>
  <c r="C2" i="32"/>
  <c r="L48" i="25"/>
  <c r="L49" i="25" s="1"/>
  <c r="L51" i="25" s="1"/>
  <c r="P2" i="32"/>
  <c r="Y48" i="25"/>
  <c r="Y49" i="25" s="1"/>
  <c r="Y51" i="25" s="1"/>
  <c r="Y2" i="32"/>
  <c r="R2" i="32"/>
  <c r="AH2" i="32"/>
  <c r="AQ48" i="25"/>
  <c r="AQ49" i="25" s="1"/>
  <c r="AQ51" i="25" s="1"/>
  <c r="N2" i="32"/>
  <c r="W48" i="25"/>
  <c r="W49" i="25" s="1"/>
  <c r="W51" i="25" s="1"/>
  <c r="AE2" i="32"/>
  <c r="AN48" i="25"/>
  <c r="AN49" i="25" s="1"/>
  <c r="AN51" i="25" s="1"/>
  <c r="V2" i="32"/>
  <c r="J2" i="32"/>
  <c r="S48" i="25"/>
  <c r="S49" i="25" s="1"/>
  <c r="S51" i="25" s="1"/>
  <c r="S2" i="32"/>
  <c r="AB48" i="25"/>
  <c r="AB49" i="25" s="1"/>
  <c r="AB51" i="25" s="1"/>
  <c r="B2" i="32"/>
  <c r="K48" i="25"/>
  <c r="K49" i="25" s="1"/>
  <c r="K51" i="25" s="1"/>
  <c r="D2" i="32"/>
  <c r="M48" i="25"/>
  <c r="M49" i="25" s="1"/>
  <c r="M51" i="25" s="1"/>
  <c r="G2" i="32"/>
  <c r="P48" i="25"/>
  <c r="P49" i="25" s="1"/>
  <c r="P51" i="25" s="1"/>
  <c r="Z50" i="7"/>
  <c r="X54" i="7"/>
  <c r="F2" i="32"/>
  <c r="I51" i="7"/>
  <c r="C5" i="25"/>
  <c r="C48" i="25" s="1"/>
  <c r="C49" i="25" s="1"/>
  <c r="C51" i="25" s="1"/>
  <c r="C50" i="7"/>
  <c r="AL53" i="7"/>
  <c r="AL2" i="32"/>
  <c r="H2" i="32"/>
  <c r="Q48" i="25"/>
  <c r="Q49" i="25" s="1"/>
  <c r="Q51" i="25" s="1"/>
  <c r="AB2" i="32"/>
  <c r="AK48" i="25"/>
  <c r="AK49" i="25" s="1"/>
  <c r="AK51" i="25" s="1"/>
  <c r="Z2" i="32"/>
  <c r="AI48" i="25"/>
  <c r="AI49" i="25" s="1"/>
  <c r="AI51" i="25" s="1"/>
  <c r="AK2" i="32"/>
  <c r="AT48" i="25"/>
  <c r="AT49" i="25" s="1"/>
  <c r="AT51" i="25" s="1"/>
  <c r="AD2" i="32"/>
  <c r="AM48" i="25"/>
  <c r="AM49" i="25" s="1"/>
  <c r="AM51" i="25" s="1"/>
  <c r="AG52" i="7"/>
  <c r="AA2" i="32"/>
  <c r="AJ48" i="25"/>
  <c r="AJ49" i="25" s="1"/>
  <c r="AJ51" i="25" s="1"/>
  <c r="D48" i="25"/>
  <c r="D49" i="25" s="1"/>
  <c r="D51" i="25" s="1"/>
  <c r="AG2" i="32"/>
  <c r="AT54" i="7"/>
  <c r="E2" i="32"/>
  <c r="N48" i="25"/>
  <c r="N49" i="25" s="1"/>
  <c r="N51" i="25" s="1"/>
  <c r="AF2" i="32"/>
  <c r="F48" i="25"/>
  <c r="F49" i="25" s="1"/>
  <c r="F51" i="25" s="1"/>
  <c r="M2" i="32"/>
  <c r="V48" i="25"/>
  <c r="V49" i="25" s="1"/>
  <c r="V51" i="25" s="1"/>
  <c r="W2" i="32"/>
  <c r="AF48" i="25"/>
  <c r="AF49" i="25" s="1"/>
  <c r="AF51" i="25" s="1"/>
  <c r="T50" i="7"/>
  <c r="X51" i="7"/>
  <c r="H44" i="25"/>
  <c r="H48" i="25" s="1"/>
  <c r="H49" i="25" s="1"/>
  <c r="H51" i="25" s="1"/>
  <c r="M54" i="7"/>
  <c r="AI55" i="7"/>
  <c r="AD51" i="7"/>
  <c r="X52" i="7"/>
  <c r="W52" i="7"/>
  <c r="E53" i="7"/>
  <c r="O50" i="7"/>
  <c r="X53" i="7"/>
  <c r="Q52" i="7"/>
  <c r="K51" i="7"/>
  <c r="W53" i="7"/>
  <c r="AP54" i="7"/>
  <c r="AN51" i="7"/>
  <c r="AC44" i="25"/>
  <c r="T5" i="39" s="1"/>
  <c r="AJ50" i="7"/>
  <c r="AH41" i="25"/>
  <c r="Y2" i="39" s="1"/>
  <c r="S54" i="7"/>
  <c r="AS52" i="7"/>
  <c r="S52" i="7"/>
  <c r="AM50" i="7"/>
  <c r="AE42" i="25"/>
  <c r="V3" i="39" s="1"/>
  <c r="AE52" i="7"/>
  <c r="R54" i="7"/>
  <c r="G52" i="7"/>
  <c r="W54" i="7"/>
  <c r="AQ55" i="7"/>
  <c r="E54" i="7"/>
  <c r="AU55" i="7"/>
  <c r="D51" i="7"/>
  <c r="G54" i="7"/>
  <c r="N54" i="7"/>
  <c r="P52" i="7"/>
  <c r="R55" i="7"/>
  <c r="V51" i="7"/>
  <c r="AE53" i="7"/>
  <c r="H52" i="7"/>
  <c r="C54" i="7"/>
  <c r="AJ51" i="7"/>
  <c r="AB50" i="7"/>
  <c r="F50" i="7"/>
  <c r="AA54" i="7"/>
  <c r="J51" i="7"/>
  <c r="L51" i="7"/>
  <c r="AN54" i="7"/>
  <c r="N55" i="7"/>
  <c r="I52" i="7"/>
  <c r="V55" i="7"/>
  <c r="AA51" i="7"/>
  <c r="E50" i="7"/>
  <c r="D50" i="7"/>
  <c r="F54" i="7"/>
  <c r="AD55" i="7"/>
  <c r="AU54" i="7"/>
  <c r="K50" i="7"/>
  <c r="AS51" i="7"/>
  <c r="AC54" i="7"/>
  <c r="AG54" i="7"/>
  <c r="AS53" i="7"/>
  <c r="Y54" i="7"/>
  <c r="O52" i="7"/>
  <c r="P50" i="7"/>
  <c r="AS54" i="7"/>
  <c r="G51" i="7"/>
  <c r="AQ51" i="7"/>
  <c r="AK54" i="7"/>
  <c r="V54" i="7"/>
  <c r="AT51" i="7"/>
  <c r="AL55" i="7"/>
  <c r="AN50" i="7"/>
  <c r="AO44" i="25"/>
  <c r="AF5" i="39" s="1"/>
  <c r="Z52" i="7"/>
  <c r="AA55" i="7"/>
  <c r="AK50" i="7"/>
  <c r="U51" i="7"/>
  <c r="AK53" i="7"/>
  <c r="AJ54" i="7"/>
  <c r="AP51" i="7"/>
  <c r="T55" i="7"/>
  <c r="S50" i="7"/>
  <c r="AM54" i="7"/>
  <c r="AN53" i="7"/>
  <c r="AD53" i="7"/>
  <c r="M52" i="7"/>
  <c r="AI50" i="7"/>
  <c r="Z55" i="7"/>
  <c r="AI54" i="7"/>
  <c r="AL52" i="7"/>
  <c r="AG53" i="7"/>
  <c r="AQ53" i="7"/>
  <c r="AB54" i="7"/>
  <c r="O55" i="7"/>
  <c r="F52" i="7"/>
  <c r="K55" i="7"/>
  <c r="AO50" i="7"/>
  <c r="AH54" i="7"/>
  <c r="Z54" i="7"/>
  <c r="L53" i="7"/>
  <c r="AH55" i="7"/>
  <c r="L52" i="7"/>
  <c r="AT50" i="7"/>
  <c r="T51" i="7"/>
  <c r="AA48" i="25" l="1"/>
  <c r="AA49" i="25" s="1"/>
  <c r="AA51" i="25" s="1"/>
  <c r="O48" i="25"/>
  <c r="O49" i="25" s="1"/>
  <c r="O51" i="25" s="1"/>
  <c r="AU48" i="25"/>
  <c r="AU49" i="25" s="1"/>
  <c r="AU51" i="25" s="1"/>
  <c r="AR48" i="25"/>
  <c r="AR49" i="25" s="1"/>
  <c r="AR51" i="25" s="1"/>
  <c r="AP48" i="25"/>
  <c r="AP49" i="25" s="1"/>
  <c r="AP51" i="25" s="1"/>
  <c r="AH48" i="25"/>
  <c r="AH49" i="25" s="1"/>
  <c r="AH51" i="25" s="1"/>
  <c r="AO48" i="25"/>
  <c r="AO49" i="25" s="1"/>
  <c r="AO51" i="25" s="1"/>
  <c r="AE48" i="25"/>
  <c r="AE49" i="25" s="1"/>
  <c r="AE51" i="25" s="1"/>
  <c r="AC48" i="25"/>
  <c r="AC49" i="25" s="1"/>
  <c r="AC51" i="25" s="1"/>
  <c r="C25" i="22" l="1"/>
  <c r="E25" i="22" s="1"/>
  <c r="AQ25" i="22"/>
  <c r="AG25" i="22"/>
  <c r="M25" i="22"/>
  <c r="O25" i="22" l="1"/>
  <c r="AI25" i="22"/>
  <c r="AS25" i="22"/>
  <c r="AQ24" i="10"/>
  <c r="AR24" i="10"/>
  <c r="AB138" i="20" l="1"/>
  <c r="M26" i="22"/>
  <c r="AQ26" i="22"/>
  <c r="C26" i="22"/>
  <c r="N26" i="22"/>
  <c r="AR26" i="22"/>
  <c r="D26" i="22"/>
  <c r="AH138" i="20" l="1"/>
  <c r="AO138" i="20"/>
  <c r="AS26" i="22"/>
  <c r="E26" i="22"/>
  <c r="O26" i="22"/>
  <c r="AQ25" i="10"/>
  <c r="AR25" i="10"/>
  <c r="AR138" i="20" l="1"/>
  <c r="AT138" i="20" s="1"/>
  <c r="AB139" i="20"/>
  <c r="AQ27" i="22"/>
  <c r="M27" i="22"/>
  <c r="AG27" i="22"/>
  <c r="C27" i="22"/>
  <c r="AH27" i="22"/>
  <c r="AR27" i="22"/>
  <c r="D27" i="22"/>
  <c r="N27" i="22"/>
  <c r="AH139" i="20" l="1"/>
  <c r="AO139" i="20"/>
  <c r="AR139" i="20" s="1"/>
  <c r="AT139" i="20" s="1"/>
  <c r="E27" i="22"/>
  <c r="O27" i="22"/>
  <c r="AI27" i="22"/>
  <c r="AS27" i="22"/>
  <c r="AQ26" i="10"/>
  <c r="AR26" i="10"/>
  <c r="AB140" i="20" l="1"/>
  <c r="AG28" i="22"/>
  <c r="AQ28" i="22"/>
  <c r="M28" i="22"/>
  <c r="C28" i="22"/>
  <c r="AH28" i="22"/>
  <c r="N28" i="22"/>
  <c r="AR28" i="22"/>
  <c r="D28" i="22"/>
  <c r="AH140" i="20" l="1"/>
  <c r="AO140" i="20"/>
  <c r="AR140" i="20" s="1"/>
  <c r="AT140" i="20" s="1"/>
  <c r="E28" i="22"/>
  <c r="O28" i="22"/>
  <c r="AS28" i="22"/>
  <c r="AI28" i="22"/>
  <c r="AR27" i="10"/>
  <c r="AB141" i="20" s="1"/>
  <c r="AH141" i="20" l="1"/>
  <c r="AO141" i="20"/>
  <c r="AR141" i="20" s="1"/>
  <c r="AT141" i="20" s="1"/>
  <c r="AR29" i="22"/>
  <c r="AH29" i="22"/>
  <c r="D29" i="22"/>
  <c r="N29" i="22"/>
  <c r="AG29" i="22"/>
  <c r="M29" i="22"/>
  <c r="AQ29" i="22"/>
  <c r="C29" i="22"/>
  <c r="AS29" i="22" l="1"/>
  <c r="O29" i="22"/>
  <c r="AI29" i="22"/>
  <c r="AQ28" i="10"/>
  <c r="AR28" i="10"/>
  <c r="E29" i="22"/>
  <c r="AB142" i="20" l="1"/>
  <c r="AG30" i="22"/>
  <c r="AQ30" i="22"/>
  <c r="C30" i="22"/>
  <c r="M30" i="22"/>
  <c r="N30" i="22"/>
  <c r="AH30" i="22"/>
  <c r="AR30" i="22"/>
  <c r="D30" i="22"/>
  <c r="AH142" i="20" l="1"/>
  <c r="AO142" i="20"/>
  <c r="AR142" i="20" s="1"/>
  <c r="AT142" i="20" s="1"/>
  <c r="E30" i="22"/>
  <c r="O30" i="22"/>
  <c r="AS30" i="22"/>
  <c r="AI30" i="22"/>
  <c r="AQ29" i="10"/>
  <c r="AR29" i="10"/>
  <c r="AB143" i="20" l="1"/>
  <c r="AQ31" i="22"/>
  <c r="M31" i="22"/>
  <c r="AG31" i="22"/>
  <c r="C31" i="22"/>
  <c r="N31" i="22"/>
  <c r="AR31" i="22"/>
  <c r="AH31" i="22"/>
  <c r="D31" i="22"/>
  <c r="AH143" i="20" l="1"/>
  <c r="AO143" i="20"/>
  <c r="AR143" i="20" s="1"/>
  <c r="AT143" i="20" s="1"/>
  <c r="O31" i="22"/>
  <c r="AS31" i="22"/>
  <c r="AQ30" i="10"/>
  <c r="AR30" i="10"/>
  <c r="E31" i="22"/>
  <c r="AI31" i="22"/>
  <c r="AB144" i="20" l="1"/>
  <c r="M32" i="22"/>
  <c r="AG32" i="22"/>
  <c r="AQ32" i="22"/>
  <c r="C32" i="22"/>
  <c r="N32" i="22"/>
  <c r="AR32" i="22"/>
  <c r="D32" i="22"/>
  <c r="AH32" i="22"/>
  <c r="AH144" i="20" l="1"/>
  <c r="AO144" i="20"/>
  <c r="AR144" i="20" s="1"/>
  <c r="AT144" i="20" s="1"/>
  <c r="E32" i="22"/>
  <c r="AI32" i="22"/>
  <c r="AS32" i="22"/>
  <c r="O32" i="22"/>
  <c r="AR31" i="10"/>
  <c r="AQ31" i="10"/>
  <c r="AB145" i="20" l="1"/>
  <c r="AH33" i="22"/>
  <c r="N33" i="22"/>
  <c r="AR33" i="22"/>
  <c r="D33" i="22"/>
  <c r="M33" i="22"/>
  <c r="C33" i="22"/>
  <c r="AG33" i="22"/>
  <c r="AQ33" i="22"/>
  <c r="AH145" i="20" l="1"/>
  <c r="AO145" i="20"/>
  <c r="AR145" i="20" s="1"/>
  <c r="AT145" i="20" s="1"/>
  <c r="O33" i="22"/>
  <c r="AR32" i="10"/>
  <c r="AQ32" i="10"/>
  <c r="AS33" i="22"/>
  <c r="AI33" i="22"/>
  <c r="E33" i="22"/>
  <c r="AB146" i="20" l="1"/>
  <c r="AH34" i="22"/>
  <c r="AR34" i="22"/>
  <c r="D34" i="22"/>
  <c r="N34" i="22"/>
  <c r="AQ34" i="22"/>
  <c r="AG34" i="22"/>
  <c r="M34" i="22"/>
  <c r="C34" i="22"/>
  <c r="AH146" i="20" l="1"/>
  <c r="AO146" i="20"/>
  <c r="AR146" i="20" s="1"/>
  <c r="AT146" i="20" s="1"/>
  <c r="O34" i="22"/>
  <c r="AI34" i="22"/>
  <c r="AS34" i="22"/>
  <c r="AQ33" i="10"/>
  <c r="AR33" i="10"/>
  <c r="E34" i="22"/>
  <c r="AB147" i="20" l="1"/>
  <c r="AG35" i="22"/>
  <c r="AQ35" i="22"/>
  <c r="M35" i="22"/>
  <c r="C35" i="22"/>
  <c r="AH35" i="22"/>
  <c r="N35" i="22"/>
  <c r="AR35" i="22"/>
  <c r="D35" i="22"/>
  <c r="AH147" i="20" l="1"/>
  <c r="AO147" i="20"/>
  <c r="AR147" i="20" s="1"/>
  <c r="AT147" i="20" s="1"/>
  <c r="O35" i="22"/>
  <c r="E35" i="22"/>
  <c r="AS35" i="22"/>
  <c r="AI35" i="22"/>
  <c r="AR34" i="10"/>
  <c r="AQ34" i="10"/>
  <c r="AB148" i="20" l="1"/>
  <c r="AH36" i="22"/>
  <c r="AR36" i="22"/>
  <c r="N36" i="22"/>
  <c r="D36" i="22"/>
  <c r="M36" i="22"/>
  <c r="AQ36" i="22"/>
  <c r="AG36" i="22"/>
  <c r="C36" i="22"/>
  <c r="AH148" i="20" l="1"/>
  <c r="AO148" i="20"/>
  <c r="AR148" i="20" s="1"/>
  <c r="AT148" i="20" s="1"/>
  <c r="AI36" i="22"/>
  <c r="AS36" i="22"/>
  <c r="O36" i="22"/>
  <c r="AQ35" i="10"/>
  <c r="AR35" i="10"/>
  <c r="E36" i="22"/>
  <c r="AB149" i="20" l="1"/>
  <c r="AG37" i="22"/>
  <c r="AQ37" i="22"/>
  <c r="M37" i="22"/>
  <c r="C37" i="22"/>
  <c r="N37" i="22"/>
  <c r="AR37" i="22"/>
  <c r="AH37" i="22"/>
  <c r="D37" i="22"/>
  <c r="AH149" i="20" l="1"/>
  <c r="AO149" i="20"/>
  <c r="AR149" i="20" s="1"/>
  <c r="AT149" i="20" s="1"/>
  <c r="O37" i="22"/>
  <c r="E37" i="22"/>
  <c r="AS37" i="22"/>
  <c r="AI37" i="22"/>
  <c r="AQ36" i="10"/>
  <c r="AR36" i="10"/>
  <c r="AB150" i="20" l="1"/>
  <c r="M38" i="22"/>
  <c r="AQ38" i="22"/>
  <c r="AG38" i="22"/>
  <c r="C38" i="22"/>
  <c r="AR38" i="22"/>
  <c r="N38" i="22"/>
  <c r="D38" i="22"/>
  <c r="AH38" i="22"/>
  <c r="AH150" i="20" l="1"/>
  <c r="AO150" i="20"/>
  <c r="AR150" i="20" s="1"/>
  <c r="AT150" i="20" s="1"/>
  <c r="AS38" i="22"/>
  <c r="E38" i="22"/>
  <c r="AI38" i="22"/>
  <c r="O38" i="22"/>
  <c r="AQ37" i="10"/>
  <c r="AR37" i="10"/>
  <c r="AB151" i="20" l="1"/>
  <c r="M39" i="22"/>
  <c r="AQ39" i="22"/>
  <c r="C39" i="22"/>
  <c r="AG39" i="22"/>
  <c r="AR39" i="22"/>
  <c r="AH39" i="22"/>
  <c r="N39" i="22"/>
  <c r="D39" i="22"/>
  <c r="AH151" i="20" l="1"/>
  <c r="AO151" i="20"/>
  <c r="AR151" i="20" s="1"/>
  <c r="AT151" i="20" s="1"/>
  <c r="E39" i="22"/>
  <c r="AS39" i="22"/>
  <c r="O39" i="22"/>
  <c r="AQ38" i="10"/>
  <c r="AR38" i="10"/>
  <c r="AI39" i="22"/>
  <c r="AB152" i="20" l="1"/>
  <c r="M40" i="22"/>
  <c r="AG40" i="22"/>
  <c r="AQ40" i="22"/>
  <c r="C40" i="22"/>
  <c r="AR40" i="22"/>
  <c r="N40" i="22"/>
  <c r="D40" i="22"/>
  <c r="AH40" i="22"/>
  <c r="AH152" i="20" l="1"/>
  <c r="AO152" i="20"/>
  <c r="AR152" i="20" s="1"/>
  <c r="AT152" i="20" s="1"/>
  <c r="AS40" i="22"/>
  <c r="AI40" i="22"/>
  <c r="O40" i="22"/>
  <c r="AQ39" i="10"/>
  <c r="AR39" i="10"/>
  <c r="E40" i="22"/>
  <c r="AB153" i="20" l="1"/>
  <c r="M41" i="22"/>
  <c r="AQ41" i="22"/>
  <c r="AG41" i="22"/>
  <c r="C41" i="22"/>
  <c r="AR41" i="22"/>
  <c r="N41" i="22"/>
  <c r="AH41" i="22"/>
  <c r="D41" i="22"/>
  <c r="AH153" i="20" l="1"/>
  <c r="AO153" i="20"/>
  <c r="AR153" i="20" s="1"/>
  <c r="AT153" i="20" s="1"/>
  <c r="AI41" i="22"/>
  <c r="AQ40" i="10"/>
  <c r="AR40" i="10"/>
  <c r="AS41" i="22"/>
  <c r="O41" i="22"/>
  <c r="E41" i="22"/>
  <c r="AB154" i="20" l="1"/>
  <c r="AR42" i="22"/>
  <c r="AH42" i="22"/>
  <c r="D42" i="22"/>
  <c r="N42" i="22"/>
  <c r="AG42" i="22"/>
  <c r="M42" i="22"/>
  <c r="AQ42" i="22"/>
  <c r="C42" i="22"/>
  <c r="AH154" i="20" l="1"/>
  <c r="AO154" i="20"/>
  <c r="AR154" i="20" s="1"/>
  <c r="AT154" i="20" s="1"/>
  <c r="E42" i="22"/>
  <c r="O42" i="22"/>
  <c r="AS42" i="22"/>
  <c r="AI42" i="22"/>
  <c r="AQ41" i="10"/>
  <c r="AR41" i="10"/>
  <c r="AB155" i="20" l="1"/>
  <c r="N43" i="22"/>
  <c r="D43" i="22"/>
  <c r="AH43" i="22"/>
  <c r="AR43" i="22"/>
  <c r="M43" i="22"/>
  <c r="AQ43" i="22"/>
  <c r="AG43" i="22"/>
  <c r="C43" i="22"/>
  <c r="AH155" i="20" l="1"/>
  <c r="AO155" i="20"/>
  <c r="AR155" i="20" s="1"/>
  <c r="AT155" i="20" s="1"/>
  <c r="E43" i="22"/>
  <c r="AI43" i="22"/>
  <c r="AS43" i="22"/>
  <c r="O43" i="22"/>
  <c r="AR42" i="10"/>
  <c r="AQ42" i="10"/>
  <c r="AB156" i="20" l="1"/>
  <c r="N44" i="22"/>
  <c r="D44" i="22"/>
  <c r="AR44" i="22"/>
  <c r="AH44" i="22"/>
  <c r="AQ44" i="22"/>
  <c r="AG44" i="22"/>
  <c r="M44" i="22"/>
  <c r="C44" i="22"/>
  <c r="AH156" i="20" l="1"/>
  <c r="AO156" i="20"/>
  <c r="AR156" i="20" s="1"/>
  <c r="AT156" i="20" s="1"/>
  <c r="AS44" i="22"/>
  <c r="AR43" i="10"/>
  <c r="AQ43" i="10"/>
  <c r="E44" i="22"/>
  <c r="O44" i="22"/>
  <c r="AI44" i="22"/>
  <c r="AB157" i="20" l="1"/>
  <c r="AR45" i="22"/>
  <c r="N45" i="22"/>
  <c r="AH45" i="22"/>
  <c r="D45" i="22"/>
  <c r="AG45" i="22"/>
  <c r="M45" i="22"/>
  <c r="AQ45" i="22"/>
  <c r="C45" i="22"/>
  <c r="AH157" i="20" l="1"/>
  <c r="AO157" i="20"/>
  <c r="AR157" i="20" s="1"/>
  <c r="AT157" i="20" s="1"/>
  <c r="E45" i="22"/>
  <c r="AS45" i="22"/>
  <c r="O45" i="22"/>
  <c r="AI45" i="22"/>
  <c r="AR44" i="10"/>
  <c r="AQ44" i="10"/>
  <c r="AB158" i="20" l="1"/>
  <c r="AQ46" i="22"/>
  <c r="AG46" i="22"/>
  <c r="M46" i="22"/>
  <c r="C46" i="22"/>
  <c r="N46" i="22"/>
  <c r="AR46" i="22"/>
  <c r="AH46" i="22"/>
  <c r="D46" i="22"/>
  <c r="AH158" i="20" l="1"/>
  <c r="AO158" i="20"/>
  <c r="AR158" i="20" s="1"/>
  <c r="AT158" i="20" s="1"/>
  <c r="E46" i="22"/>
  <c r="O46" i="22"/>
  <c r="AI46" i="22"/>
  <c r="AS46" i="22"/>
  <c r="AR45" i="10"/>
  <c r="AQ45" i="10"/>
  <c r="AB159" i="20" l="1"/>
  <c r="AH47" i="22"/>
  <c r="N47" i="22"/>
  <c r="AR47" i="22"/>
  <c r="D47" i="22"/>
  <c r="AG47" i="22"/>
  <c r="M47" i="22"/>
  <c r="AQ47" i="22"/>
  <c r="C47" i="22"/>
  <c r="AH159" i="20" l="1"/>
  <c r="AO159" i="20"/>
  <c r="AR159" i="20" s="1"/>
  <c r="AT159" i="20" s="1"/>
  <c r="E47" i="22"/>
  <c r="AS47" i="22"/>
  <c r="AQ46" i="10"/>
  <c r="AR46" i="10"/>
  <c r="O47" i="22"/>
  <c r="AI47" i="22"/>
  <c r="AB160" i="20" l="1"/>
  <c r="M48" i="22"/>
  <c r="C48" i="22"/>
  <c r="AQ48" i="22"/>
  <c r="AG48" i="22"/>
  <c r="AR48" i="22"/>
  <c r="N48" i="22"/>
  <c r="D48" i="22"/>
  <c r="AH48" i="22"/>
  <c r="AH160" i="20" l="1"/>
  <c r="AO160" i="20"/>
  <c r="AR160" i="20" s="1"/>
  <c r="AT160" i="20" s="1"/>
  <c r="AS48" i="22"/>
  <c r="AQ47" i="10"/>
  <c r="AR47" i="10"/>
  <c r="E48" i="22"/>
  <c r="O48" i="22"/>
  <c r="AI48" i="22"/>
  <c r="AB161" i="20" l="1"/>
  <c r="N49" i="22"/>
  <c r="AR49" i="22"/>
  <c r="AH49" i="22"/>
  <c r="D49" i="22"/>
  <c r="AG49" i="22"/>
  <c r="C49" i="22"/>
  <c r="M49" i="22"/>
  <c r="AQ49" i="22"/>
  <c r="AH161" i="20" l="1"/>
  <c r="AO161" i="20"/>
  <c r="AR161" i="20" s="1"/>
  <c r="AT161" i="20" s="1"/>
  <c r="O49" i="22"/>
  <c r="AS49" i="22"/>
  <c r="E49" i="22"/>
  <c r="AI49" i="22"/>
  <c r="AQ48" i="10"/>
  <c r="AR48" i="10"/>
  <c r="AB162" i="20" l="1"/>
  <c r="AG50" i="22"/>
  <c r="M50" i="22"/>
  <c r="C50" i="22"/>
  <c r="AQ50" i="22"/>
  <c r="AH50" i="22"/>
  <c r="AR50" i="22"/>
  <c r="N50" i="22"/>
  <c r="D50" i="22"/>
  <c r="AH162" i="20" l="1"/>
  <c r="AO162" i="20"/>
  <c r="AR162" i="20" s="1"/>
  <c r="AT162" i="20" s="1"/>
  <c r="AR49" i="10"/>
  <c r="AQ49" i="10"/>
  <c r="E50" i="22"/>
  <c r="O50" i="22"/>
  <c r="AI50" i="22"/>
  <c r="AS50" i="22"/>
  <c r="AB163" i="20" l="1"/>
  <c r="AH51" i="22"/>
  <c r="N51" i="22"/>
  <c r="AR51" i="22"/>
  <c r="D51" i="22"/>
  <c r="M51" i="22"/>
  <c r="AQ51" i="22"/>
  <c r="AG51" i="22"/>
  <c r="C51" i="22"/>
  <c r="AH163" i="20" l="1"/>
  <c r="AO163" i="20"/>
  <c r="AR163" i="20" s="1"/>
  <c r="AT163" i="20" s="1"/>
  <c r="AI51" i="22"/>
  <c r="E51" i="22"/>
  <c r="AS51" i="22"/>
  <c r="O51" i="22"/>
  <c r="AQ50" i="10"/>
  <c r="AR50" i="10"/>
  <c r="AB164" i="20" l="1"/>
  <c r="M52" i="22"/>
  <c r="AG52" i="22"/>
  <c r="AQ52" i="22"/>
  <c r="C52" i="22"/>
  <c r="AR52" i="22"/>
  <c r="AH52" i="22"/>
  <c r="N52" i="22"/>
  <c r="D52" i="22"/>
  <c r="AH164" i="20" l="1"/>
  <c r="AO164" i="20"/>
  <c r="AR164" i="20" s="1"/>
  <c r="AT164" i="20" s="1"/>
  <c r="O52" i="22"/>
  <c r="AQ51" i="10"/>
  <c r="AR51" i="10"/>
  <c r="AS52" i="22"/>
  <c r="AI52" i="22"/>
  <c r="E52" i="22"/>
  <c r="M53" i="22" l="1"/>
  <c r="AG53" i="22"/>
  <c r="C53" i="22"/>
  <c r="AQ53" i="22"/>
  <c r="AH53" i="22"/>
  <c r="AR53" i="22"/>
  <c r="N53" i="22"/>
  <c r="D53" i="22"/>
  <c r="AS53" i="22" l="1"/>
  <c r="AI53" i="22"/>
  <c r="O53" i="22"/>
  <c r="E53" i="22"/>
  <c r="AQ23" i="10"/>
  <c r="AT23" i="10"/>
  <c r="AF25" i="22" s="1"/>
  <c r="AC136" i="20" l="1"/>
  <c r="L25" i="22"/>
  <c r="AP25" i="22"/>
  <c r="B25" i="22"/>
  <c r="D25" i="22"/>
  <c r="AH25" i="22"/>
  <c r="AR25" i="22"/>
  <c r="N25" i="22"/>
  <c r="AB137" i="20"/>
  <c r="AD136" i="20"/>
  <c r="AJ136" i="20" s="1"/>
  <c r="AH137" i="20" l="1"/>
  <c r="AO137" i="20"/>
  <c r="C41" i="27" a="1"/>
  <c r="C5" i="27" a="1"/>
  <c r="S7" i="27" s="1"/>
  <c r="S7" i="26" s="1"/>
  <c r="AR137" i="20" l="1"/>
  <c r="AG26" i="22" s="1"/>
  <c r="AT137" i="20"/>
  <c r="AH26" i="22"/>
  <c r="I43" i="27"/>
  <c r="I43" i="26" s="1"/>
  <c r="AR43" i="27"/>
  <c r="AR43" i="26" s="1"/>
  <c r="AI4" i="49" s="1"/>
  <c r="AM45" i="27"/>
  <c r="AM45" i="26" s="1"/>
  <c r="AD6" i="49" s="1"/>
  <c r="AO46" i="27"/>
  <c r="AO46" i="26" s="1"/>
  <c r="AF7" i="49" s="1"/>
  <c r="W44" i="27"/>
  <c r="W44" i="26" s="1"/>
  <c r="N5" i="49" s="1"/>
  <c r="O45" i="27"/>
  <c r="O45" i="26" s="1"/>
  <c r="F6" i="49" s="1"/>
  <c r="H41" i="27"/>
  <c r="H41" i="26" s="1"/>
  <c r="Y41" i="27"/>
  <c r="Y41" i="26" s="1"/>
  <c r="P2" i="49" s="1"/>
  <c r="G42" i="27"/>
  <c r="G42" i="26" s="1"/>
  <c r="U45" i="27"/>
  <c r="U45" i="26" s="1"/>
  <c r="L6" i="49" s="1"/>
  <c r="J43" i="27"/>
  <c r="J43" i="26" s="1"/>
  <c r="Q44" i="27"/>
  <c r="Q44" i="26" s="1"/>
  <c r="H5" i="49" s="1"/>
  <c r="AD43" i="27"/>
  <c r="AD43" i="26" s="1"/>
  <c r="U4" i="49" s="1"/>
  <c r="AL41" i="27"/>
  <c r="AL41" i="26" s="1"/>
  <c r="AC2" i="49" s="1"/>
  <c r="L46" i="27"/>
  <c r="L46" i="26" s="1"/>
  <c r="C7" i="49" s="1"/>
  <c r="AF42" i="27"/>
  <c r="AF42" i="26" s="1"/>
  <c r="W3" i="49" s="1"/>
  <c r="AA41" i="27"/>
  <c r="AA41" i="26" s="1"/>
  <c r="R2" i="49" s="1"/>
  <c r="AJ43" i="27"/>
  <c r="AJ43" i="26" s="1"/>
  <c r="AA4" i="49" s="1"/>
  <c r="N44" i="27"/>
  <c r="N44" i="26" s="1"/>
  <c r="E5" i="49" s="1"/>
  <c r="C44" i="27"/>
  <c r="C44" i="26" s="1"/>
  <c r="AP46" i="27"/>
  <c r="AP46" i="26" s="1"/>
  <c r="AG7" i="49" s="1"/>
  <c r="P42" i="27"/>
  <c r="P42" i="26" s="1"/>
  <c r="G3" i="49" s="1"/>
  <c r="R44" i="27"/>
  <c r="R44" i="26" s="1"/>
  <c r="I5" i="49" s="1"/>
  <c r="W45" i="27"/>
  <c r="W45" i="26" s="1"/>
  <c r="N6" i="49" s="1"/>
  <c r="O46" i="27"/>
  <c r="O46" i="26" s="1"/>
  <c r="F7" i="49" s="1"/>
  <c r="H42" i="27"/>
  <c r="H42" i="26" s="1"/>
  <c r="F41" i="27"/>
  <c r="F41" i="26" s="1"/>
  <c r="Y42" i="27"/>
  <c r="Y42" i="26" s="1"/>
  <c r="P3" i="49" s="1"/>
  <c r="U46" i="27"/>
  <c r="U46" i="26" s="1"/>
  <c r="L7" i="49" s="1"/>
  <c r="J44" i="27"/>
  <c r="J44" i="26" s="1"/>
  <c r="Q45" i="27"/>
  <c r="Q45" i="26" s="1"/>
  <c r="H6" i="49" s="1"/>
  <c r="AL42" i="27"/>
  <c r="AL42" i="26" s="1"/>
  <c r="AC3" i="49" s="1"/>
  <c r="AF43" i="27"/>
  <c r="AF43" i="26" s="1"/>
  <c r="W4" i="49" s="1"/>
  <c r="AA42" i="27"/>
  <c r="AA42" i="26" s="1"/>
  <c r="R3" i="49" s="1"/>
  <c r="AJ44" i="27"/>
  <c r="AJ44" i="26" s="1"/>
  <c r="AA5" i="49" s="1"/>
  <c r="N45" i="27"/>
  <c r="N45" i="26" s="1"/>
  <c r="E6" i="49" s="1"/>
  <c r="C45" i="27"/>
  <c r="C45" i="26" s="1"/>
  <c r="AI41" i="27"/>
  <c r="AI41" i="26" s="1"/>
  <c r="Z2" i="49" s="1"/>
  <c r="P41" i="27"/>
  <c r="P41" i="26" s="1"/>
  <c r="G2" i="49" s="1"/>
  <c r="AB45" i="27"/>
  <c r="AB45" i="26" s="1"/>
  <c r="S6" i="49" s="1"/>
  <c r="W46" i="27"/>
  <c r="W46" i="26" s="1"/>
  <c r="N7" i="49" s="1"/>
  <c r="Z44" i="27"/>
  <c r="Z44" i="26" s="1"/>
  <c r="Q5" i="49" s="1"/>
  <c r="H43" i="27"/>
  <c r="H43" i="26" s="1"/>
  <c r="Y43" i="27"/>
  <c r="Y43" i="26" s="1"/>
  <c r="P4" i="49" s="1"/>
  <c r="J45" i="27"/>
  <c r="J45" i="26" s="1"/>
  <c r="Q46" i="27"/>
  <c r="Q46" i="26" s="1"/>
  <c r="H7" i="49" s="1"/>
  <c r="AL43" i="27"/>
  <c r="AL43" i="26" s="1"/>
  <c r="AC4" i="49" s="1"/>
  <c r="AF45" i="27"/>
  <c r="AF45" i="26" s="1"/>
  <c r="W6" i="49" s="1"/>
  <c r="AA43" i="27"/>
  <c r="AA43" i="26" s="1"/>
  <c r="R4" i="49" s="1"/>
  <c r="M42" i="27"/>
  <c r="M42" i="26" s="1"/>
  <c r="D3" i="49" s="1"/>
  <c r="AJ45" i="27"/>
  <c r="AJ45" i="26" s="1"/>
  <c r="AA6" i="49" s="1"/>
  <c r="N46" i="27"/>
  <c r="N46" i="26" s="1"/>
  <c r="E7" i="49" s="1"/>
  <c r="AI42" i="27"/>
  <c r="AI42" i="26" s="1"/>
  <c r="Z3" i="49" s="1"/>
  <c r="Z41" i="27"/>
  <c r="Z41" i="26" s="1"/>
  <c r="Q2" i="49" s="1"/>
  <c r="AP42" i="27"/>
  <c r="AP42" i="26" s="1"/>
  <c r="AG3" i="49" s="1"/>
  <c r="AH46" i="27"/>
  <c r="AH46" i="26" s="1"/>
  <c r="Y7" i="49" s="1"/>
  <c r="H45" i="27"/>
  <c r="H45" i="26" s="1"/>
  <c r="Y44" i="27"/>
  <c r="Y44" i="26" s="1"/>
  <c r="P5" i="49" s="1"/>
  <c r="J46" i="27"/>
  <c r="J46" i="26" s="1"/>
  <c r="AL44" i="27"/>
  <c r="AL44" i="26" s="1"/>
  <c r="AC5" i="49" s="1"/>
  <c r="AF46" i="27"/>
  <c r="AF46" i="26" s="1"/>
  <c r="W7" i="49" s="1"/>
  <c r="AA44" i="27"/>
  <c r="AA44" i="26" s="1"/>
  <c r="R5" i="49" s="1"/>
  <c r="M43" i="27"/>
  <c r="M43" i="26" s="1"/>
  <c r="D4" i="49" s="1"/>
  <c r="C46" i="27"/>
  <c r="C46" i="26" s="1"/>
  <c r="T42" i="27"/>
  <c r="T42" i="26" s="1"/>
  <c r="K3" i="49" s="1"/>
  <c r="M41" i="27"/>
  <c r="M41" i="26" s="1"/>
  <c r="D2" i="49" s="1"/>
  <c r="AU41" i="27"/>
  <c r="AU41" i="26" s="1"/>
  <c r="AL2" i="49" s="1"/>
  <c r="AT43" i="27"/>
  <c r="AT43" i="26" s="1"/>
  <c r="AK4" i="49" s="1"/>
  <c r="H46" i="27"/>
  <c r="H46" i="26" s="1"/>
  <c r="F43" i="27"/>
  <c r="F43" i="26" s="1"/>
  <c r="AL46" i="27"/>
  <c r="AL46" i="26" s="1"/>
  <c r="AC7" i="49" s="1"/>
  <c r="M44" i="27"/>
  <c r="M44" i="26" s="1"/>
  <c r="D5" i="49" s="1"/>
  <c r="AI44" i="27"/>
  <c r="AI44" i="26" s="1"/>
  <c r="Z5" i="49" s="1"/>
  <c r="K45" i="27"/>
  <c r="K45" i="26" s="1"/>
  <c r="B6" i="49" s="1"/>
  <c r="K42" i="27"/>
  <c r="K42" i="26" s="1"/>
  <c r="B3" i="49" s="1"/>
  <c r="AP43" i="27"/>
  <c r="AP43" i="26" s="1"/>
  <c r="AG4" i="49" s="1"/>
  <c r="Z42" i="27"/>
  <c r="Z42" i="26" s="1"/>
  <c r="Q3" i="49" s="1"/>
  <c r="X43" i="27"/>
  <c r="X43" i="26" s="1"/>
  <c r="O4" i="49" s="1"/>
  <c r="AG44" i="27"/>
  <c r="AG44" i="26" s="1"/>
  <c r="X5" i="49" s="1"/>
  <c r="AM41" i="27"/>
  <c r="AM41" i="26" s="1"/>
  <c r="AD2" i="49" s="1"/>
  <c r="AU42" i="27"/>
  <c r="AU42" i="26" s="1"/>
  <c r="AL3" i="49" s="1"/>
  <c r="AT44" i="27"/>
  <c r="AT44" i="26" s="1"/>
  <c r="AK5" i="49" s="1"/>
  <c r="F46" i="27"/>
  <c r="F46" i="26" s="1"/>
  <c r="U41" i="27"/>
  <c r="U41" i="26" s="1"/>
  <c r="L2" i="49" s="1"/>
  <c r="S44" i="27"/>
  <c r="S44" i="26" s="1"/>
  <c r="J5" i="49" s="1"/>
  <c r="L41" i="27"/>
  <c r="L41" i="26" s="1"/>
  <c r="C2" i="49" s="1"/>
  <c r="AA46" i="27"/>
  <c r="AA46" i="26" s="1"/>
  <c r="R7" i="49" s="1"/>
  <c r="M45" i="27"/>
  <c r="M45" i="26" s="1"/>
  <c r="D6" i="49" s="1"/>
  <c r="N41" i="27"/>
  <c r="N41" i="26" s="1"/>
  <c r="E2" i="49" s="1"/>
  <c r="C41" i="27"/>
  <c r="C41" i="26" s="1"/>
  <c r="AI45" i="27"/>
  <c r="AI45" i="26" s="1"/>
  <c r="Z6" i="49" s="1"/>
  <c r="AP44" i="27"/>
  <c r="AP44" i="26" s="1"/>
  <c r="AG5" i="49" s="1"/>
  <c r="AP45" i="27"/>
  <c r="AP45" i="26" s="1"/>
  <c r="AG6" i="49" s="1"/>
  <c r="X44" i="27"/>
  <c r="X44" i="26" s="1"/>
  <c r="O5" i="49" s="1"/>
  <c r="AK41" i="27"/>
  <c r="AK41" i="26" s="1"/>
  <c r="AB2" i="49" s="1"/>
  <c r="AM42" i="27"/>
  <c r="AM42" i="26" s="1"/>
  <c r="AD3" i="49" s="1"/>
  <c r="AU43" i="27"/>
  <c r="AU43" i="26" s="1"/>
  <c r="AL4" i="49" s="1"/>
  <c r="AT45" i="27"/>
  <c r="AT45" i="26" s="1"/>
  <c r="AK6" i="49" s="1"/>
  <c r="O43" i="27"/>
  <c r="O43" i="26" s="1"/>
  <c r="F4" i="49" s="1"/>
  <c r="M46" i="27"/>
  <c r="M46" i="26" s="1"/>
  <c r="D7" i="49" s="1"/>
  <c r="AK46" i="27"/>
  <c r="AK46" i="26" s="1"/>
  <c r="AB7" i="49" s="1"/>
  <c r="AM43" i="27"/>
  <c r="AM43" i="26" s="1"/>
  <c r="AD4" i="49" s="1"/>
  <c r="W42" i="27"/>
  <c r="W42" i="26" s="1"/>
  <c r="N3" i="49" s="1"/>
  <c r="AU44" i="27"/>
  <c r="AU44" i="26" s="1"/>
  <c r="AL5" i="49" s="1"/>
  <c r="O44" i="27"/>
  <c r="O44" i="26" s="1"/>
  <c r="F5" i="49" s="1"/>
  <c r="AI46" i="27"/>
  <c r="AI46" i="26" s="1"/>
  <c r="Z7" i="49" s="1"/>
  <c r="G41" i="27"/>
  <c r="G41" i="26" s="1"/>
  <c r="U43" i="27"/>
  <c r="U43" i="26" s="1"/>
  <c r="L4" i="49" s="1"/>
  <c r="J42" i="27"/>
  <c r="J42" i="26" s="1"/>
  <c r="Q41" i="27"/>
  <c r="Q41" i="26" s="1"/>
  <c r="H2" i="49" s="1"/>
  <c r="AI43" i="27"/>
  <c r="AI43" i="26" s="1"/>
  <c r="Z4" i="49" s="1"/>
  <c r="AD42" i="27"/>
  <c r="AD42" i="26" s="1"/>
  <c r="U3" i="49" s="1"/>
  <c r="L45" i="27"/>
  <c r="L45" i="26" s="1"/>
  <c r="C6" i="49" s="1"/>
  <c r="AF41" i="27"/>
  <c r="AF41" i="26" s="1"/>
  <c r="W2" i="49" s="1"/>
  <c r="S46" i="27"/>
  <c r="S46" i="26" s="1"/>
  <c r="J7" i="49" s="1"/>
  <c r="AJ42" i="27"/>
  <c r="AJ42" i="26" s="1"/>
  <c r="AA3" i="49" s="1"/>
  <c r="N43" i="27"/>
  <c r="N43" i="26" s="1"/>
  <c r="E4" i="49" s="1"/>
  <c r="C43" i="27"/>
  <c r="C43" i="26" s="1"/>
  <c r="Z43" i="27"/>
  <c r="Z43" i="26" s="1"/>
  <c r="Q4" i="49" s="1"/>
  <c r="K41" i="27"/>
  <c r="K41" i="26" s="1"/>
  <c r="B2" i="49" s="1"/>
  <c r="P46" i="27"/>
  <c r="P46" i="26" s="1"/>
  <c r="G7" i="49" s="1"/>
  <c r="U42" i="27"/>
  <c r="U42" i="26" s="1"/>
  <c r="L3" i="49" s="1"/>
  <c r="N42" i="27"/>
  <c r="N42" i="26" s="1"/>
  <c r="E3" i="49" s="1"/>
  <c r="P45" i="27"/>
  <c r="P45" i="26" s="1"/>
  <c r="G6" i="49" s="1"/>
  <c r="Z45" i="27"/>
  <c r="Z45" i="26" s="1"/>
  <c r="Q6" i="49" s="1"/>
  <c r="K44" i="27"/>
  <c r="K44" i="26" s="1"/>
  <c r="B5" i="49" s="1"/>
  <c r="AP41" i="27"/>
  <c r="AP41" i="26" s="1"/>
  <c r="AG2" i="49" s="1"/>
  <c r="L43" i="27"/>
  <c r="L43" i="26" s="1"/>
  <c r="C4" i="49" s="1"/>
  <c r="C42" i="27"/>
  <c r="C42" i="26" s="1"/>
  <c r="K43" i="27"/>
  <c r="K43" i="26" s="1"/>
  <c r="B4" i="49" s="1"/>
  <c r="P43" i="27"/>
  <c r="P43" i="26" s="1"/>
  <c r="G4" i="49" s="1"/>
  <c r="P44" i="27"/>
  <c r="P44" i="26" s="1"/>
  <c r="G5" i="49" s="1"/>
  <c r="AJ41" i="27"/>
  <c r="AJ41" i="26" s="1"/>
  <c r="AA2" i="49" s="1"/>
  <c r="Z46" i="27"/>
  <c r="Z46" i="26" s="1"/>
  <c r="Q7" i="49" s="1"/>
  <c r="AD41" i="27"/>
  <c r="AD41" i="26" s="1"/>
  <c r="U2" i="49" s="1"/>
  <c r="K46" i="27"/>
  <c r="K46" i="26" s="1"/>
  <c r="B7" i="49" s="1"/>
  <c r="S41" i="27"/>
  <c r="S41" i="26" s="1"/>
  <c r="J2" i="49" s="1"/>
  <c r="AK42" i="27"/>
  <c r="AK42" i="26" s="1"/>
  <c r="AB3" i="49" s="1"/>
  <c r="R43" i="27"/>
  <c r="R43" i="26" s="1"/>
  <c r="I4" i="49" s="1"/>
  <c r="R42" i="27"/>
  <c r="R42" i="26" s="1"/>
  <c r="I3" i="49" s="1"/>
  <c r="AS41" i="27"/>
  <c r="AS41" i="26" s="1"/>
  <c r="AJ2" i="49" s="1"/>
  <c r="AD44" i="27"/>
  <c r="AD44" i="26" s="1"/>
  <c r="U5" i="49" s="1"/>
  <c r="AG43" i="27"/>
  <c r="AG43" i="26" s="1"/>
  <c r="X4" i="49" s="1"/>
  <c r="I46" i="27"/>
  <c r="I46" i="26" s="1"/>
  <c r="AL45" i="27"/>
  <c r="AL45" i="26" s="1"/>
  <c r="AC6" i="49" s="1"/>
  <c r="G43" i="27"/>
  <c r="G43" i="26" s="1"/>
  <c r="G45" i="27"/>
  <c r="G45" i="26" s="1"/>
  <c r="AB42" i="27"/>
  <c r="AB42" i="26" s="1"/>
  <c r="S3" i="49" s="1"/>
  <c r="D46" i="27"/>
  <c r="D46" i="26" s="1"/>
  <c r="AN46" i="27"/>
  <c r="AN46" i="26" s="1"/>
  <c r="AE7" i="49" s="1"/>
  <c r="AQ46" i="27"/>
  <c r="AQ46" i="26" s="1"/>
  <c r="AH7" i="49" s="1"/>
  <c r="AS43" i="27"/>
  <c r="AS43" i="26" s="1"/>
  <c r="AJ4" i="49" s="1"/>
  <c r="AC41" i="27"/>
  <c r="AC41" i="26" s="1"/>
  <c r="T2" i="49" s="1"/>
  <c r="T44" i="27"/>
  <c r="T44" i="26" s="1"/>
  <c r="K5" i="49" s="1"/>
  <c r="AS42" i="27"/>
  <c r="AS42" i="26" s="1"/>
  <c r="AJ3" i="49" s="1"/>
  <c r="S42" i="27"/>
  <c r="S42" i="26" s="1"/>
  <c r="J3" i="49" s="1"/>
  <c r="V41" i="27"/>
  <c r="V41" i="26" s="1"/>
  <c r="M2" i="49" s="1"/>
  <c r="Q43" i="27"/>
  <c r="Q43" i="26" s="1"/>
  <c r="H4" i="49" s="1"/>
  <c r="G46" i="27"/>
  <c r="G46" i="26" s="1"/>
  <c r="F45" i="27"/>
  <c r="F45" i="26" s="1"/>
  <c r="AT42" i="27"/>
  <c r="AT42" i="26" s="1"/>
  <c r="AK3" i="49" s="1"/>
  <c r="AO43" i="27"/>
  <c r="AO43" i="26" s="1"/>
  <c r="AF4" i="49" s="1"/>
  <c r="AT41" i="27"/>
  <c r="AT41" i="26" s="1"/>
  <c r="AK2" i="49" s="1"/>
  <c r="AO41" i="27"/>
  <c r="AO41" i="26" s="1"/>
  <c r="AF2" i="49" s="1"/>
  <c r="AT46" i="27"/>
  <c r="AT46" i="26" s="1"/>
  <c r="AK7" i="49" s="1"/>
  <c r="O42" i="27"/>
  <c r="O42" i="26" s="1"/>
  <c r="F3" i="49" s="1"/>
  <c r="AK43" i="27"/>
  <c r="AK43" i="26" s="1"/>
  <c r="AB4" i="49" s="1"/>
  <c r="AG45" i="27"/>
  <c r="AG45" i="26" s="1"/>
  <c r="X6" i="49" s="1"/>
  <c r="T45" i="27"/>
  <c r="T45" i="26" s="1"/>
  <c r="K6" i="49" s="1"/>
  <c r="E44" i="27"/>
  <c r="E44" i="26" s="1"/>
  <c r="AC46" i="27"/>
  <c r="AC46" i="26" s="1"/>
  <c r="T7" i="49" s="1"/>
  <c r="D45" i="27"/>
  <c r="D45" i="26" s="1"/>
  <c r="AQ42" i="27"/>
  <c r="AQ42" i="26" s="1"/>
  <c r="AH3" i="49" s="1"/>
  <c r="AE46" i="27"/>
  <c r="AE46" i="26" s="1"/>
  <c r="V7" i="49" s="1"/>
  <c r="AG41" i="27"/>
  <c r="AG41" i="26" s="1"/>
  <c r="X2" i="49" s="1"/>
  <c r="V45" i="27"/>
  <c r="V45" i="26" s="1"/>
  <c r="M6" i="49" s="1"/>
  <c r="AJ46" i="27"/>
  <c r="AJ46" i="26" s="1"/>
  <c r="AA7" i="49" s="1"/>
  <c r="AF44" i="27"/>
  <c r="AF44" i="26" s="1"/>
  <c r="W5" i="49" s="1"/>
  <c r="J41" i="27"/>
  <c r="J41" i="26" s="1"/>
  <c r="H44" i="27"/>
  <c r="H44" i="26" s="1"/>
  <c r="AO42" i="27"/>
  <c r="AO42" i="26" s="1"/>
  <c r="AF3" i="49" s="1"/>
  <c r="AB44" i="27"/>
  <c r="AB44" i="26" s="1"/>
  <c r="S5" i="49" s="1"/>
  <c r="L42" i="27"/>
  <c r="L42" i="26" s="1"/>
  <c r="C3" i="49" s="1"/>
  <c r="Q42" i="27"/>
  <c r="Q42" i="26" s="1"/>
  <c r="H3" i="49" s="1"/>
  <c r="G44" i="27"/>
  <c r="G44" i="26" s="1"/>
  <c r="AU46" i="27"/>
  <c r="AU46" i="26" s="1"/>
  <c r="AL7" i="49" s="1"/>
  <c r="AM46" i="27"/>
  <c r="AM46" i="26" s="1"/>
  <c r="AD7" i="49" s="1"/>
  <c r="AR42" i="27"/>
  <c r="AR42" i="26" s="1"/>
  <c r="AI3" i="49" s="1"/>
  <c r="AK45" i="27"/>
  <c r="AK45" i="26" s="1"/>
  <c r="AB6" i="49" s="1"/>
  <c r="AE41" i="27"/>
  <c r="AE41" i="26" s="1"/>
  <c r="V2" i="49" s="1"/>
  <c r="T41" i="27"/>
  <c r="T41" i="26" s="1"/>
  <c r="K2" i="49" s="1"/>
  <c r="AR46" i="27"/>
  <c r="AR46" i="26" s="1"/>
  <c r="AI7" i="49" s="1"/>
  <c r="AB46" i="27"/>
  <c r="AB46" i="26" s="1"/>
  <c r="S7" i="49" s="1"/>
  <c r="X41" i="27"/>
  <c r="X41" i="26" s="1"/>
  <c r="O2" i="49" s="1"/>
  <c r="F44" i="27"/>
  <c r="F44" i="26" s="1"/>
  <c r="AU45" i="27"/>
  <c r="AU45" i="26" s="1"/>
  <c r="AL6" i="49" s="1"/>
  <c r="AM44" i="27"/>
  <c r="AM44" i="26" s="1"/>
  <c r="AD5" i="49" s="1"/>
  <c r="R45" i="27"/>
  <c r="R45" i="26" s="1"/>
  <c r="I6" i="49" s="1"/>
  <c r="T46" i="27"/>
  <c r="T46" i="26" s="1"/>
  <c r="K7" i="49" s="1"/>
  <c r="AH42" i="27"/>
  <c r="AH42" i="26" s="1"/>
  <c r="Y3" i="49" s="1"/>
  <c r="AB41" i="27"/>
  <c r="AB41" i="26" s="1"/>
  <c r="S2" i="49" s="1"/>
  <c r="E41" i="27"/>
  <c r="E41" i="26" s="1"/>
  <c r="I45" i="27"/>
  <c r="I45" i="26" s="1"/>
  <c r="AN44" i="27"/>
  <c r="AN44" i="26" s="1"/>
  <c r="AE5" i="49" s="1"/>
  <c r="E42" i="27"/>
  <c r="E42" i="26" s="1"/>
  <c r="D44" i="27"/>
  <c r="D44" i="26" s="1"/>
  <c r="AR41" i="27"/>
  <c r="AR41" i="26" s="1"/>
  <c r="AI2" i="49" s="1"/>
  <c r="AH45" i="27"/>
  <c r="AH45" i="26" s="1"/>
  <c r="Y6" i="49" s="1"/>
  <c r="AH43" i="27"/>
  <c r="AH43" i="26" s="1"/>
  <c r="Y4" i="49" s="1"/>
  <c r="AD46" i="27"/>
  <c r="AD46" i="26" s="1"/>
  <c r="U7" i="49" s="1"/>
  <c r="AR45" i="27"/>
  <c r="AR45" i="26" s="1"/>
  <c r="AI6" i="49" s="1"/>
  <c r="AD45" i="27"/>
  <c r="AD45" i="26" s="1"/>
  <c r="U6" i="49" s="1"/>
  <c r="AR44" i="27"/>
  <c r="AR44" i="26" s="1"/>
  <c r="AI5" i="49" s="1"/>
  <c r="F42" i="27"/>
  <c r="F42" i="26" s="1"/>
  <c r="AH44" i="27"/>
  <c r="AH44" i="26" s="1"/>
  <c r="Y5" i="49" s="1"/>
  <c r="AB43" i="27"/>
  <c r="AB43" i="26" s="1"/>
  <c r="S4" i="49" s="1"/>
  <c r="R46" i="27"/>
  <c r="R46" i="26" s="1"/>
  <c r="I7" i="49" s="1"/>
  <c r="L44" i="27"/>
  <c r="L44" i="26" s="1"/>
  <c r="C5" i="49" s="1"/>
  <c r="U44" i="27"/>
  <c r="U44" i="26" s="1"/>
  <c r="L5" i="49" s="1"/>
  <c r="Y45" i="27"/>
  <c r="Y45" i="26" s="1"/>
  <c r="P6" i="49" s="1"/>
  <c r="AN41" i="27"/>
  <c r="AN41" i="26" s="1"/>
  <c r="AE2" i="49" s="1"/>
  <c r="AQ44" i="27"/>
  <c r="AQ44" i="26" s="1"/>
  <c r="AH5" i="49" s="1"/>
  <c r="T43" i="27"/>
  <c r="T43" i="26" s="1"/>
  <c r="K4" i="49" s="1"/>
  <c r="AQ43" i="27"/>
  <c r="AQ43" i="26" s="1"/>
  <c r="AH4" i="49" s="1"/>
  <c r="AE44" i="27"/>
  <c r="AE44" i="26" s="1"/>
  <c r="V5" i="49" s="1"/>
  <c r="AC44" i="27"/>
  <c r="AC44" i="26" s="1"/>
  <c r="T5" i="49" s="1"/>
  <c r="I41" i="27"/>
  <c r="I41" i="26" s="1"/>
  <c r="AE43" i="27"/>
  <c r="AE43" i="26" s="1"/>
  <c r="V4" i="49" s="1"/>
  <c r="AC43" i="27"/>
  <c r="AC43" i="26" s="1"/>
  <c r="T4" i="49" s="1"/>
  <c r="S45" i="27"/>
  <c r="S45" i="26" s="1"/>
  <c r="J6" i="49" s="1"/>
  <c r="W41" i="27"/>
  <c r="W41" i="26" s="1"/>
  <c r="N2" i="49" s="1"/>
  <c r="AO44" i="27"/>
  <c r="AO44" i="26" s="1"/>
  <c r="AF5" i="49" s="1"/>
  <c r="AE45" i="27"/>
  <c r="AE45" i="26" s="1"/>
  <c r="V6" i="49" s="1"/>
  <c r="O41" i="27"/>
  <c r="O41" i="26" s="1"/>
  <c r="F2" i="49" s="1"/>
  <c r="AK44" i="27"/>
  <c r="AK44" i="26" s="1"/>
  <c r="AB5" i="49" s="1"/>
  <c r="AG46" i="27"/>
  <c r="AG46" i="26" s="1"/>
  <c r="X7" i="49" s="1"/>
  <c r="AH41" i="27"/>
  <c r="AH41" i="26" s="1"/>
  <c r="Y2" i="49" s="1"/>
  <c r="AS45" i="27"/>
  <c r="AS45" i="26" s="1"/>
  <c r="AJ6" i="49" s="1"/>
  <c r="AO45" i="27"/>
  <c r="AO45" i="26" s="1"/>
  <c r="AF6" i="49" s="1"/>
  <c r="Y46" i="27"/>
  <c r="Y46" i="26" s="1"/>
  <c r="P7" i="49" s="1"/>
  <c r="AA45" i="27"/>
  <c r="AA45" i="26" s="1"/>
  <c r="R6" i="49" s="1"/>
  <c r="W43" i="27"/>
  <c r="W43" i="26" s="1"/>
  <c r="N4" i="49" s="1"/>
  <c r="AG42" i="27"/>
  <c r="AG42" i="26" s="1"/>
  <c r="X3" i="49" s="1"/>
  <c r="I42" i="27"/>
  <c r="I42" i="26" s="1"/>
  <c r="R41" i="27"/>
  <c r="R41" i="26" s="1"/>
  <c r="I2" i="49" s="1"/>
  <c r="D42" i="27"/>
  <c r="D42" i="26" s="1"/>
  <c r="D43" i="27"/>
  <c r="D43" i="26" s="1"/>
  <c r="E46" i="27"/>
  <c r="E46" i="26" s="1"/>
  <c r="V44" i="27"/>
  <c r="V44" i="26" s="1"/>
  <c r="M5" i="49" s="1"/>
  <c r="V42" i="27"/>
  <c r="V42" i="26" s="1"/>
  <c r="M3" i="49" s="1"/>
  <c r="I44" i="27"/>
  <c r="I44" i="26" s="1"/>
  <c r="X46" i="27"/>
  <c r="X46" i="26" s="1"/>
  <c r="O7" i="49" s="1"/>
  <c r="AQ45" i="27"/>
  <c r="AQ45" i="26" s="1"/>
  <c r="AH6" i="49" s="1"/>
  <c r="X42" i="27"/>
  <c r="X42" i="26" s="1"/>
  <c r="O3" i="49" s="1"/>
  <c r="AQ41" i="27"/>
  <c r="AQ41" i="26" s="1"/>
  <c r="AH2" i="49" s="1"/>
  <c r="V46" i="27"/>
  <c r="V46" i="26" s="1"/>
  <c r="M7" i="49" s="1"/>
  <c r="AN45" i="27"/>
  <c r="AN45" i="26" s="1"/>
  <c r="AE6" i="49" s="1"/>
  <c r="AC42" i="27"/>
  <c r="AC42" i="26" s="1"/>
  <c r="T3" i="49" s="1"/>
  <c r="E45" i="27"/>
  <c r="E45" i="26" s="1"/>
  <c r="AN43" i="27"/>
  <c r="AN43" i="26" s="1"/>
  <c r="AE4" i="49" s="1"/>
  <c r="V43" i="27"/>
  <c r="V43" i="26" s="1"/>
  <c r="M4" i="49" s="1"/>
  <c r="AS44" i="27"/>
  <c r="AS44" i="26" s="1"/>
  <c r="AJ5" i="49" s="1"/>
  <c r="D41" i="27"/>
  <c r="D41" i="26" s="1"/>
  <c r="AE42" i="27"/>
  <c r="AE42" i="26" s="1"/>
  <c r="V3" i="49" s="1"/>
  <c r="X45" i="27"/>
  <c r="X45" i="26" s="1"/>
  <c r="O6" i="49" s="1"/>
  <c r="AN42" i="27"/>
  <c r="AN42" i="26" s="1"/>
  <c r="AE3" i="49" s="1"/>
  <c r="E43" i="27"/>
  <c r="E43" i="26" s="1"/>
  <c r="AC45" i="27"/>
  <c r="AC45" i="26" s="1"/>
  <c r="T6" i="49" s="1"/>
  <c r="AS46" i="27"/>
  <c r="AS46" i="26" s="1"/>
  <c r="AJ7" i="49" s="1"/>
  <c r="S43" i="27"/>
  <c r="S43" i="26" s="1"/>
  <c r="J4" i="49" s="1"/>
  <c r="E5" i="27"/>
  <c r="AN9" i="27"/>
  <c r="W10" i="27"/>
  <c r="AT6" i="27"/>
  <c r="H9" i="27"/>
  <c r="Y10" i="27"/>
  <c r="Z8" i="27"/>
  <c r="AD6" i="27"/>
  <c r="AL10" i="27"/>
  <c r="L8" i="27"/>
  <c r="AA5" i="27"/>
  <c r="M8" i="27"/>
  <c r="AJ7" i="27"/>
  <c r="N10" i="27"/>
  <c r="C10" i="27"/>
  <c r="K10" i="27"/>
  <c r="K8" i="27"/>
  <c r="AQ10" i="27"/>
  <c r="AM8" i="27"/>
  <c r="AO5" i="27"/>
  <c r="O6" i="27"/>
  <c r="AT7" i="27"/>
  <c r="U5" i="27"/>
  <c r="AD7" i="27"/>
  <c r="S9" i="27"/>
  <c r="L9" i="27"/>
  <c r="AF5" i="27"/>
  <c r="AA6" i="27"/>
  <c r="M9" i="27"/>
  <c r="AJ8" i="27"/>
  <c r="P6" i="27"/>
  <c r="K9" i="27"/>
  <c r="P8" i="27"/>
  <c r="Z10" i="27"/>
  <c r="Z9" i="27"/>
  <c r="K7" i="27"/>
  <c r="AK9" i="27"/>
  <c r="AO7" i="27"/>
  <c r="AT9" i="27"/>
  <c r="F9" i="27"/>
  <c r="U6" i="27"/>
  <c r="AF6" i="27"/>
  <c r="AA7" i="27"/>
  <c r="AJ9" i="27"/>
  <c r="AO8" i="27"/>
  <c r="M5" i="27"/>
  <c r="AU5" i="27"/>
  <c r="AT10" i="27"/>
  <c r="AD10" i="27"/>
  <c r="AD9" i="27"/>
  <c r="U7" i="27"/>
  <c r="J6" i="27"/>
  <c r="S8" i="27"/>
  <c r="AL5" i="27"/>
  <c r="AF7" i="27"/>
  <c r="AA8" i="27"/>
  <c r="AJ10" i="27"/>
  <c r="N5" i="27"/>
  <c r="C5" i="27"/>
  <c r="AR5" i="27"/>
  <c r="AO10" i="27"/>
  <c r="AU6" i="27"/>
  <c r="O5" i="27"/>
  <c r="H5" i="27"/>
  <c r="Y6" i="27"/>
  <c r="F8" i="27"/>
  <c r="U8" i="27"/>
  <c r="J7" i="27"/>
  <c r="Q5" i="27"/>
  <c r="AL6" i="27"/>
  <c r="AF8" i="27"/>
  <c r="S10" i="27"/>
  <c r="AA9" i="27"/>
  <c r="N6" i="27"/>
  <c r="C6" i="27"/>
  <c r="AP8" i="27"/>
  <c r="Z6" i="27"/>
  <c r="Z5" i="27"/>
  <c r="AR10" i="27"/>
  <c r="W6" i="27"/>
  <c r="O7" i="27"/>
  <c r="H6" i="27"/>
  <c r="M10" i="27"/>
  <c r="Y7" i="27"/>
  <c r="F10" i="27"/>
  <c r="G6" i="27"/>
  <c r="U9" i="27"/>
  <c r="J9" i="27"/>
  <c r="Q9" i="27"/>
  <c r="AL7" i="27"/>
  <c r="L5" i="27"/>
  <c r="AA10" i="27"/>
  <c r="N7" i="27"/>
  <c r="C7" i="27"/>
  <c r="AI5" i="27"/>
  <c r="Z7" i="27"/>
  <c r="AP10" i="27"/>
  <c r="R8" i="27"/>
  <c r="W8" i="27"/>
  <c r="O8" i="27"/>
  <c r="H7" i="27"/>
  <c r="Y8" i="27"/>
  <c r="R9" i="27"/>
  <c r="W9" i="27"/>
  <c r="AD8" i="27"/>
  <c r="O9" i="27"/>
  <c r="H8" i="27"/>
  <c r="F5" i="27"/>
  <c r="Y9" i="27"/>
  <c r="G10" i="27"/>
  <c r="AL9" i="27"/>
  <c r="L7" i="27"/>
  <c r="M7" i="27"/>
  <c r="AJ6" i="27"/>
  <c r="N9" i="27"/>
  <c r="C9" i="27"/>
  <c r="AI9" i="27"/>
  <c r="AP7" i="27"/>
  <c r="AP6" i="27"/>
  <c r="P10" i="27"/>
  <c r="AP5" i="27"/>
  <c r="AP9" i="27"/>
  <c r="J10" i="27"/>
  <c r="L6" i="27"/>
  <c r="M6" i="27"/>
  <c r="C8" i="27"/>
  <c r="P5" i="27"/>
  <c r="K6" i="27"/>
  <c r="Q10" i="27"/>
  <c r="P7" i="27"/>
  <c r="AI10" i="27"/>
  <c r="AI8" i="27"/>
  <c r="K5" i="27"/>
  <c r="S5" i="27"/>
  <c r="G7" i="27"/>
  <c r="P9" i="27"/>
  <c r="N8" i="27"/>
  <c r="AL8" i="27"/>
  <c r="G9" i="27"/>
  <c r="AH7" i="27"/>
  <c r="AI6" i="27"/>
  <c r="AH6" i="27"/>
  <c r="S6" i="27"/>
  <c r="AK10" i="27"/>
  <c r="D6" i="27"/>
  <c r="Y5" i="27"/>
  <c r="AR9" i="27"/>
  <c r="AG9" i="27"/>
  <c r="D8" i="27"/>
  <c r="AK8" i="27"/>
  <c r="X9" i="27"/>
  <c r="D10" i="27"/>
  <c r="AT8" i="27"/>
  <c r="AH8" i="27"/>
  <c r="X7" i="27"/>
  <c r="AE6" i="27"/>
  <c r="AN7" i="27"/>
  <c r="AN6" i="27"/>
  <c r="E6" i="27"/>
  <c r="R6" i="27"/>
  <c r="R10" i="27"/>
  <c r="AG10" i="27"/>
  <c r="Q7" i="27"/>
  <c r="AK7" i="27"/>
  <c r="E7" i="27"/>
  <c r="T10" i="27"/>
  <c r="AC8" i="27"/>
  <c r="AC7" i="27"/>
  <c r="I7" i="27"/>
  <c r="AC10" i="27"/>
  <c r="AF9" i="27"/>
  <c r="AI7" i="27"/>
  <c r="AM9" i="27"/>
  <c r="G8" i="27"/>
  <c r="T5" i="27"/>
  <c r="V7" i="27"/>
  <c r="AM7" i="27"/>
  <c r="AM5" i="27"/>
  <c r="Q8" i="27"/>
  <c r="G5" i="27"/>
  <c r="AT5" i="27"/>
  <c r="V9" i="27"/>
  <c r="V5" i="27"/>
  <c r="AB5" i="27"/>
  <c r="AO6" i="27"/>
  <c r="AB9" i="27"/>
  <c r="AR8" i="27"/>
  <c r="AQ7" i="27"/>
  <c r="AQ6" i="27"/>
  <c r="T7" i="27"/>
  <c r="D7" i="27"/>
  <c r="AG8" i="27"/>
  <c r="AG7" i="27"/>
  <c r="AF10" i="27"/>
  <c r="J8" i="27"/>
  <c r="H10" i="27"/>
  <c r="V6" i="27"/>
  <c r="R5" i="27"/>
  <c r="AK6" i="27"/>
  <c r="AC9" i="27"/>
  <c r="F6" i="27"/>
  <c r="AE5" i="27"/>
  <c r="AK5" i="27"/>
  <c r="AB8" i="27"/>
  <c r="AS8" i="27"/>
  <c r="AS9" i="27"/>
  <c r="E8" i="27"/>
  <c r="AN8" i="27"/>
  <c r="T8" i="27"/>
  <c r="AU8" i="27"/>
  <c r="AB6" i="27"/>
  <c r="Q6" i="27"/>
  <c r="AU7" i="27"/>
  <c r="AJ5" i="27"/>
  <c r="AD5" i="27"/>
  <c r="AE10" i="27"/>
  <c r="AG5" i="27"/>
  <c r="W7" i="27"/>
  <c r="AR7" i="27"/>
  <c r="AS7" i="27"/>
  <c r="AN5" i="27"/>
  <c r="AS5" i="27"/>
  <c r="E9" i="27"/>
  <c r="AR6" i="27"/>
  <c r="W5" i="27"/>
  <c r="AH10" i="27"/>
  <c r="AH9" i="27"/>
  <c r="J5" i="27"/>
  <c r="F7" i="27"/>
  <c r="AB7" i="27"/>
  <c r="AU10" i="27"/>
  <c r="AM6" i="27"/>
  <c r="X6" i="27"/>
  <c r="X8" i="27"/>
  <c r="AB10" i="27"/>
  <c r="D5" i="27"/>
  <c r="I8" i="27"/>
  <c r="X5" i="27"/>
  <c r="AE9" i="27"/>
  <c r="O10" i="27"/>
  <c r="AE7" i="27"/>
  <c r="AO9" i="27"/>
  <c r="AH5" i="27"/>
  <c r="V8" i="27"/>
  <c r="AQ9" i="27"/>
  <c r="L10" i="27"/>
  <c r="U10" i="27"/>
  <c r="AM10" i="27"/>
  <c r="I10" i="27"/>
  <c r="T9" i="27"/>
  <c r="AQ8" i="27"/>
  <c r="AQ5" i="27"/>
  <c r="R7" i="27"/>
  <c r="AS6" i="27"/>
  <c r="AN10" i="27"/>
  <c r="I5" i="27"/>
  <c r="AE8" i="27"/>
  <c r="I6" i="27"/>
  <c r="AC6" i="27"/>
  <c r="V10" i="27"/>
  <c r="AS10" i="27"/>
  <c r="AG6" i="27"/>
  <c r="AU9" i="27"/>
  <c r="D9" i="27"/>
  <c r="E10" i="27"/>
  <c r="I9" i="27"/>
  <c r="T6" i="27"/>
  <c r="X10" i="27"/>
  <c r="AC5" i="27"/>
  <c r="J4" i="47"/>
  <c r="AI26" i="22" l="1"/>
  <c r="C32" i="27" a="1"/>
  <c r="T6" i="26"/>
  <c r="K3" i="47" s="1"/>
  <c r="AC6" i="26"/>
  <c r="T3" i="47" s="1"/>
  <c r="AQ8" i="26"/>
  <c r="AH5" i="47" s="1"/>
  <c r="AH5" i="26"/>
  <c r="AB10" i="26"/>
  <c r="S7" i="47" s="1"/>
  <c r="AH9" i="26"/>
  <c r="Y6" i="47" s="1"/>
  <c r="AR7" i="26"/>
  <c r="AI4" i="47" s="1"/>
  <c r="AB6" i="26"/>
  <c r="S3" i="47" s="1"/>
  <c r="AK5" i="26"/>
  <c r="J8" i="26"/>
  <c r="AR8" i="26"/>
  <c r="AI5" i="47" s="1"/>
  <c r="Q8" i="26"/>
  <c r="H5" i="47" s="1"/>
  <c r="AF9" i="26"/>
  <c r="W6" i="47" s="1"/>
  <c r="Q7" i="26"/>
  <c r="H4" i="47" s="1"/>
  <c r="X7" i="26"/>
  <c r="O4" i="47" s="1"/>
  <c r="AR9" i="26"/>
  <c r="AI6" i="47" s="1"/>
  <c r="G9" i="26"/>
  <c r="AI10" i="26"/>
  <c r="Z7" i="47" s="1"/>
  <c r="J10" i="26"/>
  <c r="N9" i="26"/>
  <c r="E6" i="47" s="1"/>
  <c r="H8" i="26"/>
  <c r="W8" i="26"/>
  <c r="N5" i="47" s="1"/>
  <c r="L5" i="26"/>
  <c r="M10" i="26"/>
  <c r="D7" i="47" s="1"/>
  <c r="C6" i="26"/>
  <c r="U8" i="26"/>
  <c r="L5" i="47" s="1"/>
  <c r="C5" i="26"/>
  <c r="U7" i="26"/>
  <c r="L4" i="47" s="1"/>
  <c r="AA7" i="26"/>
  <c r="R4" i="47" s="1"/>
  <c r="Z9" i="26"/>
  <c r="Q6" i="47" s="1"/>
  <c r="AF5" i="26"/>
  <c r="AM8" i="26"/>
  <c r="AD5" i="47" s="1"/>
  <c r="AA5" i="26"/>
  <c r="W10" i="26"/>
  <c r="N7" i="47" s="1"/>
  <c r="AU9" i="26"/>
  <c r="AL6" i="47" s="1"/>
  <c r="AN10" i="26"/>
  <c r="AE7" i="47" s="1"/>
  <c r="U10" i="26"/>
  <c r="L7" i="47" s="1"/>
  <c r="AE9" i="26"/>
  <c r="V6" i="47" s="1"/>
  <c r="AU10" i="26"/>
  <c r="AL7" i="47" s="1"/>
  <c r="E9" i="26"/>
  <c r="AD5" i="26"/>
  <c r="E8" i="26"/>
  <c r="AK6" i="26"/>
  <c r="AB3" i="47" s="1"/>
  <c r="D7" i="26"/>
  <c r="V5" i="26"/>
  <c r="T5" i="26"/>
  <c r="AC8" i="26"/>
  <c r="T5" i="47" s="1"/>
  <c r="E6" i="26"/>
  <c r="X9" i="26"/>
  <c r="O6" i="47" s="1"/>
  <c r="S6" i="26"/>
  <c r="J3" i="47" s="1"/>
  <c r="G7" i="26"/>
  <c r="P5" i="26"/>
  <c r="AP6" i="26"/>
  <c r="AG3" i="47" s="1"/>
  <c r="AL9" i="26"/>
  <c r="AC6" i="47" s="1"/>
  <c r="R9" i="26"/>
  <c r="I6" i="47" s="1"/>
  <c r="AI5" i="26"/>
  <c r="U9" i="26"/>
  <c r="L6" i="47" s="1"/>
  <c r="AR10" i="26"/>
  <c r="AI7" i="47" s="1"/>
  <c r="AF8" i="26"/>
  <c r="W5" i="47" s="1"/>
  <c r="O5" i="26"/>
  <c r="AF7" i="26"/>
  <c r="W4" i="47" s="1"/>
  <c r="AU5" i="26"/>
  <c r="AT9" i="26"/>
  <c r="AK6" i="47" s="1"/>
  <c r="P6" i="26"/>
  <c r="G3" i="47" s="1"/>
  <c r="U5" i="26"/>
  <c r="C10" i="26"/>
  <c r="Z8" i="26"/>
  <c r="Q5" i="47" s="1"/>
  <c r="AE7" i="26"/>
  <c r="V4" i="47" s="1"/>
  <c r="F6" i="26"/>
  <c r="D6" i="26"/>
  <c r="AJ10" i="26"/>
  <c r="AA7" i="47" s="1"/>
  <c r="D9" i="26"/>
  <c r="I5" i="26"/>
  <c r="AM10" i="26"/>
  <c r="AD7" i="47" s="1"/>
  <c r="O10" i="26"/>
  <c r="F7" i="47" s="1"/>
  <c r="AM6" i="26"/>
  <c r="AD3" i="47" s="1"/>
  <c r="AR6" i="26"/>
  <c r="AI3" i="47" s="1"/>
  <c r="AE10" i="26"/>
  <c r="V7" i="47" s="1"/>
  <c r="AN8" i="26"/>
  <c r="AE5" i="47" s="1"/>
  <c r="AC9" i="26"/>
  <c r="T6" i="47" s="1"/>
  <c r="AG8" i="26"/>
  <c r="X5" i="47" s="1"/>
  <c r="AB5" i="26"/>
  <c r="V7" i="26"/>
  <c r="M4" i="47" s="1"/>
  <c r="AC7" i="26"/>
  <c r="T4" i="47" s="1"/>
  <c r="R6" i="26"/>
  <c r="I3" i="47" s="1"/>
  <c r="D10" i="26"/>
  <c r="AK10" i="26"/>
  <c r="AB7" i="47" s="1"/>
  <c r="P9" i="26"/>
  <c r="G6" i="47" s="1"/>
  <c r="K6" i="26"/>
  <c r="B3" i="47" s="1"/>
  <c r="P10" i="26"/>
  <c r="G7" i="47" s="1"/>
  <c r="L7" i="26"/>
  <c r="C4" i="47" s="1"/>
  <c r="W9" i="26"/>
  <c r="N6" i="47" s="1"/>
  <c r="Z7" i="26"/>
  <c r="Q4" i="47" s="1"/>
  <c r="J9" i="26"/>
  <c r="W6" i="26"/>
  <c r="N3" i="47" s="1"/>
  <c r="S10" i="26"/>
  <c r="J7" i="47" s="1"/>
  <c r="H5" i="26"/>
  <c r="AA8" i="26"/>
  <c r="R5" i="47" s="1"/>
  <c r="AT10" i="26"/>
  <c r="AK7" i="47" s="1"/>
  <c r="F9" i="26"/>
  <c r="K9" i="26"/>
  <c r="B6" i="47" s="1"/>
  <c r="AD7" i="26"/>
  <c r="U4" i="47" s="1"/>
  <c r="K10" i="26"/>
  <c r="B7" i="47" s="1"/>
  <c r="AD6" i="26"/>
  <c r="U3" i="47" s="1"/>
  <c r="AG6" i="26"/>
  <c r="X3" i="47" s="1"/>
  <c r="AS6" i="26"/>
  <c r="AJ3" i="47" s="1"/>
  <c r="L10" i="26"/>
  <c r="C7" i="47" s="1"/>
  <c r="X5" i="26"/>
  <c r="AB7" i="26"/>
  <c r="S4" i="47" s="1"/>
  <c r="AS5" i="26"/>
  <c r="AJ5" i="26"/>
  <c r="AS9" i="26"/>
  <c r="AJ6" i="47" s="1"/>
  <c r="R5" i="26"/>
  <c r="T7" i="26"/>
  <c r="K4" i="47" s="1"/>
  <c r="V9" i="26"/>
  <c r="M6" i="47" s="1"/>
  <c r="G8" i="26"/>
  <c r="T10" i="26"/>
  <c r="K7" i="47" s="1"/>
  <c r="AN6" i="26"/>
  <c r="AE3" i="47" s="1"/>
  <c r="AK8" i="26"/>
  <c r="AB5" i="47" s="1"/>
  <c r="AH6" i="26"/>
  <c r="Y3" i="47" s="1"/>
  <c r="S5" i="26"/>
  <c r="C8" i="26"/>
  <c r="AP7" i="26"/>
  <c r="AG4" i="47" s="1"/>
  <c r="G10" i="26"/>
  <c r="Y8" i="26"/>
  <c r="P5" i="47" s="1"/>
  <c r="C7" i="26"/>
  <c r="G6" i="26"/>
  <c r="Z5" i="26"/>
  <c r="AL6" i="26"/>
  <c r="AC3" i="47" s="1"/>
  <c r="AU6" i="26"/>
  <c r="AL3" i="47" s="1"/>
  <c r="AL5" i="26"/>
  <c r="M5" i="26"/>
  <c r="AO7" i="26"/>
  <c r="AF4" i="47" s="1"/>
  <c r="AJ8" i="26"/>
  <c r="AA5" i="47" s="1"/>
  <c r="AT7" i="26"/>
  <c r="AK4" i="47" s="1"/>
  <c r="N10" i="26"/>
  <c r="E7" i="47" s="1"/>
  <c r="Y10" i="26"/>
  <c r="P7" i="47" s="1"/>
  <c r="I9" i="26"/>
  <c r="I6" i="26"/>
  <c r="T9" i="26"/>
  <c r="K6" i="47" s="1"/>
  <c r="AO9" i="26"/>
  <c r="AF6" i="47" s="1"/>
  <c r="X8" i="26"/>
  <c r="O5" i="47" s="1"/>
  <c r="AH10" i="26"/>
  <c r="Y7" i="47" s="1"/>
  <c r="W7" i="26"/>
  <c r="N4" i="47" s="1"/>
  <c r="AU8" i="26"/>
  <c r="AL5" i="47" s="1"/>
  <c r="AE5" i="26"/>
  <c r="AF10" i="26"/>
  <c r="W7" i="47" s="1"/>
  <c r="AB9" i="26"/>
  <c r="S6" i="47" s="1"/>
  <c r="AM5" i="26"/>
  <c r="AC10" i="26"/>
  <c r="T7" i="47" s="1"/>
  <c r="AG10" i="26"/>
  <c r="X7" i="47" s="1"/>
  <c r="AH8" i="26"/>
  <c r="Y5" i="47" s="1"/>
  <c r="Y5" i="26"/>
  <c r="AL8" i="26"/>
  <c r="AC5" i="47" s="1"/>
  <c r="P7" i="26"/>
  <c r="G4" i="47" s="1"/>
  <c r="AP9" i="26"/>
  <c r="AG6" i="47" s="1"/>
  <c r="AJ6" i="26"/>
  <c r="AA3" i="47" s="1"/>
  <c r="O9" i="26"/>
  <c r="F6" i="47" s="1"/>
  <c r="R8" i="26"/>
  <c r="I5" i="47" s="1"/>
  <c r="AL7" i="26"/>
  <c r="AC4" i="47" s="1"/>
  <c r="H6" i="26"/>
  <c r="N6" i="26"/>
  <c r="E3" i="47" s="1"/>
  <c r="F8" i="26"/>
  <c r="N5" i="26"/>
  <c r="AD9" i="26"/>
  <c r="U6" i="47" s="1"/>
  <c r="AF6" i="26"/>
  <c r="W3" i="47" s="1"/>
  <c r="Z10" i="26"/>
  <c r="Q7" i="47" s="1"/>
  <c r="L9" i="26"/>
  <c r="C6" i="47" s="1"/>
  <c r="AQ10" i="26"/>
  <c r="AH7" i="47" s="1"/>
  <c r="L8" i="26"/>
  <c r="C5" i="47" s="1"/>
  <c r="AN9" i="26"/>
  <c r="AE6" i="47" s="1"/>
  <c r="AC5" i="26"/>
  <c r="AS10" i="26"/>
  <c r="AJ7" i="47" s="1"/>
  <c r="R7" i="26"/>
  <c r="I4" i="47" s="1"/>
  <c r="AQ9" i="26"/>
  <c r="AH6" i="47" s="1"/>
  <c r="I8" i="26"/>
  <c r="F7" i="26"/>
  <c r="AN5" i="26"/>
  <c r="AU7" i="26"/>
  <c r="AL4" i="47" s="1"/>
  <c r="AS8" i="26"/>
  <c r="AJ5" i="47" s="1"/>
  <c r="V6" i="26"/>
  <c r="M3" i="47" s="1"/>
  <c r="AQ6" i="26"/>
  <c r="AH3" i="47" s="1"/>
  <c r="AT5" i="26"/>
  <c r="AM9" i="26"/>
  <c r="AD6" i="47" s="1"/>
  <c r="E7" i="26"/>
  <c r="AN7" i="26"/>
  <c r="AE4" i="47" s="1"/>
  <c r="D8" i="26"/>
  <c r="AI6" i="26"/>
  <c r="Z3" i="47" s="1"/>
  <c r="K5" i="26"/>
  <c r="M6" i="26"/>
  <c r="D3" i="47" s="1"/>
  <c r="AI9" i="26"/>
  <c r="Z6" i="47" s="1"/>
  <c r="Y9" i="26"/>
  <c r="P6" i="47" s="1"/>
  <c r="H7" i="26"/>
  <c r="N7" i="26"/>
  <c r="E4" i="47" s="1"/>
  <c r="F10" i="26"/>
  <c r="Z6" i="26"/>
  <c r="Q3" i="47" s="1"/>
  <c r="Q5" i="26"/>
  <c r="AO10" i="26"/>
  <c r="AF7" i="47" s="1"/>
  <c r="S8" i="26"/>
  <c r="J5" i="47" s="1"/>
  <c r="AO8" i="26"/>
  <c r="AF5" i="47" s="1"/>
  <c r="AK9" i="26"/>
  <c r="AB6" i="47" s="1"/>
  <c r="M9" i="26"/>
  <c r="D6" i="47" s="1"/>
  <c r="O6" i="26"/>
  <c r="F3" i="47" s="1"/>
  <c r="AJ7" i="26"/>
  <c r="AA4" i="47" s="1"/>
  <c r="H9" i="26"/>
  <c r="V10" i="26"/>
  <c r="M7" i="47" s="1"/>
  <c r="V8" i="26"/>
  <c r="M5" i="47" s="1"/>
  <c r="J5" i="26"/>
  <c r="AS7" i="26"/>
  <c r="AJ4" i="47" s="1"/>
  <c r="Q6" i="26"/>
  <c r="H3" i="47" s="1"/>
  <c r="H10" i="26"/>
  <c r="AQ7" i="26"/>
  <c r="AH4" i="47" s="1"/>
  <c r="G5" i="26"/>
  <c r="AI7" i="26"/>
  <c r="Z4" i="47" s="1"/>
  <c r="AK7" i="26"/>
  <c r="AB4" i="47" s="1"/>
  <c r="AE6" i="26"/>
  <c r="V3" i="47" s="1"/>
  <c r="AH7" i="26"/>
  <c r="Y4" i="47" s="1"/>
  <c r="AI8" i="26"/>
  <c r="Z5" i="47" s="1"/>
  <c r="L6" i="26"/>
  <c r="C3" i="47" s="1"/>
  <c r="C9" i="26"/>
  <c r="F5" i="26"/>
  <c r="O8" i="26"/>
  <c r="F5" i="47" s="1"/>
  <c r="AA10" i="26"/>
  <c r="R7" i="47" s="1"/>
  <c r="Y7" i="26"/>
  <c r="P4" i="47" s="1"/>
  <c r="AP8" i="26"/>
  <c r="AG5" i="47" s="1"/>
  <c r="J7" i="26"/>
  <c r="AR5" i="26"/>
  <c r="J6" i="26"/>
  <c r="AJ9" i="26"/>
  <c r="AA6" i="47" s="1"/>
  <c r="K7" i="26"/>
  <c r="B4" i="47" s="1"/>
  <c r="AA6" i="26"/>
  <c r="R3" i="47" s="1"/>
  <c r="AO5" i="26"/>
  <c r="M8" i="26"/>
  <c r="D5" i="47" s="1"/>
  <c r="X10" i="26"/>
  <c r="O7" i="47" s="1"/>
  <c r="AQ5" i="26"/>
  <c r="D5" i="26"/>
  <c r="AB8" i="26"/>
  <c r="S5" i="47" s="1"/>
  <c r="AG9" i="26"/>
  <c r="X6" i="47" s="1"/>
  <c r="AT6" i="26"/>
  <c r="AK3" i="47" s="1"/>
  <c r="E10" i="26"/>
  <c r="AE8" i="26"/>
  <c r="V5" i="47" s="1"/>
  <c r="I10" i="26"/>
  <c r="X6" i="26"/>
  <c r="O3" i="47" s="1"/>
  <c r="W5" i="26"/>
  <c r="AG5" i="26"/>
  <c r="T8" i="26"/>
  <c r="K5" i="47" s="1"/>
  <c r="AG7" i="26"/>
  <c r="X4" i="47" s="1"/>
  <c r="AO6" i="26"/>
  <c r="AF3" i="47" s="1"/>
  <c r="AM7" i="26"/>
  <c r="AD4" i="47" s="1"/>
  <c r="I7" i="26"/>
  <c r="R10" i="26"/>
  <c r="I7" i="47" s="1"/>
  <c r="AT8" i="26"/>
  <c r="AK5" i="47" s="1"/>
  <c r="N8" i="26"/>
  <c r="E5" i="47" s="1"/>
  <c r="Q10" i="26"/>
  <c r="H7" i="47" s="1"/>
  <c r="AP5" i="26"/>
  <c r="M7" i="26"/>
  <c r="D4" i="47" s="1"/>
  <c r="AD8" i="26"/>
  <c r="U5" i="47" s="1"/>
  <c r="AP10" i="26"/>
  <c r="AG7" i="47" s="1"/>
  <c r="Q9" i="26"/>
  <c r="H6" i="47" s="1"/>
  <c r="O7" i="26"/>
  <c r="F4" i="47" s="1"/>
  <c r="AA9" i="26"/>
  <c r="R6" i="47" s="1"/>
  <c r="Y6" i="26"/>
  <c r="P3" i="47" s="1"/>
  <c r="AD10" i="26"/>
  <c r="U7" i="47" s="1"/>
  <c r="U6" i="26"/>
  <c r="L3" i="47" s="1"/>
  <c r="P8" i="26"/>
  <c r="G5" i="47" s="1"/>
  <c r="S9" i="26"/>
  <c r="J6" i="47" s="1"/>
  <c r="K8" i="26"/>
  <c r="B5" i="47" s="1"/>
  <c r="AL10" i="26"/>
  <c r="AC7" i="47" s="1"/>
  <c r="E5" i="26"/>
  <c r="S32" i="27" l="1"/>
  <c r="S32" i="26" s="1"/>
  <c r="J2" i="48" s="1"/>
  <c r="AI36" i="27"/>
  <c r="AI36" i="26" s="1"/>
  <c r="Z6" i="48" s="1"/>
  <c r="K33" i="27"/>
  <c r="K33" i="26" s="1"/>
  <c r="B3" i="48" s="1"/>
  <c r="K35" i="27"/>
  <c r="K35" i="26" s="1"/>
  <c r="B5" i="48" s="1"/>
  <c r="Q33" i="27"/>
  <c r="Q33" i="26" s="1"/>
  <c r="H3" i="48" s="1"/>
  <c r="W33" i="27"/>
  <c r="W33" i="26" s="1"/>
  <c r="N3" i="48" s="1"/>
  <c r="AJ35" i="27"/>
  <c r="AJ35" i="26" s="1"/>
  <c r="AA5" i="48" s="1"/>
  <c r="Y32" i="27"/>
  <c r="Y32" i="26" s="1"/>
  <c r="P2" i="48" s="1"/>
  <c r="Z36" i="27"/>
  <c r="Z36" i="26" s="1"/>
  <c r="Q6" i="48" s="1"/>
  <c r="AT32" i="27"/>
  <c r="AT32" i="26" s="1"/>
  <c r="AK2" i="48" s="1"/>
  <c r="AP35" i="27"/>
  <c r="AP35" i="26" s="1"/>
  <c r="AG5" i="48" s="1"/>
  <c r="AF37" i="27"/>
  <c r="AF37" i="26" s="1"/>
  <c r="W7" i="48" s="1"/>
  <c r="W32" i="27"/>
  <c r="W32" i="26" s="1"/>
  <c r="N2" i="48" s="1"/>
  <c r="AL36" i="27"/>
  <c r="AL36" i="26" s="1"/>
  <c r="AC6" i="48" s="1"/>
  <c r="AE37" i="27"/>
  <c r="AE37" i="26" s="1"/>
  <c r="V7" i="48" s="1"/>
  <c r="AM35" i="27"/>
  <c r="AM35" i="26" s="1"/>
  <c r="AD5" i="48" s="1"/>
  <c r="AF33" i="27"/>
  <c r="AF33" i="26" s="1"/>
  <c r="W3" i="48" s="1"/>
  <c r="AR33" i="27"/>
  <c r="AR33" i="26" s="1"/>
  <c r="AI3" i="48" s="1"/>
  <c r="AQ37" i="27"/>
  <c r="AQ37" i="26" s="1"/>
  <c r="AH7" i="48" s="1"/>
  <c r="F34" i="27"/>
  <c r="F34" i="26" s="1"/>
  <c r="E37" i="27"/>
  <c r="E37" i="26" s="1"/>
  <c r="V36" i="27"/>
  <c r="V36" i="26" s="1"/>
  <c r="M6" i="48" s="1"/>
  <c r="AH37" i="27"/>
  <c r="AH37" i="26" s="1"/>
  <c r="Y7" i="48" s="1"/>
  <c r="AC33" i="27"/>
  <c r="AC33" i="26" s="1"/>
  <c r="T3" i="48" s="1"/>
  <c r="AS34" i="27"/>
  <c r="AS34" i="26" s="1"/>
  <c r="AJ4" i="48" s="1"/>
  <c r="P36" i="27"/>
  <c r="P36" i="26" s="1"/>
  <c r="G6" i="48" s="1"/>
  <c r="D34" i="27"/>
  <c r="D34" i="26" s="1"/>
  <c r="D35" i="27"/>
  <c r="D35" i="26" s="1"/>
  <c r="L36" i="27"/>
  <c r="L36" i="26" s="1"/>
  <c r="C6" i="48" s="1"/>
  <c r="O34" i="27"/>
  <c r="O34" i="26" s="1"/>
  <c r="F4" i="48" s="1"/>
  <c r="N37" i="27"/>
  <c r="N37" i="26" s="1"/>
  <c r="E7" i="48" s="1"/>
  <c r="G35" i="27"/>
  <c r="G35" i="26" s="1"/>
  <c r="P37" i="27"/>
  <c r="P37" i="26" s="1"/>
  <c r="G7" i="48" s="1"/>
  <c r="H35" i="27"/>
  <c r="H35" i="26" s="1"/>
  <c r="Z37" i="27"/>
  <c r="Z37" i="26" s="1"/>
  <c r="Q7" i="48" s="1"/>
  <c r="G37" i="27"/>
  <c r="G37" i="26" s="1"/>
  <c r="AC36" i="27"/>
  <c r="AC36" i="26" s="1"/>
  <c r="T6" i="48" s="1"/>
  <c r="U36" i="27"/>
  <c r="U36" i="26" s="1"/>
  <c r="L6" i="48" s="1"/>
  <c r="AU32" i="27"/>
  <c r="AU32" i="26" s="1"/>
  <c r="AL2" i="48" s="1"/>
  <c r="G32" i="27"/>
  <c r="G32" i="26" s="1"/>
  <c r="S36" i="27"/>
  <c r="S36" i="26" s="1"/>
  <c r="J6" i="48" s="1"/>
  <c r="AR32" i="27"/>
  <c r="AR32" i="26" s="1"/>
  <c r="AI2" i="48" s="1"/>
  <c r="X37" i="27"/>
  <c r="X37" i="26" s="1"/>
  <c r="O7" i="48" s="1"/>
  <c r="AD37" i="27"/>
  <c r="AD37" i="26" s="1"/>
  <c r="U7" i="48" s="1"/>
  <c r="I34" i="27"/>
  <c r="I34" i="26" s="1"/>
  <c r="AB33" i="27"/>
  <c r="AB33" i="26" s="1"/>
  <c r="S3" i="48" s="1"/>
  <c r="AH35" i="27"/>
  <c r="AH35" i="26" s="1"/>
  <c r="Y5" i="48" s="1"/>
  <c r="I37" i="27"/>
  <c r="I37" i="26" s="1"/>
  <c r="E33" i="27"/>
  <c r="E33" i="26" s="1"/>
  <c r="AB36" i="27"/>
  <c r="AB36" i="26" s="1"/>
  <c r="S6" i="48" s="1"/>
  <c r="AH34" i="27"/>
  <c r="AH34" i="26" s="1"/>
  <c r="Y4" i="48" s="1"/>
  <c r="AG33" i="27"/>
  <c r="AG33" i="26" s="1"/>
  <c r="X3" i="48" s="1"/>
  <c r="AF32" i="27"/>
  <c r="AF32" i="26" s="1"/>
  <c r="W2" i="48" s="1"/>
  <c r="AD36" i="27"/>
  <c r="AD36" i="26" s="1"/>
  <c r="U6" i="48" s="1"/>
  <c r="C37" i="27"/>
  <c r="C37" i="26" s="1"/>
  <c r="J34" i="27"/>
  <c r="J34" i="26" s="1"/>
  <c r="AP32" i="27"/>
  <c r="AP32" i="26" s="1"/>
  <c r="AG2" i="48" s="1"/>
  <c r="Y37" i="27"/>
  <c r="Y37" i="26" s="1"/>
  <c r="P7" i="48" s="1"/>
  <c r="AP33" i="27"/>
  <c r="AP33" i="26" s="1"/>
  <c r="AG3" i="48" s="1"/>
  <c r="S37" i="27"/>
  <c r="S37" i="26" s="1"/>
  <c r="J7" i="48" s="1"/>
  <c r="AG34" i="27"/>
  <c r="AG34" i="26" s="1"/>
  <c r="X4" i="48" s="1"/>
  <c r="F36" i="27"/>
  <c r="F36" i="26" s="1"/>
  <c r="AM32" i="27"/>
  <c r="AM32" i="26" s="1"/>
  <c r="AD2" i="48" s="1"/>
  <c r="M37" i="27"/>
  <c r="M37" i="26" s="1"/>
  <c r="D7" i="48" s="1"/>
  <c r="Z35" i="27"/>
  <c r="Z35" i="26" s="1"/>
  <c r="Q5" i="48" s="1"/>
  <c r="AL37" i="27"/>
  <c r="AL37" i="26" s="1"/>
  <c r="AC7" i="48" s="1"/>
  <c r="I35" i="27"/>
  <c r="I35" i="26" s="1"/>
  <c r="T33" i="27"/>
  <c r="T33" i="26" s="1"/>
  <c r="K3" i="48" s="1"/>
  <c r="AN37" i="27"/>
  <c r="AN37" i="26" s="1"/>
  <c r="AE7" i="48" s="1"/>
  <c r="O33" i="27"/>
  <c r="O33" i="26" s="1"/>
  <c r="F3" i="48" s="1"/>
  <c r="V37" i="27"/>
  <c r="V37" i="26" s="1"/>
  <c r="M7" i="48" s="1"/>
  <c r="T34" i="27"/>
  <c r="T34" i="26" s="1"/>
  <c r="K4" i="48" s="1"/>
  <c r="E34" i="27"/>
  <c r="E34" i="26" s="1"/>
  <c r="AH32" i="27"/>
  <c r="AH32" i="26" s="1"/>
  <c r="Y2" i="48" s="1"/>
  <c r="AT36" i="27"/>
  <c r="AT36" i="26" s="1"/>
  <c r="AK6" i="48" s="1"/>
  <c r="AU37" i="27"/>
  <c r="AU37" i="26" s="1"/>
  <c r="AL7" i="48" s="1"/>
  <c r="AA32" i="27"/>
  <c r="AA32" i="26" s="1"/>
  <c r="R2" i="48" s="1"/>
  <c r="G34" i="27"/>
  <c r="G34" i="26" s="1"/>
  <c r="AI32" i="27"/>
  <c r="AI32" i="26" s="1"/>
  <c r="Z2" i="48" s="1"/>
  <c r="Q35" i="27"/>
  <c r="Q35" i="26" s="1"/>
  <c r="H5" i="48" s="1"/>
  <c r="AP34" i="27"/>
  <c r="AP34" i="26" s="1"/>
  <c r="AG4" i="48" s="1"/>
  <c r="AL35" i="27"/>
  <c r="AL35" i="26" s="1"/>
  <c r="AC5" i="48" s="1"/>
  <c r="AL33" i="27"/>
  <c r="AL33" i="26" s="1"/>
  <c r="AC3" i="48" s="1"/>
  <c r="N32" i="27"/>
  <c r="N32" i="26" s="1"/>
  <c r="E2" i="48" s="1"/>
  <c r="V35" i="27"/>
  <c r="V35" i="26" s="1"/>
  <c r="M5" i="48" s="1"/>
  <c r="AM36" i="27"/>
  <c r="AM36" i="26" s="1"/>
  <c r="AD6" i="48" s="1"/>
  <c r="AN34" i="27"/>
  <c r="AN34" i="26" s="1"/>
  <c r="AE4" i="48" s="1"/>
  <c r="R35" i="27"/>
  <c r="R35" i="26" s="1"/>
  <c r="I5" i="48" s="1"/>
  <c r="H33" i="27"/>
  <c r="H33" i="26" s="1"/>
  <c r="J37" i="27"/>
  <c r="J37" i="26" s="1"/>
  <c r="E36" i="27"/>
  <c r="E36" i="26" s="1"/>
  <c r="AU34" i="27"/>
  <c r="AU34" i="26" s="1"/>
  <c r="AL4" i="48" s="1"/>
  <c r="O37" i="27"/>
  <c r="O37" i="26" s="1"/>
  <c r="F7" i="48" s="1"/>
  <c r="V33" i="27"/>
  <c r="V33" i="26" s="1"/>
  <c r="M3" i="48" s="1"/>
  <c r="Q37" i="27"/>
  <c r="Q37" i="26" s="1"/>
  <c r="H7" i="48" s="1"/>
  <c r="T36" i="27"/>
  <c r="T36" i="26" s="1"/>
  <c r="K6" i="48" s="1"/>
  <c r="AN33" i="27"/>
  <c r="AN33" i="26" s="1"/>
  <c r="AE3" i="48" s="1"/>
  <c r="E35" i="27"/>
  <c r="E35" i="26" s="1"/>
  <c r="AT34" i="27"/>
  <c r="AT34" i="26" s="1"/>
  <c r="AK4" i="48" s="1"/>
  <c r="F35" i="27"/>
  <c r="F35" i="26" s="1"/>
  <c r="AT37" i="27"/>
  <c r="AT37" i="26" s="1"/>
  <c r="AK7" i="48" s="1"/>
  <c r="AJ34" i="27"/>
  <c r="AJ34" i="26" s="1"/>
  <c r="AA4" i="48" s="1"/>
  <c r="U35" i="27"/>
  <c r="U35" i="26" s="1"/>
  <c r="L5" i="48" s="1"/>
  <c r="K32" i="27"/>
  <c r="K32" i="26" s="1"/>
  <c r="B2" i="48" s="1"/>
  <c r="AD33" i="27"/>
  <c r="AD33" i="26" s="1"/>
  <c r="U3" i="48" s="1"/>
  <c r="AR34" i="27"/>
  <c r="AR34" i="26" s="1"/>
  <c r="AI4" i="48" s="1"/>
  <c r="AA37" i="27"/>
  <c r="AA37" i="26" s="1"/>
  <c r="R7" i="48" s="1"/>
  <c r="AA36" i="27"/>
  <c r="AA36" i="26" s="1"/>
  <c r="R6" i="48" s="1"/>
  <c r="P33" i="27"/>
  <c r="P33" i="26" s="1"/>
  <c r="G3" i="48" s="1"/>
  <c r="AN35" i="27"/>
  <c r="AN35" i="26" s="1"/>
  <c r="AE5" i="48" s="1"/>
  <c r="R34" i="27"/>
  <c r="R34" i="26" s="1"/>
  <c r="I4" i="48" s="1"/>
  <c r="V34" i="27"/>
  <c r="V34" i="26" s="1"/>
  <c r="M4" i="48" s="1"/>
  <c r="R33" i="27"/>
  <c r="R33" i="26" s="1"/>
  <c r="I3" i="48" s="1"/>
  <c r="X36" i="27"/>
  <c r="X36" i="26" s="1"/>
  <c r="O6" i="48" s="1"/>
  <c r="AI37" i="27"/>
  <c r="AI37" i="26" s="1"/>
  <c r="Z7" i="48" s="1"/>
  <c r="AN36" i="27"/>
  <c r="AN36" i="26" s="1"/>
  <c r="AE6" i="48" s="1"/>
  <c r="AM33" i="27"/>
  <c r="AM33" i="26" s="1"/>
  <c r="AD3" i="48" s="1"/>
  <c r="J36" i="27"/>
  <c r="J36" i="26" s="1"/>
  <c r="AH33" i="27"/>
  <c r="AH33" i="26" s="1"/>
  <c r="Y3" i="48" s="1"/>
  <c r="AR35" i="27"/>
  <c r="AR35" i="26" s="1"/>
  <c r="AI5" i="48" s="1"/>
  <c r="AE34" i="27"/>
  <c r="AE34" i="26" s="1"/>
  <c r="V4" i="48" s="1"/>
  <c r="D33" i="27"/>
  <c r="D33" i="26" s="1"/>
  <c r="AT33" i="27"/>
  <c r="AT33" i="26" s="1"/>
  <c r="AK3" i="48" s="1"/>
  <c r="AD35" i="27"/>
  <c r="AD35" i="26" s="1"/>
  <c r="U5" i="48" s="1"/>
  <c r="U32" i="27"/>
  <c r="U32" i="26" s="1"/>
  <c r="L2" i="48" s="1"/>
  <c r="G36" i="27"/>
  <c r="G36" i="26" s="1"/>
  <c r="N36" i="27"/>
  <c r="N36" i="26" s="1"/>
  <c r="E6" i="48" s="1"/>
  <c r="J33" i="27"/>
  <c r="J33" i="26" s="1"/>
  <c r="AP36" i="27"/>
  <c r="AP36" i="26" s="1"/>
  <c r="AG6" i="48" s="1"/>
  <c r="AL32" i="27"/>
  <c r="AL32" i="26" s="1"/>
  <c r="AC2" i="48" s="1"/>
  <c r="AO35" i="27"/>
  <c r="AO35" i="26" s="1"/>
  <c r="AF5" i="48" s="1"/>
  <c r="M35" i="27"/>
  <c r="M35" i="26" s="1"/>
  <c r="D5" i="48" s="1"/>
  <c r="Z34" i="27"/>
  <c r="Z34" i="26" s="1"/>
  <c r="Q4" i="48" s="1"/>
  <c r="P34" i="27"/>
  <c r="P34" i="26" s="1"/>
  <c r="G4" i="48" s="1"/>
  <c r="I33" i="27"/>
  <c r="I33" i="26" s="1"/>
  <c r="AQ33" i="27"/>
  <c r="AQ33" i="26" s="1"/>
  <c r="AH3" i="48" s="1"/>
  <c r="AS36" i="27"/>
  <c r="AS36" i="26" s="1"/>
  <c r="AJ6" i="48" s="1"/>
  <c r="AS37" i="27"/>
  <c r="AS37" i="26" s="1"/>
  <c r="AJ7" i="48" s="1"/>
  <c r="AG36" i="27"/>
  <c r="AG36" i="26" s="1"/>
  <c r="X6" i="48" s="1"/>
  <c r="AU35" i="27"/>
  <c r="AU35" i="26" s="1"/>
  <c r="AL5" i="48" s="1"/>
  <c r="I36" i="27"/>
  <c r="I36" i="26" s="1"/>
  <c r="X33" i="27"/>
  <c r="X33" i="26" s="1"/>
  <c r="O3" i="48" s="1"/>
  <c r="O36" i="27"/>
  <c r="O36" i="26" s="1"/>
  <c r="F6" i="48" s="1"/>
  <c r="AK36" i="27"/>
  <c r="AK36" i="26" s="1"/>
  <c r="AB6" i="48" s="1"/>
  <c r="T35" i="27"/>
  <c r="T35" i="26" s="1"/>
  <c r="K5" i="48" s="1"/>
  <c r="AK33" i="27"/>
  <c r="AK33" i="26" s="1"/>
  <c r="AB3" i="48" s="1"/>
  <c r="X34" i="27"/>
  <c r="X34" i="26" s="1"/>
  <c r="O4" i="48" s="1"/>
  <c r="F32" i="27"/>
  <c r="F32" i="26" s="1"/>
  <c r="L34" i="27"/>
  <c r="L34" i="26" s="1"/>
  <c r="C4" i="48" s="1"/>
  <c r="Q32" i="27"/>
  <c r="Q32" i="26" s="1"/>
  <c r="H2" i="48" s="1"/>
  <c r="O32" i="27"/>
  <c r="O32" i="26" s="1"/>
  <c r="F2" i="48" s="1"/>
  <c r="C36" i="27"/>
  <c r="C36" i="26" s="1"/>
  <c r="Q34" i="27"/>
  <c r="Q34" i="26" s="1"/>
  <c r="H4" i="48" s="1"/>
  <c r="AK37" i="27"/>
  <c r="AK37" i="26" s="1"/>
  <c r="AB7" i="48" s="1"/>
  <c r="AF36" i="27"/>
  <c r="AF36" i="26" s="1"/>
  <c r="W6" i="48" s="1"/>
  <c r="W36" i="27"/>
  <c r="W36" i="26" s="1"/>
  <c r="N6" i="48" s="1"/>
  <c r="N33" i="27"/>
  <c r="N33" i="26" s="1"/>
  <c r="E3" i="48" s="1"/>
  <c r="J35" i="27"/>
  <c r="J35" i="26" s="1"/>
  <c r="AO32" i="27"/>
  <c r="AO32" i="26" s="1"/>
  <c r="AF2" i="48" s="1"/>
  <c r="AQ34" i="27"/>
  <c r="AQ34" i="26" s="1"/>
  <c r="AH4" i="48" s="1"/>
  <c r="AL34" i="27"/>
  <c r="AL34" i="26" s="1"/>
  <c r="AC4" i="48" s="1"/>
  <c r="AS35" i="27"/>
  <c r="AS35" i="26" s="1"/>
  <c r="AJ5" i="48" s="1"/>
  <c r="AB35" i="27"/>
  <c r="AB35" i="26" s="1"/>
  <c r="S5" i="48" s="1"/>
  <c r="W35" i="27"/>
  <c r="W35" i="26" s="1"/>
  <c r="N5" i="48" s="1"/>
  <c r="AM34" i="27"/>
  <c r="AM34" i="26" s="1"/>
  <c r="AD4" i="48" s="1"/>
  <c r="E32" i="27"/>
  <c r="E32" i="26" s="1"/>
  <c r="AC34" i="27"/>
  <c r="AC34" i="26" s="1"/>
  <c r="T4" i="48" s="1"/>
  <c r="W37" i="27"/>
  <c r="W37" i="26" s="1"/>
  <c r="N7" i="48" s="1"/>
  <c r="AU36" i="27"/>
  <c r="AU36" i="26" s="1"/>
  <c r="AL6" i="48" s="1"/>
  <c r="T32" i="27"/>
  <c r="T32" i="26" s="1"/>
  <c r="K2" i="48" s="1"/>
  <c r="AC35" i="27"/>
  <c r="AC35" i="26" s="1"/>
  <c r="T5" i="48" s="1"/>
  <c r="AK34" i="27"/>
  <c r="AK34" i="26" s="1"/>
  <c r="AB4" i="48" s="1"/>
  <c r="L32" i="27"/>
  <c r="L32" i="26" s="1"/>
  <c r="C2" i="48" s="1"/>
  <c r="AJ32" i="27"/>
  <c r="AJ32" i="26" s="1"/>
  <c r="AA2" i="48" s="1"/>
  <c r="L35" i="27"/>
  <c r="L35" i="26" s="1"/>
  <c r="C5" i="48" s="1"/>
  <c r="F37" i="27"/>
  <c r="F37" i="26" s="1"/>
  <c r="K36" i="27"/>
  <c r="K36" i="26" s="1"/>
  <c r="B6" i="48" s="1"/>
  <c r="S35" i="27"/>
  <c r="S35" i="26" s="1"/>
  <c r="J5" i="48" s="1"/>
  <c r="AO34" i="27"/>
  <c r="AO34" i="26" s="1"/>
  <c r="AF4" i="48" s="1"/>
  <c r="AA34" i="27"/>
  <c r="AA34" i="26" s="1"/>
  <c r="R4" i="48" s="1"/>
  <c r="H34" i="27"/>
  <c r="H34" i="26" s="1"/>
  <c r="C32" i="27"/>
  <c r="C32" i="26" s="1"/>
  <c r="M34" i="27"/>
  <c r="M34" i="26" s="1"/>
  <c r="D4" i="48" s="1"/>
  <c r="M32" i="27"/>
  <c r="M32" i="26" s="1"/>
  <c r="D2" i="48" s="1"/>
  <c r="AQ36" i="27"/>
  <c r="AQ36" i="26" s="1"/>
  <c r="AH6" i="48" s="1"/>
  <c r="AH36" i="27"/>
  <c r="AH36" i="26" s="1"/>
  <c r="Y6" i="48" s="1"/>
  <c r="AB37" i="27"/>
  <c r="AB37" i="26" s="1"/>
  <c r="S7" i="48" s="1"/>
  <c r="AT35" i="27"/>
  <c r="AT35" i="26" s="1"/>
  <c r="AK5" i="48" s="1"/>
  <c r="AE36" i="27"/>
  <c r="AE36" i="26" s="1"/>
  <c r="V6" i="48" s="1"/>
  <c r="AU33" i="27"/>
  <c r="AU33" i="26" s="1"/>
  <c r="AL3" i="48" s="1"/>
  <c r="D37" i="27"/>
  <c r="D37" i="26" s="1"/>
  <c r="X35" i="27"/>
  <c r="X35" i="26" s="1"/>
  <c r="O5" i="48" s="1"/>
  <c r="R32" i="27"/>
  <c r="R32" i="26" s="1"/>
  <c r="I2" i="48" s="1"/>
  <c r="AK35" i="27"/>
  <c r="AK35" i="26" s="1"/>
  <c r="AB5" i="48" s="1"/>
  <c r="AE35" i="27"/>
  <c r="AE35" i="26" s="1"/>
  <c r="V5" i="48" s="1"/>
  <c r="D32" i="27"/>
  <c r="D32" i="26" s="1"/>
  <c r="AO33" i="27"/>
  <c r="AO33" i="26" s="1"/>
  <c r="AF3" i="48" s="1"/>
  <c r="M36" i="27"/>
  <c r="M36" i="26" s="1"/>
  <c r="D6" i="48" s="1"/>
  <c r="C34" i="27"/>
  <c r="C34" i="26" s="1"/>
  <c r="AJ33" i="27"/>
  <c r="AJ33" i="26" s="1"/>
  <c r="AA3" i="48" s="1"/>
  <c r="G33" i="27"/>
  <c r="G33" i="26" s="1"/>
  <c r="K37" i="27"/>
  <c r="K37" i="26" s="1"/>
  <c r="B7" i="48" s="1"/>
  <c r="L37" i="27"/>
  <c r="L37" i="26" s="1"/>
  <c r="C7" i="48" s="1"/>
  <c r="W34" i="27"/>
  <c r="W34" i="26" s="1"/>
  <c r="N4" i="48" s="1"/>
  <c r="M33" i="27"/>
  <c r="M33" i="26" s="1"/>
  <c r="D3" i="48" s="1"/>
  <c r="Y33" i="27"/>
  <c r="Y33" i="26" s="1"/>
  <c r="P3" i="48" s="1"/>
  <c r="AI35" i="27"/>
  <c r="AI35" i="26" s="1"/>
  <c r="Z5" i="48" s="1"/>
  <c r="Q36" i="27"/>
  <c r="Q36" i="26" s="1"/>
  <c r="H6" i="48" s="1"/>
  <c r="Y34" i="27"/>
  <c r="Y34" i="26" s="1"/>
  <c r="P4" i="48" s="1"/>
  <c r="S33" i="27"/>
  <c r="S33" i="26" s="1"/>
  <c r="J3" i="48" s="1"/>
  <c r="AB34" i="27"/>
  <c r="AB34" i="26" s="1"/>
  <c r="S4" i="48" s="1"/>
  <c r="F33" i="27"/>
  <c r="F33" i="26" s="1"/>
  <c r="H37" i="27"/>
  <c r="H37" i="26" s="1"/>
  <c r="AE33" i="27"/>
  <c r="AE33" i="26" s="1"/>
  <c r="V3" i="48" s="1"/>
  <c r="AK32" i="27"/>
  <c r="AK32" i="26" s="1"/>
  <c r="AB2" i="48" s="1"/>
  <c r="AN32" i="27"/>
  <c r="AN32" i="26" s="1"/>
  <c r="AE2" i="48" s="1"/>
  <c r="R36" i="27"/>
  <c r="R36" i="26" s="1"/>
  <c r="I6" i="48" s="1"/>
  <c r="L33" i="27"/>
  <c r="L33" i="26" s="1"/>
  <c r="C3" i="48" s="1"/>
  <c r="AD32" i="27"/>
  <c r="AD32" i="26" s="1"/>
  <c r="U2" i="48" s="1"/>
  <c r="AS32" i="27"/>
  <c r="AS32" i="26" s="1"/>
  <c r="AJ2" i="48" s="1"/>
  <c r="T37" i="27"/>
  <c r="T37" i="26" s="1"/>
  <c r="K7" i="48" s="1"/>
  <c r="S34" i="27"/>
  <c r="S34" i="26" s="1"/>
  <c r="J4" i="48" s="1"/>
  <c r="N34" i="27"/>
  <c r="N34" i="26" s="1"/>
  <c r="E4" i="48" s="1"/>
  <c r="P32" i="27"/>
  <c r="P32" i="26" s="1"/>
  <c r="G2" i="48" s="1"/>
  <c r="N35" i="27"/>
  <c r="N35" i="26" s="1"/>
  <c r="E5" i="48" s="1"/>
  <c r="U34" i="27"/>
  <c r="U34" i="26" s="1"/>
  <c r="L4" i="48" s="1"/>
  <c r="K34" i="27"/>
  <c r="K34" i="26" s="1"/>
  <c r="B4" i="48" s="1"/>
  <c r="AF35" i="27"/>
  <c r="AF35" i="26" s="1"/>
  <c r="W5" i="48" s="1"/>
  <c r="O35" i="27"/>
  <c r="O35" i="26" s="1"/>
  <c r="F5" i="48" s="1"/>
  <c r="AJ37" i="27"/>
  <c r="AJ37" i="26" s="1"/>
  <c r="AA7" i="48" s="1"/>
  <c r="AR36" i="27"/>
  <c r="AR36" i="26" s="1"/>
  <c r="AI6" i="48" s="1"/>
  <c r="P35" i="27"/>
  <c r="P35" i="26" s="1"/>
  <c r="G5" i="48" s="1"/>
  <c r="Z33" i="27"/>
  <c r="Z33" i="26" s="1"/>
  <c r="Q3" i="48" s="1"/>
  <c r="AS33" i="27"/>
  <c r="AS33" i="26" s="1"/>
  <c r="AJ3" i="48" s="1"/>
  <c r="V32" i="27"/>
  <c r="V32" i="26" s="1"/>
  <c r="M2" i="48" s="1"/>
  <c r="AR37" i="27"/>
  <c r="AR37" i="26" s="1"/>
  <c r="AI7" i="48" s="1"/>
  <c r="AM37" i="27"/>
  <c r="AM37" i="26" s="1"/>
  <c r="AD7" i="48" s="1"/>
  <c r="H36" i="27"/>
  <c r="H36" i="26" s="1"/>
  <c r="AO36" i="27"/>
  <c r="AO36" i="26" s="1"/>
  <c r="AF6" i="48" s="1"/>
  <c r="AD34" i="27"/>
  <c r="AD34" i="26" s="1"/>
  <c r="U4" i="48" s="1"/>
  <c r="I32" i="27"/>
  <c r="I32" i="26" s="1"/>
  <c r="X32" i="27"/>
  <c r="X32" i="26" s="1"/>
  <c r="O2" i="48" s="1"/>
  <c r="U33" i="27"/>
  <c r="U33" i="26" s="1"/>
  <c r="L3" i="48" s="1"/>
  <c r="U37" i="27"/>
  <c r="U37" i="26" s="1"/>
  <c r="L7" i="48" s="1"/>
  <c r="AE32" i="27"/>
  <c r="AE32" i="26" s="1"/>
  <c r="V2" i="48" s="1"/>
  <c r="AG35" i="27"/>
  <c r="AG35" i="26" s="1"/>
  <c r="X5" i="48" s="1"/>
  <c r="C33" i="27"/>
  <c r="C33" i="26" s="1"/>
  <c r="Z32" i="27"/>
  <c r="Z32" i="26" s="1"/>
  <c r="Q2" i="48" s="1"/>
  <c r="C35" i="27"/>
  <c r="C35" i="26" s="1"/>
  <c r="J32" i="27"/>
  <c r="J32" i="26" s="1"/>
  <c r="AG37" i="27"/>
  <c r="AG37" i="26" s="1"/>
  <c r="X7" i="48" s="1"/>
  <c r="AA33" i="27"/>
  <c r="AA33" i="26" s="1"/>
  <c r="R3" i="48" s="1"/>
  <c r="H32" i="27"/>
  <c r="H32" i="26" s="1"/>
  <c r="AI33" i="27"/>
  <c r="AI33" i="26" s="1"/>
  <c r="Z3" i="48" s="1"/>
  <c r="AO37" i="27"/>
  <c r="AO37" i="26" s="1"/>
  <c r="AF7" i="48" s="1"/>
  <c r="AP37" i="27"/>
  <c r="AP37" i="26" s="1"/>
  <c r="AG7" i="48" s="1"/>
  <c r="AI34" i="27"/>
  <c r="AI34" i="26" s="1"/>
  <c r="Z4" i="48" s="1"/>
  <c r="AA35" i="27"/>
  <c r="AA35" i="26" s="1"/>
  <c r="R5" i="48" s="1"/>
  <c r="AF34" i="27"/>
  <c r="AF34" i="26" s="1"/>
  <c r="W4" i="48" s="1"/>
  <c r="AB32" i="27"/>
  <c r="AB32" i="26" s="1"/>
  <c r="S2" i="48" s="1"/>
  <c r="AG32" i="27"/>
  <c r="AG32" i="26" s="1"/>
  <c r="X2" i="48" s="1"/>
  <c r="AJ36" i="27"/>
  <c r="AJ36" i="26" s="1"/>
  <c r="AA6" i="48" s="1"/>
  <c r="D36" i="27"/>
  <c r="D36" i="26" s="1"/>
  <c r="AC32" i="27"/>
  <c r="AC32" i="26" s="1"/>
  <c r="T2" i="48" s="1"/>
  <c r="AQ35" i="27"/>
  <c r="AQ35" i="26" s="1"/>
  <c r="AH5" i="48" s="1"/>
  <c r="R37" i="27"/>
  <c r="R37" i="26" s="1"/>
  <c r="I7" i="48" s="1"/>
  <c r="Y35" i="27"/>
  <c r="Y35" i="26" s="1"/>
  <c r="P5" i="48" s="1"/>
  <c r="Y36" i="27"/>
  <c r="Y36" i="26" s="1"/>
  <c r="P6" i="48" s="1"/>
  <c r="AC37" i="27"/>
  <c r="AC37" i="26" s="1"/>
  <c r="T7" i="48" s="1"/>
  <c r="AQ32" i="27"/>
  <c r="AQ32" i="26" s="1"/>
  <c r="AH2" i="48" s="1"/>
  <c r="T2" i="47"/>
  <c r="E2" i="47"/>
  <c r="D2" i="47"/>
  <c r="Q2" i="47"/>
  <c r="O2" i="47"/>
  <c r="G2" i="47"/>
  <c r="N2" i="47"/>
  <c r="AF2" i="47"/>
  <c r="AG2" i="47"/>
  <c r="AK2" i="47"/>
  <c r="F2" i="47"/>
  <c r="Z2" i="47"/>
  <c r="Y2" i="47"/>
  <c r="AC2" i="47"/>
  <c r="AA2" i="47"/>
  <c r="AJ2" i="47"/>
  <c r="W2" i="47"/>
  <c r="C2" i="47"/>
  <c r="AH2" i="47"/>
  <c r="AI2" i="47"/>
  <c r="AE2" i="47"/>
  <c r="V2" i="47"/>
  <c r="S2" i="47"/>
  <c r="AL2" i="47"/>
  <c r="K2" i="47"/>
  <c r="H2" i="47"/>
  <c r="B2" i="47"/>
  <c r="J2" i="47"/>
  <c r="I2" i="47"/>
  <c r="X2" i="47"/>
  <c r="P2" i="47"/>
  <c r="AD2" i="47"/>
  <c r="L2" i="47"/>
  <c r="M2" i="47"/>
  <c r="U2" i="47"/>
  <c r="R2" i="47"/>
  <c r="AB2" i="47"/>
  <c r="AB111" i="20"/>
  <c r="AK50" i="10"/>
  <c r="AH50" i="10"/>
  <c r="AG50" i="10" s="1"/>
  <c r="AF111" i="20"/>
  <c r="AG111" i="20"/>
  <c r="AE111" i="20"/>
  <c r="AC111" i="20"/>
  <c r="AD111" i="20"/>
  <c r="AA111" i="20"/>
  <c r="AF48" i="53" l="1"/>
  <c r="AR48" i="53"/>
  <c r="N48" i="53"/>
  <c r="C48" i="53"/>
  <c r="AH48" i="53"/>
  <c r="D48" i="53"/>
  <c r="AP48" i="53"/>
  <c r="B48" i="53"/>
  <c r="L48" i="53"/>
  <c r="E48" i="53" l="1"/>
  <c r="AB86" i="20" l="1"/>
  <c r="AB101" i="20"/>
  <c r="AB110" i="20"/>
  <c r="AB105" i="20"/>
  <c r="AB109" i="20"/>
  <c r="AB94" i="20"/>
  <c r="AB90" i="20"/>
  <c r="AB107" i="20"/>
  <c r="AG84" i="20"/>
  <c r="AE84" i="20"/>
  <c r="AF84" i="20"/>
  <c r="AC84" i="20"/>
  <c r="AD84" i="20"/>
  <c r="AB92" i="20"/>
  <c r="AG100" i="20"/>
  <c r="AC100" i="20"/>
  <c r="AA100" i="20"/>
  <c r="AD100" i="20"/>
  <c r="AE100" i="20"/>
  <c r="AF100" i="20"/>
  <c r="AB106" i="20"/>
  <c r="AB102" i="20"/>
  <c r="AB96" i="20"/>
  <c r="AB104" i="20"/>
  <c r="AB87" i="20"/>
  <c r="AB95" i="20"/>
  <c r="AC104" i="20"/>
  <c r="AG104" i="20"/>
  <c r="AE104" i="20"/>
  <c r="AD104" i="20"/>
  <c r="AA104" i="20"/>
  <c r="AF104" i="20"/>
  <c r="AD86" i="20"/>
  <c r="AG86" i="20"/>
  <c r="AC86" i="20"/>
  <c r="AE86" i="20"/>
  <c r="AA86" i="20"/>
  <c r="AF86" i="20"/>
  <c r="AF105" i="20"/>
  <c r="AA105" i="20"/>
  <c r="AG105" i="20"/>
  <c r="AE105" i="20"/>
  <c r="AC105" i="20"/>
  <c r="AD105" i="20"/>
  <c r="AD102" i="20"/>
  <c r="AE102" i="20"/>
  <c r="AG102" i="20"/>
  <c r="AA102" i="20"/>
  <c r="AC102" i="20"/>
  <c r="AF102" i="20"/>
  <c r="AD96" i="20"/>
  <c r="AG96" i="20"/>
  <c r="AE96" i="20"/>
  <c r="AF96" i="20"/>
  <c r="AC96" i="20"/>
  <c r="AA96" i="20"/>
  <c r="AF106" i="20"/>
  <c r="AA106" i="20"/>
  <c r="AC106" i="20"/>
  <c r="AE106" i="20"/>
  <c r="AG106" i="20"/>
  <c r="AD106" i="20"/>
  <c r="AA103" i="20"/>
  <c r="AD103" i="20"/>
  <c r="B40" i="53" s="1"/>
  <c r="AF103" i="20"/>
  <c r="AG103" i="20"/>
  <c r="AE103" i="20"/>
  <c r="AC103" i="20"/>
  <c r="AG107" i="20"/>
  <c r="AD107" i="20"/>
  <c r="AC107" i="20"/>
  <c r="AA107" i="20"/>
  <c r="AF107" i="20"/>
  <c r="AE107" i="20"/>
  <c r="AD101" i="20"/>
  <c r="AG101" i="20"/>
  <c r="AE101" i="20"/>
  <c r="AA101" i="20"/>
  <c r="AC101" i="20"/>
  <c r="AF101" i="20"/>
  <c r="AA109" i="20"/>
  <c r="AE109" i="20"/>
  <c r="AD109" i="20"/>
  <c r="AC109" i="20"/>
  <c r="AF109" i="20"/>
  <c r="AG109" i="20"/>
  <c r="AB93" i="20"/>
  <c r="AC94" i="20"/>
  <c r="AE94" i="20"/>
  <c r="AF94" i="20"/>
  <c r="AA94" i="20"/>
  <c r="AD94" i="20"/>
  <c r="AG94" i="20"/>
  <c r="AC91" i="20"/>
  <c r="AF91" i="20"/>
  <c r="AD91" i="20"/>
  <c r="AG91" i="20"/>
  <c r="AA91" i="20"/>
  <c r="AE91" i="20"/>
  <c r="AE90" i="20"/>
  <c r="AG90" i="20"/>
  <c r="AA90" i="20"/>
  <c r="AC90" i="20"/>
  <c r="AD90" i="20"/>
  <c r="AF90" i="20"/>
  <c r="AB103" i="20"/>
  <c r="L40" i="53" s="1"/>
  <c r="AC108" i="20"/>
  <c r="AG108" i="20"/>
  <c r="AA108" i="20"/>
  <c r="AE108" i="20"/>
  <c r="AD108" i="20"/>
  <c r="AF108" i="20"/>
  <c r="AB89" i="20"/>
  <c r="AB108" i="20"/>
  <c r="AB85" i="20"/>
  <c r="AB100" i="20"/>
  <c r="AD87" i="20"/>
  <c r="AA87" i="20"/>
  <c r="AC87" i="20"/>
  <c r="AG87" i="20"/>
  <c r="AE87" i="20"/>
  <c r="AF87" i="20"/>
  <c r="AB91" i="20"/>
  <c r="AK44" i="10"/>
  <c r="AD110" i="20"/>
  <c r="AA110" i="20"/>
  <c r="AG110" i="20"/>
  <c r="AC110" i="20"/>
  <c r="AE110" i="20"/>
  <c r="AF110" i="20"/>
  <c r="AK41" i="10"/>
  <c r="AG88" i="20"/>
  <c r="AC88" i="20"/>
  <c r="AF88" i="20"/>
  <c r="AE88" i="20"/>
  <c r="AD88" i="20"/>
  <c r="AA88" i="20"/>
  <c r="AH31" i="10"/>
  <c r="AG31" i="10" s="1"/>
  <c r="N29" i="53" s="1"/>
  <c r="AA97" i="20"/>
  <c r="AD97" i="20"/>
  <c r="AG97" i="20"/>
  <c r="AC97" i="20"/>
  <c r="AE97" i="20"/>
  <c r="AF97" i="20"/>
  <c r="AK36" i="10"/>
  <c r="AK27" i="10"/>
  <c r="AB88" i="20"/>
  <c r="AE95" i="20"/>
  <c r="AD95" i="20"/>
  <c r="AA95" i="20"/>
  <c r="AC95" i="20"/>
  <c r="AF95" i="20"/>
  <c r="AG95" i="20"/>
  <c r="AK24" i="10"/>
  <c r="AK35" i="10"/>
  <c r="AH25" i="10"/>
  <c r="AG25" i="10" s="1"/>
  <c r="AK31" i="10"/>
  <c r="AB98" i="20"/>
  <c r="AH36" i="10"/>
  <c r="AG36" i="10" s="1"/>
  <c r="D34" i="53" s="1"/>
  <c r="AG99" i="20"/>
  <c r="AC99" i="20"/>
  <c r="AD99" i="20"/>
  <c r="AA99" i="20"/>
  <c r="AE99" i="20"/>
  <c r="AF99" i="20"/>
  <c r="AH39" i="10"/>
  <c r="AG39" i="10" s="1"/>
  <c r="C37" i="53" s="1"/>
  <c r="E37" i="53" s="1"/>
  <c r="AH35" i="10"/>
  <c r="AG35" i="10" s="1"/>
  <c r="AB99" i="20"/>
  <c r="AK28" i="10"/>
  <c r="AH30" i="10"/>
  <c r="AG30" i="10" s="1"/>
  <c r="AK49" i="10"/>
  <c r="AK29" i="10"/>
  <c r="AF93" i="20"/>
  <c r="AG93" i="20"/>
  <c r="AA93" i="20"/>
  <c r="AC93" i="20"/>
  <c r="AD93" i="20"/>
  <c r="AE93" i="20"/>
  <c r="AK43" i="10"/>
  <c r="AK38" i="10"/>
  <c r="AH45" i="10"/>
  <c r="AG45" i="10" s="1"/>
  <c r="C43" i="53" s="1"/>
  <c r="AK46" i="10"/>
  <c r="AK30" i="10"/>
  <c r="AF85" i="20"/>
  <c r="AE85" i="20"/>
  <c r="AC85" i="20"/>
  <c r="AD85" i="20"/>
  <c r="AA85" i="20"/>
  <c r="AG85" i="20"/>
  <c r="AK23" i="10"/>
  <c r="AK47" i="10"/>
  <c r="B45" i="53" s="1"/>
  <c r="AK45" i="10"/>
  <c r="AH29" i="10"/>
  <c r="AG29" i="10" s="1"/>
  <c r="AH47" i="10"/>
  <c r="AG47" i="10" s="1"/>
  <c r="D45" i="53" s="1"/>
  <c r="AK39" i="10"/>
  <c r="AH23" i="10"/>
  <c r="AG23" i="10" s="1"/>
  <c r="AK34" i="10"/>
  <c r="AH40" i="10"/>
  <c r="AG40" i="10" s="1"/>
  <c r="C38" i="53" s="1"/>
  <c r="AH41" i="10"/>
  <c r="AG41" i="10" s="1"/>
  <c r="C39" i="53" s="1"/>
  <c r="AH27" i="10"/>
  <c r="AG27" i="10" s="1"/>
  <c r="AH48" i="10"/>
  <c r="AG48" i="10" s="1"/>
  <c r="AK40" i="10"/>
  <c r="AK25" i="10"/>
  <c r="B23" i="53" s="1"/>
  <c r="AK48" i="10"/>
  <c r="AB97" i="20"/>
  <c r="AG92" i="20"/>
  <c r="AD92" i="20"/>
  <c r="AF92" i="20"/>
  <c r="AE92" i="20"/>
  <c r="AC92" i="20"/>
  <c r="AA92" i="20"/>
  <c r="AG89" i="20"/>
  <c r="AD89" i="20"/>
  <c r="AF89" i="20"/>
  <c r="AA89" i="20"/>
  <c r="AC89" i="20"/>
  <c r="AE89" i="20"/>
  <c r="AH32" i="10"/>
  <c r="AG32" i="10" s="1"/>
  <c r="AH46" i="10"/>
  <c r="AG46" i="10" s="1"/>
  <c r="D44" i="53" s="1"/>
  <c r="AH38" i="10"/>
  <c r="AG38" i="10" s="1"/>
  <c r="AH49" i="10"/>
  <c r="AG49" i="10"/>
  <c r="D47" i="53" s="1"/>
  <c r="AH26" i="10"/>
  <c r="AG26" i="10" s="1"/>
  <c r="D24" i="53" s="1"/>
  <c r="AH24" i="10"/>
  <c r="AG24" i="10" s="1"/>
  <c r="C22" i="53" s="1"/>
  <c r="AH34" i="10"/>
  <c r="AG34" i="10" s="1"/>
  <c r="D32" i="53" s="1"/>
  <c r="AK33" i="10"/>
  <c r="AG98" i="20"/>
  <c r="AC98" i="20"/>
  <c r="AD98" i="20"/>
  <c r="AA98" i="20"/>
  <c r="AF98" i="20"/>
  <c r="AE98" i="20"/>
  <c r="AH44" i="10"/>
  <c r="AG44" i="10" s="1"/>
  <c r="AH42" i="10"/>
  <c r="AG42" i="10" s="1"/>
  <c r="C40" i="53" s="1"/>
  <c r="AK37" i="10"/>
  <c r="AK26" i="10"/>
  <c r="AH37" i="10"/>
  <c r="AG37" i="10" s="1"/>
  <c r="AH33" i="10"/>
  <c r="AG33" i="10" s="1"/>
  <c r="C31" i="53" s="1"/>
  <c r="AH28" i="10"/>
  <c r="AG28" i="10" s="1"/>
  <c r="C26" i="53" s="1"/>
  <c r="AK42" i="10"/>
  <c r="AK32" i="10"/>
  <c r="AH43" i="10"/>
  <c r="AG43" i="10" s="1"/>
  <c r="C41" i="53" s="1"/>
  <c r="E41" i="53" s="1"/>
  <c r="L27" i="53" l="1"/>
  <c r="B44" i="53"/>
  <c r="AP28" i="53"/>
  <c r="B24" i="53"/>
  <c r="B30" i="53"/>
  <c r="B43" i="53"/>
  <c r="AF25" i="53"/>
  <c r="AP27" i="53"/>
  <c r="B41" i="53"/>
  <c r="B34" i="53"/>
  <c r="B33" i="53"/>
  <c r="B32" i="53"/>
  <c r="B46" i="53"/>
  <c r="L25" i="53"/>
  <c r="AF38" i="53"/>
  <c r="B47" i="53"/>
  <c r="B31" i="53"/>
  <c r="AP21" i="53"/>
  <c r="L36" i="53"/>
  <c r="AP39" i="53"/>
  <c r="AF42" i="53"/>
  <c r="N46" i="53"/>
  <c r="C46" i="53"/>
  <c r="E46" i="53" s="1"/>
  <c r="D46" i="53"/>
  <c r="E43" i="53"/>
  <c r="C33" i="53"/>
  <c r="E33" i="53" s="1"/>
  <c r="D33" i="53"/>
  <c r="N24" i="53"/>
  <c r="AP29" i="53"/>
  <c r="B37" i="53"/>
  <c r="AP30" i="53"/>
  <c r="B35" i="53"/>
  <c r="B22" i="53"/>
  <c r="D25" i="53"/>
  <c r="AH25" i="53"/>
  <c r="N25" i="53"/>
  <c r="AR25" i="53"/>
  <c r="C25" i="53"/>
  <c r="AH30" i="53"/>
  <c r="N30" i="53"/>
  <c r="D30" i="53"/>
  <c r="C30" i="53"/>
  <c r="AR30" i="53"/>
  <c r="AR27" i="53"/>
  <c r="N27" i="53"/>
  <c r="D27" i="53"/>
  <c r="C27" i="53"/>
  <c r="AH27" i="53"/>
  <c r="D42" i="53"/>
  <c r="N42" i="53"/>
  <c r="AH42" i="53"/>
  <c r="AR42" i="53"/>
  <c r="C42" i="53"/>
  <c r="E38" i="53"/>
  <c r="E26" i="53"/>
  <c r="E39" i="53"/>
  <c r="AH35" i="53"/>
  <c r="D35" i="53"/>
  <c r="AR35" i="53"/>
  <c r="N35" i="53"/>
  <c r="C35" i="53"/>
  <c r="AH21" i="53"/>
  <c r="N21" i="53"/>
  <c r="C21" i="53"/>
  <c r="AR21" i="53"/>
  <c r="D21" i="53"/>
  <c r="E40" i="53"/>
  <c r="AR22" i="53"/>
  <c r="D22" i="53"/>
  <c r="AH22" i="53"/>
  <c r="AR38" i="53"/>
  <c r="AF26" i="53"/>
  <c r="B26" i="53"/>
  <c r="AP26" i="53"/>
  <c r="L26" i="53"/>
  <c r="L38" i="53"/>
  <c r="AH23" i="53"/>
  <c r="N23" i="53"/>
  <c r="AR23" i="53"/>
  <c r="C23" i="53"/>
  <c r="D23" i="53"/>
  <c r="AF40" i="53"/>
  <c r="AP40" i="53"/>
  <c r="AP31" i="53"/>
  <c r="AF31" i="53"/>
  <c r="L31" i="53"/>
  <c r="AR43" i="53"/>
  <c r="AH43" i="53"/>
  <c r="N43" i="53"/>
  <c r="D43" i="53"/>
  <c r="AP45" i="53"/>
  <c r="AF45" i="53"/>
  <c r="L45" i="53"/>
  <c r="L41" i="53"/>
  <c r="AP41" i="53"/>
  <c r="AF41" i="53"/>
  <c r="B29" i="53"/>
  <c r="L29" i="53"/>
  <c r="AF29" i="53"/>
  <c r="D41" i="53"/>
  <c r="N41" i="53"/>
  <c r="AH41" i="53"/>
  <c r="AR41" i="53"/>
  <c r="D26" i="53"/>
  <c r="AH26" i="53"/>
  <c r="N26" i="53"/>
  <c r="AR26" i="53"/>
  <c r="AR40" i="53"/>
  <c r="AH40" i="53"/>
  <c r="D40" i="53"/>
  <c r="D38" i="53"/>
  <c r="AH38" i="53"/>
  <c r="L37" i="53"/>
  <c r="AF37" i="53"/>
  <c r="AP37" i="53"/>
  <c r="AH45" i="53"/>
  <c r="AR45" i="53"/>
  <c r="C45" i="53"/>
  <c r="N45" i="53"/>
  <c r="N28" i="53"/>
  <c r="AH28" i="53"/>
  <c r="C28" i="53"/>
  <c r="D28" i="53"/>
  <c r="AR28" i="53"/>
  <c r="L28" i="53"/>
  <c r="B28" i="53"/>
  <c r="AF28" i="53"/>
  <c r="AF22" i="53"/>
  <c r="L23" i="53"/>
  <c r="AF23" i="53"/>
  <c r="AP23" i="53"/>
  <c r="E31" i="53"/>
  <c r="C47" i="53"/>
  <c r="AF21" i="53"/>
  <c r="L21" i="53"/>
  <c r="B21" i="53"/>
  <c r="N40" i="53"/>
  <c r="AR36" i="53"/>
  <c r="AH36" i="53"/>
  <c r="N36" i="53"/>
  <c r="C36" i="53"/>
  <c r="AH32" i="53"/>
  <c r="AR32" i="53"/>
  <c r="N32" i="53"/>
  <c r="C32" i="53"/>
  <c r="AH24" i="53"/>
  <c r="AR24" i="53"/>
  <c r="C24" i="53"/>
  <c r="AP24" i="53"/>
  <c r="L24" i="53"/>
  <c r="AF24" i="53"/>
  <c r="N38" i="53"/>
  <c r="AR34" i="53"/>
  <c r="C34" i="53"/>
  <c r="AH34" i="53"/>
  <c r="N34" i="53"/>
  <c r="AR46" i="53"/>
  <c r="AH46" i="53"/>
  <c r="AR47" i="53"/>
  <c r="N47" i="53"/>
  <c r="L30" i="53"/>
  <c r="AF30" i="53"/>
  <c r="N31" i="53"/>
  <c r="AR31" i="53"/>
  <c r="D31" i="53"/>
  <c r="AH31" i="53"/>
  <c r="L44" i="53"/>
  <c r="AF44" i="53"/>
  <c r="AP44" i="53"/>
  <c r="AH47" i="53"/>
  <c r="B38" i="53"/>
  <c r="AH44" i="53"/>
  <c r="AR44" i="53"/>
  <c r="D36" i="53"/>
  <c r="D39" i="53"/>
  <c r="AR39" i="53"/>
  <c r="AH39" i="53"/>
  <c r="N39" i="53"/>
  <c r="AF32" i="53"/>
  <c r="L32" i="53"/>
  <c r="AP32" i="53"/>
  <c r="AF35" i="53"/>
  <c r="AP35" i="53"/>
  <c r="L35" i="53"/>
  <c r="E22" i="53"/>
  <c r="C44" i="53"/>
  <c r="AP46" i="53"/>
  <c r="AF46" i="53"/>
  <c r="L46" i="53"/>
  <c r="N44" i="53"/>
  <c r="AP36" i="53"/>
  <c r="AF36" i="53"/>
  <c r="B36" i="53"/>
  <c r="AF47" i="53"/>
  <c r="L47" i="53"/>
  <c r="AP47" i="53"/>
  <c r="AP38" i="53"/>
  <c r="N22" i="53"/>
  <c r="L43" i="53"/>
  <c r="AF43" i="53"/>
  <c r="AP43" i="53"/>
  <c r="AP25" i="53"/>
  <c r="L33" i="53"/>
  <c r="AF33" i="53"/>
  <c r="AR29" i="53"/>
  <c r="AP34" i="53"/>
  <c r="L34" i="53"/>
  <c r="AF34" i="53"/>
  <c r="AP33" i="53"/>
  <c r="AP22" i="53"/>
  <c r="AR37" i="53"/>
  <c r="D37" i="53"/>
  <c r="N37" i="53"/>
  <c r="AH37" i="53"/>
  <c r="L42" i="53"/>
  <c r="AP42" i="53"/>
  <c r="B42" i="53"/>
  <c r="AF27" i="53"/>
  <c r="B27" i="53"/>
  <c r="L39" i="53"/>
  <c r="C29" i="53"/>
  <c r="AH29" i="53"/>
  <c r="D29" i="53"/>
  <c r="AF39" i="53"/>
  <c r="B39" i="53"/>
  <c r="B25" i="53"/>
  <c r="L22" i="53"/>
  <c r="AR33" i="53"/>
  <c r="N33" i="53"/>
  <c r="AH33" i="53"/>
  <c r="E45" i="53" l="1"/>
  <c r="E23" i="53"/>
  <c r="E30" i="53"/>
  <c r="E36" i="53"/>
  <c r="E47" i="53"/>
  <c r="E27" i="53"/>
  <c r="E28" i="53"/>
  <c r="E35" i="53"/>
  <c r="E34" i="53"/>
  <c r="E25" i="53"/>
  <c r="E24" i="53"/>
  <c r="E42" i="53"/>
  <c r="E29" i="53"/>
  <c r="E32" i="53"/>
  <c r="E21" i="53"/>
  <c r="E44" i="53"/>
  <c r="B15" i="53" l="1"/>
  <c r="AH17" i="10"/>
  <c r="AF15" i="53"/>
  <c r="AH15" i="53" l="1"/>
  <c r="AM17" i="10"/>
  <c r="D15" i="53"/>
  <c r="C15" i="53"/>
  <c r="N15" i="53"/>
  <c r="AR15" i="53"/>
  <c r="AP15" i="53"/>
  <c r="L15" i="53"/>
  <c r="E15" i="53" l="1"/>
  <c r="AF8" i="53" l="1"/>
  <c r="B11" i="53"/>
  <c r="L11" i="53"/>
  <c r="B12" i="53"/>
  <c r="L8" i="53"/>
  <c r="AH7" i="10"/>
  <c r="L7" i="53"/>
  <c r="AP6" i="53"/>
  <c r="B6" i="53"/>
  <c r="AH10" i="10"/>
  <c r="C8" i="53"/>
  <c r="AH8" i="53"/>
  <c r="AH15" i="10"/>
  <c r="AH13" i="53"/>
  <c r="AR13" i="53"/>
  <c r="AH13" i="10"/>
  <c r="C11" i="53"/>
  <c r="AF7" i="53"/>
  <c r="L12" i="53"/>
  <c r="AF11" i="53"/>
  <c r="B10" i="53"/>
  <c r="AP5" i="53"/>
  <c r="AB112" i="20"/>
  <c r="AH9" i="10"/>
  <c r="AH16" i="10"/>
  <c r="AR14" i="53"/>
  <c r="C14" i="53"/>
  <c r="E14" i="53" s="1"/>
  <c r="AP13" i="53"/>
  <c r="AM15" i="10"/>
  <c r="AF6" i="53"/>
  <c r="AH8" i="10"/>
  <c r="AM12" i="10"/>
  <c r="AH12" i="10"/>
  <c r="C10" i="53"/>
  <c r="AP7" i="53"/>
  <c r="B7" i="53"/>
  <c r="B14" i="53"/>
  <c r="AP8" i="53"/>
  <c r="B8" i="53"/>
  <c r="AF9" i="53"/>
  <c r="AH11" i="10"/>
  <c r="AF12" i="53"/>
  <c r="AH14" i="10"/>
  <c r="AH12" i="53"/>
  <c r="AD112" i="20" l="1"/>
  <c r="AH51" i="10"/>
  <c r="AG51" i="10" s="1"/>
  <c r="AR49" i="53" s="1"/>
  <c r="AF112" i="20"/>
  <c r="AK51" i="10"/>
  <c r="L49" i="53" s="1"/>
  <c r="AA112" i="20"/>
  <c r="AE112" i="20"/>
  <c r="AG112" i="20"/>
  <c r="AP49" i="53" s="1"/>
  <c r="AC112" i="20"/>
  <c r="E11" i="53"/>
  <c r="D5" i="53"/>
  <c r="AH5" i="53"/>
  <c r="AR5" i="53"/>
  <c r="N5" i="53"/>
  <c r="C5" i="53"/>
  <c r="N7" i="53"/>
  <c r="C7" i="53"/>
  <c r="D7" i="53"/>
  <c r="AM9" i="10"/>
  <c r="AR7" i="53"/>
  <c r="AH7" i="53"/>
  <c r="E8" i="53"/>
  <c r="AH6" i="53"/>
  <c r="D6" i="53"/>
  <c r="N6" i="53"/>
  <c r="AR6" i="53"/>
  <c r="AM8" i="10"/>
  <c r="C6" i="53"/>
  <c r="E10" i="53"/>
  <c r="AR9" i="53"/>
  <c r="AH9" i="53"/>
  <c r="N9" i="53"/>
  <c r="D9" i="53"/>
  <c r="C9" i="53"/>
  <c r="N49" i="53"/>
  <c r="N14" i="53"/>
  <c r="N10" i="53"/>
  <c r="N11" i="53"/>
  <c r="AR8" i="53"/>
  <c r="AP9" i="53"/>
  <c r="AH10" i="53"/>
  <c r="B13" i="53"/>
  <c r="AF13" i="53"/>
  <c r="D12" i="53"/>
  <c r="AM16" i="10"/>
  <c r="L6" i="53"/>
  <c r="D13" i="53"/>
  <c r="N8" i="53"/>
  <c r="D8" i="53"/>
  <c r="L10" i="53"/>
  <c r="C12" i="53"/>
  <c r="AP14" i="53"/>
  <c r="AR10" i="53"/>
  <c r="D11" i="53"/>
  <c r="AH11" i="53"/>
  <c r="L14" i="53"/>
  <c r="AP11" i="53"/>
  <c r="C13" i="53"/>
  <c r="AF5" i="53"/>
  <c r="AR11" i="53"/>
  <c r="AR12" i="53"/>
  <c r="AH14" i="53"/>
  <c r="N12" i="53"/>
  <c r="AM10" i="10"/>
  <c r="D14" i="53"/>
  <c r="AP10" i="53"/>
  <c r="L9" i="53"/>
  <c r="B9" i="53"/>
  <c r="AF10" i="53"/>
  <c r="N13" i="53"/>
  <c r="L13" i="53"/>
  <c r="B5" i="53"/>
  <c r="L5" i="53"/>
  <c r="AF14" i="53"/>
  <c r="AP12" i="53"/>
  <c r="AM11" i="10"/>
  <c r="AM13" i="10"/>
  <c r="AM14" i="10"/>
  <c r="D10" i="53"/>
  <c r="AH49" i="53" l="1"/>
  <c r="AF49" i="53"/>
  <c r="C49" i="53"/>
  <c r="E49" i="53" s="1"/>
  <c r="D49" i="53"/>
  <c r="B49" i="53"/>
  <c r="C41" i="54" a="1"/>
  <c r="N46" i="54" s="1"/>
  <c r="N46" i="55" s="1"/>
  <c r="E7" i="44" s="1"/>
  <c r="C14" i="54" a="1"/>
  <c r="D16" i="54" s="1"/>
  <c r="D16" i="55" s="1"/>
  <c r="C32" i="54" a="1"/>
  <c r="E34" i="54" s="1"/>
  <c r="E34" i="55" s="1"/>
  <c r="E9" i="53"/>
  <c r="E13" i="53"/>
  <c r="E5" i="53"/>
  <c r="E6" i="53"/>
  <c r="E12" i="53"/>
  <c r="E7" i="53"/>
  <c r="AE41" i="54" l="1"/>
  <c r="AE41" i="55" s="1"/>
  <c r="V2" i="44" s="1"/>
  <c r="AP42" i="54"/>
  <c r="AP42" i="55" s="1"/>
  <c r="AG3" i="44" s="1"/>
  <c r="P45" i="54"/>
  <c r="P45" i="55" s="1"/>
  <c r="G6" i="44" s="1"/>
  <c r="L34" i="54"/>
  <c r="L34" i="55" s="1"/>
  <c r="C4" i="43" s="1"/>
  <c r="AH41" i="54"/>
  <c r="AH41" i="55" s="1"/>
  <c r="Y2" i="44" s="1"/>
  <c r="AE42" i="54"/>
  <c r="AE42" i="55" s="1"/>
  <c r="V3" i="44" s="1"/>
  <c r="AT46" i="54"/>
  <c r="AT46" i="55" s="1"/>
  <c r="AK7" i="44" s="1"/>
  <c r="G43" i="54"/>
  <c r="G43" i="55" s="1"/>
  <c r="AJ41" i="54"/>
  <c r="AJ41" i="55" s="1"/>
  <c r="AA2" i="44" s="1"/>
  <c r="AO44" i="54"/>
  <c r="AO44" i="55" s="1"/>
  <c r="AF5" i="44" s="1"/>
  <c r="AA45" i="54"/>
  <c r="AA45" i="55" s="1"/>
  <c r="R6" i="44" s="1"/>
  <c r="H41" i="54"/>
  <c r="H41" i="55" s="1"/>
  <c r="AC41" i="54"/>
  <c r="AC41" i="55" s="1"/>
  <c r="T2" i="44" s="1"/>
  <c r="U44" i="54"/>
  <c r="U44" i="55" s="1"/>
  <c r="L5" i="44" s="1"/>
  <c r="O41" i="54"/>
  <c r="O41" i="55" s="1"/>
  <c r="F2" i="44" s="1"/>
  <c r="AC42" i="54"/>
  <c r="AC42" i="55" s="1"/>
  <c r="T3" i="44" s="1"/>
  <c r="X42" i="54"/>
  <c r="X42" i="55" s="1"/>
  <c r="O3" i="44" s="1"/>
  <c r="AT41" i="54"/>
  <c r="AT41" i="55" s="1"/>
  <c r="AK2" i="44" s="1"/>
  <c r="AP45" i="54"/>
  <c r="AP45" i="55" s="1"/>
  <c r="AG6" i="44" s="1"/>
  <c r="D41" i="54"/>
  <c r="D41" i="55" s="1"/>
  <c r="AM42" i="54"/>
  <c r="AM42" i="55" s="1"/>
  <c r="AD3" i="44" s="1"/>
  <c r="E44" i="54"/>
  <c r="E44" i="55" s="1"/>
  <c r="T41" i="54"/>
  <c r="T41" i="55" s="1"/>
  <c r="K2" i="44" s="1"/>
  <c r="R45" i="54"/>
  <c r="R45" i="55" s="1"/>
  <c r="I6" i="44" s="1"/>
  <c r="AE44" i="54"/>
  <c r="AE44" i="55" s="1"/>
  <c r="V5" i="44" s="1"/>
  <c r="AT43" i="54"/>
  <c r="AT43" i="55" s="1"/>
  <c r="AK4" i="44" s="1"/>
  <c r="S42" i="54"/>
  <c r="S42" i="55" s="1"/>
  <c r="J3" i="44" s="1"/>
  <c r="K41" i="54"/>
  <c r="K41" i="55" s="1"/>
  <c r="B2" i="44" s="1"/>
  <c r="W45" i="54"/>
  <c r="W45" i="55" s="1"/>
  <c r="N6" i="44" s="1"/>
  <c r="E45" i="54"/>
  <c r="E45" i="55" s="1"/>
  <c r="AF41" i="54"/>
  <c r="AF41" i="55" s="1"/>
  <c r="W2" i="44" s="1"/>
  <c r="AN42" i="54"/>
  <c r="AN42" i="55" s="1"/>
  <c r="AE3" i="44" s="1"/>
  <c r="AB44" i="54"/>
  <c r="AB44" i="55" s="1"/>
  <c r="S5" i="44" s="1"/>
  <c r="AP43" i="54"/>
  <c r="AP43" i="55" s="1"/>
  <c r="AG4" i="44" s="1"/>
  <c r="AU45" i="54"/>
  <c r="AU45" i="55" s="1"/>
  <c r="AL6" i="44" s="1"/>
  <c r="J45" i="54"/>
  <c r="J45" i="55" s="1"/>
  <c r="AG41" i="54"/>
  <c r="AG41" i="55" s="1"/>
  <c r="X2" i="44" s="1"/>
  <c r="U46" i="54"/>
  <c r="U46" i="55" s="1"/>
  <c r="L7" i="44" s="1"/>
  <c r="E42" i="54"/>
  <c r="E42" i="55" s="1"/>
  <c r="V41" i="54"/>
  <c r="V41" i="55" s="1"/>
  <c r="M2" i="44" s="1"/>
  <c r="S43" i="54"/>
  <c r="S43" i="55" s="1"/>
  <c r="J4" i="44" s="1"/>
  <c r="AG45" i="54"/>
  <c r="AG45" i="55" s="1"/>
  <c r="X6" i="44" s="1"/>
  <c r="AR44" i="54"/>
  <c r="AR44" i="55" s="1"/>
  <c r="AI5" i="44" s="1"/>
  <c r="AN45" i="54"/>
  <c r="AN45" i="55" s="1"/>
  <c r="AE6" i="44" s="1"/>
  <c r="C45" i="54"/>
  <c r="C45" i="55" s="1"/>
  <c r="AH46" i="54"/>
  <c r="AH46" i="55" s="1"/>
  <c r="Y7" i="44" s="1"/>
  <c r="I46" i="54"/>
  <c r="I46" i="55" s="1"/>
  <c r="L46" i="54"/>
  <c r="L46" i="55" s="1"/>
  <c r="C7" i="44" s="1"/>
  <c r="AU46" i="54"/>
  <c r="AU46" i="55" s="1"/>
  <c r="AL7" i="44" s="1"/>
  <c r="W46" i="54"/>
  <c r="W46" i="55" s="1"/>
  <c r="N7" i="44" s="1"/>
  <c r="Q46" i="54"/>
  <c r="Q46" i="55" s="1"/>
  <c r="H7" i="44" s="1"/>
  <c r="Z42" i="54"/>
  <c r="Z42" i="55" s="1"/>
  <c r="Q3" i="44" s="1"/>
  <c r="AD44" i="54"/>
  <c r="AD44" i="55" s="1"/>
  <c r="U5" i="44" s="1"/>
  <c r="H43" i="54"/>
  <c r="H43" i="55" s="1"/>
  <c r="F43" i="54"/>
  <c r="F43" i="55" s="1"/>
  <c r="AB43" i="54"/>
  <c r="AB43" i="55" s="1"/>
  <c r="S4" i="44" s="1"/>
  <c r="AI43" i="54"/>
  <c r="AI43" i="55" s="1"/>
  <c r="Z4" i="44" s="1"/>
  <c r="AP41" i="54"/>
  <c r="AP41" i="55" s="1"/>
  <c r="AG2" i="44" s="1"/>
  <c r="AK41" i="54"/>
  <c r="AK41" i="55" s="1"/>
  <c r="AB2" i="44" s="1"/>
  <c r="AF44" i="54"/>
  <c r="AF44" i="55" s="1"/>
  <c r="W5" i="44" s="1"/>
  <c r="AL45" i="54"/>
  <c r="AL45" i="55" s="1"/>
  <c r="AC6" i="44" s="1"/>
  <c r="AJ42" i="54"/>
  <c r="AJ42" i="55" s="1"/>
  <c r="AA3" i="44" s="1"/>
  <c r="AJ46" i="54"/>
  <c r="AJ46" i="55" s="1"/>
  <c r="AA7" i="44" s="1"/>
  <c r="AF45" i="54"/>
  <c r="AF45" i="55" s="1"/>
  <c r="W6" i="44" s="1"/>
  <c r="Q43" i="54"/>
  <c r="Q43" i="55" s="1"/>
  <c r="H4" i="44" s="1"/>
  <c r="O45" i="54"/>
  <c r="O45" i="55" s="1"/>
  <c r="F6" i="44" s="1"/>
  <c r="S45" i="54"/>
  <c r="S45" i="55" s="1"/>
  <c r="J6" i="44" s="1"/>
  <c r="AC44" i="54"/>
  <c r="AC44" i="55" s="1"/>
  <c r="T5" i="44" s="1"/>
  <c r="O46" i="54"/>
  <c r="O46" i="55" s="1"/>
  <c r="F7" i="44" s="1"/>
  <c r="R41" i="54"/>
  <c r="R41" i="55" s="1"/>
  <c r="I2" i="44" s="1"/>
  <c r="E43" i="54"/>
  <c r="E43" i="55" s="1"/>
  <c r="AU43" i="54"/>
  <c r="AU43" i="55" s="1"/>
  <c r="AL4" i="44" s="1"/>
  <c r="AQ41" i="54"/>
  <c r="AQ41" i="55" s="1"/>
  <c r="AH2" i="44" s="1"/>
  <c r="U41" i="54"/>
  <c r="U41" i="55" s="1"/>
  <c r="L2" i="44" s="1"/>
  <c r="AM41" i="54"/>
  <c r="AM41" i="55" s="1"/>
  <c r="AD2" i="44" s="1"/>
  <c r="Z41" i="54"/>
  <c r="Z41" i="55" s="1"/>
  <c r="Q2" i="44" s="1"/>
  <c r="AL44" i="54"/>
  <c r="AL44" i="55" s="1"/>
  <c r="AC5" i="44" s="1"/>
  <c r="AU44" i="54"/>
  <c r="AU44" i="55" s="1"/>
  <c r="AL5" i="44" s="1"/>
  <c r="V42" i="54"/>
  <c r="V42" i="55" s="1"/>
  <c r="M3" i="44" s="1"/>
  <c r="AK44" i="54"/>
  <c r="AK44" i="55" s="1"/>
  <c r="AB5" i="44" s="1"/>
  <c r="O43" i="54"/>
  <c r="O43" i="55" s="1"/>
  <c r="F4" i="44" s="1"/>
  <c r="AH42" i="54"/>
  <c r="AH42" i="55" s="1"/>
  <c r="Y3" i="44" s="1"/>
  <c r="J44" i="54"/>
  <c r="J44" i="55" s="1"/>
  <c r="G46" i="54"/>
  <c r="G46" i="55" s="1"/>
  <c r="AF46" i="54"/>
  <c r="AF46" i="55" s="1"/>
  <c r="W7" i="44" s="1"/>
  <c r="P43" i="54"/>
  <c r="P43" i="55" s="1"/>
  <c r="G4" i="44" s="1"/>
  <c r="G42" i="54"/>
  <c r="G42" i="55" s="1"/>
  <c r="AP46" i="54"/>
  <c r="AP46" i="55" s="1"/>
  <c r="AG7" i="44" s="1"/>
  <c r="I34" i="54"/>
  <c r="I34" i="55" s="1"/>
  <c r="L43" i="54"/>
  <c r="L43" i="55" s="1"/>
  <c r="C4" i="44" s="1"/>
  <c r="AI41" i="54"/>
  <c r="AI41" i="55" s="1"/>
  <c r="Z2" i="44" s="1"/>
  <c r="AN43" i="54"/>
  <c r="AN43" i="55" s="1"/>
  <c r="AE4" i="44" s="1"/>
  <c r="U43" i="54"/>
  <c r="U43" i="55" s="1"/>
  <c r="L4" i="44" s="1"/>
  <c r="S41" i="54"/>
  <c r="S41" i="55" s="1"/>
  <c r="J2" i="44" s="1"/>
  <c r="C46" i="54"/>
  <c r="C46" i="55" s="1"/>
  <c r="AD42" i="54"/>
  <c r="AD42" i="55" s="1"/>
  <c r="U3" i="44" s="1"/>
  <c r="AG44" i="54"/>
  <c r="AG44" i="55" s="1"/>
  <c r="X5" i="44" s="1"/>
  <c r="M42" i="54"/>
  <c r="M42" i="55" s="1"/>
  <c r="D3" i="44" s="1"/>
  <c r="S46" i="54"/>
  <c r="S46" i="55" s="1"/>
  <c r="J7" i="44" s="1"/>
  <c r="D44" i="54"/>
  <c r="D44" i="55" s="1"/>
  <c r="AO45" i="54"/>
  <c r="AO45" i="55" s="1"/>
  <c r="AF6" i="44" s="1"/>
  <c r="M44" i="54"/>
  <c r="M44" i="55" s="1"/>
  <c r="D5" i="44" s="1"/>
  <c r="W42" i="54"/>
  <c r="W42" i="55" s="1"/>
  <c r="N3" i="44" s="1"/>
  <c r="X44" i="54"/>
  <c r="X44" i="55" s="1"/>
  <c r="O5" i="44" s="1"/>
  <c r="N43" i="54"/>
  <c r="N43" i="55" s="1"/>
  <c r="E4" i="44" s="1"/>
  <c r="O42" i="54"/>
  <c r="O42" i="55" s="1"/>
  <c r="F3" i="44" s="1"/>
  <c r="J41" i="54"/>
  <c r="J41" i="55" s="1"/>
  <c r="E41" i="54"/>
  <c r="E41" i="55" s="1"/>
  <c r="Z43" i="54"/>
  <c r="Z43" i="55" s="1"/>
  <c r="Q4" i="44" s="1"/>
  <c r="AA43" i="54"/>
  <c r="AA43" i="55" s="1"/>
  <c r="R4" i="44" s="1"/>
  <c r="AN41" i="54"/>
  <c r="AN41" i="55" s="1"/>
  <c r="AE2" i="44" s="1"/>
  <c r="Y41" i="54"/>
  <c r="Y41" i="55" s="1"/>
  <c r="P2" i="44" s="1"/>
  <c r="AN44" i="54"/>
  <c r="AN44" i="55" s="1"/>
  <c r="AE5" i="44" s="1"/>
  <c r="AT44" i="54"/>
  <c r="AT44" i="55" s="1"/>
  <c r="AK5" i="44" s="1"/>
  <c r="D42" i="54"/>
  <c r="D42" i="55" s="1"/>
  <c r="F44" i="54"/>
  <c r="F44" i="55" s="1"/>
  <c r="N42" i="54"/>
  <c r="N42" i="55" s="1"/>
  <c r="E3" i="44" s="1"/>
  <c r="X46" i="54"/>
  <c r="X46" i="55" s="1"/>
  <c r="O7" i="44" s="1"/>
  <c r="T44" i="54"/>
  <c r="T44" i="55" s="1"/>
  <c r="K5" i="44" s="1"/>
  <c r="AE45" i="54"/>
  <c r="AE45" i="55" s="1"/>
  <c r="V6" i="44" s="1"/>
  <c r="AJ44" i="54"/>
  <c r="AJ44" i="55" s="1"/>
  <c r="AA5" i="44" s="1"/>
  <c r="R43" i="54"/>
  <c r="R43" i="55" s="1"/>
  <c r="I4" i="44" s="1"/>
  <c r="P46" i="54"/>
  <c r="P46" i="55" s="1"/>
  <c r="G7" i="44" s="1"/>
  <c r="F46" i="54"/>
  <c r="F46" i="55" s="1"/>
  <c r="C5" i="54" a="1"/>
  <c r="K5" i="54" s="1"/>
  <c r="K5" i="55" s="1"/>
  <c r="B2" i="42" s="1"/>
  <c r="C43" i="54"/>
  <c r="C43" i="55" s="1"/>
  <c r="K43" i="54"/>
  <c r="K43" i="55" s="1"/>
  <c r="B4" i="44" s="1"/>
  <c r="AM43" i="54"/>
  <c r="AM43" i="55" s="1"/>
  <c r="AD4" i="44" s="1"/>
  <c r="Y43" i="54"/>
  <c r="Y43" i="55" s="1"/>
  <c r="P4" i="44" s="1"/>
  <c r="AS41" i="54"/>
  <c r="AS41" i="55" s="1"/>
  <c r="AJ2" i="44" s="1"/>
  <c r="L44" i="54"/>
  <c r="L44" i="55" s="1"/>
  <c r="C5" i="44" s="1"/>
  <c r="K44" i="54"/>
  <c r="K44" i="55" s="1"/>
  <c r="B5" i="44" s="1"/>
  <c r="J46" i="54"/>
  <c r="J46" i="55" s="1"/>
  <c r="AT42" i="54"/>
  <c r="AT42" i="55" s="1"/>
  <c r="AK3" i="44" s="1"/>
  <c r="AI44" i="54"/>
  <c r="AI44" i="55" s="1"/>
  <c r="Z5" i="44" s="1"/>
  <c r="H42" i="54"/>
  <c r="H42" i="55" s="1"/>
  <c r="Q42" i="54"/>
  <c r="Q42" i="55" s="1"/>
  <c r="H3" i="44" s="1"/>
  <c r="AA46" i="54"/>
  <c r="AA46" i="55" s="1"/>
  <c r="R7" i="44" s="1"/>
  <c r="I42" i="54"/>
  <c r="I42" i="55" s="1"/>
  <c r="AG42" i="54"/>
  <c r="AG42" i="55" s="1"/>
  <c r="X3" i="44" s="1"/>
  <c r="P42" i="54"/>
  <c r="P42" i="55" s="1"/>
  <c r="G3" i="44" s="1"/>
  <c r="Q41" i="54"/>
  <c r="Q41" i="55" s="1"/>
  <c r="H2" i="44" s="1"/>
  <c r="AJ45" i="54"/>
  <c r="AJ45" i="55" s="1"/>
  <c r="AA6" i="44" s="1"/>
  <c r="AU32" i="54"/>
  <c r="AU32" i="55" s="1"/>
  <c r="AL2" i="43" s="1"/>
  <c r="M41" i="54"/>
  <c r="M41" i="55" s="1"/>
  <c r="D2" i="44" s="1"/>
  <c r="AD43" i="54"/>
  <c r="AD43" i="55" s="1"/>
  <c r="U4" i="44" s="1"/>
  <c r="AJ43" i="54"/>
  <c r="AJ43" i="55" s="1"/>
  <c r="AA4" i="44" s="1"/>
  <c r="AQ43" i="54"/>
  <c r="AQ43" i="55" s="1"/>
  <c r="AH4" i="44" s="1"/>
  <c r="AF42" i="54"/>
  <c r="AF42" i="55" s="1"/>
  <c r="W3" i="44" s="1"/>
  <c r="Z44" i="54"/>
  <c r="Z44" i="55" s="1"/>
  <c r="Q5" i="44" s="1"/>
  <c r="C44" i="54"/>
  <c r="C44" i="55" s="1"/>
  <c r="K42" i="54"/>
  <c r="K42" i="55" s="1"/>
  <c r="B3" i="44" s="1"/>
  <c r="AQ44" i="54"/>
  <c r="AQ44" i="55" s="1"/>
  <c r="AH5" i="44" s="1"/>
  <c r="D45" i="54"/>
  <c r="D45" i="55" s="1"/>
  <c r="AQ42" i="54"/>
  <c r="AQ42" i="55" s="1"/>
  <c r="AH3" i="44" s="1"/>
  <c r="AB42" i="54"/>
  <c r="AB42" i="55" s="1"/>
  <c r="S3" i="44" s="1"/>
  <c r="H46" i="54"/>
  <c r="H46" i="55" s="1"/>
  <c r="AG46" i="54"/>
  <c r="AG46" i="55" s="1"/>
  <c r="X7" i="44" s="1"/>
  <c r="R42" i="54"/>
  <c r="R42" i="55" s="1"/>
  <c r="I3" i="44" s="1"/>
  <c r="AK46" i="54"/>
  <c r="AK46" i="55" s="1"/>
  <c r="AB7" i="44" s="1"/>
  <c r="AM46" i="54"/>
  <c r="AM46" i="55" s="1"/>
  <c r="AD7" i="44" s="1"/>
  <c r="AA41" i="54"/>
  <c r="AA41" i="55" s="1"/>
  <c r="R2" i="44" s="1"/>
  <c r="Y44" i="54"/>
  <c r="Y44" i="55" s="1"/>
  <c r="P5" i="44" s="1"/>
  <c r="K46" i="54"/>
  <c r="K46" i="55" s="1"/>
  <c r="B7" i="44" s="1"/>
  <c r="AB45" i="54"/>
  <c r="AB45" i="55" s="1"/>
  <c r="S6" i="44" s="1"/>
  <c r="G45" i="54"/>
  <c r="G45" i="55" s="1"/>
  <c r="AM44" i="54"/>
  <c r="AM44" i="55" s="1"/>
  <c r="AD5" i="44" s="1"/>
  <c r="Z46" i="54"/>
  <c r="Z46" i="55" s="1"/>
  <c r="Q7" i="44" s="1"/>
  <c r="AB46" i="54"/>
  <c r="AB46" i="55" s="1"/>
  <c r="S7" i="44" s="1"/>
  <c r="J42" i="54"/>
  <c r="J42" i="55" s="1"/>
  <c r="F45" i="54"/>
  <c r="F45" i="55" s="1"/>
  <c r="Q44" i="54"/>
  <c r="Q44" i="55" s="1"/>
  <c r="H5" i="44" s="1"/>
  <c r="H45" i="54"/>
  <c r="H45" i="55" s="1"/>
  <c r="AQ46" i="54"/>
  <c r="AQ46" i="55" s="1"/>
  <c r="AH7" i="44" s="1"/>
  <c r="N41" i="54"/>
  <c r="N41" i="55" s="1"/>
  <c r="E2" i="44" s="1"/>
  <c r="M43" i="54"/>
  <c r="M43" i="55" s="1"/>
  <c r="D4" i="44" s="1"/>
  <c r="AS43" i="54"/>
  <c r="AS43" i="55" s="1"/>
  <c r="AJ4" i="44" s="1"/>
  <c r="AR43" i="54"/>
  <c r="AR43" i="55" s="1"/>
  <c r="AI4" i="44" s="1"/>
  <c r="D43" i="54"/>
  <c r="D43" i="55" s="1"/>
  <c r="G41" i="54"/>
  <c r="G41" i="55" s="1"/>
  <c r="AH43" i="54"/>
  <c r="AH43" i="55" s="1"/>
  <c r="Y4" i="44" s="1"/>
  <c r="AF43" i="54"/>
  <c r="AF43" i="55" s="1"/>
  <c r="W4" i="44" s="1"/>
  <c r="AL41" i="54"/>
  <c r="AL41" i="55" s="1"/>
  <c r="AC2" i="44" s="1"/>
  <c r="AO43" i="54"/>
  <c r="AO43" i="55" s="1"/>
  <c r="AF4" i="44" s="1"/>
  <c r="V44" i="54"/>
  <c r="V44" i="55" s="1"/>
  <c r="M5" i="44" s="1"/>
  <c r="AO46" i="54"/>
  <c r="AO46" i="55" s="1"/>
  <c r="AF7" i="44" s="1"/>
  <c r="X45" i="54"/>
  <c r="X45" i="55" s="1"/>
  <c r="O6" i="44" s="1"/>
  <c r="U45" i="54"/>
  <c r="U45" i="55" s="1"/>
  <c r="L6" i="44" s="1"/>
  <c r="I44" i="54"/>
  <c r="I44" i="55" s="1"/>
  <c r="AI42" i="54"/>
  <c r="AI42" i="55" s="1"/>
  <c r="Z3" i="44" s="1"/>
  <c r="O44" i="54"/>
  <c r="O44" i="55" s="1"/>
  <c r="F5" i="44" s="1"/>
  <c r="AS45" i="54"/>
  <c r="AS45" i="55" s="1"/>
  <c r="AJ6" i="44" s="1"/>
  <c r="Y46" i="54"/>
  <c r="Y46" i="55" s="1"/>
  <c r="P7" i="44" s="1"/>
  <c r="N45" i="54"/>
  <c r="N45" i="55" s="1"/>
  <c r="E6" i="44" s="1"/>
  <c r="AI46" i="54"/>
  <c r="AI46" i="55" s="1"/>
  <c r="Z7" i="44" s="1"/>
  <c r="AL46" i="54"/>
  <c r="AL46" i="55" s="1"/>
  <c r="AC7" i="44" s="1"/>
  <c r="P44" i="54"/>
  <c r="P44" i="55" s="1"/>
  <c r="G5" i="44" s="1"/>
  <c r="AC45" i="54"/>
  <c r="AC45" i="55" s="1"/>
  <c r="T6" i="44" s="1"/>
  <c r="H16" i="54"/>
  <c r="H16" i="55" s="1"/>
  <c r="J16" i="54"/>
  <c r="J16" i="55" s="1"/>
  <c r="C14" i="54"/>
  <c r="C14" i="55" s="1"/>
  <c r="F16" i="54"/>
  <c r="F16" i="55" s="1"/>
  <c r="C16" i="54"/>
  <c r="C16" i="55" s="1"/>
  <c r="L14" i="54"/>
  <c r="L14" i="55" s="1"/>
  <c r="C2" i="41" s="1"/>
  <c r="K32" i="54"/>
  <c r="K32" i="55" s="1"/>
  <c r="B2" i="43" s="1"/>
  <c r="I16" i="54"/>
  <c r="I16" i="55" s="1"/>
  <c r="L41" i="54"/>
  <c r="L41" i="55" s="1"/>
  <c r="C2" i="44" s="1"/>
  <c r="D14" i="54"/>
  <c r="D14" i="55" s="1"/>
  <c r="I43" i="54"/>
  <c r="I43" i="55" s="1"/>
  <c r="H34" i="54"/>
  <c r="H34" i="55" s="1"/>
  <c r="X43" i="54"/>
  <c r="X43" i="55" s="1"/>
  <c r="O4" i="44" s="1"/>
  <c r="AB41" i="54"/>
  <c r="AB41" i="55" s="1"/>
  <c r="S2" i="44" s="1"/>
  <c r="W43" i="54"/>
  <c r="W43" i="55" s="1"/>
  <c r="N4" i="44" s="1"/>
  <c r="W41" i="54"/>
  <c r="W41" i="55" s="1"/>
  <c r="N2" i="44" s="1"/>
  <c r="AE43" i="54"/>
  <c r="AE43" i="55" s="1"/>
  <c r="V4" i="44" s="1"/>
  <c r="F42" i="54"/>
  <c r="F42" i="55" s="1"/>
  <c r="H44" i="54"/>
  <c r="H44" i="55" s="1"/>
  <c r="AS42" i="54"/>
  <c r="AS42" i="55" s="1"/>
  <c r="AJ3" i="44" s="1"/>
  <c r="U42" i="54"/>
  <c r="U42" i="55" s="1"/>
  <c r="L3" i="44" s="1"/>
  <c r="AO42" i="54"/>
  <c r="AO42" i="55" s="1"/>
  <c r="AF3" i="44" s="1"/>
  <c r="T42" i="54"/>
  <c r="T42" i="55" s="1"/>
  <c r="K3" i="44" s="1"/>
  <c r="AD46" i="54"/>
  <c r="AD46" i="55" s="1"/>
  <c r="U7" i="44" s="1"/>
  <c r="AD45" i="54"/>
  <c r="AD45" i="55" s="1"/>
  <c r="U6" i="44" s="1"/>
  <c r="I45" i="54"/>
  <c r="I45" i="55" s="1"/>
  <c r="AA44" i="54"/>
  <c r="AA44" i="55" s="1"/>
  <c r="R5" i="44" s="1"/>
  <c r="M45" i="54"/>
  <c r="M45" i="55" s="1"/>
  <c r="D6" i="44" s="1"/>
  <c r="AE46" i="54"/>
  <c r="AE46" i="55" s="1"/>
  <c r="V7" i="44" s="1"/>
  <c r="K45" i="54"/>
  <c r="K45" i="55" s="1"/>
  <c r="B6" i="44" s="1"/>
  <c r="D46" i="54"/>
  <c r="D46" i="55" s="1"/>
  <c r="N44" i="54"/>
  <c r="N44" i="55" s="1"/>
  <c r="E5" i="44" s="1"/>
  <c r="AH45" i="54"/>
  <c r="AH45" i="55" s="1"/>
  <c r="Y6" i="44" s="1"/>
  <c r="L45" i="54"/>
  <c r="L45" i="55" s="1"/>
  <c r="C6" i="44" s="1"/>
  <c r="R44" i="54"/>
  <c r="R44" i="55" s="1"/>
  <c r="I5" i="44" s="1"/>
  <c r="I41" i="54"/>
  <c r="I41" i="55" s="1"/>
  <c r="AU34" i="54"/>
  <c r="AU34" i="55" s="1"/>
  <c r="AL4" i="43" s="1"/>
  <c r="K16" i="54"/>
  <c r="K16" i="55" s="1"/>
  <c r="B4" i="41" s="1"/>
  <c r="F41" i="54"/>
  <c r="F41" i="55" s="1"/>
  <c r="AL43" i="54"/>
  <c r="AL43" i="55" s="1"/>
  <c r="AC4" i="44" s="1"/>
  <c r="AO41" i="54"/>
  <c r="AO41" i="55" s="1"/>
  <c r="AF2" i="44" s="1"/>
  <c r="AD41" i="54"/>
  <c r="AD41" i="55" s="1"/>
  <c r="U2" i="44" s="1"/>
  <c r="T43" i="54"/>
  <c r="T43" i="55" s="1"/>
  <c r="K4" i="44" s="1"/>
  <c r="X41" i="54"/>
  <c r="X41" i="55" s="1"/>
  <c r="O2" i="44" s="1"/>
  <c r="AA42" i="54"/>
  <c r="AA42" i="55" s="1"/>
  <c r="R3" i="44" s="1"/>
  <c r="AP44" i="54"/>
  <c r="AP44" i="55" s="1"/>
  <c r="AG5" i="44" s="1"/>
  <c r="L42" i="54"/>
  <c r="L42" i="55" s="1"/>
  <c r="C3" i="44" s="1"/>
  <c r="AH44" i="54"/>
  <c r="AH44" i="55" s="1"/>
  <c r="Y5" i="44" s="1"/>
  <c r="AK45" i="54"/>
  <c r="AK45" i="55" s="1"/>
  <c r="AB6" i="44" s="1"/>
  <c r="AL42" i="54"/>
  <c r="AL42" i="55" s="1"/>
  <c r="AC3" i="44" s="1"/>
  <c r="G44" i="54"/>
  <c r="G44" i="55" s="1"/>
  <c r="AS46" i="54"/>
  <c r="AS46" i="55" s="1"/>
  <c r="AJ7" i="44" s="1"/>
  <c r="V45" i="54"/>
  <c r="V45" i="55" s="1"/>
  <c r="M6" i="44" s="1"/>
  <c r="AR46" i="54"/>
  <c r="AR46" i="55" s="1"/>
  <c r="AI7" i="44" s="1"/>
  <c r="AS44" i="54"/>
  <c r="AS44" i="55" s="1"/>
  <c r="AJ5" i="44" s="1"/>
  <c r="AC46" i="54"/>
  <c r="AC46" i="55" s="1"/>
  <c r="T7" i="44" s="1"/>
  <c r="C42" i="54"/>
  <c r="C42" i="55" s="1"/>
  <c r="T45" i="54"/>
  <c r="T45" i="55" s="1"/>
  <c r="K6" i="44" s="1"/>
  <c r="P41" i="54"/>
  <c r="P41" i="55" s="1"/>
  <c r="G2" i="44" s="1"/>
  <c r="R46" i="54"/>
  <c r="R46" i="55" s="1"/>
  <c r="I7" i="44" s="1"/>
  <c r="Y45" i="54"/>
  <c r="Y45" i="55" s="1"/>
  <c r="P6" i="44" s="1"/>
  <c r="Q45" i="54"/>
  <c r="Q45" i="55" s="1"/>
  <c r="H6" i="44" s="1"/>
  <c r="G14" i="54"/>
  <c r="G14" i="55" s="1"/>
  <c r="H32" i="54"/>
  <c r="H32" i="55" s="1"/>
  <c r="AU41" i="54"/>
  <c r="AU41" i="55" s="1"/>
  <c r="AL2" i="44" s="1"/>
  <c r="J43" i="54"/>
  <c r="J43" i="55" s="1"/>
  <c r="C41" i="54"/>
  <c r="C41" i="55" s="1"/>
  <c r="V43" i="54"/>
  <c r="V43" i="55" s="1"/>
  <c r="M4" i="44" s="1"/>
  <c r="AG43" i="54"/>
  <c r="AG43" i="55" s="1"/>
  <c r="X4" i="44" s="1"/>
  <c r="AC43" i="54"/>
  <c r="AC43" i="55" s="1"/>
  <c r="T4" i="44" s="1"/>
  <c r="AR41" i="54"/>
  <c r="AR41" i="55" s="1"/>
  <c r="AI2" i="44" s="1"/>
  <c r="AK43" i="54"/>
  <c r="AK43" i="55" s="1"/>
  <c r="AB4" i="44" s="1"/>
  <c r="S44" i="54"/>
  <c r="S44" i="55" s="1"/>
  <c r="J5" i="44" s="1"/>
  <c r="Y42" i="54"/>
  <c r="Y42" i="55" s="1"/>
  <c r="P3" i="44" s="1"/>
  <c r="AI45" i="54"/>
  <c r="AI45" i="55" s="1"/>
  <c r="Z6" i="44" s="1"/>
  <c r="M46" i="54"/>
  <c r="M46" i="55" s="1"/>
  <c r="D7" i="44" s="1"/>
  <c r="T46" i="54"/>
  <c r="T46" i="55" s="1"/>
  <c r="K7" i="44" s="1"/>
  <c r="AR42" i="54"/>
  <c r="AR42" i="55" s="1"/>
  <c r="AI3" i="44" s="1"/>
  <c r="E46" i="54"/>
  <c r="E46" i="55" s="1"/>
  <c r="AQ45" i="54"/>
  <c r="AQ45" i="55" s="1"/>
  <c r="AH6" i="44" s="1"/>
  <c r="AR45" i="54"/>
  <c r="AR45" i="55" s="1"/>
  <c r="AI6" i="44" s="1"/>
  <c r="Z45" i="54"/>
  <c r="Z45" i="55" s="1"/>
  <c r="Q6" i="44" s="1"/>
  <c r="AU42" i="54"/>
  <c r="AU42" i="55" s="1"/>
  <c r="AL3" i="44" s="1"/>
  <c r="W44" i="54"/>
  <c r="W44" i="55" s="1"/>
  <c r="N5" i="44" s="1"/>
  <c r="AN46" i="54"/>
  <c r="AN46" i="55" s="1"/>
  <c r="AE7" i="44" s="1"/>
  <c r="V46" i="54"/>
  <c r="V46" i="55" s="1"/>
  <c r="M7" i="44" s="1"/>
  <c r="AT45" i="54"/>
  <c r="AT45" i="55" s="1"/>
  <c r="AK6" i="44" s="1"/>
  <c r="AM45" i="54"/>
  <c r="AM45" i="55" s="1"/>
  <c r="AD6" i="44" s="1"/>
  <c r="AK42" i="54"/>
  <c r="AK42" i="55" s="1"/>
  <c r="AB3" i="44" s="1"/>
  <c r="L16" i="54"/>
  <c r="L16" i="55" s="1"/>
  <c r="C4" i="41" s="1"/>
  <c r="AU16" i="54"/>
  <c r="AU16" i="55" s="1"/>
  <c r="AL4" i="41" s="1"/>
  <c r="K14" i="54"/>
  <c r="K14" i="55" s="1"/>
  <c r="B2" i="41" s="1"/>
  <c r="G34" i="54"/>
  <c r="G34" i="55" s="1"/>
  <c r="D34" i="54"/>
  <c r="D34" i="55" s="1"/>
  <c r="C32" i="54"/>
  <c r="C32" i="55" s="1"/>
  <c r="G16" i="54"/>
  <c r="G16" i="55" s="1"/>
  <c r="L32" i="54"/>
  <c r="L32" i="55" s="1"/>
  <c r="C2" i="43" s="1"/>
  <c r="C34" i="54"/>
  <c r="C34" i="55" s="1"/>
  <c r="E16" i="54"/>
  <c r="E16" i="55" s="1"/>
  <c r="H7" i="54"/>
  <c r="D8" i="54"/>
  <c r="H8" i="54"/>
  <c r="AU6" i="54"/>
  <c r="AH10" i="54"/>
  <c r="G10" i="54"/>
  <c r="Y9" i="54"/>
  <c r="AG10" i="54"/>
  <c r="AJ9" i="54"/>
  <c r="O5" i="54"/>
  <c r="I9" i="54"/>
  <c r="AJ10" i="54"/>
  <c r="AL10" i="54"/>
  <c r="C10" i="54"/>
  <c r="U10" i="54"/>
  <c r="L9" i="54"/>
  <c r="AL5" i="54"/>
  <c r="X6" i="54"/>
  <c r="AL6" i="54"/>
  <c r="T6" i="54"/>
  <c r="W5" i="54"/>
  <c r="AK5" i="54"/>
  <c r="AK8" i="54"/>
  <c r="W6" i="54"/>
  <c r="AS6" i="54"/>
  <c r="AI7" i="54"/>
  <c r="AA5" i="54"/>
  <c r="Y8" i="54"/>
  <c r="L5" i="54"/>
  <c r="H5" i="54"/>
  <c r="I6" i="54"/>
  <c r="AU8" i="54"/>
  <c r="R35" i="54"/>
  <c r="R35" i="55" s="1"/>
  <c r="I5" i="43" s="1"/>
  <c r="N32" i="54"/>
  <c r="N32" i="55" s="1"/>
  <c r="E2" i="43" s="1"/>
  <c r="AM37" i="54"/>
  <c r="AM37" i="55" s="1"/>
  <c r="AD7" i="43" s="1"/>
  <c r="AT36" i="54"/>
  <c r="AT36" i="55" s="1"/>
  <c r="AK6" i="43" s="1"/>
  <c r="F37" i="54"/>
  <c r="F37" i="55" s="1"/>
  <c r="P35" i="54"/>
  <c r="P35" i="55" s="1"/>
  <c r="G5" i="43" s="1"/>
  <c r="Y36" i="54"/>
  <c r="Y36" i="55" s="1"/>
  <c r="P6" i="43" s="1"/>
  <c r="L36" i="54"/>
  <c r="L36" i="55" s="1"/>
  <c r="C6" i="43" s="1"/>
  <c r="O37" i="54"/>
  <c r="O37" i="55" s="1"/>
  <c r="F7" i="43" s="1"/>
  <c r="I37" i="54"/>
  <c r="I37" i="55" s="1"/>
  <c r="AA37" i="54"/>
  <c r="AA37" i="55" s="1"/>
  <c r="R7" i="43" s="1"/>
  <c r="AR36" i="54"/>
  <c r="AR36" i="55" s="1"/>
  <c r="AI6" i="43" s="1"/>
  <c r="M37" i="54"/>
  <c r="M37" i="55" s="1"/>
  <c r="D7" i="43" s="1"/>
  <c r="R36" i="54"/>
  <c r="R36" i="55" s="1"/>
  <c r="I6" i="43" s="1"/>
  <c r="N33" i="54"/>
  <c r="N33" i="55" s="1"/>
  <c r="E3" i="43" s="1"/>
  <c r="R37" i="54"/>
  <c r="R37" i="55" s="1"/>
  <c r="I7" i="43" s="1"/>
  <c r="N34" i="54"/>
  <c r="N34" i="55" s="1"/>
  <c r="E4" i="43" s="1"/>
  <c r="Q35" i="54"/>
  <c r="Q35" i="55" s="1"/>
  <c r="H5" i="43" s="1"/>
  <c r="AE37" i="54"/>
  <c r="AE37" i="55" s="1"/>
  <c r="V7" i="43" s="1"/>
  <c r="R32" i="54"/>
  <c r="R32" i="55" s="1"/>
  <c r="I2" i="43" s="1"/>
  <c r="P37" i="54"/>
  <c r="P37" i="55" s="1"/>
  <c r="G7" i="43" s="1"/>
  <c r="P32" i="54"/>
  <c r="P32" i="55" s="1"/>
  <c r="G2" i="43" s="1"/>
  <c r="N35" i="54"/>
  <c r="N35" i="55" s="1"/>
  <c r="E5" i="43" s="1"/>
  <c r="AF36" i="54"/>
  <c r="AF36" i="55" s="1"/>
  <c r="W6" i="43" s="1"/>
  <c r="Q33" i="54"/>
  <c r="Q33" i="55" s="1"/>
  <c r="H3" i="43" s="1"/>
  <c r="AC37" i="54"/>
  <c r="AC37" i="55" s="1"/>
  <c r="T7" i="43" s="1"/>
  <c r="AJ36" i="54"/>
  <c r="AJ36" i="55" s="1"/>
  <c r="AA6" i="43" s="1"/>
  <c r="R33" i="54"/>
  <c r="R33" i="55" s="1"/>
  <c r="I3" i="43" s="1"/>
  <c r="P33" i="54"/>
  <c r="P33" i="55" s="1"/>
  <c r="G3" i="43" s="1"/>
  <c r="N36" i="54"/>
  <c r="N36" i="55" s="1"/>
  <c r="E6" i="43" s="1"/>
  <c r="AH36" i="54"/>
  <c r="AH36" i="55" s="1"/>
  <c r="Y6" i="43" s="1"/>
  <c r="Q34" i="54"/>
  <c r="Q34" i="55" s="1"/>
  <c r="H4" i="43" s="1"/>
  <c r="R34" i="54"/>
  <c r="R34" i="55" s="1"/>
  <c r="I4" i="43" s="1"/>
  <c r="P34" i="54"/>
  <c r="P34" i="55" s="1"/>
  <c r="G4" i="43" s="1"/>
  <c r="N37" i="54"/>
  <c r="N37" i="55" s="1"/>
  <c r="E7" i="43" s="1"/>
  <c r="V37" i="54"/>
  <c r="V37" i="55" s="1"/>
  <c r="M7" i="43" s="1"/>
  <c r="AC36" i="54"/>
  <c r="AC36" i="55" s="1"/>
  <c r="T6" i="43" s="1"/>
  <c r="O34" i="54"/>
  <c r="O34" i="55" s="1"/>
  <c r="F4" i="43" s="1"/>
  <c r="AJ37" i="54"/>
  <c r="AJ37" i="55" s="1"/>
  <c r="AA7" i="43" s="1"/>
  <c r="AD37" i="54"/>
  <c r="AD37" i="55" s="1"/>
  <c r="U7" i="43" s="1"/>
  <c r="AP37" i="54"/>
  <c r="AP37" i="55" s="1"/>
  <c r="AG7" i="43" s="1"/>
  <c r="AB35" i="54"/>
  <c r="AB35" i="55" s="1"/>
  <c r="S5" i="43" s="1"/>
  <c r="P36" i="54"/>
  <c r="P36" i="55" s="1"/>
  <c r="G6" i="43" s="1"/>
  <c r="Q32" i="54"/>
  <c r="Q32" i="55" s="1"/>
  <c r="H2" i="43" s="1"/>
  <c r="K36" i="54"/>
  <c r="K36" i="55" s="1"/>
  <c r="B6" i="43" s="1"/>
  <c r="S37" i="54"/>
  <c r="S37" i="55" s="1"/>
  <c r="J7" i="43" s="1"/>
  <c r="G37" i="54"/>
  <c r="G37" i="55" s="1"/>
  <c r="O35" i="54"/>
  <c r="O35" i="55" s="1"/>
  <c r="F5" i="43" s="1"/>
  <c r="AI36" i="54"/>
  <c r="AI36" i="55" s="1"/>
  <c r="Z6" i="43" s="1"/>
  <c r="AO35" i="54"/>
  <c r="AO35" i="55" s="1"/>
  <c r="AF5" i="43" s="1"/>
  <c r="AU36" i="54"/>
  <c r="AU36" i="55" s="1"/>
  <c r="AL6" i="43" s="1"/>
  <c r="AK37" i="54"/>
  <c r="AK37" i="55" s="1"/>
  <c r="AB7" i="43" s="1"/>
  <c r="Q37" i="54"/>
  <c r="Q37" i="55" s="1"/>
  <c r="H7" i="43" s="1"/>
  <c r="U35" i="54"/>
  <c r="U35" i="55" s="1"/>
  <c r="L5" i="43" s="1"/>
  <c r="T36" i="54"/>
  <c r="T36" i="55" s="1"/>
  <c r="K6" i="43" s="1"/>
  <c r="AS37" i="54"/>
  <c r="AS37" i="55" s="1"/>
  <c r="AJ7" i="43" s="1"/>
  <c r="AN33" i="54"/>
  <c r="AN33" i="55" s="1"/>
  <c r="AE3" i="43" s="1"/>
  <c r="AD36" i="54"/>
  <c r="AD36" i="55" s="1"/>
  <c r="U6" i="43" s="1"/>
  <c r="AI37" i="54"/>
  <c r="AI37" i="55" s="1"/>
  <c r="Z7" i="43" s="1"/>
  <c r="AP36" i="54"/>
  <c r="AP36" i="55" s="1"/>
  <c r="AG6" i="43" s="1"/>
  <c r="O36" i="54"/>
  <c r="O36" i="55" s="1"/>
  <c r="F6" i="43" s="1"/>
  <c r="AH37" i="54"/>
  <c r="AH37" i="55" s="1"/>
  <c r="Y7" i="43" s="1"/>
  <c r="W36" i="54"/>
  <c r="W36" i="55" s="1"/>
  <c r="N6" i="43" s="1"/>
  <c r="AN36" i="54"/>
  <c r="AN36" i="55" s="1"/>
  <c r="AE6" i="43" s="1"/>
  <c r="L35" i="54"/>
  <c r="L35" i="55" s="1"/>
  <c r="C5" i="43" s="1"/>
  <c r="L33" i="54"/>
  <c r="L33" i="55" s="1"/>
  <c r="C3" i="43" s="1"/>
  <c r="G36" i="54"/>
  <c r="G36" i="55" s="1"/>
  <c r="AE33" i="54"/>
  <c r="AE33" i="55" s="1"/>
  <c r="V3" i="43" s="1"/>
  <c r="AG37" i="54"/>
  <c r="AG37" i="55" s="1"/>
  <c r="X7" i="43" s="1"/>
  <c r="M36" i="54"/>
  <c r="M36" i="55" s="1"/>
  <c r="D6" i="43" s="1"/>
  <c r="O32" i="54"/>
  <c r="O32" i="55" s="1"/>
  <c r="F2" i="43" s="1"/>
  <c r="AA36" i="54"/>
  <c r="AA36" i="55" s="1"/>
  <c r="R6" i="43" s="1"/>
  <c r="AN37" i="54"/>
  <c r="AN37" i="55" s="1"/>
  <c r="AE7" i="43" s="1"/>
  <c r="T37" i="54"/>
  <c r="T37" i="55" s="1"/>
  <c r="K7" i="43" s="1"/>
  <c r="AL33" i="54"/>
  <c r="AL33" i="55" s="1"/>
  <c r="AC3" i="43" s="1"/>
  <c r="U36" i="54"/>
  <c r="U36" i="55" s="1"/>
  <c r="L6" i="43" s="1"/>
  <c r="AF37" i="54"/>
  <c r="AF37" i="55" s="1"/>
  <c r="W7" i="43" s="1"/>
  <c r="AF35" i="54"/>
  <c r="AF35" i="55" s="1"/>
  <c r="W5" i="43" s="1"/>
  <c r="AD35" i="54"/>
  <c r="AD35" i="55" s="1"/>
  <c r="U5" i="43" s="1"/>
  <c r="H35" i="54"/>
  <c r="H35" i="55" s="1"/>
  <c r="AE36" i="54"/>
  <c r="AE36" i="55" s="1"/>
  <c r="V6" i="43" s="1"/>
  <c r="I33" i="54"/>
  <c r="I33" i="55" s="1"/>
  <c r="C36" i="54"/>
  <c r="C36" i="55" s="1"/>
  <c r="Z33" i="54"/>
  <c r="Z33" i="55" s="1"/>
  <c r="Q3" i="43" s="1"/>
  <c r="AN35" i="54"/>
  <c r="AN35" i="55" s="1"/>
  <c r="AE5" i="43" s="1"/>
  <c r="U37" i="54"/>
  <c r="U37" i="55" s="1"/>
  <c r="L7" i="43" s="1"/>
  <c r="AL36" i="54"/>
  <c r="AL36" i="55" s="1"/>
  <c r="AC6" i="43" s="1"/>
  <c r="Z35" i="54"/>
  <c r="Z35" i="55" s="1"/>
  <c r="Q5" i="43" s="1"/>
  <c r="W33" i="54"/>
  <c r="W33" i="55" s="1"/>
  <c r="N3" i="43" s="1"/>
  <c r="U33" i="54"/>
  <c r="U33" i="55" s="1"/>
  <c r="L3" i="43" s="1"/>
  <c r="AI35" i="54"/>
  <c r="AI35" i="55" s="1"/>
  <c r="Z5" i="43" s="1"/>
  <c r="V33" i="54"/>
  <c r="V33" i="55" s="1"/>
  <c r="M3" i="43" s="1"/>
  <c r="Y35" i="54"/>
  <c r="Y35" i="55" s="1"/>
  <c r="P5" i="43" s="1"/>
  <c r="M33" i="54"/>
  <c r="M33" i="55" s="1"/>
  <c r="D3" i="43" s="1"/>
  <c r="AU37" i="54"/>
  <c r="AU37" i="55" s="1"/>
  <c r="AL7" i="43" s="1"/>
  <c r="AH35" i="54"/>
  <c r="AH35" i="55" s="1"/>
  <c r="Y5" i="43" s="1"/>
  <c r="AM36" i="54"/>
  <c r="AM36" i="55" s="1"/>
  <c r="AD6" i="43" s="1"/>
  <c r="W37" i="54"/>
  <c r="W37" i="55" s="1"/>
  <c r="N7" i="43" s="1"/>
  <c r="F33" i="54"/>
  <c r="F33" i="55" s="1"/>
  <c r="T35" i="54"/>
  <c r="T35" i="55" s="1"/>
  <c r="K5" i="43" s="1"/>
  <c r="E37" i="54"/>
  <c r="E37" i="55" s="1"/>
  <c r="AU33" i="54"/>
  <c r="AU33" i="55" s="1"/>
  <c r="AL3" i="43" s="1"/>
  <c r="AR33" i="54"/>
  <c r="AR33" i="55" s="1"/>
  <c r="AI3" i="43" s="1"/>
  <c r="AG35" i="54"/>
  <c r="AG35" i="55" s="1"/>
  <c r="X5" i="43" s="1"/>
  <c r="AA35" i="54"/>
  <c r="AA35" i="55" s="1"/>
  <c r="R5" i="43" s="1"/>
  <c r="AC35" i="54"/>
  <c r="AC35" i="55" s="1"/>
  <c r="T5" i="43" s="1"/>
  <c r="AC33" i="54"/>
  <c r="AC33" i="55" s="1"/>
  <c r="T3" i="43" s="1"/>
  <c r="H33" i="54"/>
  <c r="H33" i="55" s="1"/>
  <c r="D37" i="54"/>
  <c r="D37" i="55" s="1"/>
  <c r="AO36" i="54"/>
  <c r="AO36" i="55" s="1"/>
  <c r="AF6" i="43" s="1"/>
  <c r="H36" i="54"/>
  <c r="H36" i="55" s="1"/>
  <c r="J36" i="54"/>
  <c r="J36" i="55" s="1"/>
  <c r="AO33" i="54"/>
  <c r="AO33" i="55" s="1"/>
  <c r="AF3" i="43" s="1"/>
  <c r="K33" i="54"/>
  <c r="K33" i="55" s="1"/>
  <c r="B3" i="43" s="1"/>
  <c r="E36" i="54"/>
  <c r="E36" i="55" s="1"/>
  <c r="AI33" i="54"/>
  <c r="AI33" i="55" s="1"/>
  <c r="Z3" i="43" s="1"/>
  <c r="AB33" i="54"/>
  <c r="AB33" i="55" s="1"/>
  <c r="S3" i="43" s="1"/>
  <c r="Q36" i="54"/>
  <c r="Q36" i="55" s="1"/>
  <c r="H6" i="43" s="1"/>
  <c r="AS36" i="54"/>
  <c r="AS36" i="55" s="1"/>
  <c r="AJ6" i="43" s="1"/>
  <c r="H37" i="54"/>
  <c r="H37" i="55" s="1"/>
  <c r="AK33" i="54"/>
  <c r="AK33" i="55" s="1"/>
  <c r="AB3" i="43" s="1"/>
  <c r="C33" i="54"/>
  <c r="C33" i="55" s="1"/>
  <c r="AO37" i="54"/>
  <c r="AO37" i="55" s="1"/>
  <c r="AF7" i="43" s="1"/>
  <c r="AL37" i="54"/>
  <c r="AL37" i="55" s="1"/>
  <c r="AC7" i="43" s="1"/>
  <c r="AM35" i="54"/>
  <c r="AM35" i="55" s="1"/>
  <c r="AD5" i="43" s="1"/>
  <c r="AQ37" i="54"/>
  <c r="AQ37" i="55" s="1"/>
  <c r="AH7" i="43" s="1"/>
  <c r="AK36" i="54"/>
  <c r="AK36" i="55" s="1"/>
  <c r="AB6" i="43" s="1"/>
  <c r="X36" i="54"/>
  <c r="X36" i="55" s="1"/>
  <c r="O6" i="43" s="1"/>
  <c r="Y33" i="54"/>
  <c r="Y33" i="55" s="1"/>
  <c r="P3" i="43" s="1"/>
  <c r="L37" i="54"/>
  <c r="L37" i="55" s="1"/>
  <c r="C7" i="43" s="1"/>
  <c r="S36" i="54"/>
  <c r="S36" i="55" s="1"/>
  <c r="J6" i="43" s="1"/>
  <c r="O33" i="54"/>
  <c r="O33" i="55" s="1"/>
  <c r="F3" i="43" s="1"/>
  <c r="AB37" i="54"/>
  <c r="AB37" i="55" s="1"/>
  <c r="S7" i="43" s="1"/>
  <c r="Y37" i="54"/>
  <c r="Y37" i="55" s="1"/>
  <c r="P7" i="43" s="1"/>
  <c r="Z37" i="54"/>
  <c r="Z37" i="55" s="1"/>
  <c r="Q7" i="43" s="1"/>
  <c r="D36" i="54"/>
  <c r="D36" i="55" s="1"/>
  <c r="AR37" i="54"/>
  <c r="AR37" i="55" s="1"/>
  <c r="AI7" i="43" s="1"/>
  <c r="AG33" i="54"/>
  <c r="AG33" i="55" s="1"/>
  <c r="X3" i="43" s="1"/>
  <c r="K35" i="54"/>
  <c r="K35" i="55" s="1"/>
  <c r="B5" i="43" s="1"/>
  <c r="AG36" i="54"/>
  <c r="AG36" i="55" s="1"/>
  <c r="X6" i="43" s="1"/>
  <c r="F36" i="54"/>
  <c r="F36" i="55" s="1"/>
  <c r="V36" i="54"/>
  <c r="V36" i="55" s="1"/>
  <c r="M6" i="43" s="1"/>
  <c r="Z36" i="54"/>
  <c r="Z36" i="55" s="1"/>
  <c r="Q6" i="43" s="1"/>
  <c r="I36" i="54"/>
  <c r="I36" i="55" s="1"/>
  <c r="X37" i="54"/>
  <c r="X37" i="55" s="1"/>
  <c r="O7" i="43" s="1"/>
  <c r="AS35" i="54"/>
  <c r="AS35" i="55" s="1"/>
  <c r="AJ5" i="43" s="1"/>
  <c r="I35" i="54"/>
  <c r="I35" i="55" s="1"/>
  <c r="V35" i="54"/>
  <c r="V35" i="55" s="1"/>
  <c r="M5" i="43" s="1"/>
  <c r="AA33" i="54"/>
  <c r="AA33" i="55" s="1"/>
  <c r="R3" i="43" s="1"/>
  <c r="AD33" i="54"/>
  <c r="AD33" i="55" s="1"/>
  <c r="U3" i="43" s="1"/>
  <c r="AQ36" i="54"/>
  <c r="AQ36" i="55" s="1"/>
  <c r="AH6" i="43" s="1"/>
  <c r="AU35" i="54"/>
  <c r="AU35" i="55" s="1"/>
  <c r="AL5" i="43" s="1"/>
  <c r="S35" i="54"/>
  <c r="S35" i="55" s="1"/>
  <c r="J5" i="43" s="1"/>
  <c r="AB36" i="54"/>
  <c r="AB36" i="55" s="1"/>
  <c r="S6" i="43" s="1"/>
  <c r="AQ33" i="54"/>
  <c r="AQ33" i="55" s="1"/>
  <c r="AH3" i="43" s="1"/>
  <c r="AT33" i="54"/>
  <c r="AT33" i="55" s="1"/>
  <c r="AK3" i="43" s="1"/>
  <c r="D35" i="54"/>
  <c r="D35" i="55" s="1"/>
  <c r="G33" i="54"/>
  <c r="G33" i="55" s="1"/>
  <c r="M35" i="54"/>
  <c r="M35" i="55" s="1"/>
  <c r="D5" i="43" s="1"/>
  <c r="AJ33" i="54"/>
  <c r="AJ33" i="55" s="1"/>
  <c r="AA3" i="43" s="1"/>
  <c r="AT35" i="54"/>
  <c r="AT35" i="55" s="1"/>
  <c r="AK5" i="43" s="1"/>
  <c r="AK35" i="54"/>
  <c r="AK35" i="55" s="1"/>
  <c r="AB5" i="43" s="1"/>
  <c r="J33" i="54"/>
  <c r="J33" i="55" s="1"/>
  <c r="S33" i="54"/>
  <c r="S33" i="55" s="1"/>
  <c r="J3" i="43" s="1"/>
  <c r="G35" i="54"/>
  <c r="G35" i="55" s="1"/>
  <c r="AL35" i="54"/>
  <c r="AL35" i="55" s="1"/>
  <c r="AC5" i="43" s="1"/>
  <c r="AT37" i="54"/>
  <c r="AT37" i="55" s="1"/>
  <c r="AK7" i="43" s="1"/>
  <c r="E33" i="54"/>
  <c r="E33" i="55" s="1"/>
  <c r="X35" i="54"/>
  <c r="X35" i="55" s="1"/>
  <c r="O5" i="43" s="1"/>
  <c r="AP35" i="54"/>
  <c r="AP35" i="55" s="1"/>
  <c r="AG5" i="43" s="1"/>
  <c r="E35" i="54"/>
  <c r="E35" i="55" s="1"/>
  <c r="AJ35" i="54"/>
  <c r="AJ35" i="55" s="1"/>
  <c r="AA5" i="43" s="1"/>
  <c r="T33" i="54"/>
  <c r="T33" i="55" s="1"/>
  <c r="K3" i="43" s="1"/>
  <c r="K37" i="54"/>
  <c r="K37" i="55" s="1"/>
  <c r="B7" i="43" s="1"/>
  <c r="AS33" i="54"/>
  <c r="AS33" i="55" s="1"/>
  <c r="AJ3" i="43" s="1"/>
  <c r="AH33" i="54"/>
  <c r="AH33" i="55" s="1"/>
  <c r="Y3" i="43" s="1"/>
  <c r="AE35" i="54"/>
  <c r="AE35" i="55" s="1"/>
  <c r="V5" i="43" s="1"/>
  <c r="D33" i="54"/>
  <c r="D33" i="55" s="1"/>
  <c r="J37" i="54"/>
  <c r="J37" i="55" s="1"/>
  <c r="W35" i="54"/>
  <c r="W35" i="55" s="1"/>
  <c r="N5" i="43" s="1"/>
  <c r="AR35" i="54"/>
  <c r="AR35" i="55" s="1"/>
  <c r="AI5" i="43" s="1"/>
  <c r="C35" i="54"/>
  <c r="C35" i="55" s="1"/>
  <c r="X33" i="54"/>
  <c r="X33" i="55" s="1"/>
  <c r="O3" i="43" s="1"/>
  <c r="AM33" i="54"/>
  <c r="AM33" i="55" s="1"/>
  <c r="AD3" i="43" s="1"/>
  <c r="F35" i="54"/>
  <c r="F35" i="55" s="1"/>
  <c r="AQ35" i="54"/>
  <c r="AQ35" i="55" s="1"/>
  <c r="AH5" i="43" s="1"/>
  <c r="AF33" i="54"/>
  <c r="AF33" i="55" s="1"/>
  <c r="W3" i="43" s="1"/>
  <c r="J35" i="54"/>
  <c r="J35" i="55" s="1"/>
  <c r="C37" i="54"/>
  <c r="C37" i="55" s="1"/>
  <c r="AP33" i="54"/>
  <c r="AP33" i="55" s="1"/>
  <c r="AG3" i="43" s="1"/>
  <c r="AT34" i="54"/>
  <c r="AT34" i="55" s="1"/>
  <c r="AK4" i="43" s="1"/>
  <c r="AT32" i="54"/>
  <c r="AT32" i="55" s="1"/>
  <c r="AK2" i="43" s="1"/>
  <c r="AJ32" i="54"/>
  <c r="AJ32" i="55" s="1"/>
  <c r="AA2" i="43" s="1"/>
  <c r="AN32" i="54"/>
  <c r="AN32" i="55" s="1"/>
  <c r="AE2" i="43" s="1"/>
  <c r="W32" i="54"/>
  <c r="W32" i="55" s="1"/>
  <c r="N2" i="43" s="1"/>
  <c r="AM32" i="54"/>
  <c r="AM32" i="55" s="1"/>
  <c r="AD2" i="43" s="1"/>
  <c r="AE32" i="54"/>
  <c r="AE32" i="55" s="1"/>
  <c r="V2" i="43" s="1"/>
  <c r="T32" i="54"/>
  <c r="T32" i="55" s="1"/>
  <c r="K2" i="43" s="1"/>
  <c r="AL34" i="54"/>
  <c r="AL34" i="55" s="1"/>
  <c r="AC4" i="43" s="1"/>
  <c r="AK32" i="54"/>
  <c r="AK32" i="55" s="1"/>
  <c r="AB2" i="43" s="1"/>
  <c r="AG34" i="54"/>
  <c r="AG34" i="55" s="1"/>
  <c r="X4" i="43" s="1"/>
  <c r="AO34" i="54"/>
  <c r="AO34" i="55" s="1"/>
  <c r="AF4" i="43" s="1"/>
  <c r="AP32" i="54"/>
  <c r="AP32" i="55" s="1"/>
  <c r="AG2" i="43" s="1"/>
  <c r="AH34" i="54"/>
  <c r="AH34" i="55" s="1"/>
  <c r="Y4" i="43" s="1"/>
  <c r="AK34" i="54"/>
  <c r="AK34" i="55" s="1"/>
  <c r="AB4" i="43" s="1"/>
  <c r="U34" i="54"/>
  <c r="U34" i="55" s="1"/>
  <c r="L4" i="43" s="1"/>
  <c r="AR34" i="54"/>
  <c r="AR34" i="55" s="1"/>
  <c r="AI4" i="43" s="1"/>
  <c r="U32" i="54"/>
  <c r="U32" i="55" s="1"/>
  <c r="L2" i="43" s="1"/>
  <c r="AL32" i="54"/>
  <c r="AL32" i="55" s="1"/>
  <c r="AC2" i="43" s="1"/>
  <c r="AF32" i="54"/>
  <c r="AF32" i="55" s="1"/>
  <c r="W2" i="43" s="1"/>
  <c r="AI34" i="54"/>
  <c r="AI34" i="55" s="1"/>
  <c r="Z4" i="43" s="1"/>
  <c r="AA34" i="54"/>
  <c r="AA34" i="55" s="1"/>
  <c r="R4" i="43" s="1"/>
  <c r="AO32" i="54"/>
  <c r="AO32" i="55" s="1"/>
  <c r="AF2" i="43" s="1"/>
  <c r="W34" i="54"/>
  <c r="W34" i="55" s="1"/>
  <c r="N4" i="43" s="1"/>
  <c r="AJ34" i="54"/>
  <c r="AJ34" i="55" s="1"/>
  <c r="AA4" i="43" s="1"/>
  <c r="X32" i="54"/>
  <c r="X32" i="55" s="1"/>
  <c r="O2" i="43" s="1"/>
  <c r="AD32" i="54"/>
  <c r="AD32" i="55" s="1"/>
  <c r="U2" i="43" s="1"/>
  <c r="V32" i="54"/>
  <c r="V32" i="55" s="1"/>
  <c r="M2" i="43" s="1"/>
  <c r="AA32" i="54"/>
  <c r="AA32" i="55" s="1"/>
  <c r="R2" i="43" s="1"/>
  <c r="Y32" i="54"/>
  <c r="Y32" i="55" s="1"/>
  <c r="P2" i="43" s="1"/>
  <c r="AR32" i="54"/>
  <c r="AR32" i="55" s="1"/>
  <c r="AI2" i="43" s="1"/>
  <c r="AD34" i="54"/>
  <c r="AD34" i="55" s="1"/>
  <c r="U4" i="43" s="1"/>
  <c r="Z34" i="54"/>
  <c r="Z34" i="55" s="1"/>
  <c r="Q4" i="43" s="1"/>
  <c r="AI32" i="54"/>
  <c r="AI32" i="55" s="1"/>
  <c r="Z2" i="43" s="1"/>
  <c r="AH32" i="54"/>
  <c r="AH32" i="55" s="1"/>
  <c r="Y2" i="43" s="1"/>
  <c r="AG32" i="54"/>
  <c r="AG32" i="55" s="1"/>
  <c r="X2" i="43" s="1"/>
  <c r="V34" i="54"/>
  <c r="V34" i="55" s="1"/>
  <c r="M4" i="43" s="1"/>
  <c r="AS34" i="54"/>
  <c r="AS34" i="55" s="1"/>
  <c r="AJ4" i="43" s="1"/>
  <c r="S32" i="54"/>
  <c r="S32" i="55" s="1"/>
  <c r="J2" i="43" s="1"/>
  <c r="S34" i="54"/>
  <c r="S34" i="55" s="1"/>
  <c r="J4" i="43" s="1"/>
  <c r="Y34" i="54"/>
  <c r="Y34" i="55" s="1"/>
  <c r="P4" i="43" s="1"/>
  <c r="AB34" i="54"/>
  <c r="AB34" i="55" s="1"/>
  <c r="S4" i="43" s="1"/>
  <c r="AP34" i="54"/>
  <c r="AP34" i="55" s="1"/>
  <c r="AG4" i="43" s="1"/>
  <c r="AB32" i="54"/>
  <c r="AB32" i="55" s="1"/>
  <c r="S2" i="43" s="1"/>
  <c r="AN34" i="54"/>
  <c r="AN34" i="55" s="1"/>
  <c r="AE4" i="43" s="1"/>
  <c r="AM34" i="54"/>
  <c r="AM34" i="55" s="1"/>
  <c r="AD4" i="43" s="1"/>
  <c r="AQ32" i="54"/>
  <c r="AQ32" i="55" s="1"/>
  <c r="AH2" i="43" s="1"/>
  <c r="AC34" i="54"/>
  <c r="AC34" i="55" s="1"/>
  <c r="T4" i="43" s="1"/>
  <c r="AQ34" i="54"/>
  <c r="AQ34" i="55" s="1"/>
  <c r="AH4" i="43" s="1"/>
  <c r="AE34" i="54"/>
  <c r="AE34" i="55" s="1"/>
  <c r="V4" i="43" s="1"/>
  <c r="AF34" i="54"/>
  <c r="AF34" i="55" s="1"/>
  <c r="W4" i="43" s="1"/>
  <c r="AS32" i="54"/>
  <c r="AS32" i="55" s="1"/>
  <c r="AJ2" i="43" s="1"/>
  <c r="T34" i="54"/>
  <c r="T34" i="55" s="1"/>
  <c r="K4" i="43" s="1"/>
  <c r="X34" i="54"/>
  <c r="X34" i="55" s="1"/>
  <c r="O4" i="43" s="1"/>
  <c r="AC32" i="54"/>
  <c r="AC32" i="55" s="1"/>
  <c r="T2" i="43" s="1"/>
  <c r="Z32" i="54"/>
  <c r="Z32" i="55" s="1"/>
  <c r="Q2" i="43" s="1"/>
  <c r="M32" i="54"/>
  <c r="M32" i="55" s="1"/>
  <c r="D2" i="43" s="1"/>
  <c r="M34" i="54"/>
  <c r="M34" i="55" s="1"/>
  <c r="D4" i="43" s="1"/>
  <c r="E32" i="54"/>
  <c r="E32" i="55" s="1"/>
  <c r="F34" i="54"/>
  <c r="F34" i="55" s="1"/>
  <c r="I32" i="54"/>
  <c r="I32" i="55" s="1"/>
  <c r="K34" i="54"/>
  <c r="K34" i="55" s="1"/>
  <c r="B4" i="43" s="1"/>
  <c r="F32" i="54"/>
  <c r="F32" i="55" s="1"/>
  <c r="J32" i="54"/>
  <c r="J32" i="55" s="1"/>
  <c r="D32" i="54"/>
  <c r="D32" i="55" s="1"/>
  <c r="G32" i="54"/>
  <c r="G32" i="55" s="1"/>
  <c r="J34" i="54"/>
  <c r="J34" i="55" s="1"/>
  <c r="M15" i="54"/>
  <c r="M15" i="55" s="1"/>
  <c r="D3" i="41" s="1"/>
  <c r="AR15" i="54"/>
  <c r="AR15" i="55" s="1"/>
  <c r="AI3" i="41" s="1"/>
  <c r="L18" i="54"/>
  <c r="L18" i="55" s="1"/>
  <c r="C6" i="41" s="1"/>
  <c r="R18" i="54"/>
  <c r="R18" i="55" s="1"/>
  <c r="I6" i="41" s="1"/>
  <c r="K19" i="54"/>
  <c r="K19" i="55" s="1"/>
  <c r="B7" i="41" s="1"/>
  <c r="P16" i="54"/>
  <c r="P16" i="55" s="1"/>
  <c r="G4" i="41" s="1"/>
  <c r="N15" i="54"/>
  <c r="N15" i="55" s="1"/>
  <c r="E3" i="41" s="1"/>
  <c r="AE19" i="54"/>
  <c r="AE19" i="55" s="1"/>
  <c r="V7" i="41" s="1"/>
  <c r="M19" i="54"/>
  <c r="M19" i="55" s="1"/>
  <c r="D7" i="41" s="1"/>
  <c r="AA17" i="54"/>
  <c r="AA17" i="55" s="1"/>
  <c r="R5" i="41" s="1"/>
  <c r="AM18" i="54"/>
  <c r="AM18" i="55" s="1"/>
  <c r="AD6" i="41" s="1"/>
  <c r="M17" i="54"/>
  <c r="M17" i="55" s="1"/>
  <c r="D5" i="41" s="1"/>
  <c r="Q16" i="54"/>
  <c r="Q16" i="55" s="1"/>
  <c r="H4" i="41" s="1"/>
  <c r="AD15" i="54"/>
  <c r="AD15" i="55" s="1"/>
  <c r="U3" i="41" s="1"/>
  <c r="AT17" i="54"/>
  <c r="AT17" i="55" s="1"/>
  <c r="AK5" i="41" s="1"/>
  <c r="AN19" i="54"/>
  <c r="AN19" i="55" s="1"/>
  <c r="AE7" i="41" s="1"/>
  <c r="S15" i="54"/>
  <c r="S15" i="55" s="1"/>
  <c r="J3" i="41" s="1"/>
  <c r="X18" i="54"/>
  <c r="X18" i="55" s="1"/>
  <c r="O6" i="41" s="1"/>
  <c r="E15" i="54"/>
  <c r="E15" i="55" s="1"/>
  <c r="AC15" i="54"/>
  <c r="AC15" i="55" s="1"/>
  <c r="T3" i="41" s="1"/>
  <c r="Q15" i="54"/>
  <c r="Q15" i="55" s="1"/>
  <c r="H3" i="41" s="1"/>
  <c r="AK19" i="54"/>
  <c r="AK19" i="55" s="1"/>
  <c r="AB7" i="41" s="1"/>
  <c r="T18" i="54"/>
  <c r="T18" i="55" s="1"/>
  <c r="K6" i="41" s="1"/>
  <c r="R14" i="54"/>
  <c r="R14" i="55" s="1"/>
  <c r="I2" i="41" s="1"/>
  <c r="V18" i="54"/>
  <c r="V18" i="55" s="1"/>
  <c r="M6" i="41" s="1"/>
  <c r="AO19" i="54"/>
  <c r="AO19" i="55" s="1"/>
  <c r="AF7" i="41" s="1"/>
  <c r="T19" i="54"/>
  <c r="T19" i="55" s="1"/>
  <c r="K7" i="41" s="1"/>
  <c r="S19" i="54"/>
  <c r="S19" i="55" s="1"/>
  <c r="J7" i="41" s="1"/>
  <c r="AJ18" i="54"/>
  <c r="AJ18" i="55" s="1"/>
  <c r="AA6" i="41" s="1"/>
  <c r="H18" i="54"/>
  <c r="H18" i="55" s="1"/>
  <c r="T15" i="54"/>
  <c r="T15" i="55" s="1"/>
  <c r="K3" i="41" s="1"/>
  <c r="AA19" i="54"/>
  <c r="AA19" i="55" s="1"/>
  <c r="R7" i="41" s="1"/>
  <c r="AB19" i="54"/>
  <c r="AB19" i="55" s="1"/>
  <c r="S7" i="41" s="1"/>
  <c r="AM15" i="54"/>
  <c r="AM15" i="55" s="1"/>
  <c r="AD3" i="41" s="1"/>
  <c r="K15" i="54"/>
  <c r="K15" i="55" s="1"/>
  <c r="B3" i="41" s="1"/>
  <c r="P14" i="54"/>
  <c r="P14" i="55" s="1"/>
  <c r="G2" i="41" s="1"/>
  <c r="P19" i="54"/>
  <c r="P19" i="55" s="1"/>
  <c r="G7" i="41" s="1"/>
  <c r="N17" i="54"/>
  <c r="N17" i="55" s="1"/>
  <c r="E5" i="41" s="1"/>
  <c r="U17" i="54"/>
  <c r="U17" i="55" s="1"/>
  <c r="L5" i="41" s="1"/>
  <c r="R15" i="54"/>
  <c r="R15" i="55" s="1"/>
  <c r="I3" i="41" s="1"/>
  <c r="Y18" i="54"/>
  <c r="Y18" i="55" s="1"/>
  <c r="P6" i="41" s="1"/>
  <c r="AR17" i="54"/>
  <c r="AR17" i="55" s="1"/>
  <c r="AI5" i="41" s="1"/>
  <c r="AN15" i="54"/>
  <c r="AN15" i="55" s="1"/>
  <c r="AE3" i="41" s="1"/>
  <c r="AH15" i="54"/>
  <c r="AH15" i="55" s="1"/>
  <c r="Y3" i="41" s="1"/>
  <c r="N18" i="54"/>
  <c r="N18" i="55" s="1"/>
  <c r="E6" i="41" s="1"/>
  <c r="R16" i="54"/>
  <c r="R16" i="55" s="1"/>
  <c r="I4" i="41" s="1"/>
  <c r="X15" i="54"/>
  <c r="X15" i="55" s="1"/>
  <c r="O3" i="41" s="1"/>
  <c r="AJ17" i="54"/>
  <c r="AJ17" i="55" s="1"/>
  <c r="AA5" i="41" s="1"/>
  <c r="AI15" i="54"/>
  <c r="AI15" i="55" s="1"/>
  <c r="Z3" i="41" s="1"/>
  <c r="F15" i="54"/>
  <c r="F15" i="55" s="1"/>
  <c r="V19" i="54"/>
  <c r="V19" i="55" s="1"/>
  <c r="M7" i="41" s="1"/>
  <c r="W15" i="54"/>
  <c r="W15" i="55" s="1"/>
  <c r="N3" i="41" s="1"/>
  <c r="R17" i="54"/>
  <c r="R17" i="55" s="1"/>
  <c r="I5" i="41" s="1"/>
  <c r="C15" i="54"/>
  <c r="C15" i="55" s="1"/>
  <c r="P18" i="54"/>
  <c r="P18" i="55" s="1"/>
  <c r="G6" i="41" s="1"/>
  <c r="AD17" i="54"/>
  <c r="AD17" i="55" s="1"/>
  <c r="U5" i="41" s="1"/>
  <c r="AT19" i="54"/>
  <c r="AT19" i="55" s="1"/>
  <c r="AK7" i="41" s="1"/>
  <c r="P15" i="54"/>
  <c r="P15" i="55" s="1"/>
  <c r="G3" i="41" s="1"/>
  <c r="N14" i="54"/>
  <c r="N14" i="55" s="1"/>
  <c r="E2" i="41" s="1"/>
  <c r="AU15" i="54"/>
  <c r="AU15" i="55" s="1"/>
  <c r="AL3" i="41" s="1"/>
  <c r="AP18" i="54"/>
  <c r="AP18" i="55" s="1"/>
  <c r="AG6" i="41" s="1"/>
  <c r="AT18" i="54"/>
  <c r="AT18" i="55" s="1"/>
  <c r="AK6" i="41" s="1"/>
  <c r="AC18" i="54"/>
  <c r="AC18" i="55" s="1"/>
  <c r="T6" i="41" s="1"/>
  <c r="AB15" i="54"/>
  <c r="AB15" i="55" s="1"/>
  <c r="S3" i="41" s="1"/>
  <c r="AN18" i="54"/>
  <c r="AN18" i="55" s="1"/>
  <c r="AE6" i="41" s="1"/>
  <c r="F19" i="54"/>
  <c r="F19" i="55" s="1"/>
  <c r="Q14" i="54"/>
  <c r="Q14" i="55" s="1"/>
  <c r="H2" i="41" s="1"/>
  <c r="AF17" i="54"/>
  <c r="AF17" i="55" s="1"/>
  <c r="W5" i="41" s="1"/>
  <c r="U19" i="54"/>
  <c r="U19" i="55" s="1"/>
  <c r="L7" i="41" s="1"/>
  <c r="P17" i="54"/>
  <c r="P17" i="55" s="1"/>
  <c r="G5" i="41" s="1"/>
  <c r="AN17" i="54"/>
  <c r="AN17" i="55" s="1"/>
  <c r="AE5" i="41" s="1"/>
  <c r="F17" i="54"/>
  <c r="F17" i="55" s="1"/>
  <c r="F18" i="54"/>
  <c r="F18" i="55" s="1"/>
  <c r="H19" i="54"/>
  <c r="H19" i="55" s="1"/>
  <c r="AP19" i="54"/>
  <c r="AP19" i="55" s="1"/>
  <c r="AG7" i="41" s="1"/>
  <c r="D15" i="54"/>
  <c r="D15" i="55" s="1"/>
  <c r="AM19" i="54"/>
  <c r="AM19" i="55" s="1"/>
  <c r="AD7" i="41" s="1"/>
  <c r="Q18" i="54"/>
  <c r="Q18" i="55" s="1"/>
  <c r="H6" i="41" s="1"/>
  <c r="O19" i="54"/>
  <c r="O19" i="55" s="1"/>
  <c r="F7" i="41" s="1"/>
  <c r="AU19" i="54"/>
  <c r="AU19" i="55" s="1"/>
  <c r="AL7" i="41" s="1"/>
  <c r="AP17" i="54"/>
  <c r="AP17" i="55" s="1"/>
  <c r="AG5" i="41" s="1"/>
  <c r="J17" i="54"/>
  <c r="J17" i="55" s="1"/>
  <c r="AG15" i="54"/>
  <c r="AG15" i="55" s="1"/>
  <c r="X3" i="41" s="1"/>
  <c r="Q19" i="54"/>
  <c r="Q19" i="55" s="1"/>
  <c r="H7" i="41" s="1"/>
  <c r="AC19" i="54"/>
  <c r="AC19" i="55" s="1"/>
  <c r="T7" i="41" s="1"/>
  <c r="G19" i="54"/>
  <c r="G19" i="55" s="1"/>
  <c r="X17" i="54"/>
  <c r="X17" i="55" s="1"/>
  <c r="O5" i="41" s="1"/>
  <c r="S18" i="54"/>
  <c r="S18" i="55" s="1"/>
  <c r="J6" i="41" s="1"/>
  <c r="O14" i="54"/>
  <c r="O14" i="55" s="1"/>
  <c r="F2" i="41" s="1"/>
  <c r="AA15" i="54"/>
  <c r="AA15" i="55" s="1"/>
  <c r="R3" i="41" s="1"/>
  <c r="Z15" i="54"/>
  <c r="Z15" i="55" s="1"/>
  <c r="Q3" i="41" s="1"/>
  <c r="AJ15" i="54"/>
  <c r="AJ15" i="55" s="1"/>
  <c r="AA3" i="41" s="1"/>
  <c r="AB18" i="54"/>
  <c r="AB18" i="55" s="1"/>
  <c r="S6" i="41" s="1"/>
  <c r="AF18" i="54"/>
  <c r="AF18" i="55" s="1"/>
  <c r="W6" i="41" s="1"/>
  <c r="G15" i="54"/>
  <c r="G15" i="55" s="1"/>
  <c r="AE18" i="54"/>
  <c r="AE18" i="55" s="1"/>
  <c r="V6" i="41" s="1"/>
  <c r="AH18" i="54"/>
  <c r="AH18" i="55" s="1"/>
  <c r="Y6" i="41" s="1"/>
  <c r="W17" i="54"/>
  <c r="W17" i="55" s="1"/>
  <c r="N5" i="41" s="1"/>
  <c r="AG18" i="54"/>
  <c r="AG18" i="55" s="1"/>
  <c r="X6" i="41" s="1"/>
  <c r="O16" i="54"/>
  <c r="O16" i="55" s="1"/>
  <c r="F4" i="41" s="1"/>
  <c r="AL17" i="54"/>
  <c r="AL17" i="55" s="1"/>
  <c r="AC5" i="41" s="1"/>
  <c r="D19" i="54"/>
  <c r="D19" i="55" s="1"/>
  <c r="K17" i="54"/>
  <c r="K17" i="55" s="1"/>
  <c r="B5" i="41" s="1"/>
  <c r="O15" i="54"/>
  <c r="O15" i="55" s="1"/>
  <c r="F3" i="41" s="1"/>
  <c r="AU18" i="54"/>
  <c r="AU18" i="55" s="1"/>
  <c r="AL6" i="41" s="1"/>
  <c r="Z18" i="54"/>
  <c r="Z18" i="55" s="1"/>
  <c r="Q6" i="41" s="1"/>
  <c r="V17" i="54"/>
  <c r="V17" i="55" s="1"/>
  <c r="M5" i="41" s="1"/>
  <c r="Y17" i="54"/>
  <c r="Y17" i="55" s="1"/>
  <c r="P5" i="41" s="1"/>
  <c r="N16" i="54"/>
  <c r="N16" i="55" s="1"/>
  <c r="E4" i="41" s="1"/>
  <c r="AS15" i="54"/>
  <c r="AS15" i="55" s="1"/>
  <c r="AJ3" i="41" s="1"/>
  <c r="AO17" i="54"/>
  <c r="AO17" i="55" s="1"/>
  <c r="AF5" i="41" s="1"/>
  <c r="D17" i="54"/>
  <c r="D17" i="55" s="1"/>
  <c r="G17" i="54"/>
  <c r="G17" i="55" s="1"/>
  <c r="AR18" i="54"/>
  <c r="AR18" i="55" s="1"/>
  <c r="AI6" i="41" s="1"/>
  <c r="AP15" i="54"/>
  <c r="AP15" i="55" s="1"/>
  <c r="AG3" i="41" s="1"/>
  <c r="O17" i="54"/>
  <c r="O17" i="55" s="1"/>
  <c r="F5" i="41" s="1"/>
  <c r="AE17" i="54"/>
  <c r="AE17" i="55" s="1"/>
  <c r="V5" i="41" s="1"/>
  <c r="AC17" i="54"/>
  <c r="AC17" i="55" s="1"/>
  <c r="T5" i="41" s="1"/>
  <c r="I18" i="54"/>
  <c r="I18" i="55" s="1"/>
  <c r="N19" i="54"/>
  <c r="N19" i="55" s="1"/>
  <c r="E7" i="41" s="1"/>
  <c r="H15" i="54"/>
  <c r="H15" i="55" s="1"/>
  <c r="L15" i="54"/>
  <c r="L15" i="55" s="1"/>
  <c r="C3" i="41" s="1"/>
  <c r="AU17" i="54"/>
  <c r="AU17" i="55" s="1"/>
  <c r="AL5" i="41" s="1"/>
  <c r="U18" i="54"/>
  <c r="U18" i="55" s="1"/>
  <c r="L6" i="41" s="1"/>
  <c r="R19" i="54"/>
  <c r="R19" i="55" s="1"/>
  <c r="I7" i="41" s="1"/>
  <c r="AM17" i="54"/>
  <c r="AM17" i="55" s="1"/>
  <c r="AD5" i="41" s="1"/>
  <c r="I19" i="54"/>
  <c r="I19" i="55" s="1"/>
  <c r="AG19" i="54"/>
  <c r="AG19" i="55" s="1"/>
  <c r="X7" i="41" s="1"/>
  <c r="M18" i="54"/>
  <c r="M18" i="55" s="1"/>
  <c r="D6" i="41" s="1"/>
  <c r="O18" i="54"/>
  <c r="O18" i="55" s="1"/>
  <c r="F6" i="41" s="1"/>
  <c r="AQ15" i="54"/>
  <c r="AQ15" i="55" s="1"/>
  <c r="AH3" i="41" s="1"/>
  <c r="AH19" i="54"/>
  <c r="AH19" i="55" s="1"/>
  <c r="Y7" i="41" s="1"/>
  <c r="W18" i="54"/>
  <c r="W18" i="55" s="1"/>
  <c r="N6" i="41" s="1"/>
  <c r="AA18" i="54"/>
  <c r="AA18" i="55" s="1"/>
  <c r="R6" i="41" s="1"/>
  <c r="AL15" i="54"/>
  <c r="AL15" i="55" s="1"/>
  <c r="AC3" i="41" s="1"/>
  <c r="AK15" i="54"/>
  <c r="AK15" i="55" s="1"/>
  <c r="AB3" i="41" s="1"/>
  <c r="T17" i="54"/>
  <c r="T17" i="55" s="1"/>
  <c r="K5" i="41" s="1"/>
  <c r="AF15" i="54"/>
  <c r="AF15" i="55" s="1"/>
  <c r="W3" i="41" s="1"/>
  <c r="X19" i="54"/>
  <c r="X19" i="55" s="1"/>
  <c r="O7" i="41" s="1"/>
  <c r="C17" i="54"/>
  <c r="C17" i="55" s="1"/>
  <c r="AO15" i="54"/>
  <c r="AO15" i="55" s="1"/>
  <c r="AF3" i="41" s="1"/>
  <c r="J15" i="54"/>
  <c r="J15" i="55" s="1"/>
  <c r="AJ19" i="54"/>
  <c r="AJ19" i="55" s="1"/>
  <c r="AA7" i="41" s="1"/>
  <c r="AT15" i="54"/>
  <c r="AT15" i="55" s="1"/>
  <c r="AK3" i="41" s="1"/>
  <c r="I15" i="54"/>
  <c r="I15" i="55" s="1"/>
  <c r="AR19" i="54"/>
  <c r="AR19" i="55" s="1"/>
  <c r="AI7" i="41" s="1"/>
  <c r="L19" i="54"/>
  <c r="L19" i="55" s="1"/>
  <c r="C7" i="41" s="1"/>
  <c r="AH17" i="54"/>
  <c r="AH17" i="55" s="1"/>
  <c r="Y5" i="41" s="1"/>
  <c r="AI19" i="54"/>
  <c r="AI19" i="55" s="1"/>
  <c r="Z7" i="41" s="1"/>
  <c r="Q17" i="54"/>
  <c r="Q17" i="55" s="1"/>
  <c r="H5" i="41" s="1"/>
  <c r="AE15" i="54"/>
  <c r="AE15" i="55" s="1"/>
  <c r="V3" i="41" s="1"/>
  <c r="L17" i="54"/>
  <c r="L17" i="55" s="1"/>
  <c r="C5" i="41" s="1"/>
  <c r="AI17" i="54"/>
  <c r="AI17" i="55" s="1"/>
  <c r="Z5" i="41" s="1"/>
  <c r="Y19" i="54"/>
  <c r="Y19" i="55" s="1"/>
  <c r="P7" i="41" s="1"/>
  <c r="AD19" i="54"/>
  <c r="AD19" i="55" s="1"/>
  <c r="U7" i="41" s="1"/>
  <c r="AS19" i="54"/>
  <c r="AS19" i="55" s="1"/>
  <c r="AJ7" i="41" s="1"/>
  <c r="C18" i="54"/>
  <c r="C18" i="55" s="1"/>
  <c r="W19" i="54"/>
  <c r="W19" i="55" s="1"/>
  <c r="N7" i="41" s="1"/>
  <c r="AB17" i="54"/>
  <c r="AB17" i="55" s="1"/>
  <c r="S5" i="41" s="1"/>
  <c r="U15" i="54"/>
  <c r="U15" i="55" s="1"/>
  <c r="L3" i="41" s="1"/>
  <c r="G18" i="54"/>
  <c r="G18" i="55" s="1"/>
  <c r="AQ17" i="54"/>
  <c r="AQ17" i="55" s="1"/>
  <c r="AH5" i="41" s="1"/>
  <c r="E19" i="54"/>
  <c r="E19" i="55" s="1"/>
  <c r="AG17" i="54"/>
  <c r="AG17" i="55" s="1"/>
  <c r="X5" i="41" s="1"/>
  <c r="V15" i="54"/>
  <c r="V15" i="55" s="1"/>
  <c r="M3" i="41" s="1"/>
  <c r="Y15" i="54"/>
  <c r="Y15" i="55" s="1"/>
  <c r="P3" i="41" s="1"/>
  <c r="AL18" i="54"/>
  <c r="AL18" i="55" s="1"/>
  <c r="AC6" i="41" s="1"/>
  <c r="J19" i="54"/>
  <c r="J19" i="55" s="1"/>
  <c r="J18" i="54"/>
  <c r="J18" i="55" s="1"/>
  <c r="AS17" i="54"/>
  <c r="AS17" i="55" s="1"/>
  <c r="AJ5" i="41" s="1"/>
  <c r="AO18" i="54"/>
  <c r="AO18" i="55" s="1"/>
  <c r="AF6" i="41" s="1"/>
  <c r="AS18" i="54"/>
  <c r="AS18" i="55" s="1"/>
  <c r="AJ6" i="41" s="1"/>
  <c r="S17" i="54"/>
  <c r="S17" i="55" s="1"/>
  <c r="J5" i="41" s="1"/>
  <c r="AF19" i="54"/>
  <c r="AF19" i="55" s="1"/>
  <c r="W7" i="41" s="1"/>
  <c r="C19" i="54"/>
  <c r="C19" i="55" s="1"/>
  <c r="Z17" i="54"/>
  <c r="Z17" i="55" s="1"/>
  <c r="Q5" i="41" s="1"/>
  <c r="AL19" i="54"/>
  <c r="AL19" i="55" s="1"/>
  <c r="AC7" i="41" s="1"/>
  <c r="AD18" i="54"/>
  <c r="AD18" i="55" s="1"/>
  <c r="U6" i="41" s="1"/>
  <c r="I17" i="54"/>
  <c r="I17" i="55" s="1"/>
  <c r="D18" i="54"/>
  <c r="D18" i="55" s="1"/>
  <c r="AQ18" i="54"/>
  <c r="AQ18" i="55" s="1"/>
  <c r="AH6" i="41" s="1"/>
  <c r="Z19" i="54"/>
  <c r="Z19" i="55" s="1"/>
  <c r="Q7" i="41" s="1"/>
  <c r="AK17" i="54"/>
  <c r="AK17" i="55" s="1"/>
  <c r="AB5" i="41" s="1"/>
  <c r="H17" i="54"/>
  <c r="H17" i="55" s="1"/>
  <c r="E17" i="54"/>
  <c r="E17" i="55" s="1"/>
  <c r="AI18" i="54"/>
  <c r="AI18" i="55" s="1"/>
  <c r="Z6" i="41" s="1"/>
  <c r="AQ19" i="54"/>
  <c r="AQ19" i="55" s="1"/>
  <c r="AH7" i="41" s="1"/>
  <c r="K18" i="54"/>
  <c r="K18" i="55" s="1"/>
  <c r="B6" i="41" s="1"/>
  <c r="AK18" i="54"/>
  <c r="AK18" i="55" s="1"/>
  <c r="AB6" i="41" s="1"/>
  <c r="E18" i="54"/>
  <c r="E18" i="55" s="1"/>
  <c r="AT14" i="54"/>
  <c r="AT14" i="55" s="1"/>
  <c r="AK2" i="41" s="1"/>
  <c r="AT16" i="54"/>
  <c r="AT16" i="55" s="1"/>
  <c r="AK4" i="41" s="1"/>
  <c r="AH14" i="54"/>
  <c r="AH14" i="55" s="1"/>
  <c r="Y2" i="41" s="1"/>
  <c r="V16" i="54"/>
  <c r="V16" i="55" s="1"/>
  <c r="M4" i="41" s="1"/>
  <c r="AA16" i="54"/>
  <c r="AA16" i="55" s="1"/>
  <c r="R4" i="41" s="1"/>
  <c r="Y14" i="54"/>
  <c r="Y14" i="55" s="1"/>
  <c r="P2" i="41" s="1"/>
  <c r="AL14" i="54"/>
  <c r="AL14" i="55" s="1"/>
  <c r="AC2" i="41" s="1"/>
  <c r="W14" i="54"/>
  <c r="W14" i="55" s="1"/>
  <c r="N2" i="41" s="1"/>
  <c r="S14" i="54"/>
  <c r="S14" i="55" s="1"/>
  <c r="J2" i="41" s="1"/>
  <c r="AM14" i="54"/>
  <c r="AM14" i="55" s="1"/>
  <c r="AD2" i="41" s="1"/>
  <c r="U14" i="54"/>
  <c r="U14" i="55" s="1"/>
  <c r="L2" i="41" s="1"/>
  <c r="AS14" i="54"/>
  <c r="AS14" i="55" s="1"/>
  <c r="AJ2" i="41" s="1"/>
  <c r="AN14" i="54"/>
  <c r="AN14" i="55" s="1"/>
  <c r="AE2" i="41" s="1"/>
  <c r="W16" i="54"/>
  <c r="W16" i="55" s="1"/>
  <c r="N4" i="41" s="1"/>
  <c r="AJ14" i="54"/>
  <c r="AJ14" i="55" s="1"/>
  <c r="AA2" i="41" s="1"/>
  <c r="AN16" i="54"/>
  <c r="AN16" i="55" s="1"/>
  <c r="AE4" i="41" s="1"/>
  <c r="AA14" i="54"/>
  <c r="AA14" i="55" s="1"/>
  <c r="R2" i="41" s="1"/>
  <c r="AF14" i="54"/>
  <c r="AF14" i="55" s="1"/>
  <c r="W2" i="41" s="1"/>
  <c r="T14" i="54"/>
  <c r="T14" i="55" s="1"/>
  <c r="K2" i="41" s="1"/>
  <c r="Y16" i="54"/>
  <c r="Y16" i="55" s="1"/>
  <c r="P4" i="41" s="1"/>
  <c r="AO14" i="54"/>
  <c r="AO14" i="55" s="1"/>
  <c r="AF2" i="41" s="1"/>
  <c r="AI16" i="54"/>
  <c r="AI16" i="55" s="1"/>
  <c r="Z4" i="41" s="1"/>
  <c r="AK16" i="54"/>
  <c r="AK16" i="55" s="1"/>
  <c r="AB4" i="41" s="1"/>
  <c r="S16" i="54"/>
  <c r="S16" i="55" s="1"/>
  <c r="J4" i="41" s="1"/>
  <c r="Z16" i="54"/>
  <c r="Z16" i="55" s="1"/>
  <c r="Q4" i="41" s="1"/>
  <c r="AP16" i="54"/>
  <c r="AP16" i="55" s="1"/>
  <c r="AG4" i="41" s="1"/>
  <c r="T16" i="54"/>
  <c r="T16" i="55" s="1"/>
  <c r="K4" i="41" s="1"/>
  <c r="AS16" i="54"/>
  <c r="AS16" i="55" s="1"/>
  <c r="AJ4" i="41" s="1"/>
  <c r="AH16" i="54"/>
  <c r="AH16" i="55" s="1"/>
  <c r="Y4" i="41" s="1"/>
  <c r="AE16" i="54"/>
  <c r="AE16" i="55" s="1"/>
  <c r="V4" i="41" s="1"/>
  <c r="V14" i="54"/>
  <c r="V14" i="55" s="1"/>
  <c r="M2" i="41" s="1"/>
  <c r="AR14" i="54"/>
  <c r="AR14" i="55" s="1"/>
  <c r="AI2" i="41" s="1"/>
  <c r="AM16" i="54"/>
  <c r="AM16" i="55" s="1"/>
  <c r="AD4" i="41" s="1"/>
  <c r="AG16" i="54"/>
  <c r="AG16" i="55" s="1"/>
  <c r="X4" i="41" s="1"/>
  <c r="AD14" i="54"/>
  <c r="AD14" i="55" s="1"/>
  <c r="U2" i="41" s="1"/>
  <c r="AC16" i="54"/>
  <c r="AC16" i="55" s="1"/>
  <c r="T4" i="41" s="1"/>
  <c r="X16" i="54"/>
  <c r="X16" i="55" s="1"/>
  <c r="O4" i="41" s="1"/>
  <c r="AI14" i="54"/>
  <c r="AI14" i="55" s="1"/>
  <c r="Z2" i="41" s="1"/>
  <c r="AO16" i="54"/>
  <c r="AO16" i="55" s="1"/>
  <c r="AF4" i="41" s="1"/>
  <c r="AB14" i="54"/>
  <c r="AB14" i="55" s="1"/>
  <c r="S2" i="41" s="1"/>
  <c r="AR16" i="54"/>
  <c r="AR16" i="55" s="1"/>
  <c r="AI4" i="41" s="1"/>
  <c r="AB16" i="54"/>
  <c r="AB16" i="55" s="1"/>
  <c r="S4" i="41" s="1"/>
  <c r="AK14" i="54"/>
  <c r="AK14" i="55" s="1"/>
  <c r="AB2" i="41" s="1"/>
  <c r="AQ16" i="54"/>
  <c r="AQ16" i="55" s="1"/>
  <c r="AH4" i="41" s="1"/>
  <c r="Z14" i="54"/>
  <c r="Z14" i="55" s="1"/>
  <c r="Q2" i="41" s="1"/>
  <c r="U16" i="54"/>
  <c r="U16" i="55" s="1"/>
  <c r="L4" i="41" s="1"/>
  <c r="AJ16" i="54"/>
  <c r="AJ16" i="55" s="1"/>
  <c r="AA4" i="41" s="1"/>
  <c r="AC14" i="54"/>
  <c r="AC14" i="55" s="1"/>
  <c r="T2" i="41" s="1"/>
  <c r="AG14" i="54"/>
  <c r="AG14" i="55" s="1"/>
  <c r="X2" i="41" s="1"/>
  <c r="AF16" i="54"/>
  <c r="AF16" i="55" s="1"/>
  <c r="W4" i="41" s="1"/>
  <c r="AD16" i="54"/>
  <c r="AD16" i="55" s="1"/>
  <c r="U4" i="41" s="1"/>
  <c r="AQ14" i="54"/>
  <c r="AQ14" i="55" s="1"/>
  <c r="AH2" i="41" s="1"/>
  <c r="X14" i="54"/>
  <c r="X14" i="55" s="1"/>
  <c r="O2" i="41" s="1"/>
  <c r="AP14" i="54"/>
  <c r="AP14" i="55" s="1"/>
  <c r="AG2" i="41" s="1"/>
  <c r="AE14" i="54"/>
  <c r="AE14" i="55" s="1"/>
  <c r="V2" i="41" s="1"/>
  <c r="AL16" i="54"/>
  <c r="AL16" i="55" s="1"/>
  <c r="AC4" i="41" s="1"/>
  <c r="M16" i="54"/>
  <c r="M16" i="55" s="1"/>
  <c r="D4" i="41" s="1"/>
  <c r="M14" i="54"/>
  <c r="M14" i="55" s="1"/>
  <c r="D2" i="41" s="1"/>
  <c r="AU14" i="54"/>
  <c r="AU14" i="55" s="1"/>
  <c r="AL2" i="41" s="1"/>
  <c r="E14" i="54"/>
  <c r="E14" i="55" s="1"/>
  <c r="J14" i="54"/>
  <c r="J14" i="55" s="1"/>
  <c r="F14" i="54"/>
  <c r="F14" i="55" s="1"/>
  <c r="I14" i="54"/>
  <c r="I14" i="55" s="1"/>
  <c r="H14" i="54"/>
  <c r="H14" i="55" s="1"/>
  <c r="G6" i="54"/>
  <c r="G6" i="55" s="1"/>
  <c r="G8" i="54"/>
  <c r="K6" i="54"/>
  <c r="L7" i="54"/>
  <c r="AU8" i="55"/>
  <c r="AL5" i="42" s="1"/>
  <c r="D8" i="55"/>
  <c r="AU6" i="55"/>
  <c r="AL3" i="42" s="1"/>
  <c r="U6" i="54" l="1"/>
  <c r="AR5" i="54"/>
  <c r="X9" i="54"/>
  <c r="W7" i="54"/>
  <c r="AE9" i="54"/>
  <c r="Q8" i="54"/>
  <c r="AF8" i="54"/>
  <c r="AF8" i="55" s="1"/>
  <c r="W5" i="42" s="1"/>
  <c r="AA7" i="54"/>
  <c r="O7" i="54"/>
  <c r="Q9" i="54"/>
  <c r="E6" i="54"/>
  <c r="E6" i="55" s="1"/>
  <c r="AH6" i="54"/>
  <c r="AQ5" i="54"/>
  <c r="R9" i="54"/>
  <c r="D6" i="54"/>
  <c r="D6" i="55" s="1"/>
  <c r="AH8" i="54"/>
  <c r="AH53" i="54" s="1"/>
  <c r="AG5" i="54"/>
  <c r="AK7" i="54"/>
  <c r="AR7" i="54"/>
  <c r="AL9" i="54"/>
  <c r="AR10" i="54"/>
  <c r="O6" i="54"/>
  <c r="AG8" i="54"/>
  <c r="AG53" i="54" s="1"/>
  <c r="AB6" i="54"/>
  <c r="AO5" i="54"/>
  <c r="AO50" i="54" s="1"/>
  <c r="AT7" i="54"/>
  <c r="AQ9" i="54"/>
  <c r="Q10" i="54"/>
  <c r="V9" i="54"/>
  <c r="J7" i="54"/>
  <c r="AS8" i="54"/>
  <c r="AS53" i="54" s="1"/>
  <c r="X8" i="54"/>
  <c r="X53" i="54" s="1"/>
  <c r="AI8" i="54"/>
  <c r="AI53" i="54" s="1"/>
  <c r="AA10" i="54"/>
  <c r="AN10" i="54"/>
  <c r="AN55" i="54" s="1"/>
  <c r="R7" i="54"/>
  <c r="AT9" i="54"/>
  <c r="AT9" i="55" s="1"/>
  <c r="AK6" i="42" s="1"/>
  <c r="M8" i="54"/>
  <c r="M53" i="54" s="1"/>
  <c r="V6" i="54"/>
  <c r="S7" i="54"/>
  <c r="AE5" i="54"/>
  <c r="P8" i="54"/>
  <c r="V10" i="54"/>
  <c r="K9" i="54"/>
  <c r="E7" i="54"/>
  <c r="M5" i="54"/>
  <c r="AC7" i="54"/>
  <c r="AL7" i="54"/>
  <c r="AL52" i="54" s="1"/>
  <c r="U5" i="54"/>
  <c r="F10" i="54"/>
  <c r="F10" i="55" s="1"/>
  <c r="S9" i="54"/>
  <c r="AO9" i="54"/>
  <c r="I7" i="54"/>
  <c r="L6" i="54"/>
  <c r="AN8" i="54"/>
  <c r="AN8" i="55" s="1"/>
  <c r="AE5" i="42" s="1"/>
  <c r="Z7" i="54"/>
  <c r="U7" i="54"/>
  <c r="AF7" i="54"/>
  <c r="AF7" i="55" s="1"/>
  <c r="W4" i="42" s="1"/>
  <c r="N8" i="54"/>
  <c r="N53" i="54" s="1"/>
  <c r="O8" i="54"/>
  <c r="O53" i="54" s="1"/>
  <c r="AN9" i="54"/>
  <c r="AM10" i="54"/>
  <c r="AM55" i="54" s="1"/>
  <c r="N7" i="54"/>
  <c r="H6" i="54"/>
  <c r="H51" i="54" s="1"/>
  <c r="S8" i="54"/>
  <c r="AP6" i="54"/>
  <c r="AR8" i="54"/>
  <c r="AP5" i="54"/>
  <c r="AP50" i="54" s="1"/>
  <c r="AH9" i="54"/>
  <c r="AI9" i="54"/>
  <c r="AI9" i="55" s="1"/>
  <c r="Z6" i="42" s="1"/>
  <c r="AG9" i="54"/>
  <c r="AS10" i="54"/>
  <c r="AR9" i="54"/>
  <c r="AP8" i="54"/>
  <c r="AP8" i="55" s="1"/>
  <c r="AG5" i="42" s="1"/>
  <c r="S6" i="54"/>
  <c r="S51" i="54" s="1"/>
  <c r="Y7" i="54"/>
  <c r="Y52" i="54" s="1"/>
  <c r="AP7" i="54"/>
  <c r="AD7" i="54"/>
  <c r="AD52" i="54" s="1"/>
  <c r="AF9" i="54"/>
  <c r="AF54" i="54" s="1"/>
  <c r="AT10" i="54"/>
  <c r="AT10" i="55" s="1"/>
  <c r="AK7" i="42" s="1"/>
  <c r="P5" i="54"/>
  <c r="P50" i="54" s="1"/>
  <c r="Z10" i="54"/>
  <c r="Z10" i="55" s="1"/>
  <c r="Q7" i="42" s="1"/>
  <c r="E8" i="54"/>
  <c r="E8" i="55" s="1"/>
  <c r="I5" i="54"/>
  <c r="U8" i="54"/>
  <c r="AQ6" i="54"/>
  <c r="AN5" i="54"/>
  <c r="AS5" i="54"/>
  <c r="AC5" i="54"/>
  <c r="AC5" i="55" s="1"/>
  <c r="S10" i="54"/>
  <c r="S55" i="54" s="1"/>
  <c r="P9" i="54"/>
  <c r="P9" i="55" s="1"/>
  <c r="G6" i="42" s="1"/>
  <c r="AB9" i="54"/>
  <c r="AB9" i="55" s="1"/>
  <c r="S6" i="42" s="1"/>
  <c r="AD10" i="54"/>
  <c r="AD55" i="54" s="1"/>
  <c r="R5" i="54"/>
  <c r="J8" i="54"/>
  <c r="J8" i="55" s="1"/>
  <c r="K7" i="54"/>
  <c r="K52" i="54" s="1"/>
  <c r="AU5" i="54"/>
  <c r="AB8" i="54"/>
  <c r="T5" i="54"/>
  <c r="T5" i="55" s="1"/>
  <c r="Z5" i="54"/>
  <c r="Z5" i="55" s="1"/>
  <c r="Z6" i="54"/>
  <c r="Z51" i="54" s="1"/>
  <c r="AO8" i="54"/>
  <c r="AO53" i="54" s="1"/>
  <c r="AM5" i="54"/>
  <c r="AM5" i="55" s="1"/>
  <c r="AQ7" i="54"/>
  <c r="AQ7" i="55" s="1"/>
  <c r="AH4" i="42" s="1"/>
  <c r="AT5" i="54"/>
  <c r="AT50" i="54" s="1"/>
  <c r="AC9" i="54"/>
  <c r="H10" i="54"/>
  <c r="AF10" i="54"/>
  <c r="AF10" i="55" s="1"/>
  <c r="W7" i="42" s="1"/>
  <c r="N5" i="54"/>
  <c r="M10" i="54"/>
  <c r="M55" i="54" s="1"/>
  <c r="W10" i="54"/>
  <c r="W10" i="55" s="1"/>
  <c r="N7" i="42" s="1"/>
  <c r="O9" i="54"/>
  <c r="O54" i="54" s="1"/>
  <c r="F8" i="54"/>
  <c r="F53" i="54" s="1"/>
  <c r="I8" i="54"/>
  <c r="I53" i="54" s="1"/>
  <c r="E5" i="54"/>
  <c r="E5" i="55" s="1"/>
  <c r="Z8" i="54"/>
  <c r="X7" i="54"/>
  <c r="X7" i="55" s="1"/>
  <c r="O4" i="42" s="1"/>
  <c r="AB7" i="54"/>
  <c r="AG7" i="54"/>
  <c r="AJ8" i="54"/>
  <c r="AB5" i="54"/>
  <c r="AB5" i="55" s="1"/>
  <c r="AM8" i="54"/>
  <c r="AT6" i="54"/>
  <c r="AT51" i="54" s="1"/>
  <c r="N9" i="54"/>
  <c r="N54" i="54" s="1"/>
  <c r="X10" i="54"/>
  <c r="X10" i="55" s="1"/>
  <c r="O7" i="42" s="1"/>
  <c r="O10" i="54"/>
  <c r="O10" i="55" s="1"/>
  <c r="F7" i="42" s="1"/>
  <c r="AU10" i="54"/>
  <c r="AM9" i="54"/>
  <c r="AD9" i="54"/>
  <c r="AD54" i="54" s="1"/>
  <c r="Q7" i="54"/>
  <c r="AU7" i="54"/>
  <c r="F7" i="54"/>
  <c r="F52" i="54" s="1"/>
  <c r="M7" i="54"/>
  <c r="W8" i="54"/>
  <c r="W53" i="54" s="1"/>
  <c r="AF6" i="54"/>
  <c r="AF6" i="55" s="1"/>
  <c r="W3" i="42" s="1"/>
  <c r="AE8" i="54"/>
  <c r="AE8" i="55" s="1"/>
  <c r="V5" i="42" s="1"/>
  <c r="X5" i="54"/>
  <c r="X50" i="54" s="1"/>
  <c r="AO7" i="54"/>
  <c r="AO7" i="55" s="1"/>
  <c r="AF4" i="42" s="1"/>
  <c r="AS7" i="54"/>
  <c r="AM6" i="54"/>
  <c r="AM51" i="54" s="1"/>
  <c r="AA9" i="54"/>
  <c r="P6" i="54"/>
  <c r="U9" i="54"/>
  <c r="U54" i="54" s="1"/>
  <c r="D9" i="54"/>
  <c r="D54" i="54" s="1"/>
  <c r="Z9" i="54"/>
  <c r="E9" i="54"/>
  <c r="E9" i="55" s="1"/>
  <c r="Q6" i="54"/>
  <c r="Q6" i="55" s="1"/>
  <c r="H3" i="42" s="1"/>
  <c r="AO10" i="54"/>
  <c r="AO10" i="55" s="1"/>
  <c r="AF7" i="42" s="1"/>
  <c r="D7" i="54"/>
  <c r="D52" i="54" s="1"/>
  <c r="G7" i="54"/>
  <c r="L8" i="54"/>
  <c r="L8" i="55" s="1"/>
  <c r="C5" i="42" s="1"/>
  <c r="V8" i="54"/>
  <c r="Y5" i="54"/>
  <c r="Y6" i="54"/>
  <c r="Y51" i="54" s="1"/>
  <c r="AN6" i="54"/>
  <c r="AN6" i="55" s="1"/>
  <c r="AE3" i="42" s="1"/>
  <c r="AM7" i="54"/>
  <c r="AK6" i="54"/>
  <c r="AK6" i="55" s="1"/>
  <c r="AB3" i="42" s="1"/>
  <c r="AR6" i="54"/>
  <c r="AR51" i="54" s="1"/>
  <c r="AT8" i="54"/>
  <c r="AT8" i="55" s="1"/>
  <c r="AK5" i="42" s="1"/>
  <c r="AK9" i="54"/>
  <c r="AK9" i="55" s="1"/>
  <c r="AB6" i="42" s="1"/>
  <c r="AC10" i="54"/>
  <c r="G9" i="54"/>
  <c r="AP9" i="54"/>
  <c r="AP54" i="54" s="1"/>
  <c r="T9" i="54"/>
  <c r="F9" i="54"/>
  <c r="AU9" i="54"/>
  <c r="AU54" i="54" s="1"/>
  <c r="C5" i="54"/>
  <c r="C50" i="54" s="1"/>
  <c r="C7" i="54"/>
  <c r="C52" i="54" s="1"/>
  <c r="D5" i="54"/>
  <c r="D5" i="55" s="1"/>
  <c r="AQ8" i="54"/>
  <c r="AQ53" i="54" s="1"/>
  <c r="AC8" i="54"/>
  <c r="AC53" i="54" s="1"/>
  <c r="S5" i="54"/>
  <c r="S5" i="55" s="1"/>
  <c r="AJ5" i="54"/>
  <c r="T7" i="54"/>
  <c r="AJ6" i="54"/>
  <c r="V5" i="54"/>
  <c r="V7" i="54"/>
  <c r="V52" i="54" s="1"/>
  <c r="P10" i="54"/>
  <c r="P55" i="54" s="1"/>
  <c r="L10" i="54"/>
  <c r="L10" i="55" s="1"/>
  <c r="C7" i="42" s="1"/>
  <c r="R10" i="54"/>
  <c r="K10" i="54"/>
  <c r="K55" i="54" s="1"/>
  <c r="I10" i="54"/>
  <c r="I10" i="55" s="1"/>
  <c r="C9" i="54"/>
  <c r="N10" i="54"/>
  <c r="J9" i="54"/>
  <c r="AS9" i="54"/>
  <c r="AS9" i="55" s="1"/>
  <c r="AJ6" i="42" s="1"/>
  <c r="J6" i="54"/>
  <c r="J6" i="55" s="1"/>
  <c r="K51" i="54"/>
  <c r="J5" i="54"/>
  <c r="J50" i="54" s="1"/>
  <c r="M6" i="54"/>
  <c r="M6" i="55" s="1"/>
  <c r="D3" i="42" s="1"/>
  <c r="AA8" i="54"/>
  <c r="AA8" i="55" s="1"/>
  <c r="R5" i="42" s="1"/>
  <c r="T8" i="54"/>
  <c r="T53" i="54" s="1"/>
  <c r="AH7" i="54"/>
  <c r="AH52" i="54" s="1"/>
  <c r="AN7" i="54"/>
  <c r="AN52" i="54" s="1"/>
  <c r="AI5" i="54"/>
  <c r="AI50" i="54" s="1"/>
  <c r="AJ7" i="54"/>
  <c r="AO6" i="54"/>
  <c r="AC6" i="54"/>
  <c r="AC6" i="55" s="1"/>
  <c r="T3" i="42" s="1"/>
  <c r="AI6" i="54"/>
  <c r="AI6" i="55" s="1"/>
  <c r="Z3" i="42" s="1"/>
  <c r="M9" i="54"/>
  <c r="M54" i="54" s="1"/>
  <c r="AB10" i="54"/>
  <c r="AB10" i="55" s="1"/>
  <c r="S7" i="42" s="1"/>
  <c r="Y10" i="54"/>
  <c r="Y10" i="55" s="1"/>
  <c r="P7" i="42" s="1"/>
  <c r="W9" i="54"/>
  <c r="W9" i="55" s="1"/>
  <c r="N6" i="42" s="1"/>
  <c r="AK10" i="54"/>
  <c r="AK55" i="54" s="1"/>
  <c r="AE10" i="54"/>
  <c r="AE55" i="54" s="1"/>
  <c r="D10" i="54"/>
  <c r="D55" i="54" s="1"/>
  <c r="R6" i="54"/>
  <c r="Q5" i="54"/>
  <c r="G5" i="54"/>
  <c r="G5" i="55" s="1"/>
  <c r="C8" i="54"/>
  <c r="C8" i="55" s="1"/>
  <c r="G53" i="54"/>
  <c r="F6" i="54"/>
  <c r="F6" i="55" s="1"/>
  <c r="F5" i="54"/>
  <c r="F5" i="55" s="1"/>
  <c r="AD8" i="54"/>
  <c r="AD53" i="54" s="1"/>
  <c r="AA6" i="54"/>
  <c r="AA51" i="54" s="1"/>
  <c r="AG6" i="54"/>
  <c r="AE7" i="54"/>
  <c r="AL8" i="54"/>
  <c r="AH5" i="54"/>
  <c r="AH50" i="54" s="1"/>
  <c r="AD6" i="54"/>
  <c r="AD6" i="55" s="1"/>
  <c r="U3" i="42" s="1"/>
  <c r="AE6" i="54"/>
  <c r="AE51" i="54" s="1"/>
  <c r="AD5" i="54"/>
  <c r="AD5" i="55" s="1"/>
  <c r="AF5" i="54"/>
  <c r="AF50" i="54" s="1"/>
  <c r="H9" i="54"/>
  <c r="H9" i="55" s="1"/>
  <c r="P7" i="54"/>
  <c r="P7" i="55" s="1"/>
  <c r="G4" i="42" s="1"/>
  <c r="E10" i="54"/>
  <c r="E55" i="54" s="1"/>
  <c r="N6" i="54"/>
  <c r="J10" i="54"/>
  <c r="J55" i="54" s="1"/>
  <c r="AI10" i="54"/>
  <c r="R8" i="54"/>
  <c r="T10" i="54"/>
  <c r="T10" i="55" s="1"/>
  <c r="K7" i="42" s="1"/>
  <c r="AP10" i="54"/>
  <c r="AP55" i="54" s="1"/>
  <c r="AQ10" i="54"/>
  <c r="C6" i="54"/>
  <c r="K8" i="54"/>
  <c r="K8" i="55" s="1"/>
  <c r="B5" i="42" s="1"/>
  <c r="AU51" i="54"/>
  <c r="D53" i="54"/>
  <c r="AU53" i="54"/>
  <c r="K50" i="54"/>
  <c r="K6" i="55"/>
  <c r="B3" i="42" s="1"/>
  <c r="G51" i="54"/>
  <c r="H6" i="55"/>
  <c r="AS8" i="55"/>
  <c r="AJ5" i="42" s="1"/>
  <c r="AI52" i="54"/>
  <c r="AI7" i="55"/>
  <c r="Z4" i="42" s="1"/>
  <c r="AO5" i="55"/>
  <c r="X6" i="55"/>
  <c r="O3" i="42" s="1"/>
  <c r="X51" i="54"/>
  <c r="O7" i="55"/>
  <c r="F4" i="42" s="1"/>
  <c r="O52" i="54"/>
  <c r="AP9" i="55"/>
  <c r="AG6" i="42" s="1"/>
  <c r="AH10" i="55"/>
  <c r="Y7" i="42" s="1"/>
  <c r="AH55" i="54"/>
  <c r="AK8" i="55"/>
  <c r="AB5" i="42" s="1"/>
  <c r="AK53" i="54"/>
  <c r="AJ53" i="54"/>
  <c r="AJ8" i="55"/>
  <c r="AA5" i="42" s="1"/>
  <c r="AT6" i="55"/>
  <c r="AK3" i="42" s="1"/>
  <c r="P8" i="55"/>
  <c r="G5" i="42" s="1"/>
  <c r="P53" i="54"/>
  <c r="AF55" i="54"/>
  <c r="AG10" i="55"/>
  <c r="X7" i="42" s="1"/>
  <c r="AG55" i="54"/>
  <c r="Y9" i="55"/>
  <c r="P6" i="42" s="1"/>
  <c r="Y54" i="54"/>
  <c r="AD9" i="55"/>
  <c r="U6" i="42" s="1"/>
  <c r="L5" i="55"/>
  <c r="L50" i="54"/>
  <c r="Y53" i="54"/>
  <c r="Y8" i="55"/>
  <c r="P5" i="42" s="1"/>
  <c r="AF53" i="54"/>
  <c r="W52" i="54"/>
  <c r="W7" i="55"/>
  <c r="N4" i="42" s="1"/>
  <c r="AC50" i="54"/>
  <c r="AA10" i="55"/>
  <c r="R7" i="42" s="1"/>
  <c r="AA55" i="54"/>
  <c r="U10" i="55"/>
  <c r="L7" i="42" s="1"/>
  <c r="U55" i="54"/>
  <c r="F55" i="54"/>
  <c r="AL10" i="55"/>
  <c r="AC7" i="42" s="1"/>
  <c r="AL55" i="54"/>
  <c r="AM10" i="55"/>
  <c r="AD7" i="42" s="1"/>
  <c r="G10" i="55"/>
  <c r="G55" i="54"/>
  <c r="V9" i="55"/>
  <c r="M6" i="42" s="1"/>
  <c r="V54" i="54"/>
  <c r="AU50" i="54"/>
  <c r="AU5" i="55"/>
  <c r="AG8" i="55"/>
  <c r="X5" i="42" s="1"/>
  <c r="S6" i="55"/>
  <c r="J3" i="42" s="1"/>
  <c r="AH51" i="54"/>
  <c r="AH6" i="55"/>
  <c r="Y3" i="42" s="1"/>
  <c r="AJ5" i="55"/>
  <c r="AJ50" i="54"/>
  <c r="AK5" i="55"/>
  <c r="AK50" i="54"/>
  <c r="AJ52" i="54"/>
  <c r="AJ7" i="55"/>
  <c r="AA4" i="42" s="1"/>
  <c r="AR5" i="55"/>
  <c r="AR50" i="54"/>
  <c r="AD7" i="55"/>
  <c r="U4" i="42" s="1"/>
  <c r="P10" i="55"/>
  <c r="G7" i="42" s="1"/>
  <c r="AC9" i="55"/>
  <c r="T6" i="42" s="1"/>
  <c r="AC54" i="54"/>
  <c r="AL9" i="55"/>
  <c r="AC6" i="42" s="1"/>
  <c r="AL54" i="54"/>
  <c r="I9" i="55"/>
  <c r="I54" i="54"/>
  <c r="Q10" i="55"/>
  <c r="H7" i="42" s="1"/>
  <c r="Q55" i="54"/>
  <c r="H8" i="55"/>
  <c r="H53" i="54"/>
  <c r="H7" i="55"/>
  <c r="H52" i="54"/>
  <c r="F7" i="55"/>
  <c r="V53" i="54"/>
  <c r="V8" i="55"/>
  <c r="M5" i="42" s="1"/>
  <c r="S53" i="54"/>
  <c r="S8" i="55"/>
  <c r="J5" i="42" s="1"/>
  <c r="Z50" i="54"/>
  <c r="W5" i="55"/>
  <c r="W50" i="54"/>
  <c r="AO51" i="54"/>
  <c r="AO6" i="55"/>
  <c r="AF3" i="42" s="1"/>
  <c r="U5" i="55"/>
  <c r="U50" i="54"/>
  <c r="AA9" i="55"/>
  <c r="R6" i="42" s="1"/>
  <c r="AA54" i="54"/>
  <c r="AC55" i="54"/>
  <c r="AC10" i="55"/>
  <c r="T7" i="42" s="1"/>
  <c r="AQ9" i="55"/>
  <c r="AH6" i="42" s="1"/>
  <c r="AQ54" i="54"/>
  <c r="N50" i="54"/>
  <c r="N5" i="55"/>
  <c r="C9" i="55"/>
  <c r="C54" i="54"/>
  <c r="R6" i="55"/>
  <c r="I3" i="42" s="1"/>
  <c r="R51" i="54"/>
  <c r="Q7" i="55"/>
  <c r="H4" i="42" s="1"/>
  <c r="Q52" i="54"/>
  <c r="C5" i="55"/>
  <c r="E52" i="54"/>
  <c r="E7" i="55"/>
  <c r="AG6" i="55"/>
  <c r="X3" i="42" s="1"/>
  <c r="AG51" i="54"/>
  <c r="AE7" i="55"/>
  <c r="V4" i="42" s="1"/>
  <c r="AE52" i="54"/>
  <c r="AL8" i="55"/>
  <c r="AC5" i="42" s="1"/>
  <c r="AL53" i="54"/>
  <c r="AH5" i="55"/>
  <c r="N6" i="55"/>
  <c r="E3" i="42" s="1"/>
  <c r="N51" i="54"/>
  <c r="AI10" i="55"/>
  <c r="Z7" i="42" s="1"/>
  <c r="AI55" i="54"/>
  <c r="R8" i="55"/>
  <c r="I5" i="42" s="1"/>
  <c r="R53" i="54"/>
  <c r="AQ10" i="55"/>
  <c r="AH7" i="42" s="1"/>
  <c r="AQ55" i="54"/>
  <c r="I51" i="54"/>
  <c r="I6" i="55"/>
  <c r="U8" i="55"/>
  <c r="L5" i="42" s="1"/>
  <c r="U53" i="54"/>
  <c r="U6" i="55"/>
  <c r="L3" i="42" s="1"/>
  <c r="U51" i="54"/>
  <c r="AS6" i="55"/>
  <c r="AJ3" i="42" s="1"/>
  <c r="AS51" i="54"/>
  <c r="AB52" i="54"/>
  <c r="AB7" i="55"/>
  <c r="S4" i="42" s="1"/>
  <c r="AN51" i="54"/>
  <c r="T7" i="55"/>
  <c r="K4" i="42" s="1"/>
  <c r="T52" i="54"/>
  <c r="AK52" i="54"/>
  <c r="AK7" i="55"/>
  <c r="AB4" i="42" s="1"/>
  <c r="AB50" i="54"/>
  <c r="AR7" i="55"/>
  <c r="AI4" i="42" s="1"/>
  <c r="AR52" i="54"/>
  <c r="N8" i="55"/>
  <c r="E5" i="42" s="1"/>
  <c r="O8" i="55"/>
  <c r="F5" i="42" s="1"/>
  <c r="AN10" i="55"/>
  <c r="AE7" i="42" s="1"/>
  <c r="O5" i="55"/>
  <c r="O50" i="54"/>
  <c r="AU10" i="55"/>
  <c r="AL7" i="42" s="1"/>
  <c r="AU55" i="54"/>
  <c r="T54" i="54"/>
  <c r="T9" i="55"/>
  <c r="K6" i="42" s="1"/>
  <c r="AS10" i="55"/>
  <c r="AJ7" i="42" s="1"/>
  <c r="AS55" i="54"/>
  <c r="Z55" i="54"/>
  <c r="Q5" i="55"/>
  <c r="Q50" i="54"/>
  <c r="J5" i="55"/>
  <c r="M8" i="55"/>
  <c r="D5" i="42" s="1"/>
  <c r="AA50" i="54"/>
  <c r="AA5" i="55"/>
  <c r="V51" i="54"/>
  <c r="V6" i="55"/>
  <c r="M3" i="42" s="1"/>
  <c r="Z52" i="54"/>
  <c r="Z7" i="55"/>
  <c r="Q4" i="42" s="1"/>
  <c r="W51" i="54"/>
  <c r="W6" i="55"/>
  <c r="N3" i="42" s="1"/>
  <c r="S52" i="54"/>
  <c r="S7" i="55"/>
  <c r="J4" i="42" s="1"/>
  <c r="AA52" i="54"/>
  <c r="AA7" i="55"/>
  <c r="R4" i="42" s="1"/>
  <c r="T51" i="54"/>
  <c r="T6" i="55"/>
  <c r="K3" i="42" s="1"/>
  <c r="AQ5" i="55"/>
  <c r="AQ50" i="54"/>
  <c r="AI51" i="54"/>
  <c r="AH9" i="55"/>
  <c r="Y6" i="42" s="1"/>
  <c r="AH54" i="54"/>
  <c r="AF9" i="55"/>
  <c r="W6" i="42" s="1"/>
  <c r="H10" i="55"/>
  <c r="H55" i="54"/>
  <c r="AT55" i="54"/>
  <c r="R9" i="55"/>
  <c r="I6" i="42" s="1"/>
  <c r="R54" i="54"/>
  <c r="V55" i="54"/>
  <c r="V10" i="55"/>
  <c r="M7" i="42" s="1"/>
  <c r="R7" i="55"/>
  <c r="I4" i="42" s="1"/>
  <c r="R52" i="54"/>
  <c r="N10" i="55"/>
  <c r="E7" i="42" s="1"/>
  <c r="N55" i="54"/>
  <c r="K9" i="55"/>
  <c r="B6" i="42" s="1"/>
  <c r="K54" i="54"/>
  <c r="R5" i="55"/>
  <c r="R50" i="54"/>
  <c r="I7" i="55"/>
  <c r="I52" i="54"/>
  <c r="G8" i="55"/>
  <c r="E51" i="54"/>
  <c r="J7" i="55"/>
  <c r="J52" i="54"/>
  <c r="I5" i="55"/>
  <c r="I50" i="54"/>
  <c r="AB8" i="55"/>
  <c r="S5" i="42" s="1"/>
  <c r="AB53" i="54"/>
  <c r="Y50" i="54"/>
  <c r="Y5" i="55"/>
  <c r="AQ6" i="55"/>
  <c r="AH3" i="42" s="1"/>
  <c r="AQ51" i="54"/>
  <c r="Z6" i="55"/>
  <c r="Q3" i="42" s="1"/>
  <c r="U7" i="55"/>
  <c r="L4" i="42" s="1"/>
  <c r="U52" i="54"/>
  <c r="AJ6" i="55"/>
  <c r="AA3" i="42" s="1"/>
  <c r="AJ51" i="54"/>
  <c r="AS7" i="55"/>
  <c r="AJ4" i="42" s="1"/>
  <c r="AS52" i="54"/>
  <c r="AQ52" i="54"/>
  <c r="AL5" i="55"/>
  <c r="AL50" i="54"/>
  <c r="M9" i="55"/>
  <c r="D6" i="42" s="1"/>
  <c r="P6" i="55"/>
  <c r="G3" i="42" s="1"/>
  <c r="P51" i="54"/>
  <c r="R10" i="55"/>
  <c r="I7" i="42" s="1"/>
  <c r="R55" i="54"/>
  <c r="G9" i="55"/>
  <c r="G54" i="54"/>
  <c r="AJ9" i="55"/>
  <c r="AA6" i="42" s="1"/>
  <c r="AJ54" i="54"/>
  <c r="Z9" i="55"/>
  <c r="Q6" i="42" s="1"/>
  <c r="Z54" i="54"/>
  <c r="M10" i="55"/>
  <c r="D7" i="42" s="1"/>
  <c r="Q8" i="55"/>
  <c r="H5" i="42" s="1"/>
  <c r="Q53" i="54"/>
  <c r="AO9" i="55"/>
  <c r="AF6" i="42" s="1"/>
  <c r="AO54" i="54"/>
  <c r="F8" i="55"/>
  <c r="G52" i="54"/>
  <c r="G7" i="55"/>
  <c r="H5" i="55"/>
  <c r="H50" i="54"/>
  <c r="M7" i="55"/>
  <c r="D4" i="42" s="1"/>
  <c r="M52" i="54"/>
  <c r="AA53" i="54"/>
  <c r="AC8" i="55"/>
  <c r="T5" i="42" s="1"/>
  <c r="AC52" i="54"/>
  <c r="AC7" i="55"/>
  <c r="T4" i="42" s="1"/>
  <c r="AP51" i="54"/>
  <c r="AP6" i="55"/>
  <c r="AG3" i="42" s="1"/>
  <c r="AG7" i="55"/>
  <c r="X4" i="42" s="1"/>
  <c r="AG52" i="54"/>
  <c r="AM7" i="55"/>
  <c r="AD4" i="42" s="1"/>
  <c r="AM52" i="54"/>
  <c r="AP7" i="55"/>
  <c r="AG4" i="42" s="1"/>
  <c r="AP52" i="54"/>
  <c r="AL6" i="55"/>
  <c r="AC3" i="42" s="1"/>
  <c r="AL51" i="54"/>
  <c r="AM8" i="55"/>
  <c r="AD5" i="42" s="1"/>
  <c r="AM53" i="54"/>
  <c r="AT53" i="54"/>
  <c r="L9" i="55"/>
  <c r="C6" i="42" s="1"/>
  <c r="L54" i="54"/>
  <c r="AJ10" i="55"/>
  <c r="AA7" i="42" s="1"/>
  <c r="AJ55" i="54"/>
  <c r="AN9" i="55"/>
  <c r="AE6" i="42" s="1"/>
  <c r="AN54" i="54"/>
  <c r="S9" i="55"/>
  <c r="J6" i="42" s="1"/>
  <c r="S54" i="54"/>
  <c r="AM9" i="55"/>
  <c r="AD6" i="42" s="1"/>
  <c r="AM54" i="54"/>
  <c r="F9" i="55"/>
  <c r="F54" i="54"/>
  <c r="J9" i="55"/>
  <c r="J54" i="54"/>
  <c r="N7" i="55"/>
  <c r="E4" i="42" s="1"/>
  <c r="N52" i="54"/>
  <c r="AU7" i="55"/>
  <c r="AL4" i="42" s="1"/>
  <c r="AU52" i="54"/>
  <c r="L52" i="54"/>
  <c r="L7" i="55"/>
  <c r="C4" i="42" s="1"/>
  <c r="L51" i="54"/>
  <c r="L6" i="55"/>
  <c r="C3" i="42" s="1"/>
  <c r="M5" i="55"/>
  <c r="M50" i="54"/>
  <c r="Z53" i="54"/>
  <c r="Z8" i="55"/>
  <c r="Q5" i="42" s="1"/>
  <c r="T8" i="55"/>
  <c r="K5" i="42" s="1"/>
  <c r="AG5" i="55"/>
  <c r="AG50" i="54"/>
  <c r="AB6" i="55"/>
  <c r="S3" i="42" s="1"/>
  <c r="AB51" i="54"/>
  <c r="AN5" i="55"/>
  <c r="AN50" i="54"/>
  <c r="AR53" i="54"/>
  <c r="AR8" i="55"/>
  <c r="AI5" i="42" s="1"/>
  <c r="AS5" i="55"/>
  <c r="AS50" i="54"/>
  <c r="V5" i="55"/>
  <c r="V50" i="54"/>
  <c r="AE5" i="55"/>
  <c r="AE50" i="54"/>
  <c r="AT7" i="55"/>
  <c r="AK4" i="42" s="1"/>
  <c r="AT52" i="54"/>
  <c r="AE9" i="55"/>
  <c r="V6" i="42" s="1"/>
  <c r="AE54" i="54"/>
  <c r="C10" i="55"/>
  <c r="C55" i="54"/>
  <c r="K10" i="55"/>
  <c r="B7" i="42" s="1"/>
  <c r="AG9" i="55"/>
  <c r="X6" i="42" s="1"/>
  <c r="AG54" i="54"/>
  <c r="AR10" i="55"/>
  <c r="AI7" i="42" s="1"/>
  <c r="AR55" i="54"/>
  <c r="X9" i="55"/>
  <c r="O6" i="42" s="1"/>
  <c r="X54" i="54"/>
  <c r="Q9" i="55"/>
  <c r="H6" i="42" s="1"/>
  <c r="Q54" i="54"/>
  <c r="O6" i="55"/>
  <c r="F3" i="42" s="1"/>
  <c r="O51" i="54"/>
  <c r="AR9" i="55"/>
  <c r="AI6" i="42" s="1"/>
  <c r="AR54" i="54"/>
  <c r="K7" i="55" l="1"/>
  <c r="B4" i="42" s="1"/>
  <c r="X52" i="54"/>
  <c r="L53" i="54"/>
  <c r="X55" i="54"/>
  <c r="J10" i="55"/>
  <c r="Y7" i="55"/>
  <c r="P4" i="42" s="1"/>
  <c r="D10" i="55"/>
  <c r="AP53" i="54"/>
  <c r="X8" i="55"/>
  <c r="O5" i="42" s="1"/>
  <c r="O9" i="55"/>
  <c r="F6" i="42" s="1"/>
  <c r="AS54" i="54"/>
  <c r="AD50" i="54"/>
  <c r="S10" i="55"/>
  <c r="J7" i="42" s="1"/>
  <c r="AE10" i="55"/>
  <c r="V7" i="42" s="1"/>
  <c r="T55" i="54"/>
  <c r="AO55" i="54"/>
  <c r="G50" i="54"/>
  <c r="AB54" i="54"/>
  <c r="AP5" i="55"/>
  <c r="AG2" i="42" s="1"/>
  <c r="AN53" i="54"/>
  <c r="AT54" i="54"/>
  <c r="AE53" i="54"/>
  <c r="AD8" i="55"/>
  <c r="U5" i="42" s="1"/>
  <c r="AO52" i="54"/>
  <c r="P52" i="54"/>
  <c r="Y55" i="54"/>
  <c r="H54" i="54"/>
  <c r="D50" i="54"/>
  <c r="M51" i="54"/>
  <c r="AC51" i="54"/>
  <c r="AD51" i="54"/>
  <c r="W8" i="55"/>
  <c r="N5" i="42" s="1"/>
  <c r="AQ8" i="55"/>
  <c r="AH5" i="42" s="1"/>
  <c r="N9" i="55"/>
  <c r="E6" i="42" s="1"/>
  <c r="I8" i="55"/>
  <c r="E10" i="55"/>
  <c r="E48" i="55" s="1"/>
  <c r="E49" i="55" s="1"/>
  <c r="E51" i="55" s="1"/>
  <c r="AA6" i="55"/>
  <c r="R3" i="42" s="1"/>
  <c r="I55" i="54"/>
  <c r="O55" i="54"/>
  <c r="J51" i="54"/>
  <c r="AL7" i="55"/>
  <c r="AC4" i="42" s="1"/>
  <c r="AF52" i="54"/>
  <c r="P5" i="55"/>
  <c r="G2" i="42" s="1"/>
  <c r="AM50" i="54"/>
  <c r="AD10" i="55"/>
  <c r="U7" i="42" s="1"/>
  <c r="L55" i="54"/>
  <c r="T50" i="54"/>
  <c r="AB55" i="54"/>
  <c r="E50" i="54"/>
  <c r="F50" i="54"/>
  <c r="AR6" i="55"/>
  <c r="AI3" i="42" s="1"/>
  <c r="Q51" i="54"/>
  <c r="U9" i="55"/>
  <c r="L6" i="42" s="1"/>
  <c r="AI8" i="55"/>
  <c r="Z5" i="42" s="1"/>
  <c r="AH8" i="55"/>
  <c r="Y5" i="42" s="1"/>
  <c r="AI54" i="54"/>
  <c r="D51" i="54"/>
  <c r="E53" i="54"/>
  <c r="D9" i="55"/>
  <c r="AP10" i="55"/>
  <c r="AG7" i="42" s="1"/>
  <c r="AU9" i="55"/>
  <c r="AL6" i="42" s="1"/>
  <c r="Y6" i="55"/>
  <c r="P3" i="42" s="1"/>
  <c r="F51" i="54"/>
  <c r="V7" i="55"/>
  <c r="M4" i="42" s="1"/>
  <c r="AF51" i="54"/>
  <c r="P54" i="54"/>
  <c r="AK51" i="54"/>
  <c r="AM6" i="55"/>
  <c r="AD3" i="42" s="1"/>
  <c r="AF5" i="55"/>
  <c r="W2" i="42" s="1"/>
  <c r="S50" i="54"/>
  <c r="J53" i="54"/>
  <c r="W55" i="54"/>
  <c r="AE6" i="55"/>
  <c r="V3" i="42" s="1"/>
  <c r="E54" i="54"/>
  <c r="AH7" i="55"/>
  <c r="Y4" i="42" s="1"/>
  <c r="K53" i="54"/>
  <c r="AK10" i="55"/>
  <c r="AB7" i="42" s="1"/>
  <c r="AK54" i="54"/>
  <c r="W54" i="54"/>
  <c r="AO8" i="55"/>
  <c r="AF5" i="42" s="1"/>
  <c r="C53" i="54"/>
  <c r="X5" i="55"/>
  <c r="O2" i="42" s="1"/>
  <c r="C7" i="55"/>
  <c r="D7" i="55"/>
  <c r="AT5" i="55"/>
  <c r="AT48" i="55" s="1"/>
  <c r="AT49" i="55" s="1"/>
  <c r="AT51" i="55" s="1"/>
  <c r="AI5" i="55"/>
  <c r="AN7" i="55"/>
  <c r="AE4" i="42" s="1"/>
  <c r="C51" i="54"/>
  <c r="C6" i="55"/>
  <c r="G48" i="55"/>
  <c r="G49" i="55" s="1"/>
  <c r="G51" i="55" s="1"/>
  <c r="J48" i="55"/>
  <c r="J49" i="55" s="1"/>
  <c r="J51" i="55" s="1"/>
  <c r="E2" i="42"/>
  <c r="AD2" i="42"/>
  <c r="P2" i="42"/>
  <c r="L2" i="42"/>
  <c r="AE2" i="42"/>
  <c r="V2" i="42"/>
  <c r="Q2" i="42"/>
  <c r="Z48" i="55"/>
  <c r="Z49" i="55" s="1"/>
  <c r="Z51" i="55" s="1"/>
  <c r="C2" i="42"/>
  <c r="L48" i="55"/>
  <c r="L49" i="55" s="1"/>
  <c r="L51" i="55" s="1"/>
  <c r="X2" i="42"/>
  <c r="AG48" i="55"/>
  <c r="AG49" i="55" s="1"/>
  <c r="AG51" i="55" s="1"/>
  <c r="AB2" i="42"/>
  <c r="AL2" i="42"/>
  <c r="AF2" i="42"/>
  <c r="Y2" i="42"/>
  <c r="M2" i="42"/>
  <c r="I48" i="55"/>
  <c r="I49" i="55" s="1"/>
  <c r="I51" i="55" s="1"/>
  <c r="H48" i="55"/>
  <c r="H49" i="55" s="1"/>
  <c r="H51" i="55" s="1"/>
  <c r="AC48" i="55"/>
  <c r="AC49" i="55" s="1"/>
  <c r="AC51" i="55" s="1"/>
  <c r="T2" i="42"/>
  <c r="AA2" i="42"/>
  <c r="AJ48" i="55"/>
  <c r="AJ49" i="55" s="1"/>
  <c r="AJ51" i="55" s="1"/>
  <c r="AJ2" i="42"/>
  <c r="AS48" i="55"/>
  <c r="AS49" i="55" s="1"/>
  <c r="AS51" i="55" s="1"/>
  <c r="F2" i="42"/>
  <c r="O48" i="55"/>
  <c r="O49" i="55" s="1"/>
  <c r="O51" i="55" s="1"/>
  <c r="F48" i="55"/>
  <c r="F49" i="55" s="1"/>
  <c r="F51" i="55" s="1"/>
  <c r="J2" i="42"/>
  <c r="S48" i="55"/>
  <c r="S49" i="55" s="1"/>
  <c r="S51" i="55" s="1"/>
  <c r="AI2" i="42"/>
  <c r="AR48" i="55"/>
  <c r="AR49" i="55" s="1"/>
  <c r="AR51" i="55" s="1"/>
  <c r="K2" i="42"/>
  <c r="T48" i="55"/>
  <c r="T49" i="55" s="1"/>
  <c r="T51" i="55" s="1"/>
  <c r="I2" i="42"/>
  <c r="R48" i="55"/>
  <c r="R49" i="55" s="1"/>
  <c r="R51" i="55" s="1"/>
  <c r="AH2" i="42"/>
  <c r="AQ48" i="55"/>
  <c r="AQ49" i="55" s="1"/>
  <c r="AQ51" i="55" s="1"/>
  <c r="AC2" i="42"/>
  <c r="D2" i="42"/>
  <c r="M48" i="55"/>
  <c r="M49" i="55" s="1"/>
  <c r="M51" i="55" s="1"/>
  <c r="R2" i="42"/>
  <c r="S2" i="42"/>
  <c r="AB48" i="55"/>
  <c r="AB49" i="55" s="1"/>
  <c r="AB51" i="55" s="1"/>
  <c r="U2" i="42"/>
  <c r="N2" i="42"/>
  <c r="Q48" i="55"/>
  <c r="Q49" i="55" s="1"/>
  <c r="Q51" i="55" s="1"/>
  <c r="H2" i="42"/>
  <c r="K48" i="55"/>
  <c r="K49" i="55" s="1"/>
  <c r="K51" i="55" s="1"/>
  <c r="W48" i="55" l="1"/>
  <c r="W49" i="55" s="1"/>
  <c r="W51" i="55" s="1"/>
  <c r="AL48" i="55"/>
  <c r="AL49" i="55" s="1"/>
  <c r="AL51" i="55" s="1"/>
  <c r="AA48" i="55"/>
  <c r="AA49" i="55" s="1"/>
  <c r="AA51" i="55" s="1"/>
  <c r="AU48" i="55"/>
  <c r="AU49" i="55" s="1"/>
  <c r="AU51" i="55" s="1"/>
  <c r="Y48" i="55"/>
  <c r="Y49" i="55" s="1"/>
  <c r="Y51" i="55" s="1"/>
  <c r="AD48" i="55"/>
  <c r="AD49" i="55" s="1"/>
  <c r="AD51" i="55" s="1"/>
  <c r="U48" i="55"/>
  <c r="U49" i="55" s="1"/>
  <c r="U51" i="55" s="1"/>
  <c r="N48" i="55"/>
  <c r="N49" i="55" s="1"/>
  <c r="N51" i="55" s="1"/>
  <c r="P48" i="55"/>
  <c r="P49" i="55" s="1"/>
  <c r="P51" i="55" s="1"/>
  <c r="V48" i="55"/>
  <c r="V49" i="55" s="1"/>
  <c r="V51" i="55" s="1"/>
  <c r="AF48" i="55"/>
  <c r="AF49" i="55" s="1"/>
  <c r="AF51" i="55" s="1"/>
  <c r="AI48" i="55"/>
  <c r="AI49" i="55" s="1"/>
  <c r="AI51" i="55" s="1"/>
  <c r="D48" i="55"/>
  <c r="D49" i="55" s="1"/>
  <c r="D51" i="55" s="1"/>
  <c r="AP48" i="55"/>
  <c r="AP49" i="55" s="1"/>
  <c r="AP51" i="55" s="1"/>
  <c r="AO48" i="55"/>
  <c r="AO49" i="55" s="1"/>
  <c r="AO51" i="55" s="1"/>
  <c r="AM48" i="55"/>
  <c r="AM49" i="55" s="1"/>
  <c r="AM51" i="55" s="1"/>
  <c r="AH48" i="55"/>
  <c r="AH49" i="55" s="1"/>
  <c r="AH51" i="55" s="1"/>
  <c r="AE48" i="55"/>
  <c r="AE49" i="55" s="1"/>
  <c r="AE51" i="55" s="1"/>
  <c r="AK48" i="55"/>
  <c r="AK49" i="55" s="1"/>
  <c r="AK51" i="55" s="1"/>
  <c r="X48" i="55"/>
  <c r="X49" i="55" s="1"/>
  <c r="X51" i="55" s="1"/>
  <c r="Z2" i="42"/>
  <c r="C48" i="55"/>
  <c r="C49" i="55" s="1"/>
  <c r="C51" i="55" s="1"/>
  <c r="AK2" i="42"/>
  <c r="AN48" i="55"/>
  <c r="AN49" i="55" s="1"/>
  <c r="AN51" i="55" s="1"/>
  <c r="O22" i="22"/>
  <c r="O23" i="22"/>
  <c r="O19" i="22"/>
  <c r="O17" i="22"/>
  <c r="O18" i="22"/>
  <c r="O21" i="22"/>
  <c r="O12" i="22"/>
  <c r="O16" i="22"/>
  <c r="O24" i="22"/>
  <c r="O15" i="22"/>
  <c r="O5" i="22"/>
  <c r="O11" i="22" s="1"/>
  <c r="O10" i="22"/>
  <c r="O20" i="22"/>
  <c r="M11" i="22"/>
  <c r="M13" i="22"/>
  <c r="M10" i="22"/>
  <c r="M12" i="22"/>
  <c r="M14" i="22"/>
  <c r="M5" i="22"/>
  <c r="O14" i="22" l="1"/>
  <c r="O13" i="22"/>
  <c r="C14" i="27" a="1"/>
  <c r="AQ17" i="27" l="1"/>
  <c r="R14" i="27"/>
  <c r="AU18" i="27"/>
  <c r="V14" i="27"/>
  <c r="AI19" i="27"/>
  <c r="AF17" i="27"/>
  <c r="AH14" i="27"/>
  <c r="S16" i="27"/>
  <c r="D14" i="27"/>
  <c r="AE15" i="27"/>
  <c r="AC17" i="27"/>
  <c r="AK15" i="27"/>
  <c r="AN17" i="27"/>
  <c r="AT15" i="27"/>
  <c r="X18" i="27"/>
  <c r="AG16" i="27"/>
  <c r="G14" i="27"/>
  <c r="T18" i="27"/>
  <c r="AL16" i="27"/>
  <c r="Z14" i="27"/>
  <c r="L19" i="27"/>
  <c r="AB15" i="27"/>
  <c r="AM17" i="27"/>
  <c r="AS15" i="27"/>
  <c r="C17" i="27"/>
  <c r="AO18" i="27"/>
  <c r="U16" i="27"/>
  <c r="AI14" i="27"/>
  <c r="W19" i="27"/>
  <c r="AA19" i="27"/>
  <c r="Y17" i="27"/>
  <c r="AJ15" i="27"/>
  <c r="AR19" i="27"/>
  <c r="AP17" i="27"/>
  <c r="AD15" i="27"/>
  <c r="R18" i="27"/>
  <c r="N18" i="27"/>
  <c r="AQ18" i="27"/>
  <c r="AU19" i="27"/>
  <c r="V15" i="27"/>
  <c r="AF18" i="27"/>
  <c r="AH15" i="27"/>
  <c r="S17" i="27"/>
  <c r="W14" i="27"/>
  <c r="AE16" i="27"/>
  <c r="O14" i="27"/>
  <c r="AC18" i="27"/>
  <c r="AK16" i="27"/>
  <c r="Q14" i="27"/>
  <c r="AN18" i="27"/>
  <c r="AT16" i="27"/>
  <c r="AA14" i="27"/>
  <c r="X19" i="27"/>
  <c r="AG17" i="27"/>
  <c r="AR14" i="27"/>
  <c r="T19" i="27"/>
  <c r="AL17" i="27"/>
  <c r="Z15" i="27"/>
  <c r="M19" i="27"/>
  <c r="I14" i="27"/>
  <c r="AU14" i="27"/>
  <c r="AB16" i="27"/>
  <c r="N14" i="27"/>
  <c r="AM18" i="27"/>
  <c r="AS16" i="27"/>
  <c r="P14" i="27"/>
  <c r="C18" i="27"/>
  <c r="AO19" i="27"/>
  <c r="U17" i="27"/>
  <c r="AI15" i="27"/>
  <c r="Y18" i="27"/>
  <c r="AJ16" i="27"/>
  <c r="X14" i="27"/>
  <c r="AP18" i="27"/>
  <c r="AD16" i="27"/>
  <c r="T14" i="27"/>
  <c r="E16" i="27"/>
  <c r="G19" i="27"/>
  <c r="AQ19" i="27"/>
  <c r="V16" i="27"/>
  <c r="AO14" i="27"/>
  <c r="AF19" i="27"/>
  <c r="AH16" i="27"/>
  <c r="L14" i="27"/>
  <c r="S18" i="27"/>
  <c r="W15" i="27"/>
  <c r="AE17" i="27"/>
  <c r="AC19" i="27"/>
  <c r="AK17" i="27"/>
  <c r="AN19" i="27"/>
  <c r="AT17" i="27"/>
  <c r="AA15" i="27"/>
  <c r="AG18" i="27"/>
  <c r="AR15" i="27"/>
  <c r="AL18" i="27"/>
  <c r="Z16" i="27"/>
  <c r="E14" i="27"/>
  <c r="AQ14" i="27"/>
  <c r="AU15" i="27"/>
  <c r="AB17" i="27"/>
  <c r="AM19" i="27"/>
  <c r="AS17" i="27"/>
  <c r="C19" i="27"/>
  <c r="U18" i="27"/>
  <c r="AI16" i="27"/>
  <c r="AF14" i="27"/>
  <c r="AC14" i="27"/>
  <c r="AN14" i="27"/>
  <c r="Y19" i="27"/>
  <c r="AJ17" i="27"/>
  <c r="X15" i="27"/>
  <c r="AP19" i="27"/>
  <c r="AM14" i="27"/>
  <c r="C14" i="27"/>
  <c r="V17" i="27"/>
  <c r="AO15" i="27"/>
  <c r="AH17" i="27"/>
  <c r="S19" i="27"/>
  <c r="W16" i="27"/>
  <c r="K14" i="27"/>
  <c r="AE18" i="27"/>
  <c r="AK18" i="27"/>
  <c r="AT18" i="27"/>
  <c r="AA16" i="27"/>
  <c r="Y14" i="27"/>
  <c r="AG19" i="27"/>
  <c r="AR16" i="27"/>
  <c r="AP14" i="27"/>
  <c r="AL19" i="27"/>
  <c r="Z17" i="27"/>
  <c r="L16" i="27"/>
  <c r="K16" i="27"/>
  <c r="K19" i="27"/>
  <c r="P16" i="27"/>
  <c r="AQ15" i="27"/>
  <c r="AU16" i="27"/>
  <c r="M14" i="27"/>
  <c r="AB18" i="27"/>
  <c r="AS18" i="27"/>
  <c r="U19" i="27"/>
  <c r="AI17" i="27"/>
  <c r="AF15" i="27"/>
  <c r="S14" i="27"/>
  <c r="AC15" i="27"/>
  <c r="AN15" i="27"/>
  <c r="AJ18" i="27"/>
  <c r="X16" i="27"/>
  <c r="AG14" i="27"/>
  <c r="AD18" i="27"/>
  <c r="T16" i="27"/>
  <c r="AL14" i="27"/>
  <c r="AM15" i="27"/>
  <c r="C15" i="27"/>
  <c r="V18" i="27"/>
  <c r="AO16" i="27"/>
  <c r="U14" i="27"/>
  <c r="AH18" i="27"/>
  <c r="W17" i="27"/>
  <c r="AE19" i="27"/>
  <c r="AK19" i="27"/>
  <c r="AT19" i="27"/>
  <c r="AA17" i="27"/>
  <c r="Y15" i="27"/>
  <c r="AR17" i="27"/>
  <c r="AP15" i="27"/>
  <c r="Z18" i="27"/>
  <c r="N19" i="27"/>
  <c r="M16" i="27"/>
  <c r="AQ16" i="27"/>
  <c r="J14" i="27"/>
  <c r="AU17" i="27"/>
  <c r="AB19" i="27"/>
  <c r="AS19" i="27"/>
  <c r="H14" i="27"/>
  <c r="AI18" i="27"/>
  <c r="AF16" i="27"/>
  <c r="F14" i="27"/>
  <c r="S15" i="27"/>
  <c r="AE14" i="27"/>
  <c r="AC16" i="27"/>
  <c r="AK14" i="27"/>
  <c r="AN16" i="27"/>
  <c r="AB14" i="27"/>
  <c r="AM16" i="27"/>
  <c r="AS14" i="27"/>
  <c r="C16" i="27"/>
  <c r="V19" i="27"/>
  <c r="AO17" i="27"/>
  <c r="U15" i="27"/>
  <c r="AH19" i="27"/>
  <c r="W18" i="27"/>
  <c r="AA18" i="27"/>
  <c r="Y16" i="27"/>
  <c r="AJ14" i="27"/>
  <c r="AR18" i="27"/>
  <c r="AP16" i="27"/>
  <c r="AD14" i="27"/>
  <c r="Z19" i="27"/>
  <c r="J19" i="27"/>
  <c r="E19" i="27"/>
  <c r="Q18" i="27"/>
  <c r="D18" i="27"/>
  <c r="G18" i="27"/>
  <c r="H17" i="27"/>
  <c r="J15" i="27"/>
  <c r="O16" i="27"/>
  <c r="R16" i="27"/>
  <c r="F16" i="27"/>
  <c r="Q17" i="27"/>
  <c r="O15" i="27"/>
  <c r="H15" i="27"/>
  <c r="AT14" i="27"/>
  <c r="D19" i="27"/>
  <c r="N16" i="27"/>
  <c r="H16" i="27"/>
  <c r="AD17" i="27"/>
  <c r="P18" i="27"/>
  <c r="F19" i="27"/>
  <c r="R19" i="27"/>
  <c r="I18" i="27"/>
  <c r="D17" i="27"/>
  <c r="L15" i="27"/>
  <c r="M15" i="27"/>
  <c r="I17" i="27"/>
  <c r="N17" i="27"/>
  <c r="Q15" i="27"/>
  <c r="F15" i="27"/>
  <c r="AD19" i="27"/>
  <c r="K18" i="27"/>
  <c r="L18" i="27"/>
  <c r="F18" i="27"/>
  <c r="P17" i="27"/>
  <c r="K17" i="27"/>
  <c r="G15" i="27"/>
  <c r="K15" i="27"/>
  <c r="I15" i="27"/>
  <c r="I16" i="27"/>
  <c r="J16" i="27"/>
  <c r="J18" i="27"/>
  <c r="P15" i="27"/>
  <c r="R15" i="27"/>
  <c r="T15" i="27"/>
  <c r="G16" i="27"/>
  <c r="O17" i="27"/>
  <c r="R17" i="27"/>
  <c r="E17" i="27"/>
  <c r="T17" i="27"/>
  <c r="D16" i="27"/>
  <c r="O19" i="27"/>
  <c r="AJ19" i="27"/>
  <c r="P19" i="27"/>
  <c r="I19" i="27"/>
  <c r="Q16" i="27"/>
  <c r="J17" i="27"/>
  <c r="X17" i="27"/>
  <c r="AL15" i="27"/>
  <c r="H19" i="27"/>
  <c r="E18" i="27"/>
  <c r="AG15" i="27"/>
  <c r="M18" i="27"/>
  <c r="Q19" i="27"/>
  <c r="O18" i="27"/>
  <c r="G17" i="27"/>
  <c r="L17" i="27"/>
  <c r="F17" i="27"/>
  <c r="H18" i="27"/>
  <c r="M17" i="27"/>
  <c r="E15" i="27"/>
  <c r="D15" i="27"/>
  <c r="N15" i="27"/>
  <c r="T15" i="26" l="1"/>
  <c r="K3" i="46" s="1"/>
  <c r="T51" i="27"/>
  <c r="V19" i="26"/>
  <c r="M7" i="46" s="1"/>
  <c r="V55" i="27"/>
  <c r="AJ17" i="26"/>
  <c r="AA5" i="46" s="1"/>
  <c r="AJ53" i="27"/>
  <c r="R51" i="27"/>
  <c r="R15" i="26"/>
  <c r="I3" i="46" s="1"/>
  <c r="Y55" i="27"/>
  <c r="Y19" i="26"/>
  <c r="P7" i="46" s="1"/>
  <c r="AG17" i="26"/>
  <c r="X5" i="46" s="1"/>
  <c r="AG53" i="27"/>
  <c r="AE15" i="26"/>
  <c r="V3" i="46" s="1"/>
  <c r="AE51" i="27"/>
  <c r="P14" i="26"/>
  <c r="P50" i="27"/>
  <c r="L17" i="26"/>
  <c r="C5" i="46" s="1"/>
  <c r="L53" i="27"/>
  <c r="I54" i="27"/>
  <c r="I18" i="26"/>
  <c r="AP15" i="26"/>
  <c r="AG3" i="46" s="1"/>
  <c r="AP51" i="27"/>
  <c r="K52" i="27"/>
  <c r="K16" i="26"/>
  <c r="B4" i="46" s="1"/>
  <c r="AC19" i="26"/>
  <c r="T7" i="46" s="1"/>
  <c r="AC55" i="27"/>
  <c r="W14" i="26"/>
  <c r="W50" i="27"/>
  <c r="AC17" i="26"/>
  <c r="T5" i="46" s="1"/>
  <c r="AC53" i="27"/>
  <c r="I19" i="26"/>
  <c r="I55" i="27"/>
  <c r="F52" i="27"/>
  <c r="F16" i="26"/>
  <c r="AR53" i="27"/>
  <c r="AR17" i="26"/>
  <c r="AI5" i="46" s="1"/>
  <c r="K50" i="27"/>
  <c r="K14" i="26"/>
  <c r="AQ14" i="26"/>
  <c r="AQ50" i="27"/>
  <c r="AS52" i="27"/>
  <c r="AS16" i="26"/>
  <c r="AJ4" i="46" s="1"/>
  <c r="S17" i="26"/>
  <c r="J5" i="46" s="1"/>
  <c r="S53" i="27"/>
  <c r="R52" i="27"/>
  <c r="R16" i="26"/>
  <c r="I4" i="46" s="1"/>
  <c r="Y51" i="27"/>
  <c r="Y15" i="26"/>
  <c r="P3" i="46" s="1"/>
  <c r="W16" i="26"/>
  <c r="N4" i="46" s="1"/>
  <c r="W52" i="27"/>
  <c r="AD16" i="26"/>
  <c r="U4" i="46" s="1"/>
  <c r="AD52" i="27"/>
  <c r="Z14" i="26"/>
  <c r="Z50" i="27"/>
  <c r="Q19" i="26"/>
  <c r="H7" i="46" s="1"/>
  <c r="Q55" i="27"/>
  <c r="P54" i="27"/>
  <c r="P18" i="26"/>
  <c r="G6" i="46" s="1"/>
  <c r="AA53" i="27"/>
  <c r="AA17" i="26"/>
  <c r="R5" i="46" s="1"/>
  <c r="W19" i="26"/>
  <c r="N7" i="46" s="1"/>
  <c r="W55" i="27"/>
  <c r="N51" i="27"/>
  <c r="N15" i="26"/>
  <c r="E3" i="46" s="1"/>
  <c r="Q51" i="27"/>
  <c r="Q15" i="26"/>
  <c r="H3" i="46" s="1"/>
  <c r="AU17" i="26"/>
  <c r="AL5" i="46" s="1"/>
  <c r="AU53" i="27"/>
  <c r="AR16" i="26"/>
  <c r="AI4" i="46" s="1"/>
  <c r="AR52" i="27"/>
  <c r="AJ16" i="26"/>
  <c r="AA4" i="46" s="1"/>
  <c r="AJ52" i="27"/>
  <c r="AF17" i="26"/>
  <c r="W5" i="46" s="1"/>
  <c r="AF53" i="27"/>
  <c r="E54" i="27"/>
  <c r="E18" i="26"/>
  <c r="G18" i="26"/>
  <c r="G54" i="27"/>
  <c r="M14" i="26"/>
  <c r="M50" i="27"/>
  <c r="AQ18" i="26"/>
  <c r="AH6" i="46" s="1"/>
  <c r="AQ54" i="27"/>
  <c r="E15" i="26"/>
  <c r="E51" i="27"/>
  <c r="W18" i="26"/>
  <c r="N6" i="46" s="1"/>
  <c r="W54" i="27"/>
  <c r="X16" i="26"/>
  <c r="O4" i="46" s="1"/>
  <c r="X52" i="27"/>
  <c r="Y14" i="26"/>
  <c r="Y50" i="27"/>
  <c r="C55" i="27"/>
  <c r="C19" i="26"/>
  <c r="AO14" i="26"/>
  <c r="AO50" i="27"/>
  <c r="AI15" i="26"/>
  <c r="Z3" i="46" s="1"/>
  <c r="AI51" i="27"/>
  <c r="M55" i="27"/>
  <c r="M19" i="26"/>
  <c r="D7" i="46" s="1"/>
  <c r="AK16" i="26"/>
  <c r="AB4" i="46" s="1"/>
  <c r="AK52" i="27"/>
  <c r="N54" i="27"/>
  <c r="N18" i="26"/>
  <c r="E6" i="46" s="1"/>
  <c r="AO18" i="26"/>
  <c r="AF6" i="46" s="1"/>
  <c r="AO54" i="27"/>
  <c r="X18" i="26"/>
  <c r="O6" i="46" s="1"/>
  <c r="X54" i="27"/>
  <c r="V14" i="26"/>
  <c r="V50" i="27"/>
  <c r="F54" i="27"/>
  <c r="F18" i="26"/>
  <c r="Z19" i="26"/>
  <c r="Q7" i="46" s="1"/>
  <c r="Z55" i="27"/>
  <c r="V18" i="26"/>
  <c r="M6" i="46" s="1"/>
  <c r="V54" i="27"/>
  <c r="AE18" i="26"/>
  <c r="V6" i="46" s="1"/>
  <c r="AE54" i="27"/>
  <c r="E52" i="27"/>
  <c r="E16" i="26"/>
  <c r="AB15" i="26"/>
  <c r="S3" i="46" s="1"/>
  <c r="AB51" i="27"/>
  <c r="L18" i="26"/>
  <c r="C6" i="46" s="1"/>
  <c r="L54" i="27"/>
  <c r="AD14" i="26"/>
  <c r="AD50" i="27"/>
  <c r="AI18" i="26"/>
  <c r="Z6" i="46" s="1"/>
  <c r="AI54" i="27"/>
  <c r="C15" i="26"/>
  <c r="C51" i="27"/>
  <c r="L52" i="27"/>
  <c r="L16" i="26"/>
  <c r="C4" i="46" s="1"/>
  <c r="AE53" i="27"/>
  <c r="AE17" i="26"/>
  <c r="V5" i="46" s="1"/>
  <c r="AJ15" i="26"/>
  <c r="AA3" i="46" s="1"/>
  <c r="AJ51" i="27"/>
  <c r="K18" i="26"/>
  <c r="B6" i="46" s="1"/>
  <c r="K54" i="27"/>
  <c r="AP16" i="26"/>
  <c r="AG4" i="46" s="1"/>
  <c r="AP52" i="27"/>
  <c r="AS14" i="26"/>
  <c r="AS50" i="27"/>
  <c r="AM15" i="26"/>
  <c r="AD3" i="46" s="1"/>
  <c r="AM51" i="27"/>
  <c r="AI17" i="26"/>
  <c r="Z5" i="46" s="1"/>
  <c r="AI53" i="27"/>
  <c r="AN50" i="27"/>
  <c r="AN14" i="26"/>
  <c r="W51" i="27"/>
  <c r="W15" i="26"/>
  <c r="N3" i="46" s="1"/>
  <c r="X19" i="26"/>
  <c r="O7" i="46" s="1"/>
  <c r="X55" i="27"/>
  <c r="AH15" i="26"/>
  <c r="Y3" i="46" s="1"/>
  <c r="AH51" i="27"/>
  <c r="D14" i="26"/>
  <c r="D50" i="27"/>
  <c r="AJ55" i="27"/>
  <c r="AJ19" i="26"/>
  <c r="AA7" i="46" s="1"/>
  <c r="AD19" i="26"/>
  <c r="U7" i="46" s="1"/>
  <c r="AD55" i="27"/>
  <c r="O52" i="27"/>
  <c r="O16" i="26"/>
  <c r="F4" i="46" s="1"/>
  <c r="AR18" i="26"/>
  <c r="AI6" i="46" s="1"/>
  <c r="AR54" i="27"/>
  <c r="AS19" i="26"/>
  <c r="AJ7" i="46" s="1"/>
  <c r="AS55" i="27"/>
  <c r="AL14" i="26"/>
  <c r="AL50" i="27"/>
  <c r="U19" i="26"/>
  <c r="L7" i="46" s="1"/>
  <c r="U55" i="27"/>
  <c r="AL55" i="27"/>
  <c r="AL19" i="26"/>
  <c r="AC7" i="46" s="1"/>
  <c r="AC50" i="27"/>
  <c r="AC14" i="26"/>
  <c r="Z16" i="26"/>
  <c r="Q4" i="46" s="1"/>
  <c r="Z52" i="27"/>
  <c r="S54" i="27"/>
  <c r="S18" i="26"/>
  <c r="J6" i="46" s="1"/>
  <c r="AP18" i="26"/>
  <c r="AG6" i="46" s="1"/>
  <c r="AP54" i="27"/>
  <c r="N14" i="26"/>
  <c r="N50" i="27"/>
  <c r="AA14" i="26"/>
  <c r="AA50" i="27"/>
  <c r="AF18" i="26"/>
  <c r="W6" i="46" s="1"/>
  <c r="AF54" i="27"/>
  <c r="AA55" i="27"/>
  <c r="AA19" i="26"/>
  <c r="R7" i="46" s="1"/>
  <c r="S16" i="26"/>
  <c r="J4" i="46" s="1"/>
  <c r="S52" i="27"/>
  <c r="M18" i="26"/>
  <c r="D6" i="46" s="1"/>
  <c r="M54" i="27"/>
  <c r="O55" i="27"/>
  <c r="O19" i="26"/>
  <c r="F7" i="46" s="1"/>
  <c r="F15" i="26"/>
  <c r="F51" i="27"/>
  <c r="AD53" i="27"/>
  <c r="AD17" i="26"/>
  <c r="U5" i="46" s="1"/>
  <c r="J15" i="26"/>
  <c r="J51" i="27"/>
  <c r="AJ14" i="26"/>
  <c r="AJ50" i="27"/>
  <c r="AB14" i="26"/>
  <c r="AB50" i="27"/>
  <c r="AB55" i="27"/>
  <c r="AB19" i="26"/>
  <c r="S7" i="46" s="1"/>
  <c r="AT55" i="27"/>
  <c r="AT19" i="26"/>
  <c r="AK7" i="46" s="1"/>
  <c r="AS18" i="26"/>
  <c r="AJ6" i="46" s="1"/>
  <c r="AS54" i="27"/>
  <c r="AP14" i="26"/>
  <c r="AP50" i="27"/>
  <c r="AH17" i="26"/>
  <c r="Y5" i="46" s="1"/>
  <c r="AH53" i="27"/>
  <c r="AF50" i="27"/>
  <c r="AF14" i="26"/>
  <c r="AL54" i="27"/>
  <c r="AL18" i="26"/>
  <c r="AC6" i="46" s="1"/>
  <c r="L14" i="26"/>
  <c r="L50" i="27"/>
  <c r="AB52" i="27"/>
  <c r="AB16" i="26"/>
  <c r="S4" i="46" s="1"/>
  <c r="AT52" i="27"/>
  <c r="AT16" i="26"/>
  <c r="AK4" i="46" s="1"/>
  <c r="V15" i="26"/>
  <c r="M3" i="46" s="1"/>
  <c r="V51" i="27"/>
  <c r="H53" i="27"/>
  <c r="H17" i="26"/>
  <c r="G14" i="26"/>
  <c r="G50" i="27"/>
  <c r="T17" i="26"/>
  <c r="K5" i="46" s="1"/>
  <c r="T53" i="27"/>
  <c r="N17" i="26"/>
  <c r="E5" i="46" s="1"/>
  <c r="N53" i="27"/>
  <c r="AA18" i="26"/>
  <c r="R6" i="46" s="1"/>
  <c r="AA54" i="27"/>
  <c r="J14" i="26"/>
  <c r="J50" i="27"/>
  <c r="AE19" i="26"/>
  <c r="V7" i="46" s="1"/>
  <c r="AE55" i="27"/>
  <c r="AG50" i="27"/>
  <c r="AG14" i="26"/>
  <c r="V17" i="26"/>
  <c r="M5" i="46" s="1"/>
  <c r="V53" i="27"/>
  <c r="AG18" i="26"/>
  <c r="X6" i="46" s="1"/>
  <c r="AG54" i="27"/>
  <c r="AF19" i="26"/>
  <c r="W7" i="46" s="1"/>
  <c r="AF55" i="27"/>
  <c r="Y18" i="26"/>
  <c r="P6" i="46" s="1"/>
  <c r="Y54" i="27"/>
  <c r="I14" i="26"/>
  <c r="I50" i="27"/>
  <c r="Q14" i="26"/>
  <c r="Q50" i="27"/>
  <c r="AI19" i="26"/>
  <c r="Z7" i="46" s="1"/>
  <c r="AI55" i="27"/>
  <c r="E17" i="26"/>
  <c r="E53" i="27"/>
  <c r="I53" i="27"/>
  <c r="I17" i="26"/>
  <c r="D54" i="27"/>
  <c r="D18" i="26"/>
  <c r="AC16" i="26"/>
  <c r="T4" i="46" s="1"/>
  <c r="AC52" i="27"/>
  <c r="AU16" i="26"/>
  <c r="AL4" i="46" s="1"/>
  <c r="AU52" i="27"/>
  <c r="R17" i="26"/>
  <c r="I5" i="46" s="1"/>
  <c r="R53" i="27"/>
  <c r="Q54" i="27"/>
  <c r="Q18" i="26"/>
  <c r="H6" i="46" s="1"/>
  <c r="M16" i="26"/>
  <c r="D4" i="46" s="1"/>
  <c r="M52" i="27"/>
  <c r="AH18" i="26"/>
  <c r="Y6" i="46" s="1"/>
  <c r="AH54" i="27"/>
  <c r="AQ15" i="26"/>
  <c r="AH3" i="46" s="1"/>
  <c r="AQ51" i="27"/>
  <c r="AA52" i="27"/>
  <c r="AA16" i="26"/>
  <c r="R4" i="46" s="1"/>
  <c r="AM14" i="26"/>
  <c r="AM50" i="27"/>
  <c r="AS53" i="27"/>
  <c r="AS17" i="26"/>
  <c r="AJ5" i="46" s="1"/>
  <c r="AT17" i="26"/>
  <c r="AK5" i="46" s="1"/>
  <c r="AT53" i="27"/>
  <c r="V16" i="26"/>
  <c r="M4" i="46" s="1"/>
  <c r="V52" i="27"/>
  <c r="U17" i="26"/>
  <c r="L5" i="46" s="1"/>
  <c r="U53" i="27"/>
  <c r="Z15" i="26"/>
  <c r="Q3" i="46" s="1"/>
  <c r="Z51" i="27"/>
  <c r="AC18" i="26"/>
  <c r="T6" i="46" s="1"/>
  <c r="AC54" i="27"/>
  <c r="R54" i="27"/>
  <c r="R18" i="26"/>
  <c r="I6" i="46" s="1"/>
  <c r="C17" i="26"/>
  <c r="C53" i="27"/>
  <c r="AT15" i="26"/>
  <c r="AK3" i="46" s="1"/>
  <c r="AT51" i="27"/>
  <c r="AU18" i="26"/>
  <c r="AL6" i="46" s="1"/>
  <c r="AU54" i="27"/>
  <c r="Q16" i="26"/>
  <c r="H4" i="46" s="1"/>
  <c r="Q52" i="27"/>
  <c r="Q53" i="27"/>
  <c r="Q17" i="26"/>
  <c r="H5" i="46" s="1"/>
  <c r="AF16" i="26"/>
  <c r="W4" i="46" s="1"/>
  <c r="AF52" i="27"/>
  <c r="S50" i="27"/>
  <c r="S14" i="26"/>
  <c r="AU15" i="26"/>
  <c r="AL3" i="46" s="1"/>
  <c r="AU51" i="27"/>
  <c r="AR14" i="26"/>
  <c r="AR50" i="27"/>
  <c r="AR19" i="26"/>
  <c r="AI7" i="46" s="1"/>
  <c r="AR55" i="27"/>
  <c r="G17" i="26"/>
  <c r="G53" i="27"/>
  <c r="R55" i="27"/>
  <c r="R19" i="26"/>
  <c r="I7" i="46" s="1"/>
  <c r="C16" i="26"/>
  <c r="C52" i="27"/>
  <c r="AF15" i="26"/>
  <c r="W3" i="46" s="1"/>
  <c r="AF51" i="27"/>
  <c r="T14" i="26"/>
  <c r="T50" i="27"/>
  <c r="L55" i="27"/>
  <c r="L19" i="26"/>
  <c r="C7" i="46" s="1"/>
  <c r="O18" i="26"/>
  <c r="F6" i="46" s="1"/>
  <c r="O54" i="27"/>
  <c r="P19" i="26"/>
  <c r="G7" i="46" s="1"/>
  <c r="P55" i="27"/>
  <c r="P51" i="27"/>
  <c r="P15" i="26"/>
  <c r="G3" i="46" s="1"/>
  <c r="F55" i="27"/>
  <c r="F19" i="26"/>
  <c r="H14" i="26"/>
  <c r="H50" i="27"/>
  <c r="Z17" i="26"/>
  <c r="Q5" i="46" s="1"/>
  <c r="Z53" i="27"/>
  <c r="E50" i="27"/>
  <c r="E14" i="26"/>
  <c r="AM54" i="27"/>
  <c r="AM18" i="26"/>
  <c r="AD6" i="46" s="1"/>
  <c r="Y17" i="26"/>
  <c r="P5" i="46" s="1"/>
  <c r="Y53" i="27"/>
  <c r="J54" i="27"/>
  <c r="J18" i="26"/>
  <c r="AM16" i="26"/>
  <c r="AD4" i="46" s="1"/>
  <c r="AM52" i="27"/>
  <c r="S55" i="27"/>
  <c r="S19" i="26"/>
  <c r="J7" i="46" s="1"/>
  <c r="AL16" i="26"/>
  <c r="AC4" i="46" s="1"/>
  <c r="AL52" i="27"/>
  <c r="J52" i="27"/>
  <c r="J16" i="26"/>
  <c r="T16" i="26"/>
  <c r="K4" i="46" s="1"/>
  <c r="T52" i="27"/>
  <c r="X14" i="26"/>
  <c r="X50" i="27"/>
  <c r="AH50" i="27"/>
  <c r="AH14" i="26"/>
  <c r="AG51" i="27"/>
  <c r="AG15" i="26"/>
  <c r="X3" i="46" s="1"/>
  <c r="I52" i="27"/>
  <c r="I16" i="26"/>
  <c r="H52" i="27"/>
  <c r="H16" i="26"/>
  <c r="AN52" i="27"/>
  <c r="AN16" i="26"/>
  <c r="AE4" i="46" s="1"/>
  <c r="AK19" i="26"/>
  <c r="AB7" i="46" s="1"/>
  <c r="AK55" i="27"/>
  <c r="AD54" i="27"/>
  <c r="AD18" i="26"/>
  <c r="U6" i="46" s="1"/>
  <c r="AO15" i="26"/>
  <c r="AF3" i="46" s="1"/>
  <c r="AO51" i="27"/>
  <c r="AI52" i="27"/>
  <c r="AI16" i="26"/>
  <c r="Z4" i="46" s="1"/>
  <c r="AH16" i="26"/>
  <c r="Y4" i="46" s="1"/>
  <c r="AH52" i="27"/>
  <c r="AU14" i="26"/>
  <c r="AU50" i="27"/>
  <c r="AU19" i="26"/>
  <c r="AL7" i="46" s="1"/>
  <c r="AU55" i="27"/>
  <c r="N52" i="27"/>
  <c r="N16" i="26"/>
  <c r="E4" i="46" s="1"/>
  <c r="AG55" i="27"/>
  <c r="AG19" i="26"/>
  <c r="X7" i="46" s="1"/>
  <c r="U16" i="26"/>
  <c r="L4" i="46" s="1"/>
  <c r="U52" i="27"/>
  <c r="H19" i="26"/>
  <c r="H55" i="27"/>
  <c r="D55" i="27"/>
  <c r="D19" i="26"/>
  <c r="W17" i="26"/>
  <c r="N5" i="46" s="1"/>
  <c r="W53" i="27"/>
  <c r="C14" i="26"/>
  <c r="C50" i="27"/>
  <c r="M53" i="27"/>
  <c r="M17" i="26"/>
  <c r="D5" i="46" s="1"/>
  <c r="M51" i="27"/>
  <c r="M15" i="26"/>
  <c r="D3" i="46" s="1"/>
  <c r="AE50" i="27"/>
  <c r="AE14" i="26"/>
  <c r="O53" i="27"/>
  <c r="O17" i="26"/>
  <c r="F5" i="46" s="1"/>
  <c r="H15" i="26"/>
  <c r="H51" i="27"/>
  <c r="U15" i="26"/>
  <c r="L3" i="46" s="1"/>
  <c r="U51" i="27"/>
  <c r="S15" i="26"/>
  <c r="J3" i="46" s="1"/>
  <c r="S51" i="27"/>
  <c r="N19" i="26"/>
  <c r="E7" i="46" s="1"/>
  <c r="N55" i="27"/>
  <c r="U50" i="27"/>
  <c r="U14" i="26"/>
  <c r="AN51" i="27"/>
  <c r="AN15" i="26"/>
  <c r="AE3" i="46" s="1"/>
  <c r="P52" i="27"/>
  <c r="P16" i="26"/>
  <c r="G4" i="46" s="1"/>
  <c r="AT18" i="26"/>
  <c r="AK6" i="46" s="1"/>
  <c r="AT54" i="27"/>
  <c r="AP55" i="27"/>
  <c r="AP19" i="26"/>
  <c r="AG7" i="46" s="1"/>
  <c r="AM55" i="27"/>
  <c r="AM19" i="26"/>
  <c r="AD7" i="46" s="1"/>
  <c r="AN19" i="26"/>
  <c r="AE7" i="46" s="1"/>
  <c r="AN55" i="27"/>
  <c r="AQ55" i="27"/>
  <c r="AQ19" i="26"/>
  <c r="AH7" i="46" s="1"/>
  <c r="AO55" i="27"/>
  <c r="AO19" i="26"/>
  <c r="AF7" i="46" s="1"/>
  <c r="AL17" i="26"/>
  <c r="AC5" i="46" s="1"/>
  <c r="AL53" i="27"/>
  <c r="O14" i="26"/>
  <c r="O50" i="27"/>
  <c r="AD15" i="26"/>
  <c r="U3" i="46" s="1"/>
  <c r="AD51" i="27"/>
  <c r="AS15" i="26"/>
  <c r="AJ3" i="46" s="1"/>
  <c r="AS51" i="27"/>
  <c r="AN17" i="26"/>
  <c r="AE5" i="46" s="1"/>
  <c r="AN53" i="27"/>
  <c r="R14" i="26"/>
  <c r="R50" i="27"/>
  <c r="T18" i="26"/>
  <c r="K6" i="46" s="1"/>
  <c r="T54" i="27"/>
  <c r="D52" i="27"/>
  <c r="D16" i="26"/>
  <c r="Y16" i="26"/>
  <c r="P4" i="46" s="1"/>
  <c r="Y52" i="27"/>
  <c r="AB54" i="27"/>
  <c r="AB18" i="26"/>
  <c r="S6" i="46" s="1"/>
  <c r="AR15" i="26"/>
  <c r="AI3" i="46" s="1"/>
  <c r="AR51" i="27"/>
  <c r="AN18" i="26"/>
  <c r="AE6" i="46" s="1"/>
  <c r="AN54" i="27"/>
  <c r="AI14" i="26"/>
  <c r="AI50" i="27"/>
  <c r="D15" i="26"/>
  <c r="D51" i="27"/>
  <c r="I51" i="27"/>
  <c r="I15" i="26"/>
  <c r="AK14" i="26"/>
  <c r="AK50" i="27"/>
  <c r="U18" i="26"/>
  <c r="L6" i="46" s="1"/>
  <c r="U54" i="27"/>
  <c r="AG16" i="26"/>
  <c r="X4" i="46" s="1"/>
  <c r="AG52" i="27"/>
  <c r="K51" i="27"/>
  <c r="K15" i="26"/>
  <c r="B3" i="46" s="1"/>
  <c r="AQ16" i="26"/>
  <c r="AH4" i="46" s="1"/>
  <c r="AQ52" i="27"/>
  <c r="AA15" i="26"/>
  <c r="R3" i="46" s="1"/>
  <c r="AA51" i="27"/>
  <c r="AL15" i="26"/>
  <c r="AC3" i="46" s="1"/>
  <c r="AL51" i="27"/>
  <c r="G51" i="27"/>
  <c r="G15" i="26"/>
  <c r="AT14" i="26"/>
  <c r="AT50" i="27"/>
  <c r="AH19" i="26"/>
  <c r="Y7" i="46" s="1"/>
  <c r="AH55" i="27"/>
  <c r="AJ18" i="26"/>
  <c r="AA6" i="46" s="1"/>
  <c r="AJ54" i="27"/>
  <c r="H54" i="27"/>
  <c r="H18" i="26"/>
  <c r="X17" i="26"/>
  <c r="O5" i="46" s="1"/>
  <c r="X53" i="27"/>
  <c r="K17" i="26"/>
  <c r="B5" i="46" s="1"/>
  <c r="K53" i="27"/>
  <c r="L15" i="26"/>
  <c r="C3" i="46" s="1"/>
  <c r="L51" i="27"/>
  <c r="E19" i="26"/>
  <c r="E55" i="27"/>
  <c r="F17" i="26"/>
  <c r="F53" i="27"/>
  <c r="J17" i="26"/>
  <c r="J53" i="27"/>
  <c r="G52" i="27"/>
  <c r="G16" i="26"/>
  <c r="P17" i="26"/>
  <c r="G5" i="46" s="1"/>
  <c r="P53" i="27"/>
  <c r="D53" i="27"/>
  <c r="D17" i="26"/>
  <c r="O15" i="26"/>
  <c r="F3" i="46" s="1"/>
  <c r="O51" i="27"/>
  <c r="J55" i="27"/>
  <c r="J19" i="26"/>
  <c r="AO17" i="26"/>
  <c r="AF5" i="46" s="1"/>
  <c r="AO53" i="27"/>
  <c r="F50" i="27"/>
  <c r="F14" i="26"/>
  <c r="Z18" i="26"/>
  <c r="Q6" i="46" s="1"/>
  <c r="Z54" i="27"/>
  <c r="AO16" i="26"/>
  <c r="AF4" i="46" s="1"/>
  <c r="AO52" i="27"/>
  <c r="AC15" i="26"/>
  <c r="T3" i="46" s="1"/>
  <c r="AC51" i="27"/>
  <c r="K55" i="27"/>
  <c r="K19" i="26"/>
  <c r="B7" i="46" s="1"/>
  <c r="AK54" i="27"/>
  <c r="AK18" i="26"/>
  <c r="AB6" i="46" s="1"/>
  <c r="X15" i="26"/>
  <c r="O3" i="46" s="1"/>
  <c r="X51" i="27"/>
  <c r="AB17" i="26"/>
  <c r="S5" i="46" s="1"/>
  <c r="AB53" i="27"/>
  <c r="AK17" i="26"/>
  <c r="AB5" i="46" s="1"/>
  <c r="AK53" i="27"/>
  <c r="G55" i="27"/>
  <c r="G19" i="26"/>
  <c r="C18" i="26"/>
  <c r="C54" i="27"/>
  <c r="T19" i="26"/>
  <c r="K7" i="46" s="1"/>
  <c r="T55" i="27"/>
  <c r="AE16" i="26"/>
  <c r="V4" i="46" s="1"/>
  <c r="AE52" i="27"/>
  <c r="AP17" i="26"/>
  <c r="AG5" i="46" s="1"/>
  <c r="AP53" i="27"/>
  <c r="AM17" i="26"/>
  <c r="AD5" i="46" s="1"/>
  <c r="AM53" i="27"/>
  <c r="AK15" i="26"/>
  <c r="AB3" i="46" s="1"/>
  <c r="AK51" i="27"/>
  <c r="AQ17" i="26"/>
  <c r="AH5" i="46" s="1"/>
  <c r="AQ53" i="27"/>
  <c r="AP48" i="26" l="1"/>
  <c r="AP49" i="26" s="1"/>
  <c r="AG2" i="46"/>
  <c r="AL48" i="26"/>
  <c r="AL49" i="26" s="1"/>
  <c r="AC2" i="46"/>
  <c r="D48" i="26"/>
  <c r="D49" i="26" s="1"/>
  <c r="S48" i="26"/>
  <c r="S49" i="26" s="1"/>
  <c r="J2" i="46"/>
  <c r="H2" i="46"/>
  <c r="Q48" i="26"/>
  <c r="Q49" i="26" s="1"/>
  <c r="AG48" i="26"/>
  <c r="AG49" i="26" s="1"/>
  <c r="X2" i="46"/>
  <c r="Z48" i="26"/>
  <c r="Z49" i="26" s="1"/>
  <c r="Q2" i="46"/>
  <c r="E48" i="26"/>
  <c r="E49" i="26" s="1"/>
  <c r="C2" i="46"/>
  <c r="L48" i="26"/>
  <c r="L49" i="26" s="1"/>
  <c r="V48" i="26"/>
  <c r="V49" i="26" s="1"/>
  <c r="M2" i="46"/>
  <c r="G48" i="26"/>
  <c r="G49" i="26" s="1"/>
  <c r="AC48" i="26"/>
  <c r="AC49" i="26" s="1"/>
  <c r="T2" i="46"/>
  <c r="AS48" i="26"/>
  <c r="AS49" i="26" s="1"/>
  <c r="AJ2" i="46"/>
  <c r="C48" i="26"/>
  <c r="C49" i="26" s="1"/>
  <c r="AH48" i="26"/>
  <c r="AH49" i="26" s="1"/>
  <c r="Y2" i="46"/>
  <c r="AQ48" i="26"/>
  <c r="AQ49" i="26" s="1"/>
  <c r="AH2" i="46"/>
  <c r="I2" i="46"/>
  <c r="R48" i="26"/>
  <c r="R49" i="26" s="1"/>
  <c r="I48" i="26"/>
  <c r="I49" i="26" s="1"/>
  <c r="L2" i="46"/>
  <c r="U48" i="26"/>
  <c r="U49" i="26" s="1"/>
  <c r="AF48" i="26"/>
  <c r="AF49" i="26" s="1"/>
  <c r="W2" i="46"/>
  <c r="AA48" i="26"/>
  <c r="AA49" i="26" s="1"/>
  <c r="R2" i="46"/>
  <c r="AO48" i="26"/>
  <c r="AO49" i="26" s="1"/>
  <c r="AF2" i="46"/>
  <c r="B2" i="46"/>
  <c r="K48" i="26"/>
  <c r="K49" i="26" s="1"/>
  <c r="W48" i="26"/>
  <c r="W49" i="26" s="1"/>
  <c r="N2" i="46"/>
  <c r="J48" i="26"/>
  <c r="J49" i="26" s="1"/>
  <c r="G2" i="46"/>
  <c r="P48" i="26"/>
  <c r="P49" i="26" s="1"/>
  <c r="AB2" i="46"/>
  <c r="AK48" i="26"/>
  <c r="AK49" i="26" s="1"/>
  <c r="AU48" i="26"/>
  <c r="AU49" i="26" s="1"/>
  <c r="AL2" i="46"/>
  <c r="X48" i="26"/>
  <c r="X49" i="26" s="1"/>
  <c r="O2" i="46"/>
  <c r="H48" i="26"/>
  <c r="H49" i="26" s="1"/>
  <c r="AB48" i="26"/>
  <c r="AB49" i="26" s="1"/>
  <c r="S2" i="46"/>
  <c r="E2" i="46"/>
  <c r="N48" i="26"/>
  <c r="N49" i="26" s="1"/>
  <c r="AN48" i="26"/>
  <c r="AN49" i="26" s="1"/>
  <c r="AE2" i="46"/>
  <c r="V2" i="46"/>
  <c r="AE48" i="26"/>
  <c r="AE49" i="26" s="1"/>
  <c r="F48" i="26"/>
  <c r="F49" i="26" s="1"/>
  <c r="AK2" i="46"/>
  <c r="AT48" i="26"/>
  <c r="AT49" i="26" s="1"/>
  <c r="AI48" i="26"/>
  <c r="AI49" i="26" s="1"/>
  <c r="Z2" i="46"/>
  <c r="F2" i="46"/>
  <c r="O48" i="26"/>
  <c r="O49" i="26" s="1"/>
  <c r="T48" i="26"/>
  <c r="T49" i="26" s="1"/>
  <c r="K2" i="46"/>
  <c r="AM48" i="26"/>
  <c r="AM49" i="26" s="1"/>
  <c r="AD2" i="46"/>
  <c r="AD48" i="26"/>
  <c r="AD49" i="26" s="1"/>
  <c r="U2" i="46"/>
  <c r="D2" i="46"/>
  <c r="M48" i="26"/>
  <c r="M49" i="26" s="1"/>
  <c r="AR48" i="26"/>
  <c r="AR49" i="26" s="1"/>
  <c r="AI2" i="46"/>
  <c r="AJ48" i="26"/>
  <c r="AJ49" i="26" s="1"/>
  <c r="AA2" i="46"/>
  <c r="Y48" i="26"/>
  <c r="Y49" i="26" s="1"/>
  <c r="P2"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11" authorId="0" shapeId="0" xr:uid="{00000000-0006-0000-0C00-000001000000}">
      <text>
        <r>
          <rPr>
            <b/>
            <sz val="9"/>
            <color indexed="81"/>
            <rFont val="宋体"/>
            <family val="3"/>
            <charset val="134"/>
          </rPr>
          <t>作者:</t>
        </r>
        <r>
          <rPr>
            <sz val="9"/>
            <color indexed="81"/>
            <rFont val="宋体"/>
            <family val="3"/>
            <charset val="134"/>
          </rPr>
          <t xml:space="preserve">
HK 2030 Baseline Review</t>
        </r>
      </text>
    </comment>
    <comment ref="A22" authorId="0" shapeId="0" xr:uid="{00000000-0006-0000-0C00-000002000000}">
      <text>
        <r>
          <rPr>
            <b/>
            <sz val="9"/>
            <color indexed="81"/>
            <rFont val="宋体"/>
            <family val="3"/>
            <charset val="134"/>
          </rPr>
          <t>作者:</t>
        </r>
        <r>
          <rPr>
            <sz val="9"/>
            <color indexed="81"/>
            <rFont val="宋体"/>
            <family val="3"/>
            <charset val="134"/>
          </rPr>
          <t xml:space="preserve">
Transposed from sheet Energy8Sec.
Commercial is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G52" authorId="0" shapeId="0" xr:uid="{00000000-0006-0000-0800-000001000000}">
      <text>
        <r>
          <rPr>
            <b/>
            <sz val="9"/>
            <color indexed="81"/>
            <rFont val="宋体"/>
            <family val="3"/>
            <charset val="134"/>
          </rPr>
          <t>作者:</t>
        </r>
        <r>
          <rPr>
            <sz val="9"/>
            <color indexed="81"/>
            <rFont val="宋体"/>
            <family val="3"/>
            <charset val="134"/>
          </rPr>
          <t xml:space="preserve">
History data is by nature more self-consistent; prejection data may be not(See sheet"Future Energy Share"</t>
        </r>
      </text>
    </comment>
    <comment ref="S53" authorId="0" shapeId="0" xr:uid="{00000000-0006-0000-0800-000002000000}">
      <text>
        <r>
          <rPr>
            <b/>
            <sz val="9"/>
            <color indexed="81"/>
            <rFont val="宋体"/>
            <family val="3"/>
            <charset val="134"/>
          </rPr>
          <t>WU YZ:</t>
        </r>
        <r>
          <rPr>
            <sz val="9"/>
            <color indexed="81"/>
            <rFont val="宋体"/>
            <family val="3"/>
            <charset val="134"/>
          </rPr>
          <t xml:space="preserve">
should be zero</t>
        </r>
      </text>
    </comment>
    <comment ref="V53" authorId="0" shapeId="0" xr:uid="{00000000-0006-0000-0800-000003000000}">
      <text>
        <r>
          <rPr>
            <b/>
            <sz val="9"/>
            <color indexed="81"/>
            <rFont val="宋体"/>
            <family val="3"/>
            <charset val="134"/>
          </rPr>
          <t>WU YZ:
should be zero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2" authorId="0" shapeId="0" xr:uid="{00000000-0006-0000-0D00-000001000000}">
      <text>
        <r>
          <rPr>
            <b/>
            <sz val="9"/>
            <color rgb="FF000000"/>
            <rFont val="Tahoma"/>
            <family val="2"/>
          </rPr>
          <t>作者:</t>
        </r>
        <r>
          <rPr>
            <sz val="9"/>
            <color rgb="FF000000"/>
            <rFont val="Tahoma"/>
            <family val="2"/>
          </rPr>
          <t xml:space="preserve">
Roman to advise how we can improve on the estimate of energy efficiency change between 2016 and 2050?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AD14" authorId="0" shapeId="0" xr:uid="{00000000-0006-0000-0E00-000001000000}">
      <text>
        <r>
          <rPr>
            <b/>
            <sz val="9"/>
            <color indexed="81"/>
            <rFont val="宋体"/>
            <family val="3"/>
            <charset val="134"/>
          </rPr>
          <t>作者:</t>
        </r>
        <r>
          <rPr>
            <sz val="9"/>
            <color indexed="81"/>
            <rFont val="宋体"/>
            <family val="3"/>
            <charset val="134"/>
          </rPr>
          <t xml:space="preserve">
Or maybe:
=TREND($AD$3:$AD$13,$A$3:$A$13,A14)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P16" authorId="0" shapeId="0" xr:uid="{00000000-0006-0000-1200-000001000000}">
      <text>
        <r>
          <rPr>
            <b/>
            <sz val="9"/>
            <color rgb="FF000000"/>
            <rFont val="宋体"/>
            <charset val="134"/>
          </rPr>
          <t xml:space="preserve">WU YZ:
</t>
        </r>
        <r>
          <rPr>
            <b/>
            <sz val="9"/>
            <color rgb="FF000000"/>
            <rFont val="宋体"/>
            <charset val="134"/>
          </rPr>
          <t>I think it should be zero; and the differences between the value and 0 might be an indicator implying whether the estimated energy end-use share is proper and self-consistant.</t>
        </r>
      </text>
    </comment>
    <comment ref="S16" authorId="0" shapeId="0" xr:uid="{00000000-0006-0000-1200-000002000000}">
      <text>
        <r>
          <rPr>
            <sz val="9"/>
            <color indexed="81"/>
            <rFont val="宋体"/>
            <family val="3"/>
            <charset val="134"/>
          </rPr>
          <t>WU YZ:
I think it should be zero; and the differences between the value and 0 might be an indicator implying whether the estimated energy end-use share is proper and self-consistant.</t>
        </r>
      </text>
    </comment>
    <comment ref="P67" authorId="0" shapeId="0" xr:uid="{00000000-0006-0000-1200-000003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S67" authorId="0" shapeId="0" xr:uid="{00000000-0006-0000-1200-000004000000}">
      <text>
        <r>
          <rPr>
            <sz val="9"/>
            <color indexed="81"/>
            <rFont val="宋体"/>
            <family val="3"/>
            <charset val="134"/>
          </rPr>
          <t>WU YZ:
I think it should be zero; and the differences between the value and 0 might be an indicator implying whether the estimated energy end-use share is proper and self-consistant.</t>
        </r>
      </text>
    </comment>
    <comment ref="AB119" authorId="0" shapeId="0" xr:uid="{00000000-0006-0000-1200-000005000000}">
      <text>
        <r>
          <rPr>
            <b/>
            <sz val="9"/>
            <color indexed="81"/>
            <rFont val="宋体"/>
            <family val="3"/>
            <charset val="134"/>
          </rPr>
          <t>WU YZ:
I think it should be zero; and the differences between the value and 0 might be an indicator implying whether the estimated energy end-use share is proper and self-consistant.</t>
        </r>
      </text>
    </comment>
    <comment ref="AJ125" authorId="0" shapeId="0" xr:uid="{00000000-0006-0000-1200-000006000000}">
      <text>
        <r>
          <rPr>
            <b/>
            <sz val="9"/>
            <color indexed="81"/>
            <rFont val="宋体"/>
            <family val="3"/>
            <charset val="134"/>
          </rPr>
          <t>作者:</t>
        </r>
        <r>
          <rPr>
            <sz val="9"/>
            <color indexed="81"/>
            <rFont val="宋体"/>
            <family val="3"/>
            <charset val="134"/>
          </rPr>
          <t xml:space="preserve">
because they don't use energy other than electricity</t>
        </r>
      </text>
    </comment>
    <comment ref="AJ128" authorId="0" shapeId="0" xr:uid="{00000000-0006-0000-1200-000007000000}">
      <text>
        <r>
          <rPr>
            <b/>
            <sz val="9"/>
            <color indexed="81"/>
            <rFont val="宋体"/>
            <family val="3"/>
            <charset val="134"/>
          </rPr>
          <t>作者:</t>
        </r>
        <r>
          <rPr>
            <sz val="9"/>
            <color indexed="81"/>
            <rFont val="宋体"/>
            <family val="3"/>
            <charset val="134"/>
          </rPr>
          <t xml:space="preserve">
They don't use energy other than electricity either.</t>
        </r>
      </text>
    </comment>
    <comment ref="R131" authorId="0" shapeId="0" xr:uid="{00000000-0006-0000-1200-000008000000}">
      <text>
        <r>
          <rPr>
            <b/>
            <sz val="9"/>
            <color rgb="FF000000"/>
            <rFont val="宋体"/>
            <family val="3"/>
            <charset val="134"/>
          </rPr>
          <t>作者:</t>
        </r>
        <r>
          <rPr>
            <sz val="9"/>
            <color rgb="FF000000"/>
            <rFont val="宋体"/>
            <family val="3"/>
            <charset val="134"/>
          </rPr>
          <t xml:space="preserve">
assume it's fixed at 2014 level, to make other energy type</t>
        </r>
      </text>
    </comment>
    <comment ref="S131" authorId="0" shapeId="0" xr:uid="{00000000-0006-0000-1200-000009000000}">
      <text>
        <r>
          <rPr>
            <b/>
            <sz val="9"/>
            <color indexed="81"/>
            <rFont val="宋体"/>
            <family val="3"/>
            <charset val="134"/>
          </rPr>
          <t>作者:</t>
        </r>
        <r>
          <rPr>
            <sz val="9"/>
            <color indexed="81"/>
            <rFont val="宋体"/>
            <family val="3"/>
            <charset val="134"/>
          </rPr>
          <t xml:space="preserve">
Assume it's fixed at 2014 level-"Others"category not below zero</t>
        </r>
      </text>
    </comment>
    <comment ref="AD164" authorId="0" shapeId="0" xr:uid="{00000000-0006-0000-1200-00000A000000}">
      <text>
        <r>
          <rPr>
            <b/>
            <sz val="9"/>
            <color indexed="81"/>
            <rFont val="宋体"/>
            <family val="3"/>
            <charset val="134"/>
          </rPr>
          <t>作者:</t>
        </r>
        <r>
          <rPr>
            <sz val="9"/>
            <color indexed="81"/>
            <rFont val="宋体"/>
            <family val="3"/>
            <charset val="134"/>
          </rPr>
          <t xml:space="preserve">
may be a little bit  too high;but I haven't found a good adjustment for it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<sst xmlns="http://schemas.openxmlformats.org/spreadsheetml/2006/main" count="3280" uniqueCount="1061">
  <si>
    <t>Sources:</t>
  </si>
  <si>
    <t>EMSD Energy End-use Data</t>
    <phoneticPr fontId="3" type="noConversion"/>
  </si>
  <si>
    <t>(Sheets:Energy8Sec, Residential8Fuel, Commercial8Fuel, Residential8EndUse, Commertial8EndUse)</t>
    <phoneticPr fontId="3" type="noConversion"/>
  </si>
  <si>
    <t>Hong Kong Energy End-use Data</t>
  </si>
  <si>
    <t>2013-2018</t>
    <phoneticPr fontId="3" type="noConversion"/>
  </si>
  <si>
    <t>https://www.emsd.gov.hk/en/energy_efficiency/energy_end_use_data_and_consumption_indicators/hong_kong_energy_end_use_data/data/index.html</t>
  </si>
  <si>
    <t>Sheets:"Energy8Sec","Residential8Fuel","Commercial8Fuel","Residential8EndUse" and "Commercial8EndUse" are all from this data source.</t>
    <phoneticPr fontId="3" type="noConversion"/>
  </si>
  <si>
    <t>HK 2030 Report</t>
    <phoneticPr fontId="3" type="noConversion"/>
  </si>
  <si>
    <t>HK 2030: Baseline Review</t>
    <phoneticPr fontId="3" type="noConversion"/>
  </si>
  <si>
    <t>HK Development Bureau, HK Planning Department</t>
  </si>
  <si>
    <t>HK Development Bureau, HK Planning Department</t>
    <phoneticPr fontId="3" type="noConversion"/>
  </si>
  <si>
    <t>Final Report</t>
    <phoneticPr fontId="3" type="noConversion"/>
  </si>
  <si>
    <t xml:space="preserve">Baseline Review: Population, Housing, Economy and Spatial Development Pattern </t>
    <phoneticPr fontId="3" type="noConversion"/>
  </si>
  <si>
    <t>https://www.pland.gov.hk/pland_en/p_study/comp_s/hk2030/eng/finalreport/</t>
    <phoneticPr fontId="3" type="noConversion"/>
  </si>
  <si>
    <t>https://www.hk2030plus.hk/document/Baseline%20Review%20-%20Population_Housing_Economy%20and%20Spatial%20Development%20Pattern_Eng.pdf</t>
  </si>
  <si>
    <t>Household History Data(Sheet: Household_Histo)</t>
    <phoneticPr fontId="3" type="noConversion"/>
  </si>
  <si>
    <t>Household Prediction Data(Sheet: Household_Pred)</t>
    <phoneticPr fontId="3" type="noConversion"/>
  </si>
  <si>
    <t>Census and Statistics Department, HK</t>
  </si>
  <si>
    <t>Table 005 : Statistics on Domestic Households</t>
    <phoneticPr fontId="3" type="noConversion"/>
  </si>
  <si>
    <t>Table E485 : Hong Kong Domestic Household Projections</t>
    <phoneticPr fontId="3" type="noConversion"/>
  </si>
  <si>
    <t>https://www.censtatd.gov.hk/hkstat/sub/sp150.jsp?tableID=005&amp;ID=0&amp;productType=8</t>
    <phoneticPr fontId="3" type="noConversion"/>
  </si>
  <si>
    <t>https://www.censtatd.gov.hk/hkstat/sub/sp190.jsp?productCode=D5320185</t>
    <phoneticPr fontId="3" type="noConversion"/>
  </si>
  <si>
    <t>Floor Area Per capita (Sheet: FloorAreaPer)</t>
    <phoneticPr fontId="3" type="noConversion"/>
  </si>
  <si>
    <t>Population By-census</t>
    <phoneticPr fontId="3" type="noConversion"/>
  </si>
  <si>
    <t xml:space="preserve">Table E129c: Median Per Capita Floor Area of Accommodation by Area of Residence, Household Size, Year and Type of Housing </t>
    <phoneticPr fontId="3" type="noConversion"/>
  </si>
  <si>
    <t>https://www.bycensus2016.gov.hk/en/bc-mt.html?search=E129c</t>
    <phoneticPr fontId="3" type="noConversion"/>
  </si>
  <si>
    <t>Building 2016 Data</t>
    <phoneticPr fontId="3" type="noConversion"/>
  </si>
  <si>
    <t>From Xiaoqian Jiang</t>
    <phoneticPr fontId="3" type="noConversion"/>
  </si>
  <si>
    <t>From Excel "Copy of HK 2016 end use energy consumption rough 20190226 (added the building  waste) revised2 lawrence.xlsx", Sheet"Building"</t>
    <phoneticPr fontId="3" type="noConversion"/>
  </si>
  <si>
    <t>Edition Log (WU Yazhen)</t>
    <phoneticPr fontId="3" type="noConversion"/>
  </si>
  <si>
    <t>20190301_v1</t>
    <phoneticPr fontId="3" type="noConversion"/>
  </si>
  <si>
    <t>This part of data collection has not been finished.</t>
    <phoneticPr fontId="3" type="noConversion"/>
  </si>
  <si>
    <t xml:space="preserve">Next step: </t>
    <phoneticPr fontId="3" type="noConversion"/>
  </si>
  <si>
    <t>1.Found Household Unit Composition to separate urban/rural residential</t>
    <phoneticPr fontId="3" type="noConversion"/>
  </si>
  <si>
    <t>2.Use historical and predicted data of :Population, GDP, total residential area, total commercial arer, average number of people per household, average residential area per household</t>
    <phoneticPr fontId="3" type="noConversion"/>
  </si>
  <si>
    <t>to make linear or non-linear regression to predict future total energy consumption of residential/commercial sector of each fuel type.</t>
    <phoneticPr fontId="3" type="noConversion"/>
  </si>
  <si>
    <t>Then assuming the end-use composition stay unchanged throught the years, and the already-annouced building energy saving goal achieved.</t>
    <phoneticPr fontId="3" type="noConversion"/>
  </si>
  <si>
    <t>To predict future BAU End-use Data</t>
    <phoneticPr fontId="3" type="noConversion"/>
  </si>
  <si>
    <t>20190304_v2</t>
    <phoneticPr fontId="3" type="noConversion"/>
  </si>
  <si>
    <t>Finished:</t>
    <phoneticPr fontId="3" type="noConversion"/>
  </si>
  <si>
    <t>1.Found household history and prediction data.</t>
    <phoneticPr fontId="3" type="noConversion"/>
  </si>
  <si>
    <t>2.Found Commercial AreaUse relative prediction ( average living area per household, household number; average living area per person, population) to predict residential area.</t>
    <phoneticPr fontId="3" type="noConversion"/>
  </si>
  <si>
    <t xml:space="preserve">3.Done regression for estimating future residential energy consumption and </t>
    <phoneticPr fontId="3" type="noConversion"/>
  </si>
  <si>
    <t>20190305_v3</t>
    <phoneticPr fontId="3" type="noConversion"/>
  </si>
  <si>
    <t>1.Finished 1st version of Future Energy (End-use) Share Prediction.</t>
    <phoneticPr fontId="3" type="noConversion"/>
  </si>
  <si>
    <t>2.Finished all calculation and got the final results, with TJ been converted to BTU.</t>
    <phoneticPr fontId="3" type="noConversion"/>
  </si>
  <si>
    <t>20190306_v4</t>
    <phoneticPr fontId="3" type="noConversion"/>
  </si>
  <si>
    <t>1. Change future household prediction data (from using"HK 2030 Baseline.pdf" as source, to using the HK C&amp;SD predictions in sheet"Household_Pred").</t>
    <phoneticPr fontId="3" type="noConversion"/>
  </si>
  <si>
    <t>2. The End-use "cooking" category has been put into "Appliance", not "Others".</t>
    <phoneticPr fontId="3" type="noConversion"/>
  </si>
  <si>
    <t>3. The breakdown of rural/urban residential is finished.</t>
    <phoneticPr fontId="3" type="noConversion"/>
  </si>
  <si>
    <t>4. The final data sheets are in the same format as the EPS US model inputdata sheets'.</t>
    <phoneticPr fontId="3" type="noConversion"/>
  </si>
  <si>
    <t>20190404_v5</t>
    <phoneticPr fontId="3" type="noConversion"/>
  </si>
  <si>
    <t>Revised:</t>
    <phoneticPr fontId="3" type="noConversion"/>
  </si>
  <si>
    <t>1. The missing final sheets for commercial have been added.</t>
    <phoneticPr fontId="3" type="noConversion"/>
  </si>
  <si>
    <t>2. The data form in the sheets colored blue is adjust to be the same with the US model(start year from 2014).</t>
    <phoneticPr fontId="3" type="noConversion"/>
  </si>
  <si>
    <t xml:space="preserve">3. Limit the use of coal&amp;oil, and also gas, to be only in the appliance, not for lighting and other end-use sectors. </t>
    <phoneticPr fontId="3" type="noConversion"/>
  </si>
  <si>
    <t>(Adjustments are mainly made in the sheet "Future Energy share", on the breakdown of oil&amp;coal (or gas) among different end-use types.</t>
    <phoneticPr fontId="3" type="noConversion"/>
  </si>
  <si>
    <t>20190906_v6</t>
    <phoneticPr fontId="3" type="noConversion"/>
  </si>
  <si>
    <r>
      <t xml:space="preserve">1. Change the method of predicting </t>
    </r>
    <r>
      <rPr>
        <b/>
        <sz val="11"/>
        <color theme="1"/>
        <rFont val="新細明體"/>
        <family val="3"/>
        <charset val="134"/>
        <scheme val="minor"/>
      </rPr>
      <t>total</t>
    </r>
    <r>
      <rPr>
        <sz val="11"/>
        <color theme="1"/>
        <rFont val="新細明體"/>
        <family val="2"/>
        <scheme val="minor"/>
      </rPr>
      <t xml:space="preserve"> </t>
    </r>
    <r>
      <rPr>
        <b/>
        <sz val="11"/>
        <color theme="1"/>
        <rFont val="新細明體"/>
        <family val="3"/>
        <charset val="134"/>
        <scheme val="minor"/>
      </rPr>
      <t>private/public/commercial building's energy demand</t>
    </r>
    <r>
      <rPr>
        <sz val="11"/>
        <color theme="1"/>
        <rFont val="新細明體"/>
        <family val="2"/>
        <scheme val="minor"/>
      </rPr>
      <t xml:space="preserve">:  first predict future trend of per capita/per area energy consumption, </t>
    </r>
    <phoneticPr fontId="3" type="noConversion"/>
  </si>
  <si>
    <t>and multiply them with population/area projections, than to directly predict total energy consumption by regression.</t>
  </si>
  <si>
    <r>
      <t xml:space="preserve">2. No longer divide the house as urban/rural residential, but </t>
    </r>
    <r>
      <rPr>
        <b/>
        <sz val="11"/>
        <color theme="1"/>
        <rFont val="新細明體"/>
        <family val="3"/>
        <charset val="134"/>
        <scheme val="minor"/>
      </rPr>
      <t>divide them as private/public residential</t>
    </r>
    <r>
      <rPr>
        <sz val="11"/>
        <color theme="1"/>
        <rFont val="新細明體"/>
        <family val="2"/>
        <scheme val="minor"/>
      </rPr>
      <t xml:space="preserve"> (and mark private as urban, residential as rural in the dark-blue final input sheets)</t>
    </r>
    <phoneticPr fontId="3" type="noConversion"/>
  </si>
  <si>
    <t>Method</t>
    <phoneticPr fontId="3" type="noConversion"/>
  </si>
  <si>
    <t>Step1: Predict Future Total Energy Consumption by Segments using socioeconomic and energy intensity data</t>
    <phoneticPr fontId="3" type="noConversion"/>
  </si>
  <si>
    <t>predict per capita/per area energy consumption and then multiply it with population/area projections. Not directly predict total energy consumption by regression.</t>
    <phoneticPr fontId="3" type="noConversion"/>
  </si>
  <si>
    <t>Step2: Predict Future Energy Type Share by using trend function.</t>
    <phoneticPr fontId="3" type="noConversion"/>
  </si>
  <si>
    <t>Step3: Predict Future End-use share of different(electricity/non-electricity)  type in residential energy use</t>
    <phoneticPr fontId="3" type="noConversion"/>
  </si>
  <si>
    <t>Assumptions &amp; Classicification</t>
    <phoneticPr fontId="3" type="noConversion"/>
  </si>
  <si>
    <t>1. "Coal and oil"(in statistics: energy consumption by fuel) is made up of 50% coal, 50% oil. And "Town gas &amp;Oil gas" equals to natural gas</t>
    <phoneticPr fontId="3" type="noConversion"/>
  </si>
  <si>
    <t>2. The end-use "Hot water" are categorized as "Appliance", not as part of the "Heating".</t>
    <phoneticPr fontId="3" type="noConversion"/>
  </si>
  <si>
    <t xml:space="preserve">3. No energy consumption in "Heating"(In EPS model note, the "Heating" means distributed heating, which HK does not have), and thus </t>
    <phoneticPr fontId="3" type="noConversion"/>
  </si>
  <si>
    <t>4. The end-use "Appliance" includes "Hot water &amp;Refrigeration", "Office equipment" and "Cooking", while the category "Others" includes "Others" in the Residential/Commercial sector segment statistic.</t>
    <phoneticPr fontId="3" type="noConversion"/>
  </si>
  <si>
    <t>5. The share of end-uses in all different non-electricity energy types are the same.</t>
    <phoneticPr fontId="3" type="noConversion"/>
  </si>
  <si>
    <t>Future considerations</t>
    <phoneticPr fontId="3" type="noConversion"/>
  </si>
  <si>
    <t>1.The fact that older peole' energy demand is different and the HK population structure is changing</t>
    <phoneticPr fontId="3" type="noConversion"/>
  </si>
  <si>
    <t>2. Classification of end-use categories. E.g. perhaps "Cooking" should be grouped into "Appliance" category, not "Others"?</t>
    <phoneticPr fontId="3" type="noConversion"/>
  </si>
  <si>
    <t>3. Refer to BEC (HK Energy-saving Report)?</t>
    <phoneticPr fontId="3" type="noConversion"/>
  </si>
  <si>
    <t>4. Use "Fitting" instead of "Trend" at some places? Fitting gets smoothing curve, while the results of "Trend" are like piecewise function.</t>
    <phoneticPr fontId="3" type="noConversion"/>
  </si>
  <si>
    <t>5. Improving regression estimation? E.g. "Residential Emission is mainly driven by per capita energy use"(Xu et al. Applied Energy. 2014,132).</t>
    <phoneticPr fontId="3" type="noConversion"/>
  </si>
  <si>
    <r>
      <t>6.</t>
    </r>
    <r>
      <rPr>
        <sz val="11"/>
        <color theme="1"/>
        <rFont val="新細明體"/>
        <family val="2"/>
        <scheme val="minor"/>
      </rPr>
      <t xml:space="preserve">Try decomposition method similar with KAYA? Ref: Xu et al,Applied Energy.2014. </t>
    </r>
    <phoneticPr fontId="3" type="noConversion"/>
  </si>
  <si>
    <t>7. Try predicting average residential area per capita, and then total residential area. Maybe this is an important independent variable for regression.</t>
    <phoneticPr fontId="3" type="noConversion"/>
  </si>
  <si>
    <t>Question:</t>
  </si>
  <si>
    <r>
      <t>Should the team consider the 7 items listed on the</t>
    </r>
    <r>
      <rPr>
        <b/>
        <sz val="11"/>
        <color theme="1"/>
        <rFont val="新細明體"/>
        <family val="2"/>
        <scheme val="minor"/>
      </rPr>
      <t xml:space="preserve"> Future Consideration </t>
    </r>
    <r>
      <rPr>
        <sz val="11"/>
        <color theme="1"/>
        <rFont val="新細明體"/>
        <family val="2"/>
        <scheme val="minor"/>
      </rPr>
      <t>section</t>
    </r>
    <r>
      <rPr>
        <b/>
        <sz val="11"/>
        <color theme="1"/>
        <rFont val="新細明體"/>
        <family val="2"/>
        <scheme val="minor"/>
      </rPr>
      <t xml:space="preserve"> </t>
    </r>
    <r>
      <rPr>
        <sz val="11"/>
        <color theme="1"/>
        <rFont val="新細明體"/>
        <family val="2"/>
        <scheme val="minor"/>
      </rPr>
      <t>when updating?</t>
    </r>
  </si>
  <si>
    <t>10. Sheet "Future Energy Share", data in row 64-65 is currently not yet supported by valid material; they are assumed by me.</t>
    <phoneticPr fontId="3" type="noConversion"/>
  </si>
  <si>
    <t>About</t>
    <phoneticPr fontId="3" type="noConversion"/>
  </si>
  <si>
    <t>InternalLink</t>
    <phoneticPr fontId="3" type="noConversion"/>
  </si>
  <si>
    <t>Household_Histo</t>
    <phoneticPr fontId="3" type="noConversion"/>
  </si>
  <si>
    <t>Household_Pred</t>
    <phoneticPr fontId="3" type="noConversion"/>
  </si>
  <si>
    <t>Energy8Sec</t>
    <phoneticPr fontId="3" type="noConversion"/>
  </si>
  <si>
    <t>Residential8Fuel</t>
    <phoneticPr fontId="3" type="noConversion"/>
  </si>
  <si>
    <t>Commercial8Fuel</t>
    <phoneticPr fontId="3" type="noConversion"/>
  </si>
  <si>
    <t>Residential8EndUse</t>
    <phoneticPr fontId="3" type="noConversion"/>
  </si>
  <si>
    <t>Commercial8EndUse</t>
    <phoneticPr fontId="3" type="noConversion"/>
  </si>
  <si>
    <t>Commercial</t>
    <phoneticPr fontId="3" type="noConversion"/>
  </si>
  <si>
    <t>Residential</t>
    <phoneticPr fontId="3" type="noConversion"/>
  </si>
  <si>
    <t>Future Pred</t>
    <phoneticPr fontId="3" type="noConversion"/>
  </si>
  <si>
    <t>Futre Data</t>
    <phoneticPr fontId="3" type="noConversion"/>
  </si>
  <si>
    <t>transition for STATA</t>
    <phoneticPr fontId="3" type="noConversion"/>
  </si>
  <si>
    <t>STATA Reg Result</t>
    <phoneticPr fontId="3" type="noConversion"/>
  </si>
  <si>
    <t xml:space="preserve">BTU Factor </t>
    <phoneticPr fontId="3" type="noConversion"/>
  </si>
  <si>
    <t>Note</t>
    <phoneticPr fontId="3" type="noConversion"/>
  </si>
  <si>
    <t>Table005: Statistics on Domestic Households</t>
  </si>
  <si>
    <t>Period</t>
  </si>
  <si>
    <t>Number of domestic households ('000)</t>
  </si>
  <si>
    <t>Average domestic household size</t>
  </si>
  <si>
    <t>Owner-occupiers as a proportion of total number of domestic households (%)</t>
  </si>
  <si>
    <t>Owner-occupiers in public sector housing as a proportion of total number of domestic households in public sector housing (%)</t>
  </si>
  <si>
    <t>Owner-occupiers in private sector housing as a proportion of total number of domestic households in private sector housing (%)</t>
  </si>
  <si>
    <t>N.A.</t>
  </si>
  <si>
    <t>10/1981 - 12/1981</t>
  </si>
  <si>
    <t>1/1982 - 3/1982</t>
  </si>
  <si>
    <t>4/1982 - 6/1982</t>
  </si>
  <si>
    <t>7/1982 - 9/1982</t>
  </si>
  <si>
    <t>10/1982 - 12/1982</t>
  </si>
  <si>
    <t>1/1983 - 3/1983</t>
  </si>
  <si>
    <t>4/1983 - 6/1983</t>
  </si>
  <si>
    <t>7/1983 - 9/1983</t>
  </si>
  <si>
    <t>10/1983 - 12/1983</t>
  </si>
  <si>
    <t>1/1984 - 3/1984</t>
  </si>
  <si>
    <t>4/1984 - 6/1984</t>
  </si>
  <si>
    <t>7/1984 - 9/1984</t>
  </si>
  <si>
    <t>10/1984 - 12/1984</t>
  </si>
  <si>
    <t>1/1985 - 3/1985</t>
  </si>
  <si>
    <t>4/1985 - 6/1985</t>
  </si>
  <si>
    <t>7/1985 - 9/1985</t>
  </si>
  <si>
    <t>10/1985 - 12/1985</t>
  </si>
  <si>
    <t>1/1986 - 3/1986</t>
  </si>
  <si>
    <t>4/1986 - 6/1986</t>
  </si>
  <si>
    <t>7/1986 - 9/1986</t>
  </si>
  <si>
    <t>10/1986 - 12/1986</t>
  </si>
  <si>
    <t>1/1987 - 3/1987</t>
  </si>
  <si>
    <t>4/1987 - 6/1987</t>
  </si>
  <si>
    <t>7/1987 - 9/1987</t>
  </si>
  <si>
    <t>10/1987 - 12/1987</t>
  </si>
  <si>
    <t>1/1988 - 3/1988</t>
  </si>
  <si>
    <t>4/1988 - 6/1988</t>
  </si>
  <si>
    <t>7/1988 - 9/1988</t>
  </si>
  <si>
    <t>10/1988 - 12/1988</t>
  </si>
  <si>
    <t>1/1989 - 3/1989</t>
  </si>
  <si>
    <t>4/1989 - 6/1989</t>
  </si>
  <si>
    <t>7/1989 - 9/1989</t>
  </si>
  <si>
    <t>10/1989 - 12/1989</t>
  </si>
  <si>
    <t>1/1990 - 3/1990</t>
  </si>
  <si>
    <t>4/1990 - 6/1990</t>
  </si>
  <si>
    <t>7/1990 - 9/1990</t>
  </si>
  <si>
    <t>10/1990 - 12/1990</t>
  </si>
  <si>
    <t>1/1991 - 3/1991</t>
  </si>
  <si>
    <t>4/1991 - 6/1991</t>
  </si>
  <si>
    <t>7/1991 - 9/1991</t>
  </si>
  <si>
    <t>10/1991 - 12/1991</t>
  </si>
  <si>
    <t>1/1992 - 3/1992</t>
  </si>
  <si>
    <t>4/1992 - 6/1992</t>
  </si>
  <si>
    <t>7/1992 - 9/1992</t>
  </si>
  <si>
    <t>10/1992 - 12/1992</t>
  </si>
  <si>
    <t>1/1993 - 3/1993</t>
  </si>
  <si>
    <t>2/1993 - 4/1993</t>
  </si>
  <si>
    <t>3/1993 - 5/1993</t>
  </si>
  <si>
    <t>4/1993 - 6/1993</t>
  </si>
  <si>
    <t>5/1993 - 7/1993</t>
  </si>
  <si>
    <t>6/1993 - 8/1993</t>
  </si>
  <si>
    <t>7/1993 - 9/1993</t>
  </si>
  <si>
    <t>8/1993 - 10/1993</t>
  </si>
  <si>
    <t>9/1993 - 11/1993</t>
  </si>
  <si>
    <t>10/1993 - 12/1993</t>
  </si>
  <si>
    <t>11/1993 - 1/1994</t>
  </si>
  <si>
    <t>12/1993 - 2/1994</t>
  </si>
  <si>
    <t>1/1994 - 3/1994</t>
  </si>
  <si>
    <t>2/1994 - 4/1994</t>
  </si>
  <si>
    <t>3/1994 - 5/1994</t>
  </si>
  <si>
    <t>4/1994 - 6/1994</t>
  </si>
  <si>
    <t>5/1994 - 7/1994</t>
  </si>
  <si>
    <t>6/1994 - 8/1994</t>
  </si>
  <si>
    <t>7/1994 - 9/1994</t>
  </si>
  <si>
    <t>8/1994 - 10/1994</t>
  </si>
  <si>
    <t>9/1994 - 11/1994</t>
  </si>
  <si>
    <t>10/1994 - 12/1994</t>
  </si>
  <si>
    <t>11/1994 - 1/1995</t>
  </si>
  <si>
    <t>12/1994 - 2/1995</t>
  </si>
  <si>
    <t>1/1995 - 3/1995</t>
  </si>
  <si>
    <t>2/1995 - 4/1995</t>
  </si>
  <si>
    <t>3/1995 - 5/1995</t>
  </si>
  <si>
    <t>4/1995 - 6/1995</t>
  </si>
  <si>
    <t>5/1995 - 7/1995</t>
  </si>
  <si>
    <t>6/1995 - 8/1995</t>
  </si>
  <si>
    <t>7/1995 - 9/1995</t>
  </si>
  <si>
    <t>8/1995 - 10/1995</t>
  </si>
  <si>
    <t>9/1995 - 11/1995</t>
  </si>
  <si>
    <t>10/1995 - 12/1995</t>
  </si>
  <si>
    <t>11/1995 - 1/1996</t>
  </si>
  <si>
    <t>12/1995 - 2/1996</t>
  </si>
  <si>
    <t>1/1996 - 3/1996</t>
  </si>
  <si>
    <t>2/1996 - 4/1996</t>
  </si>
  <si>
    <t>3/1996 - 5/1996</t>
  </si>
  <si>
    <t>4/1996 - 6/1996</t>
  </si>
  <si>
    <t>5/1996 - 7/1996</t>
  </si>
  <si>
    <t>6/1996 - 8/1996</t>
  </si>
  <si>
    <t>7/1996 - 9/1996</t>
  </si>
  <si>
    <t>8/1996 - 10/1996</t>
  </si>
  <si>
    <t>9/1996 - 11/1996</t>
  </si>
  <si>
    <t>10/1996 - 12/1996</t>
  </si>
  <si>
    <t>11/1996 - 1/1997</t>
  </si>
  <si>
    <t>12/1996 - 2/1997</t>
  </si>
  <si>
    <t>1/1997 - 3/1997</t>
  </si>
  <si>
    <t>2/1997 - 4/1997</t>
  </si>
  <si>
    <t>3/1997 - 5/1997</t>
  </si>
  <si>
    <t>4/1997 - 6/1997</t>
  </si>
  <si>
    <t>5/1997 - 7/1997</t>
  </si>
  <si>
    <t>6/1997 - 8/1997</t>
  </si>
  <si>
    <t>7/1997 - 9/1997</t>
  </si>
  <si>
    <t>8/1997 - 10/1997</t>
  </si>
  <si>
    <t>9/1997 - 11/1997</t>
  </si>
  <si>
    <t>10/1997 - 12/1997</t>
  </si>
  <si>
    <t>11/1997 - 1/1998</t>
  </si>
  <si>
    <t>12/1997 - 2/1998</t>
  </si>
  <si>
    <t>1/1998 - 3/1998</t>
  </si>
  <si>
    <t>2/1998 - 4/1998</t>
  </si>
  <si>
    <t>3/1998 - 5/1998</t>
  </si>
  <si>
    <t>4/1998 - 6/1998</t>
  </si>
  <si>
    <t>5/1998 - 7/1998</t>
  </si>
  <si>
    <t>6/1998 - 8/1998</t>
  </si>
  <si>
    <t>7/1998 - 9/1998</t>
  </si>
  <si>
    <t>8/1998 - 10/1998</t>
  </si>
  <si>
    <t>9/1998 - 11/1998</t>
  </si>
  <si>
    <t>10/1998 - 12/1998</t>
  </si>
  <si>
    <t>11/1998 - 1/1999</t>
  </si>
  <si>
    <t>12/1998 - 2/1999</t>
  </si>
  <si>
    <t>1/1999 - 3/1999</t>
  </si>
  <si>
    <t>2/1999 - 4/1999</t>
  </si>
  <si>
    <t>3/1999 - 5/1999</t>
  </si>
  <si>
    <t>4/1999 - 6/1999</t>
  </si>
  <si>
    <t>5/1999 - 7/1999</t>
  </si>
  <si>
    <t>6/1999 - 8/1999</t>
  </si>
  <si>
    <t>7/1999 - 9/1999</t>
  </si>
  <si>
    <t>8/1999 - 10/1999</t>
  </si>
  <si>
    <t>9/1999 - 11/1999</t>
  </si>
  <si>
    <t>10/1999 - 12/1999</t>
  </si>
  <si>
    <t>11/1999 - 1/2000</t>
  </si>
  <si>
    <t>12/1999 - 2/2000</t>
  </si>
  <si>
    <t>1/2000 - 3/2000</t>
  </si>
  <si>
    <t>2/2000 - 4/2000</t>
  </si>
  <si>
    <t>3/2000 - 5/2000</t>
  </si>
  <si>
    <t>4/2000 - 6/2000</t>
  </si>
  <si>
    <t>5/2000 - 7/2000</t>
  </si>
  <si>
    <t>6/2000 - 8/2000</t>
  </si>
  <si>
    <t>7/2000 - 9/2000</t>
  </si>
  <si>
    <t>8/2000 - 10/2000</t>
  </si>
  <si>
    <t>9/2000 - 11/2000</t>
  </si>
  <si>
    <t>10/2000 - 12/2000</t>
  </si>
  <si>
    <t>11/2000 - 1/2001</t>
  </si>
  <si>
    <t>12/2000 - 2/2001</t>
  </si>
  <si>
    <t>1/2001 - 3/2001</t>
  </si>
  <si>
    <t>2/2001 - 4/2001</t>
  </si>
  <si>
    <t>3/2001 - 5/2001</t>
  </si>
  <si>
    <t>4/2001 - 6/2001</t>
  </si>
  <si>
    <t>5/2001 - 7/2001</t>
  </si>
  <si>
    <t>6/2001 - 8/2001</t>
  </si>
  <si>
    <t>7/2001 - 9/2001</t>
  </si>
  <si>
    <t>8/2001 - 10/2001</t>
  </si>
  <si>
    <t>9/2001 - 11/2001</t>
  </si>
  <si>
    <t>10/2001 - 12/2001</t>
  </si>
  <si>
    <t>11/2001 - 1/2002</t>
  </si>
  <si>
    <t>12/2001 - 2/2002</t>
  </si>
  <si>
    <t>1/2002 - 3/2002</t>
  </si>
  <si>
    <t>2/2002 - 4/2002</t>
  </si>
  <si>
    <t>3/2002 - 5/2002</t>
  </si>
  <si>
    <t>4/2002 - 6/2002</t>
  </si>
  <si>
    <t>5/2002 - 7/2002</t>
  </si>
  <si>
    <t>6/2002 - 8/2002</t>
  </si>
  <si>
    <t>7/2002 - 9/2002</t>
  </si>
  <si>
    <t>8/2002 - 10/2002</t>
  </si>
  <si>
    <t>9/2002 - 11/2002</t>
  </si>
  <si>
    <t>10/2002 - 12/2002</t>
  </si>
  <si>
    <t>11/2002 - 1/2003</t>
  </si>
  <si>
    <t>12/2002 - 2/2003</t>
  </si>
  <si>
    <t>1/2003 - 3/2003</t>
  </si>
  <si>
    <t>2/2003 - 4/2003</t>
  </si>
  <si>
    <t>3/2003 - 5/2003</t>
  </si>
  <si>
    <t>4/2003 - 6/2003</t>
  </si>
  <si>
    <t>5/2003 - 7/2003</t>
  </si>
  <si>
    <t>6/2003 - 8/2003</t>
  </si>
  <si>
    <t>7/2003 - 9/2003</t>
  </si>
  <si>
    <t>8/2003 - 10/2003</t>
  </si>
  <si>
    <t>9/2003 - 11/2003</t>
  </si>
  <si>
    <t>10/2003 - 12/2003</t>
  </si>
  <si>
    <t>11/2003 - 1/2004</t>
  </si>
  <si>
    <t>12/2003 - 2/2004</t>
  </si>
  <si>
    <t>1/2004 - 3/2004</t>
  </si>
  <si>
    <t>2/2004 - 4/2004</t>
  </si>
  <si>
    <t>3/2004 - 5/2004</t>
  </si>
  <si>
    <t>4/2004 - 6/2004</t>
  </si>
  <si>
    <t>5/2004 - 7/2004</t>
  </si>
  <si>
    <t>6/2004 - 8/2004</t>
  </si>
  <si>
    <t>7/2004 - 9/2004</t>
  </si>
  <si>
    <t>8/2004 - 10/2004</t>
  </si>
  <si>
    <t>9/2004 - 11/2004</t>
  </si>
  <si>
    <t>10/2004 - 12/2004</t>
  </si>
  <si>
    <t>11/2004 - 1/2005</t>
  </si>
  <si>
    <t>12/2004 - 2/2005</t>
  </si>
  <si>
    <t>1/2005 - 3/2005</t>
  </si>
  <si>
    <t>2/2005 - 4/2005</t>
  </si>
  <si>
    <t>3/2005 - 5/2005</t>
  </si>
  <si>
    <t>4/2005 - 6/2005</t>
  </si>
  <si>
    <t>5/2005 - 7/2005</t>
  </si>
  <si>
    <t>6/2005 - 8/2005</t>
  </si>
  <si>
    <t>7/2005 - 9/2005</t>
  </si>
  <si>
    <t>8/2005 - 10/2005</t>
  </si>
  <si>
    <t>9/2005 - 11/2005</t>
  </si>
  <si>
    <t>10/2005 - 12/2005</t>
  </si>
  <si>
    <t>11/2005 - 1/2006</t>
  </si>
  <si>
    <t>12/2005 - 2/2006</t>
  </si>
  <si>
    <t>1/2006 - 3/2006</t>
  </si>
  <si>
    <t>2/2006 - 4/2006</t>
  </si>
  <si>
    <t>3/2006 - 5/2006</t>
  </si>
  <si>
    <t>4/2006 - 6/2006</t>
  </si>
  <si>
    <t>5/2006 - 7/2006</t>
  </si>
  <si>
    <t>6/2006 - 8/2006</t>
  </si>
  <si>
    <t>7/2006 - 9/2006</t>
  </si>
  <si>
    <t>8/2006 - 10/2006</t>
  </si>
  <si>
    <t>9/2006 - 11/2006</t>
  </si>
  <si>
    <t>10/2006 - 12/2006</t>
  </si>
  <si>
    <t>11/2006 - 1/2007</t>
  </si>
  <si>
    <t>12/2006 - 2/2007</t>
  </si>
  <si>
    <t>1/2007 - 3/2007</t>
  </si>
  <si>
    <t>2/2007 - 4/2007</t>
  </si>
  <si>
    <t>3/2007 - 5/2007</t>
  </si>
  <si>
    <t>4/2007 - 6/2007</t>
  </si>
  <si>
    <t>5/2007 - 7/2007</t>
  </si>
  <si>
    <t>6/2007 - 8/2007</t>
  </si>
  <si>
    <t>7/2007 - 9/2007</t>
  </si>
  <si>
    <t>8/2007 - 10/2007</t>
  </si>
  <si>
    <t>9/2007 - 11/2007</t>
  </si>
  <si>
    <t>10/2007 - 12/2007</t>
  </si>
  <si>
    <t>11/2007 - 1/2008</t>
  </si>
  <si>
    <t>12/2007 - 2/2008</t>
  </si>
  <si>
    <t>1/2008 - 3/2008</t>
  </si>
  <si>
    <t>2/2008 - 4/2008</t>
  </si>
  <si>
    <t>3/2008 - 5/2008</t>
  </si>
  <si>
    <t>4/2008 - 6/2008</t>
  </si>
  <si>
    <t>5/2008 - 7/2008</t>
  </si>
  <si>
    <t>6/2008 - 8/2008</t>
  </si>
  <si>
    <t>7/2008 - 9/2008</t>
  </si>
  <si>
    <t>8/2008 - 10/2008</t>
  </si>
  <si>
    <t>9/2008 - 11/2008</t>
  </si>
  <si>
    <t>10/2008 - 12/2008</t>
  </si>
  <si>
    <t>11/2008 - 1/2009</t>
  </si>
  <si>
    <t>12/2008 - 2/2009</t>
  </si>
  <si>
    <t>1/2009 - 3/2009</t>
  </si>
  <si>
    <t>2/2009 - 4/2009</t>
  </si>
  <si>
    <t>3/2009 - 5/2009</t>
  </si>
  <si>
    <t>4/2009 - 6/2009</t>
  </si>
  <si>
    <t>5/2009 - 7/2009</t>
  </si>
  <si>
    <t>6/2009 - 8/2009</t>
  </si>
  <si>
    <t>7/2009 - 9/2009</t>
  </si>
  <si>
    <t>8/2009 - 10/2009</t>
  </si>
  <si>
    <t>9/2009 - 11/2009</t>
  </si>
  <si>
    <t>10/2009 - 12/2009</t>
  </si>
  <si>
    <t>11/2009 - 1/2010</t>
  </si>
  <si>
    <t>12/2009 - 2/2010</t>
  </si>
  <si>
    <t>1/2010 - 3/2010</t>
  </si>
  <si>
    <t>2/2010 - 4/2010</t>
  </si>
  <si>
    <t>3/2010 - 5/2010</t>
  </si>
  <si>
    <t>4/2010 - 6/2010</t>
  </si>
  <si>
    <t>5/2010 - 7/2010</t>
  </si>
  <si>
    <t>6/2010 - 8/2010</t>
  </si>
  <si>
    <t>7/2010 - 9/2010</t>
  </si>
  <si>
    <t>8/2010 - 10/2010</t>
  </si>
  <si>
    <t>9/2010 - 11/2010</t>
  </si>
  <si>
    <t>10/2010 - 12/2010</t>
  </si>
  <si>
    <t>11/2010 - 1/2011</t>
  </si>
  <si>
    <t>12/2010 - 2/2011</t>
  </si>
  <si>
    <t>1/2011 - 3/2011</t>
  </si>
  <si>
    <t>2/2011 - 4/2011</t>
  </si>
  <si>
    <t>3/2011 - 5/2011</t>
  </si>
  <si>
    <t>4/2011 - 6/2011</t>
  </si>
  <si>
    <t>5/2011 - 7/2011</t>
  </si>
  <si>
    <t>6/2011 - 8/2011</t>
  </si>
  <si>
    <t>7/2011 - 9/2011</t>
  </si>
  <si>
    <t>8/2011 - 10/2011</t>
  </si>
  <si>
    <t>9/2011 - 11/2011</t>
  </si>
  <si>
    <t>10/2011 - 12/2011</t>
  </si>
  <si>
    <t>11/2011 - 1/2012</t>
  </si>
  <si>
    <t>12/2011 - 2/2012</t>
  </si>
  <si>
    <t>1/2012 - 3/2012</t>
  </si>
  <si>
    <t>2/2012 - 4/2012</t>
  </si>
  <si>
    <t>3/2012 - 5/2012</t>
  </si>
  <si>
    <t>4/2012 - 6/2012</t>
  </si>
  <si>
    <t>5/2012 - 7/2012</t>
  </si>
  <si>
    <t>6/2012 - 8/2012</t>
  </si>
  <si>
    <t>7/2012 - 9/2012</t>
  </si>
  <si>
    <t>8/2012 - 10/2012</t>
  </si>
  <si>
    <t>9/2012 - 11/2012</t>
  </si>
  <si>
    <t>10/2012 - 12/2012</t>
  </si>
  <si>
    <t>11/2012 - 1/2013</t>
  </si>
  <si>
    <t>12/2012 - 2/2013</t>
  </si>
  <si>
    <t>1/2013 - 3/2013</t>
  </si>
  <si>
    <t>2/2013 - 4/2013</t>
  </si>
  <si>
    <t>3/2013 - 5/2013</t>
  </si>
  <si>
    <t>4/2013 - 6/2013</t>
  </si>
  <si>
    <t>5/2013 - 7/2013</t>
  </si>
  <si>
    <t>6/2013 - 8/2013</t>
  </si>
  <si>
    <t>7/2013 - 9/2013</t>
  </si>
  <si>
    <t>8/2013 - 10/2013</t>
  </si>
  <si>
    <t>9/2013 - 11/2013</t>
  </si>
  <si>
    <t>10/2013 - 12/2013</t>
  </si>
  <si>
    <t>11/2013 - 1/2014</t>
  </si>
  <si>
    <t>12/2013 - 2/2014</t>
  </si>
  <si>
    <t>1/2014 - 3/2014</t>
  </si>
  <si>
    <t>2/2014 - 4/2014</t>
  </si>
  <si>
    <t>3/2014 - 5/2014</t>
  </si>
  <si>
    <t>4/2014 - 6/2014</t>
  </si>
  <si>
    <t>5/2014 - 7/2014</t>
  </si>
  <si>
    <t>6/2014 - 8/2014</t>
  </si>
  <si>
    <t>7/2014 - 9/2014</t>
  </si>
  <si>
    <t>8/2014 - 10/2014</t>
  </si>
  <si>
    <t>9/2014 - 11/2014</t>
  </si>
  <si>
    <t>10/2014 - 12/2014</t>
  </si>
  <si>
    <t>11/2014 - 1/2015</t>
  </si>
  <si>
    <t>12/2014 - 2/2015</t>
  </si>
  <si>
    <t>1/2015 - 3/2015</t>
  </si>
  <si>
    <t>2/2015 - 4/2015</t>
  </si>
  <si>
    <t>3/2015 - 5/2015</t>
  </si>
  <si>
    <t>4/2015 - 6/2015</t>
  </si>
  <si>
    <t>5/2015 - 7/2015</t>
  </si>
  <si>
    <t>6/2015 - 8/2015</t>
  </si>
  <si>
    <t>7/2015 - 9/2015</t>
  </si>
  <si>
    <t>8/2015 - 10/2015</t>
  </si>
  <si>
    <t>9/2015 - 11/2015</t>
  </si>
  <si>
    <t>10/2015 - 12/2015</t>
  </si>
  <si>
    <t>11/2015 - 1/2016</t>
  </si>
  <si>
    <t>12/2015 - 2/2016</t>
  </si>
  <si>
    <t>1/2016 - 3/2016</t>
  </si>
  <si>
    <t>2/2016 - 4/2016</t>
  </si>
  <si>
    <t>3/2016 - 5/2016</t>
  </si>
  <si>
    <t>4/2016 - 6/2016</t>
  </si>
  <si>
    <t>5/2016 - 7/2016</t>
  </si>
  <si>
    <t>6/2016 - 8/2016</t>
  </si>
  <si>
    <t>7/2016 - 9/2016</t>
  </si>
  <si>
    <t>8/2016 - 10/2016</t>
  </si>
  <si>
    <t>9/2016 - 11/2016</t>
  </si>
  <si>
    <t>10/2016 - 12/2016</t>
  </si>
  <si>
    <t>11/2016 - 1/2017</t>
  </si>
  <si>
    <t>12/2016 - 2/2017</t>
  </si>
  <si>
    <t>1/2017 - 3/2017</t>
  </si>
  <si>
    <t>2/2017 - 4/2017</t>
  </si>
  <si>
    <t>3/2017 - 5/2017</t>
  </si>
  <si>
    <t>4/2017 - 6/2017</t>
  </si>
  <si>
    <t>5/2017 - 7/2017</t>
  </si>
  <si>
    <t>6/2017 - 8/2017</t>
  </si>
  <si>
    <t>7/2017 - 9/2017</t>
  </si>
  <si>
    <t>8/2017 - 10/2017</t>
  </si>
  <si>
    <t>9/2017 - 11/2017</t>
  </si>
  <si>
    <t>10/2017 - 12/2017</t>
  </si>
  <si>
    <t>11/2017 - 1/2018</t>
  </si>
  <si>
    <t>12/2017 - 2/2018</t>
  </si>
  <si>
    <t>1/2018 - 3/2018</t>
  </si>
  <si>
    <t>2/2018 - 4/2018</t>
  </si>
  <si>
    <t>3/2018 - 5/2018</t>
  </si>
  <si>
    <t>4/2018 - 6/2018</t>
  </si>
  <si>
    <t>5/2018 - 7/2018</t>
  </si>
  <si>
    <t>6/2018 - 8/2018</t>
  </si>
  <si>
    <t>7/2018 - 9/2018</t>
  </si>
  <si>
    <t>8/2018 - 10/2018</t>
  </si>
  <si>
    <t>9/2018 - 11/2018</t>
  </si>
  <si>
    <t>10/2018 - 12/2018</t>
  </si>
  <si>
    <t>Notes :</t>
  </si>
  <si>
    <t>Starting from 2001, annual figures are compiled based on data collected in the General Household Survey from January to December of the year concerned as well as the mid-year population estimates.</t>
  </si>
  <si>
    <t/>
  </si>
  <si>
    <t>Owner-occupiers refer to the domestic households which own the quarters they occupy.</t>
  </si>
  <si>
    <t>Public sector housing includes public rental flats and interim housing flats provided by Housing Authority (HA); and public rental flats and Senior Citizen Residences Scheme flats provided by the Housing Society (HS); subsidized sale flats provided by HA under the Home Ownership Scheme (HOS), Private Sector Participation Scheme (PSPS), Tenants Purchase Scheme (TPS), Buy or Rent Option Scheme (BRO), Green Form Subsidised Home Owership Pilot Scheme (GSH), Mortgage Subsidy Scheme (MSS) and Middle Income Housing Scheme (MIH); and flats provided by HS under the Flat-For-Sale Scheme (FFSS), Sandwich Class Housing Scheme (SCHS) and Subsidised Sale Flats Scheme (SSFS); and flats in Urban Renewal Authority Subsidised Sale Flats Scheme; and Public Temporary housing. As from Q1 2002, subsidized sale flats that can be traded in open market are excluded.</t>
  </si>
  <si>
    <t>Private sector housing includes private housing blocks, flats built under the Urban Improvement Scheme of the Hong Kong Housing Society, villas/bungalows/modern village houses, simple stone structures, quarters in non-residential buildings and private temporary housing. As from Q1 2002, subsidized sale flats that can be traded in open market are also put under this category.</t>
  </si>
  <si>
    <t>Not available.</t>
  </si>
  <si>
    <t>Source :</t>
  </si>
  <si>
    <t>Household Statistics Analysis Section,
Census and Statistics Department
(Enquiry telephone no. : 2887 5508
 Enquiry e-mail : ghs@censtatd.gov.hk)</t>
  </si>
  <si>
    <t>Last revision date: 21 February, 2019</t>
  </si>
  <si>
    <r>
      <rPr>
        <b/>
        <sz val="14"/>
        <color indexed="8"/>
        <rFont val="新細明體"/>
        <family val="1"/>
        <charset val="136"/>
      </rPr>
      <t>表</t>
    </r>
    <r>
      <rPr>
        <b/>
        <sz val="14"/>
        <color indexed="8"/>
        <rFont val="Times New Roman"/>
        <family val="1"/>
      </rPr>
      <t xml:space="preserve"> 1</t>
    </r>
    <phoneticPr fontId="21" type="noConversion"/>
  </si>
  <si>
    <r>
      <rPr>
        <b/>
        <sz val="14"/>
        <color indexed="8"/>
        <rFont val="新細明體"/>
        <family val="1"/>
        <charset val="136"/>
      </rPr>
      <t>家庭住戶數目及平均住戶人數</t>
    </r>
  </si>
  <si>
    <t>Table 1</t>
    <phoneticPr fontId="21" type="noConversion"/>
  </si>
  <si>
    <t>Number of domestic households and average household size</t>
    <phoneticPr fontId="21" type="noConversion"/>
  </si>
  <si>
    <r>
      <rPr>
        <sz val="11"/>
        <color indexed="8"/>
        <rFont val="新細明體"/>
        <family val="1"/>
        <charset val="136"/>
      </rPr>
      <t>年份</t>
    </r>
  </si>
  <si>
    <r>
      <rPr>
        <sz val="11"/>
        <color indexed="8"/>
        <rFont val="新細明體"/>
        <family val="1"/>
        <charset val="136"/>
      </rPr>
      <t>家庭住戶數目</t>
    </r>
  </si>
  <si>
    <r>
      <rPr>
        <sz val="11"/>
        <color indexed="8"/>
        <rFont val="新細明體"/>
        <family val="1"/>
        <charset val="136"/>
      </rPr>
      <t>前五年內平均每年增幅</t>
    </r>
  </si>
  <si>
    <r>
      <rPr>
        <sz val="11"/>
        <color indexed="8"/>
        <rFont val="新細明體"/>
        <family val="1"/>
        <charset val="136"/>
      </rPr>
      <t>平均住戶人數</t>
    </r>
  </si>
  <si>
    <t>Year</t>
  </si>
  <si>
    <t>Number of domestic households</t>
  </si>
  <si>
    <t>Average annual growth over the past 5 years</t>
    <phoneticPr fontId="21" type="noConversion"/>
  </si>
  <si>
    <t>Average household size</t>
  </si>
  <si>
    <t>-</t>
  </si>
  <si>
    <t>註釋：</t>
    <phoneticPr fontId="21" type="noConversion"/>
  </si>
  <si>
    <t>虛線以下的數字是推算數字。</t>
    <phoneticPr fontId="21" type="noConversion"/>
  </si>
  <si>
    <t>推算結果反映若過往有關生育、死亡、人口遷移及戶主率的人口趨勢仍延續，未來的整體趨勢情況。要注意的是由於未來可能會發生現階段不能預見及預測的情況，因此，有關未來趨勢的假設亦受制於這些不確定因素的發展。</t>
    <phoneticPr fontId="21" type="noConversion"/>
  </si>
  <si>
    <t>Notes :</t>
    <phoneticPr fontId="21" type="noConversion"/>
  </si>
  <si>
    <t>Figures below the broken lines are based on projections.</t>
    <phoneticPr fontId="21" type="noConversion"/>
  </si>
  <si>
    <t>The projection results aim at illustrating what would happen if the past demographic trends on fertility, mortality, movement and headship rates continue into the future.  It should however be noted that the assumptions of future trends are subject to uncertainties arising from unforeseeable and unpredictable future events.</t>
    <phoneticPr fontId="21" type="noConversion"/>
  </si>
  <si>
    <t>Residential Energy Use by Fuel</t>
    <phoneticPr fontId="3" type="noConversion"/>
  </si>
  <si>
    <t xml:space="preserve">Source: </t>
    <phoneticPr fontId="3" type="noConversion"/>
  </si>
  <si>
    <t>EMSD End-use Data report 2023</t>
  </si>
  <si>
    <t>住宅 Residential</t>
    <phoneticPr fontId="3" type="noConversion"/>
  </si>
  <si>
    <r>
      <rPr>
        <sz val="8"/>
        <rFont val="Noto Sans CJK JP Regular"/>
        <family val="2"/>
      </rPr>
      <t xml:space="preserve">年份
</t>
    </r>
    <r>
      <rPr>
        <sz val="8"/>
        <rFont val="Arial"/>
        <family val="2"/>
      </rPr>
      <t>Year</t>
    </r>
  </si>
  <si>
    <r>
      <rPr>
        <sz val="8"/>
        <rFont val="Noto Sans CJK JP Regular"/>
        <family val="2"/>
      </rPr>
      <t>煤氣及石油氣</t>
    </r>
    <r>
      <rPr>
        <sz val="8"/>
        <rFont val="Arial"/>
        <family val="2"/>
      </rPr>
      <t xml:space="preserve">*
</t>
    </r>
    <r>
      <rPr>
        <sz val="6"/>
        <rFont val="Arial"/>
        <family val="2"/>
      </rPr>
      <t xml:space="preserve">Town Gas &amp;
</t>
    </r>
    <r>
      <rPr>
        <sz val="6"/>
        <rFont val="Arial"/>
        <family val="2"/>
      </rPr>
      <t>Liquefied Petroleum Gas*</t>
    </r>
  </si>
  <si>
    <r>
      <rPr>
        <sz val="8"/>
        <rFont val="Noto Sans CJK JP Regular"/>
        <family val="2"/>
      </rPr>
      <t xml:space="preserve">油及煤產品
</t>
    </r>
    <r>
      <rPr>
        <sz val="8"/>
        <rFont val="Arial"/>
        <family val="2"/>
      </rPr>
      <t xml:space="preserve">Oil &amp; Coal
</t>
    </r>
    <r>
      <rPr>
        <sz val="8"/>
        <rFont val="Arial"/>
        <family val="2"/>
      </rPr>
      <t>Products</t>
    </r>
  </si>
  <si>
    <r>
      <rPr>
        <sz val="8"/>
        <rFont val="Noto Sans CJK JP Regular"/>
        <family val="2"/>
      </rPr>
      <t xml:space="preserve">電力
</t>
    </r>
    <r>
      <rPr>
        <sz val="8"/>
        <rFont val="Arial"/>
        <family val="2"/>
      </rPr>
      <t>Electricity</t>
    </r>
  </si>
  <si>
    <r>
      <rPr>
        <sz val="8"/>
        <rFont val="Noto Sans CJK JP Regular"/>
        <family val="2"/>
      </rPr>
      <t xml:space="preserve">總計
</t>
    </r>
    <r>
      <rPr>
        <sz val="8"/>
        <rFont val="Arial"/>
        <family val="2"/>
      </rPr>
      <t>Total</t>
    </r>
  </si>
  <si>
    <t>Commercial Energy Use by Fuel</t>
    <phoneticPr fontId="3" type="noConversion"/>
  </si>
  <si>
    <t>EMSD End-use Data report 2022#</t>
  </si>
  <si>
    <t>商业 Commercial</t>
    <phoneticPr fontId="3" type="noConversion"/>
  </si>
  <si>
    <t xml:space="preserve">Residential Sector Energy Consumption by End-use       </t>
    <phoneticPr fontId="3" type="noConversion"/>
  </si>
  <si>
    <t>EMSD End-use Data report</t>
    <phoneticPr fontId="3" type="noConversion"/>
  </si>
  <si>
    <t>Chapter : By Sectors&amp;Segments</t>
    <phoneticPr fontId="3" type="noConversion"/>
  </si>
  <si>
    <t>Data from END-use data report 2023</t>
  </si>
  <si>
    <t>Data from END-use data report 2013-2018</t>
    <phoneticPr fontId="3" type="noConversion"/>
  </si>
  <si>
    <t>Energy</t>
    <phoneticPr fontId="3" type="noConversion"/>
  </si>
  <si>
    <t>Air Conditioning</t>
    <phoneticPr fontId="3" type="noConversion"/>
  </si>
  <si>
    <t>Hot Water</t>
    <phoneticPr fontId="3" type="noConversion"/>
  </si>
  <si>
    <t>Lighting</t>
    <phoneticPr fontId="3" type="noConversion"/>
  </si>
  <si>
    <t>Refrigeration</t>
    <phoneticPr fontId="3" type="noConversion"/>
  </si>
  <si>
    <t>Office Equipment</t>
    <phoneticPr fontId="3" type="noConversion"/>
  </si>
  <si>
    <t>Cooking</t>
    <phoneticPr fontId="3" type="noConversion"/>
  </si>
  <si>
    <t>Others</t>
    <phoneticPr fontId="3" type="noConversion"/>
  </si>
  <si>
    <t>Sum</t>
    <phoneticPr fontId="3" type="noConversion"/>
  </si>
  <si>
    <t>空气调节</t>
    <phoneticPr fontId="3" type="noConversion"/>
  </si>
  <si>
    <t>热水</t>
    <phoneticPr fontId="3" type="noConversion"/>
  </si>
  <si>
    <t>照明</t>
    <phoneticPr fontId="3" type="noConversion"/>
  </si>
  <si>
    <t>冷冻</t>
    <phoneticPr fontId="3" type="noConversion"/>
  </si>
  <si>
    <t>办公设备</t>
    <phoneticPr fontId="3" type="noConversion"/>
  </si>
  <si>
    <t>煮食</t>
    <phoneticPr fontId="3" type="noConversion"/>
  </si>
  <si>
    <t>其他</t>
    <phoneticPr fontId="3" type="noConversion"/>
  </si>
  <si>
    <t>Electricity</t>
    <phoneticPr fontId="3" type="noConversion"/>
  </si>
  <si>
    <t>No data about electricity demand decomposition between 2007-2011</t>
    <phoneticPr fontId="3" type="noConversion"/>
  </si>
  <si>
    <t>Calculating the decomposition of energy other than electricity</t>
    <phoneticPr fontId="3" type="noConversion"/>
  </si>
  <si>
    <t>可以解方程解出除电力外(另外两种能源平均）的能源使用占比</t>
    <phoneticPr fontId="3" type="noConversion"/>
  </si>
  <si>
    <t>Equation: for a certain category(e.g. air conditioning), assuming the fraction of energy consumption, other than electricity consumption, of this category, is x</t>
    <phoneticPr fontId="3" type="noConversion"/>
  </si>
  <si>
    <t>x*能源用量+35%*电力用量=25%*总能源用量</t>
    <phoneticPr fontId="3" type="noConversion"/>
  </si>
  <si>
    <t xml:space="preserve">Then, the total consumption in 2005 in the residential sector in air-conditioning category is </t>
    <phoneticPr fontId="3" type="noConversion"/>
  </si>
  <si>
    <t>23%*Total energy consumption in redidential sector=35%*electricity consumption+x*other energy consumption</t>
    <phoneticPr fontId="3" type="noConversion"/>
  </si>
  <si>
    <t>Therefore,  x=(23%*Total energy consumption in redidential sector-35%*electricity consumption)/(other energy consumption)</t>
    <phoneticPr fontId="3" type="noConversion"/>
  </si>
  <si>
    <t>Calculating Results:</t>
    <phoneticPr fontId="3" type="noConversion"/>
  </si>
  <si>
    <t>Energy Except Electricity (Town gas, oil&amp;coal)</t>
    <phoneticPr fontId="3" type="noConversion"/>
  </si>
  <si>
    <t>Energy Except Electricity (Town gas, oil&amp;coal)</t>
  </si>
  <si>
    <t xml:space="preserve">1.Replace negative </t>
    <phoneticPr fontId="3" type="noConversion"/>
  </si>
  <si>
    <t>Air Conditioning</t>
  </si>
  <si>
    <t>Hot Water</t>
  </si>
  <si>
    <t>Lighting</t>
  </si>
  <si>
    <t>Office Equipment</t>
  </si>
  <si>
    <t>Cooking</t>
  </si>
  <si>
    <t>Others</t>
  </si>
  <si>
    <t>Sum</t>
  </si>
  <si>
    <t>value with 0；</t>
    <phoneticPr fontId="3" type="noConversion"/>
  </si>
  <si>
    <t>2.Adjust "Cooking" to make</t>
    <phoneticPr fontId="3" type="noConversion"/>
  </si>
  <si>
    <t>sum=100%</t>
    <phoneticPr fontId="3" type="noConversion"/>
  </si>
  <si>
    <t>All Energy/Electricity Consumption by Sector</t>
    <phoneticPr fontId="3" type="noConversion"/>
  </si>
  <si>
    <t>EMSD End-use Data report 2018</t>
    <phoneticPr fontId="3" type="noConversion"/>
  </si>
  <si>
    <t>P23</t>
    <phoneticPr fontId="3" type="noConversion"/>
  </si>
  <si>
    <t>终端能源使用All Energy Consumption By Sectors</t>
    <phoneticPr fontId="3" type="noConversion"/>
  </si>
  <si>
    <t>Unit:Terajoule</t>
    <phoneticPr fontId="3" type="noConversion"/>
  </si>
  <si>
    <t>Sectors Energy Consumption Percentage</t>
    <phoneticPr fontId="3" type="noConversion"/>
  </si>
  <si>
    <t>Year</t>
    <phoneticPr fontId="3" type="noConversion"/>
  </si>
  <si>
    <t>工业 Industrial</t>
    <phoneticPr fontId="3" type="noConversion"/>
  </si>
  <si>
    <t>运输 Transport</t>
    <phoneticPr fontId="3" type="noConversion"/>
  </si>
  <si>
    <t>总计 Total</t>
    <phoneticPr fontId="3" type="noConversion"/>
  </si>
  <si>
    <t>电力使用 Electricity Consuption By Sectors</t>
    <phoneticPr fontId="3" type="noConversion"/>
  </si>
  <si>
    <t>Sectors Electricity Consumption Percentage</t>
    <phoneticPr fontId="3" type="noConversion"/>
  </si>
  <si>
    <t>Check</t>
    <phoneticPr fontId="3" type="noConversion"/>
  </si>
  <si>
    <t xml:space="preserve">Private/Public Residential Energy Consumption by End-use       </t>
    <phoneticPr fontId="3" type="noConversion"/>
  </si>
  <si>
    <t>所有住宅All Residential</t>
    <phoneticPr fontId="3" type="noConversion"/>
  </si>
  <si>
    <t>私人住宅Private Housing Segment</t>
    <phoneticPr fontId="3" type="noConversion"/>
  </si>
  <si>
    <t>公共住宅 Public Housing</t>
    <phoneticPr fontId="3" type="noConversion"/>
  </si>
  <si>
    <t>重新加总Private+Public</t>
    <phoneticPr fontId="3" type="noConversion"/>
  </si>
  <si>
    <r>
      <rPr>
        <sz val="6.5"/>
        <rFont val="Noto Sans CJK JP Regular"/>
        <family val="2"/>
      </rPr>
      <t xml:space="preserve">煮食
</t>
    </r>
    <r>
      <rPr>
        <sz val="6.5"/>
        <rFont val="Arial"/>
        <family val="2"/>
      </rPr>
      <t>Cooking</t>
    </r>
  </si>
  <si>
    <r>
      <rPr>
        <sz val="6.5"/>
        <rFont val="Noto Sans CJK JP Regular"/>
        <family val="2"/>
      </rPr>
      <t xml:space="preserve">空氣調節
</t>
    </r>
    <r>
      <rPr>
        <sz val="5.5"/>
        <rFont val="Arial"/>
        <family val="2"/>
      </rPr>
      <t xml:space="preserve">Air
</t>
    </r>
    <r>
      <rPr>
        <sz val="5.5"/>
        <rFont val="Arial"/>
        <family val="2"/>
      </rPr>
      <t>Conditioning</t>
    </r>
  </si>
  <si>
    <r>
      <rPr>
        <sz val="6.5"/>
        <rFont val="Noto Sans CJK JP Regular"/>
        <family val="2"/>
      </rPr>
      <t xml:space="preserve">熱水
</t>
    </r>
    <r>
      <rPr>
        <sz val="6.5"/>
        <rFont val="Arial"/>
        <family val="2"/>
      </rPr>
      <t xml:space="preserve">Hot
</t>
    </r>
    <r>
      <rPr>
        <sz val="6.5"/>
        <rFont val="Arial"/>
        <family val="2"/>
      </rPr>
      <t>Water</t>
    </r>
  </si>
  <si>
    <r>
      <rPr>
        <sz val="6.5"/>
        <rFont val="Noto Sans CJK JP Regular"/>
        <family val="2"/>
      </rPr>
      <t xml:space="preserve">照明
</t>
    </r>
    <r>
      <rPr>
        <sz val="6.5"/>
        <rFont val="Arial"/>
        <family val="2"/>
      </rPr>
      <t>Lighting</t>
    </r>
  </si>
  <si>
    <r>
      <rPr>
        <sz val="6.5"/>
        <rFont val="Noto Sans CJK JP Regular"/>
        <family val="2"/>
      </rPr>
      <t xml:space="preserve">冷凍
</t>
    </r>
    <r>
      <rPr>
        <sz val="6"/>
        <rFont val="Arial"/>
        <family val="2"/>
      </rPr>
      <t>Refrigeration</t>
    </r>
  </si>
  <si>
    <r>
      <rPr>
        <sz val="6.5"/>
        <rFont val="Noto Sans CJK JP Regular"/>
        <family val="2"/>
      </rPr>
      <t xml:space="preserve">辦公室設備
</t>
    </r>
    <r>
      <rPr>
        <sz val="5.5"/>
        <rFont val="Arial"/>
        <family val="2"/>
      </rPr>
      <t xml:space="preserve">Office
</t>
    </r>
    <r>
      <rPr>
        <sz val="5.5"/>
        <rFont val="Arial"/>
        <family val="2"/>
      </rPr>
      <t>Equipment</t>
    </r>
  </si>
  <si>
    <r>
      <rPr>
        <sz val="6.5"/>
        <rFont val="Noto Sans CJK JP Regular"/>
        <family val="2"/>
      </rPr>
      <t xml:space="preserve">其他 </t>
    </r>
    <r>
      <rPr>
        <vertAlign val="superscript"/>
        <sz val="6.5"/>
        <rFont val="Arial"/>
        <family val="2"/>
      </rPr>
      <t xml:space="preserve">1
</t>
    </r>
    <r>
      <rPr>
        <sz val="6.5"/>
        <rFont val="Arial"/>
        <family val="2"/>
      </rPr>
      <t xml:space="preserve">Others </t>
    </r>
    <r>
      <rPr>
        <vertAlign val="superscript"/>
        <sz val="6.5"/>
        <rFont val="Arial"/>
        <family val="2"/>
      </rPr>
      <t>1</t>
    </r>
  </si>
  <si>
    <t>转换为百分比Change to percentage</t>
    <phoneticPr fontId="3" type="noConversion"/>
  </si>
  <si>
    <t>Non-Electricity Energy</t>
    <phoneticPr fontId="3" type="noConversion"/>
  </si>
  <si>
    <t>Solve first-order equation by using data above(total energy, electricity)</t>
    <phoneticPr fontId="3" type="noConversion"/>
  </si>
  <si>
    <t>Method: for a certain category(e.g. air conditioning), assuming the fraction of non-elec energy consumption of this category, is x</t>
    <phoneticPr fontId="3" type="noConversion"/>
  </si>
  <si>
    <t xml:space="preserve">Because the total energy consumption in the air-conditioning category in 2005 can be expressed in two ways in the following equation, we can solve the value of X: </t>
    <phoneticPr fontId="3" type="noConversion"/>
  </si>
  <si>
    <t>23%*Total energy consumption of private/public house=34%*electricity consumption of private/public house+x*non-elec energy consumption of private/public house</t>
    <phoneticPr fontId="3" type="noConversion"/>
  </si>
  <si>
    <t>So x=((23%*Total energy consumption of private/public house)-(4%*electricity consumption of private/public house))/(Total Energy-Total Electricity)</t>
    <phoneticPr fontId="3" type="noConversion"/>
  </si>
  <si>
    <t>Raw data for public house:</t>
    <phoneticPr fontId="3" type="noConversion"/>
  </si>
  <si>
    <t>住宅組別所有能源使用按最終用途劃分</t>
  </si>
  <si>
    <t xml:space="preserve">All Energy Consumption By End-uses In Residential Segments </t>
    <phoneticPr fontId="3" type="noConversion"/>
  </si>
  <si>
    <t>Units: TJ</t>
    <phoneticPr fontId="3" type="noConversion"/>
  </si>
  <si>
    <t>公共房屋组别 Public Housing Segment</t>
    <phoneticPr fontId="3" type="noConversion"/>
  </si>
  <si>
    <t>房委会资助出售单位组别 Housing Authority Subsidized Sale Flats Segment</t>
    <phoneticPr fontId="3" type="noConversion"/>
  </si>
  <si>
    <t xml:space="preserve">Commercial Sector Energy Consumption by End-use       </t>
    <phoneticPr fontId="3" type="noConversion"/>
  </si>
  <si>
    <t>EMSD End Use 2023</t>
  </si>
  <si>
    <t xml:space="preserve">NOTE --&gt; from 2017 - 2021, referred to the corresponding ESMD End use report since there was no singular graph that showed total energy/ electiricty consumption by commercial end use with multiple years :. Had to refer to many previous iterations </t>
  </si>
  <si>
    <t>Hot Water &amp; Refrigeration</t>
    <phoneticPr fontId="3" type="noConversion"/>
  </si>
  <si>
    <t xml:space="preserve">NOTE --&gt; Others include vertical transport </t>
  </si>
  <si>
    <t>热水及冷冻</t>
    <phoneticPr fontId="3" type="noConversion"/>
  </si>
  <si>
    <t xml:space="preserve"> Taken from EMSD Total Energy Consumption by End-Use</t>
  </si>
  <si>
    <t xml:space="preserve">Then, the total consumption in 2005 in the commercial sector in air-conditioning category is </t>
    <phoneticPr fontId="3" type="noConversion"/>
  </si>
  <si>
    <t>23%*Total energy consumption in commercial sector=35%*electricity consumption+x*other energy consumption</t>
    <phoneticPr fontId="3" type="noConversion"/>
  </si>
  <si>
    <t>Therefore,  x=(23%*Total energy consumption in commercial sector-35%*electricity consumption)/(other energy consumption)</t>
    <phoneticPr fontId="3" type="noConversion"/>
  </si>
  <si>
    <t>Hot Water &amp; Refrigeration</t>
  </si>
  <si>
    <t>No data</t>
    <phoneticPr fontId="3" type="noConversion"/>
  </si>
  <si>
    <t>2.Adjust "other" to make</t>
    <phoneticPr fontId="3" type="noConversion"/>
  </si>
  <si>
    <t>Main Finding from the above data</t>
    <phoneticPr fontId="3" type="noConversion"/>
  </si>
  <si>
    <t>1.There exist differences in the composition of different end-use among different energy types</t>
    <phoneticPr fontId="3" type="noConversion"/>
  </si>
  <si>
    <t>2.The demand composition of different end-use of a certain type of energy is almost stable throughout tht years</t>
    <phoneticPr fontId="3" type="noConversion"/>
  </si>
  <si>
    <t>Median Per Capita Floor Area of Accommodation by Area of Residence, Household Size, Year and Type of Housing</t>
  </si>
  <si>
    <t>source:Population By-census, 2016</t>
    <phoneticPr fontId="3" type="noConversion"/>
  </si>
  <si>
    <r>
      <t>Median Per Capita Floor Area of Accommodation</t>
    </r>
    <r>
      <rPr>
        <b/>
        <vertAlign val="superscript"/>
        <sz val="12"/>
        <color rgb="FF000000"/>
        <rFont val="Arial"/>
        <family val="2"/>
      </rPr>
      <t>(1)</t>
    </r>
  </si>
  <si>
    <t>Square Metres</t>
  </si>
  <si>
    <t>2016</t>
  </si>
  <si>
    <t>Type of Housing</t>
  </si>
  <si>
    <t>Public rental housing</t>
  </si>
  <si>
    <t>Subsidised home ownership housing</t>
  </si>
  <si>
    <t>Private permanent housing</t>
  </si>
  <si>
    <t>Overall</t>
  </si>
  <si>
    <t>Area of Residence</t>
  </si>
  <si>
    <t>Household Size</t>
  </si>
  <si>
    <t>Central and Western</t>
  </si>
  <si>
    <t>1</t>
  </si>
  <si>
    <t>2</t>
  </si>
  <si>
    <t>3</t>
  </si>
  <si>
    <t>4</t>
  </si>
  <si>
    <t>5</t>
  </si>
  <si>
    <t>6 and over</t>
  </si>
  <si>
    <t>Sub-Total</t>
  </si>
  <si>
    <t>Wan Chai</t>
  </si>
  <si>
    <t>Eastern</t>
  </si>
  <si>
    <t>Southern</t>
  </si>
  <si>
    <t>Yau Tsim Mong</t>
  </si>
  <si>
    <t>Sham Shui Po</t>
  </si>
  <si>
    <t>Kowloon City</t>
  </si>
  <si>
    <t>Wong Tai Sin</t>
  </si>
  <si>
    <t>Kwun Tong</t>
  </si>
  <si>
    <t>Sai Kung (Tseung Kwan O)</t>
  </si>
  <si>
    <t>Tsuen Wan (New town)</t>
  </si>
  <si>
    <t>Tuen Mun (New town)</t>
  </si>
  <si>
    <t>Yuen Long (New town)</t>
  </si>
  <si>
    <t>Yuen Long (Tin Shui Wai)</t>
  </si>
  <si>
    <t>North (Fanling/ Sheung Shui)</t>
  </si>
  <si>
    <t>Tai Po (New town)</t>
  </si>
  <si>
    <t>Sha Tin (New town)</t>
  </si>
  <si>
    <t>Sha Tin (Ma On Shan)</t>
  </si>
  <si>
    <t>Kwai Tsing (Kwai Chung)</t>
  </si>
  <si>
    <t>Kwai Tsing (Tsing Yi)</t>
  </si>
  <si>
    <t>Islands (North Lantau)</t>
  </si>
  <si>
    <t>Other Areas in the New Territories</t>
  </si>
  <si>
    <t>Land</t>
  </si>
  <si>
    <t>Note(s) :</t>
  </si>
  <si>
    <t>(1)</t>
  </si>
  <si>
    <t>Figures exclude domestic households living in unsheltered accommodation or on board vessels. Floor area of common area shared among households is excluded.</t>
  </si>
  <si>
    <t>- denotes nil</t>
  </si>
  <si>
    <t>2016 Population By-census Office</t>
  </si>
  <si>
    <t>Census and Statistics Department</t>
  </si>
  <si>
    <t>The Government of the Hong Kong Special Administrative Region</t>
  </si>
  <si>
    <t>Telephone: 3547 1800</t>
  </si>
  <si>
    <t>Email: bycensus2016@censtatd.gov.hk</t>
  </si>
  <si>
    <t>Release date :</t>
  </si>
  <si>
    <t>30 November 2017</t>
  </si>
  <si>
    <t>Data Summary</t>
    <phoneticPr fontId="3" type="noConversion"/>
  </si>
  <si>
    <t>About the backgroud color:</t>
    <phoneticPr fontId="3" type="noConversion"/>
  </si>
  <si>
    <t>History data</t>
    <phoneticPr fontId="3" type="noConversion"/>
  </si>
  <si>
    <t>Prejection from reports</t>
    <phoneticPr fontId="3" type="noConversion"/>
  </si>
  <si>
    <t>Note (about data in this sheet):</t>
    <phoneticPr fontId="3" type="noConversion"/>
  </si>
  <si>
    <t xml:space="preserve">The Population&amp;GDP data is from another prediction datafile "HK population and GDP_190227_v3.xlsx"; </t>
    <phoneticPr fontId="3" type="noConversion"/>
  </si>
  <si>
    <t>Domestic Household and Average no. of people per household data are from the below "HK 2030 Baseline Review.pdf"(source of this report can be fund on the "About" sheet;</t>
    <phoneticPr fontId="3" type="noConversion"/>
  </si>
  <si>
    <t>Residential and Commercial Building Area data are from the below "HK 2030 Final Report.pdf"(source of this report can also be fund on the "About" sheet).</t>
    <phoneticPr fontId="3" type="noConversion"/>
  </si>
  <si>
    <t>X (independent variables in regression)</t>
    <phoneticPr fontId="3" type="noConversion"/>
  </si>
  <si>
    <t>Unit</t>
    <phoneticPr fontId="3" type="noConversion"/>
  </si>
  <si>
    <t xml:space="preserve">Population(HK Gov Census) </t>
    <phoneticPr fontId="3" type="noConversion"/>
  </si>
  <si>
    <t>×10^3 people</t>
    <phoneticPr fontId="3" type="noConversion"/>
  </si>
  <si>
    <t>GDP(2018 onward: from extrapolation)</t>
    <phoneticPr fontId="3" type="noConversion"/>
  </si>
  <si>
    <t>bil.USD2012</t>
    <phoneticPr fontId="3" type="noConversion"/>
  </si>
  <si>
    <t>GDP per capita</t>
    <phoneticPr fontId="3" type="noConversion"/>
  </si>
  <si>
    <t>kUSD2012</t>
    <phoneticPr fontId="3" type="noConversion"/>
  </si>
  <si>
    <t>No. of Domestic Household (2030 Baseline Pred)</t>
    <phoneticPr fontId="3" type="noConversion"/>
  </si>
  <si>
    <t>Million</t>
    <phoneticPr fontId="3" type="noConversion"/>
  </si>
  <si>
    <t>No. of Domestic Household (HK C&amp;SD Pred)</t>
    <phoneticPr fontId="3" type="noConversion"/>
  </si>
  <si>
    <t xml:space="preserve">    Note: Fitting Curve for Domestic Household</t>
    <phoneticPr fontId="3" type="noConversion"/>
  </si>
  <si>
    <t>Y=-0.00040693*X2+1.6681351*X-1706.5786</t>
    <phoneticPr fontId="3" type="noConversion"/>
  </si>
  <si>
    <t>For more information about the fitting, see sheet"FittingHH"</t>
    <phoneticPr fontId="3" type="noConversion"/>
  </si>
  <si>
    <t>Average no. of people per household, by my estimation</t>
    <phoneticPr fontId="3" type="noConversion"/>
  </si>
  <si>
    <t>-</t>
    <phoneticPr fontId="3" type="noConversion"/>
  </si>
  <si>
    <t>Average no. of people per household, by division1</t>
    <phoneticPr fontId="3" type="noConversion"/>
  </si>
  <si>
    <t>Average no. of people per household, by division2</t>
    <phoneticPr fontId="3" type="noConversion"/>
  </si>
  <si>
    <t>Residential Building Area 1</t>
    <phoneticPr fontId="3" type="noConversion"/>
  </si>
  <si>
    <t xml:space="preserve">Mil m2 </t>
    <phoneticPr fontId="3" type="noConversion"/>
  </si>
  <si>
    <t>Residential Building Area 2</t>
    <phoneticPr fontId="3" type="noConversion"/>
  </si>
  <si>
    <t>Commercial Building Area</t>
    <phoneticPr fontId="3" type="noConversion"/>
  </si>
  <si>
    <t>Mil m2 in GFA</t>
    <phoneticPr fontId="3" type="noConversion"/>
  </si>
  <si>
    <t>Y (dependent variables in regression)</t>
    <phoneticPr fontId="3" type="noConversion"/>
  </si>
  <si>
    <t>Residential Energy Consumption</t>
    <phoneticPr fontId="3" type="noConversion"/>
  </si>
  <si>
    <t>TJ</t>
    <phoneticPr fontId="3" type="noConversion"/>
  </si>
  <si>
    <t>Commercial Energy Consumption</t>
    <phoneticPr fontId="3" type="noConversion"/>
  </si>
  <si>
    <t>Raw data for data used in this sheet are shown below:</t>
    <phoneticPr fontId="3" type="noConversion"/>
  </si>
  <si>
    <t>Domestic Household Projection</t>
    <phoneticPr fontId="3" type="noConversion"/>
  </si>
  <si>
    <t>Household number(Million)</t>
    <phoneticPr fontId="3" type="noConversion"/>
  </si>
  <si>
    <t>Percentages of Domestiv Households by Size</t>
    <phoneticPr fontId="3" type="noConversion"/>
  </si>
  <si>
    <t>Suppose the average no. of people in household 5+ is 7</t>
    <phoneticPr fontId="3" type="noConversion"/>
  </si>
  <si>
    <t>5+</t>
    <phoneticPr fontId="3" type="noConversion"/>
  </si>
  <si>
    <t>Average</t>
    <phoneticPr fontId="3" type="noConversion"/>
  </si>
  <si>
    <t>trend:</t>
    <phoneticPr fontId="3" type="noConversion"/>
  </si>
  <si>
    <t>Employment use floorspace</t>
    <phoneticPr fontId="3" type="noConversion"/>
  </si>
  <si>
    <t>year</t>
    <phoneticPr fontId="3" type="noConversion"/>
  </si>
  <si>
    <t>mil. m2 in GFA</t>
    <phoneticPr fontId="3" type="noConversion"/>
  </si>
  <si>
    <t>trend</t>
    <phoneticPr fontId="3" type="noConversion"/>
  </si>
  <si>
    <t>area</t>
    <phoneticPr fontId="3" type="noConversion"/>
  </si>
  <si>
    <t>HONG KONG</t>
    <phoneticPr fontId="3" type="noConversion"/>
  </si>
  <si>
    <t>m2</t>
    <phoneticPr fontId="3" type="noConversion"/>
  </si>
  <si>
    <t>Average floor area per dwelling</t>
    <phoneticPr fontId="3" type="noConversion"/>
  </si>
  <si>
    <t>Average floor area per person</t>
    <phoneticPr fontId="3" type="noConversion"/>
  </si>
  <si>
    <t>Also,from Sheet"Floor Area Per"</t>
    <phoneticPr fontId="3" type="noConversion"/>
  </si>
  <si>
    <t>Buildings &amp; Industrial</t>
  </si>
  <si>
    <t>Updated:</t>
  </si>
  <si>
    <t>Scenario:</t>
  </si>
  <si>
    <t>Color code</t>
  </si>
  <si>
    <t>Fixed data Input</t>
  </si>
  <si>
    <t>Parameter input</t>
  </si>
  <si>
    <t>Parameter rpt item</t>
  </si>
  <si>
    <t>Clear: calculated</t>
  </si>
  <si>
    <t>Page 1 or 2</t>
  </si>
  <si>
    <t>Data Input</t>
  </si>
  <si>
    <t>Clear = calculated.</t>
  </si>
  <si>
    <t>Page 2 of 2</t>
  </si>
  <si>
    <t>Buildings
Input</t>
  </si>
  <si>
    <t>Share of population in 2050</t>
  </si>
  <si>
    <r>
      <t xml:space="preserve">Floor area per capita in 2050 m2  </t>
    </r>
    <r>
      <rPr>
        <sz val="11"/>
        <color rgb="FFFF0000"/>
        <rFont val="新細明體"/>
        <family val="2"/>
        <scheme val="minor"/>
      </rPr>
      <t>^1</t>
    </r>
  </si>
  <si>
    <r>
      <t xml:space="preserve">Energy efficiency improvement --electricity (%) </t>
    </r>
    <r>
      <rPr>
        <sz val="11"/>
        <color rgb="FFFF0000"/>
        <rFont val="新細明體"/>
        <family val="2"/>
        <scheme val="minor"/>
      </rPr>
      <t>^2</t>
    </r>
  </si>
  <si>
    <t>Energy efficiency improvement -- gas (%)</t>
  </si>
  <si>
    <t>Electrification rate (share of cooking, hot water &amp; Ref)</t>
  </si>
  <si>
    <t>Summary of results</t>
  </si>
  <si>
    <t>Industrial equipment</t>
  </si>
  <si>
    <t xml:space="preserve">Cooking </t>
  </si>
  <si>
    <t xml:space="preserve">A.C. </t>
  </si>
  <si>
    <t>District cooling</t>
  </si>
  <si>
    <t xml:space="preserve">Hot Water &amp; Refrigeration </t>
  </si>
  <si>
    <t xml:space="preserve">Lighting </t>
  </si>
  <si>
    <t xml:space="preserve">Office Equipment </t>
  </si>
  <si>
    <t xml:space="preserve">Others </t>
  </si>
  <si>
    <t>Total</t>
  </si>
  <si>
    <t>Indust'l equip</t>
  </si>
  <si>
    <t xml:space="preserve">Total </t>
  </si>
  <si>
    <t>Emissions ('000 t CO2)</t>
  </si>
  <si>
    <t>Residential</t>
    <phoneticPr fontId="63" type="noConversion"/>
  </si>
  <si>
    <t>Private</t>
  </si>
  <si>
    <t>Public</t>
  </si>
  <si>
    <t>Commercial</t>
  </si>
  <si>
    <t>Industrial</t>
  </si>
  <si>
    <r>
      <rPr>
        <b/>
        <sz val="11"/>
        <color rgb="FFFF0000"/>
        <rFont val="新細明體"/>
        <family val="2"/>
        <scheme val="minor"/>
      </rPr>
      <t>1.</t>
    </r>
    <r>
      <rPr>
        <b/>
        <sz val="11"/>
        <rFont val="新細明體"/>
        <family val="2"/>
        <scheme val="minor"/>
      </rPr>
      <t xml:space="preserve"> Flat size: Source of information</t>
    </r>
  </si>
  <si>
    <r>
      <rPr>
        <b/>
        <sz val="11"/>
        <color rgb="FFFF0000"/>
        <rFont val="新細明體"/>
        <family val="2"/>
        <scheme val="minor"/>
      </rPr>
      <t xml:space="preserve">2. </t>
    </r>
    <r>
      <rPr>
        <b/>
        <sz val="11"/>
        <color theme="1"/>
        <rFont val="新細明體"/>
        <family val="2"/>
        <scheme val="minor"/>
      </rPr>
      <t>Energy efficiency. Source of information</t>
    </r>
  </si>
  <si>
    <t>IEA, Energy Efficiency 2018</t>
  </si>
  <si>
    <t>Emission factors:</t>
  </si>
  <si>
    <t>Electricity</t>
  </si>
  <si>
    <t>Kg CO2/KWh</t>
  </si>
  <si>
    <t xml:space="preserve">  </t>
  </si>
  <si>
    <t>Gas</t>
  </si>
  <si>
    <t>Kg CO2/TJ</t>
  </si>
  <si>
    <t>Source for electricity:  Electricity page.</t>
  </si>
  <si>
    <t>Source for electricity:  EF-1 page page.</t>
  </si>
  <si>
    <t xml:space="preserve">Impact of using District Cooling: And Freshwater cooling towers:  </t>
  </si>
  <si>
    <t>Saving %per EMSD Energy Saving wesite</t>
  </si>
  <si>
    <t>https://www.emsd.gov.hk/energyland/en/building/district_cooling_sys/dcs_benefits.html</t>
  </si>
  <si>
    <t>Normal A/C</t>
  </si>
  <si>
    <t>Fresh water cooling</t>
  </si>
  <si>
    <t>Energy Saving (TJ)</t>
  </si>
  <si>
    <t>Energy Saving (GWh)</t>
  </si>
  <si>
    <t>Energy saving compare with traditional air-cooled air-conditioning systems^1</t>
  </si>
  <si>
    <t>Floor area installed  (million m2)</t>
  </si>
  <si>
    <t>Floor area calculation</t>
  </si>
  <si>
    <t xml:space="preserve">Electricity consumption </t>
  </si>
  <si>
    <t>Gas Consumption</t>
  </si>
  <si>
    <t>Emission factor</t>
  </si>
  <si>
    <t xml:space="preserve">Emissions </t>
  </si>
  <si>
    <t xml:space="preserve">Energy efficiency  -- Electricity </t>
  </si>
  <si>
    <t>Energy efficiency -- Gas</t>
  </si>
  <si>
    <t>Electrification (share of cooking, hot water &amp; Refridgeration)</t>
  </si>
  <si>
    <t xml:space="preserve">No. of Flats </t>
  </si>
  <si>
    <t>Floor area</t>
  </si>
  <si>
    <t xml:space="preserve">Population </t>
  </si>
  <si>
    <t>Floor area per capita</t>
  </si>
  <si>
    <t xml:space="preserve">Hot Water </t>
  </si>
  <si>
    <r>
      <t>m</t>
    </r>
    <r>
      <rPr>
        <vertAlign val="superscript"/>
        <sz val="11"/>
        <rFont val="新細明體"/>
        <family val="2"/>
        <scheme val="minor"/>
      </rPr>
      <t>2</t>
    </r>
  </si>
  <si>
    <t>1000 people</t>
  </si>
  <si>
    <t>TJ</t>
  </si>
  <si>
    <t>kt</t>
  </si>
  <si>
    <r>
      <t xml:space="preserve">KWh per Flat or </t>
    </r>
    <r>
      <rPr>
        <b/>
        <sz val="11"/>
        <rFont val="新細明體"/>
        <family val="2"/>
        <scheme val="minor"/>
      </rPr>
      <t>m2</t>
    </r>
  </si>
  <si>
    <t>%</t>
  </si>
  <si>
    <t xml:space="preserve">Residential </t>
  </si>
  <si>
    <t>Private Residential</t>
  </si>
  <si>
    <t>Public Residential</t>
  </si>
  <si>
    <t>Office</t>
    <phoneticPr fontId="63" type="noConversion"/>
  </si>
  <si>
    <t>Restaurant</t>
  </si>
  <si>
    <t>Accommodation</t>
  </si>
  <si>
    <t>Retail</t>
  </si>
  <si>
    <t>Human Health</t>
  </si>
  <si>
    <t>Education</t>
  </si>
  <si>
    <t>Other Commercial Segments</t>
  </si>
  <si>
    <t>Industrial Land</t>
  </si>
  <si>
    <t>Industrial Estates</t>
  </si>
  <si>
    <t>Warehouse and Open Storage</t>
  </si>
  <si>
    <t>Warehouse &amp; Open Storage</t>
  </si>
  <si>
    <t>TOTAL</t>
  </si>
  <si>
    <t xml:space="preserve">Floor area </t>
  </si>
  <si>
    <t>emission factor</t>
  </si>
  <si>
    <t>Electrification (share of cooking, hot water &amp; Ref)</t>
  </si>
  <si>
    <t>No. of Flats</t>
  </si>
  <si>
    <t>m3 per capita</t>
  </si>
  <si>
    <t>popu</t>
    <phoneticPr fontId="3" type="noConversion"/>
  </si>
  <si>
    <t>popu_private_raw</t>
    <phoneticPr fontId="3" type="noConversion"/>
  </si>
  <si>
    <t>popu_public_raw</t>
    <phoneticPr fontId="3" type="noConversion"/>
  </si>
  <si>
    <t>popu_private</t>
    <phoneticPr fontId="3" type="noConversion"/>
  </si>
  <si>
    <t>popu_public</t>
    <phoneticPr fontId="3" type="noConversion"/>
  </si>
  <si>
    <t>gdp</t>
    <phoneticPr fontId="3" type="noConversion"/>
  </si>
  <si>
    <t>gdpper</t>
  </si>
  <si>
    <t>hh</t>
    <phoneticPr fontId="3" type="noConversion"/>
  </si>
  <si>
    <t>poperhh</t>
    <phoneticPr fontId="3" type="noConversion"/>
  </si>
  <si>
    <t>rear</t>
    <phoneticPr fontId="3" type="noConversion"/>
  </si>
  <si>
    <t>cmar</t>
    <phoneticPr fontId="3" type="noConversion"/>
  </si>
  <si>
    <t>Explain for the abbr. of variables</t>
    <phoneticPr fontId="3" type="noConversion"/>
  </si>
  <si>
    <t>History&amp;Trend</t>
    <phoneticPr fontId="3" type="noConversion"/>
  </si>
  <si>
    <t>reener</t>
    <phoneticPr fontId="3" type="noConversion"/>
  </si>
  <si>
    <t>PHre户均</t>
    <phoneticPr fontId="3" type="noConversion"/>
  </si>
  <si>
    <t>PCre人均</t>
    <phoneticPr fontId="3" type="noConversion"/>
  </si>
  <si>
    <t>private ENER</t>
    <phoneticPr fontId="3" type="noConversion"/>
  </si>
  <si>
    <t>PC private ENER</t>
    <phoneticPr fontId="3" type="noConversion"/>
  </si>
  <si>
    <t>public ENER</t>
    <phoneticPr fontId="3" type="noConversion"/>
  </si>
  <si>
    <t>PC public ENER</t>
    <phoneticPr fontId="3" type="noConversion"/>
  </si>
  <si>
    <t>comener</t>
    <phoneticPr fontId="3" type="noConversion"/>
  </si>
  <si>
    <t>PAce单位面积</t>
    <phoneticPr fontId="3" type="noConversion"/>
  </si>
  <si>
    <t>Future_Prediction</t>
    <phoneticPr fontId="3" type="noConversion"/>
  </si>
  <si>
    <t>origin_residential</t>
    <phoneticPr fontId="3" type="noConversion"/>
  </si>
  <si>
    <t>origin_commercial</t>
    <phoneticPr fontId="3" type="noConversion"/>
  </si>
  <si>
    <t>new_residential</t>
    <phoneticPr fontId="3" type="noConversion"/>
  </si>
  <si>
    <t>new_commercial</t>
    <phoneticPr fontId="3" type="noConversion"/>
  </si>
  <si>
    <t>DIFF_COMMERCIAL</t>
    <phoneticPr fontId="3" type="noConversion"/>
  </si>
  <si>
    <t>new_private</t>
    <phoneticPr fontId="3" type="noConversion"/>
  </si>
  <si>
    <t>new_public</t>
    <phoneticPr fontId="3" type="noConversion"/>
  </si>
  <si>
    <t>population,×10^6 people</t>
    <phoneticPr fontId="3" type="noConversion"/>
  </si>
  <si>
    <t>均值6956.12; 
10年均增长率2.00%
5年均增长率1.33%</t>
    <phoneticPr fontId="3" type="noConversion"/>
  </si>
  <si>
    <t>均值8592.81; 
5年均增长率-0.74%
10年均增长率-0.74%</t>
    <phoneticPr fontId="3" type="noConversion"/>
  </si>
  <si>
    <t>Old:direct regress total energy;
New: predict intensity*popu(or area)</t>
    <phoneticPr fontId="3" type="noConversion"/>
  </si>
  <si>
    <t>GDP, bil.USD2012</t>
    <phoneticPr fontId="3" type="noConversion"/>
  </si>
  <si>
    <t>gdpper</t>
    <phoneticPr fontId="3" type="noConversion"/>
  </si>
  <si>
    <t>GDP per capita, kUSD2012</t>
    <phoneticPr fontId="3" type="noConversion"/>
  </si>
  <si>
    <t>household unit, predicted according to HK 2030 Baseline report</t>
    <phoneticPr fontId="3" type="noConversion"/>
  </si>
  <si>
    <t>hhnew</t>
    <phoneticPr fontId="3" type="noConversion"/>
  </si>
  <si>
    <t>household unit, predicted according to HK C&amp;SD</t>
    <phoneticPr fontId="3" type="noConversion"/>
  </si>
  <si>
    <t>Average no. of people per household</t>
    <phoneticPr fontId="3" type="noConversion"/>
  </si>
  <si>
    <t>Final results(2019/9/5)</t>
    <phoneticPr fontId="3" type="noConversion"/>
  </si>
  <si>
    <t>residential building area, Mil. M2</t>
    <phoneticPr fontId="3" type="noConversion"/>
  </si>
  <si>
    <t>commercial building area, Mil m2 in GFA</t>
    <phoneticPr fontId="3" type="noConversion"/>
  </si>
  <si>
    <t>re</t>
    <phoneticPr fontId="3" type="noConversion"/>
  </si>
  <si>
    <t>residential total energy use,TJ</t>
    <phoneticPr fontId="3" type="noConversion"/>
  </si>
  <si>
    <t>cm</t>
    <phoneticPr fontId="3" type="noConversion"/>
  </si>
  <si>
    <t>commercial total energy use,TJ</t>
    <phoneticPr fontId="3" type="noConversion"/>
  </si>
  <si>
    <t>平均值</t>
    <phoneticPr fontId="3" type="noConversion"/>
  </si>
  <si>
    <t xml:space="preserve">the following is extracted from the updated Policy Concept Model </t>
  </si>
  <si>
    <t>conversion for gdp</t>
  </si>
  <si>
    <t>conversion for capita</t>
  </si>
  <si>
    <t>conversion for population</t>
  </si>
  <si>
    <t>Year-on-year change</t>
  </si>
  <si>
    <t>GDP per capita HK$</t>
  </si>
  <si>
    <t>Usual
Residents ^3</t>
  </si>
  <si>
    <t xml:space="preserve">gdp </t>
  </si>
  <si>
    <t>HK$ million</t>
  </si>
  <si>
    <t>HK$</t>
  </si>
  <si>
    <t>US$</t>
  </si>
  <si>
    <t>US$ billion</t>
  </si>
  <si>
    <t>US$ k</t>
  </si>
  <si>
    <t xml:space="preserve">hh: figures edited from 2016-2050 using updated Policy Concept Model </t>
  </si>
  <si>
    <t>Fitting to get future domestic household number</t>
    <phoneticPr fontId="3" type="noConversion"/>
  </si>
  <si>
    <t>Domestic Household (HK C&amp;SD Pred)</t>
    <phoneticPr fontId="3" type="noConversion"/>
  </si>
  <si>
    <t>拟合所得公式：
Fitting Results:</t>
    <phoneticPr fontId="3" type="noConversion"/>
  </si>
  <si>
    <t>注：由以下，二次、三次、四次拟合：采用三次拟合结果，拟合较好（R2高）。虽然3或4次的拟合能够获得更高的R2，但曲线在两点中间有拐点，因此更不适合。
Note: The first fitting curve(Y=Ax2+Bx+C) is adopted. Although the latter two fittings have better R2, but there exist inflection point in between two points in those two fitting curve.</t>
    <phoneticPr fontId="3" type="noConversion"/>
  </si>
  <si>
    <t>二次拟合(y=Ax2+Bx+c)</t>
    <phoneticPr fontId="3" type="noConversion"/>
  </si>
  <si>
    <t>三次拟合(y=Ax3+Bx2+Cx+D)</t>
    <phoneticPr fontId="3" type="noConversion"/>
  </si>
  <si>
    <t>四次拟合(y=Ax4+Bx3+Cx2+Dx+E)</t>
    <phoneticPr fontId="3" type="noConversion"/>
  </si>
  <si>
    <t>BTU-TJ Conversion Factor</t>
    <phoneticPr fontId="3" type="noConversion"/>
  </si>
  <si>
    <t>Data source:</t>
    <phoneticPr fontId="3" type="noConversion"/>
  </si>
  <si>
    <t>IEA World Energy Outlook 2017, Appendix</t>
    <phoneticPr fontId="3" type="noConversion"/>
  </si>
  <si>
    <t>MBTU/TJ</t>
    <phoneticPr fontId="3" type="noConversion"/>
  </si>
  <si>
    <t>BTU/TJ</t>
    <phoneticPr fontId="3" type="noConversion"/>
  </si>
  <si>
    <t>Prediction of Future Residential&amp;Commercial Total Energy Use</t>
    <phoneticPr fontId="3" type="noConversion"/>
  </si>
  <si>
    <t>History residential data(no consider division of private/public)</t>
    <phoneticPr fontId="3" type="noConversion"/>
  </si>
  <si>
    <t>From Sheet: Future Total Energy</t>
    <phoneticPr fontId="3" type="noConversion"/>
  </si>
  <si>
    <t>Note:     History: from sheet “Residential8Fuel"</t>
    <phoneticPr fontId="3" type="noConversion"/>
  </si>
  <si>
    <t>Future: predict by apply TREND function</t>
    <phoneticPr fontId="3" type="noConversion"/>
  </si>
  <si>
    <t>Note:     History: from sheet “History Type Share"</t>
    <phoneticPr fontId="3" type="noConversion"/>
  </si>
  <si>
    <t>Future ratio: predict by apply TREND function</t>
    <phoneticPr fontId="3" type="noConversion"/>
  </si>
  <si>
    <t>Oil&amp;Coal by fixing amout at 8 TJ</t>
    <phoneticPr fontId="3" type="noConversion"/>
  </si>
  <si>
    <t>Private Residential Energy Mix</t>
    <phoneticPr fontId="3" type="noConversion"/>
  </si>
  <si>
    <t>Amount Unit: TJ</t>
    <phoneticPr fontId="3" type="noConversion"/>
  </si>
  <si>
    <t>Public Residential Energy Mix</t>
    <phoneticPr fontId="3" type="noConversion"/>
  </si>
  <si>
    <t>商业 Commercial Energy Mix</t>
    <phoneticPr fontId="3" type="noConversion"/>
  </si>
  <si>
    <t>Private</t>
    <phoneticPr fontId="3" type="noConversion"/>
  </si>
  <si>
    <t>Public</t>
    <phoneticPr fontId="3" type="noConversion"/>
  </si>
  <si>
    <r>
      <rPr>
        <sz val="8"/>
        <rFont val="Noto Sans CJK JP Regular"/>
        <family val="2"/>
      </rPr>
      <t xml:space="preserve">油及煤產品^1
</t>
    </r>
    <r>
      <rPr>
        <sz val="8"/>
        <rFont val="Arial"/>
        <family val="2"/>
      </rPr>
      <t>Oil &amp; Coal
Products</t>
    </r>
  </si>
  <si>
    <t xml:space="preserve">1. We assume that the remaining diesel/coal is for emergency generator units :. The current energy use is for testing the units and does not contribute towards the total energy mix for commercial buildings. </t>
  </si>
  <si>
    <t>2. We assume that the drop in 2020-2022 was due to the COVID pandemic</t>
  </si>
  <si>
    <t>3. We are assuming that the electricity share in the commercial energy mix will remain the same as previous models showed very little change between years</t>
  </si>
  <si>
    <t xml:space="preserve">4. We are taking the 2018 measurement for town gas and natural gas due to COVID and social unrest </t>
  </si>
  <si>
    <t>Prediction of Future Residential/Commercial End-use Energy Share</t>
    <phoneticPr fontId="3" type="noConversion"/>
  </si>
  <si>
    <t>Method:</t>
    <phoneticPr fontId="3" type="noConversion"/>
  </si>
  <si>
    <t>1.Decomposition of Energy Consumption</t>
    <phoneticPr fontId="3" type="noConversion"/>
  </si>
  <si>
    <t xml:space="preserve">For residential future end-use electricity demand structure, all categories except "Air conditioning" is predicted by using TREND function and assuming a proper 2050 share percentage which, together with the share in Electricity, makes the results of end-use share in "Energy Except Electricity" reasonable(reasonable means not against the real world, e.g. other energy type for "air conditioning" should be zero). Then, the share of "Air Conditioning" is predicted by 1-(all the demand share ratios of other categories). </t>
    <phoneticPr fontId="3" type="noConversion"/>
  </si>
  <si>
    <t>For commercial,  the energy demand share of "Hot Water&amp;Refrigeration", "Lighting" and "Office Equipment"  is fixed at 2021 level; the "Air conditioning" category's energy share is scaled from this category's share in electricity with a 25/24 multiplier to also make the results of  "Energy Except Electricity" share resonable.</t>
  </si>
  <si>
    <t>1) See below</t>
  </si>
  <si>
    <t>2. Decomposition of “Energy except electricity"(other energy type) Consumption</t>
    <phoneticPr fontId="3" type="noConversion"/>
  </si>
  <si>
    <t xml:space="preserve">From calculation of history data(shown in "Residential8EndUse""Commercial8EndUse"), only Cooking and Heating consume non-electric energy. </t>
    <phoneticPr fontId="3" type="noConversion"/>
  </si>
  <si>
    <t>Therefore, future prediction are based on the history trend, setting a small increasing trend for non-electricity energy consumption of Hot Water,  a small decreasing trend for Cooking, and 0%  for all the other end-uses.</t>
    <phoneticPr fontId="3" type="noConversion"/>
  </si>
  <si>
    <t>3. Decomposition of Electricity Consumption</t>
    <phoneticPr fontId="3" type="noConversion"/>
  </si>
  <si>
    <t>The share of different end-uses in electricity consumption is predicted based on the projections for energy and non-elec energy.</t>
    <phoneticPr fontId="3" type="noConversion"/>
  </si>
  <si>
    <t>Equation(for solving y):</t>
    <phoneticPr fontId="3" type="noConversion"/>
  </si>
  <si>
    <t xml:space="preserve">    [y(End use A's share in electricity)*ESTE(electricity's share in total energy)]+[ESN(End use A's share in non-electricity)*NSTE(non-elec-energy's share in total energy)]=STE(End use A's share in total energy)</t>
  </si>
  <si>
    <t>Check：</t>
    <phoneticPr fontId="3" type="noConversion"/>
  </si>
  <si>
    <t>"Air Conditioning"'s share in energy/electricity demand both increase in the future, which is in accordance with the possible trend that future temperature and heatwave frequency in HK will increse due to climate change.</t>
    <phoneticPr fontId="3" type="noConversion"/>
  </si>
  <si>
    <t>Redisential-Private</t>
    <phoneticPr fontId="3" type="noConversion"/>
  </si>
  <si>
    <t>Fix setting for cooking: (by my own judgement now)(if use TREND for "cooking"  the ratio will dicrease to &lt;5% in 2050; for refregeration it's 7% and this category for other types of energy-colAB-will be much minus)</t>
    <phoneticPr fontId="3" type="noConversion"/>
  </si>
  <si>
    <t>Redisential-Public</t>
    <phoneticPr fontId="3" type="noConversion"/>
  </si>
  <si>
    <t>Energy Except Electricity (Town gas, oil&amp;coal), NOT YET ADJUSTED</t>
    <phoneticPr fontId="3" type="noConversion"/>
  </si>
  <si>
    <t>Energy Except Electricity (Town gas, oil&amp;coal), ADJUSTED</t>
    <phoneticPr fontId="3" type="noConversion"/>
  </si>
  <si>
    <t>2. Air Conditioning,</t>
    <phoneticPr fontId="3" type="noConversion"/>
  </si>
  <si>
    <t>Refrigeration-&gt;0</t>
  </si>
  <si>
    <t xml:space="preserve">3.(190404) </t>
    <phoneticPr fontId="3" type="noConversion"/>
  </si>
  <si>
    <t xml:space="preserve">Lighting, Office Equipment, </t>
    <phoneticPr fontId="3" type="noConversion"/>
  </si>
  <si>
    <t>Others-&gt;0</t>
  </si>
  <si>
    <t>4.Adjust Cooking to make</t>
    <phoneticPr fontId="3" type="noConversion"/>
  </si>
  <si>
    <t>Another possibility for Air Condition</t>
    <phoneticPr fontId="3" type="noConversion"/>
  </si>
  <si>
    <t>the sum=1</t>
    <phoneticPr fontId="3" type="noConversion"/>
  </si>
  <si>
    <t>C$67*M78/$M$67</t>
  </si>
  <si>
    <t>25/24 is a adjucting coefficient, to make energy of other type has (as close as possible with) 0% share in the air-conditioning end-use</t>
    <phoneticPr fontId="3" type="noConversion"/>
  </si>
  <si>
    <t xml:space="preserve">1) Updated 10/4/24  and most recent data at time of revision is 2021. Will peg the energy decomposition of Hot Water, lighting, and equipment to 2021 data </t>
  </si>
  <si>
    <t>1) NOTE: assumption that from 2022-2050, the % of energy use will not change and will remain constant</t>
  </si>
  <si>
    <t>Commercial Energy End-use</t>
    <phoneticPr fontId="3" type="noConversion"/>
  </si>
  <si>
    <t>(For applying Trend function to historical data)</t>
    <phoneticPr fontId="3" type="noConversion"/>
  </si>
  <si>
    <t>Cooling</t>
    <phoneticPr fontId="3" type="noConversion"/>
  </si>
  <si>
    <t>Heating</t>
    <phoneticPr fontId="3" type="noConversion"/>
  </si>
  <si>
    <t>Appliance</t>
    <phoneticPr fontId="3" type="noConversion"/>
  </si>
  <si>
    <t>electricity(TJ)</t>
    <phoneticPr fontId="3" type="noConversion"/>
  </si>
  <si>
    <t>coal(TJ)</t>
    <phoneticPr fontId="3" type="noConversion"/>
  </si>
  <si>
    <t>natural gas(TJ)</t>
    <phoneticPr fontId="3" type="noConversion"/>
  </si>
  <si>
    <t>petroleum diesel (TJ)</t>
    <phoneticPr fontId="3" type="noConversion"/>
  </si>
  <si>
    <t>heat (TJ)</t>
    <phoneticPr fontId="3" type="noConversion"/>
  </si>
  <si>
    <t>biomass (TJ)</t>
    <phoneticPr fontId="3" type="noConversion"/>
  </si>
  <si>
    <t>1) From 2019-2021, we see a significant drop. We can attribute this to COVID</t>
  </si>
  <si>
    <t>2) NOTE: The EPS model's definition of Appliance covers the EMSD's defintion of cooking, office equipment and hot water/ refrigeration</t>
  </si>
  <si>
    <t>Commercial End-use Energy Data (almost prepared, only leave unit not converted yet)</t>
    <phoneticPr fontId="3" type="noConversion"/>
  </si>
  <si>
    <t>P.S.  The Sum energy numbers in "Check Total"(at the end of this sheet)  are the same with those in sheet"Future Pred".</t>
    <phoneticPr fontId="3" type="noConversion"/>
  </si>
  <si>
    <t>electricity(TJ)</t>
  </si>
  <si>
    <t>coal(TJ)</t>
  </si>
  <si>
    <t>natural gas(TJ)</t>
  </si>
  <si>
    <t>petroleum diesel (TJ)</t>
  </si>
  <si>
    <t>heat (TJ)</t>
  </si>
  <si>
    <t>biomass (TJ)</t>
  </si>
  <si>
    <t>Check Total</t>
    <phoneticPr fontId="3" type="noConversion"/>
  </si>
  <si>
    <t>Commercial End-use Energy Data (Final Results)</t>
    <phoneticPr fontId="3" type="noConversion"/>
  </si>
  <si>
    <t>electricity(BTU)</t>
    <phoneticPr fontId="3" type="noConversion"/>
  </si>
  <si>
    <t>coal(BTU)</t>
    <phoneticPr fontId="3" type="noConversion"/>
  </si>
  <si>
    <t>natural gas(BTU)</t>
    <phoneticPr fontId="3" type="noConversion"/>
  </si>
  <si>
    <t>petroleum diesel (BTU)</t>
    <phoneticPr fontId="3" type="noConversion"/>
  </si>
  <si>
    <t>heat (BTU)</t>
    <phoneticPr fontId="3" type="noConversion"/>
  </si>
  <si>
    <t>biomass (BTU)</t>
    <phoneticPr fontId="3" type="noConversion"/>
  </si>
  <si>
    <t>1BTU=</t>
  </si>
  <si>
    <t>J</t>
  </si>
  <si>
    <t>BTU</t>
  </si>
  <si>
    <t>Private Residential Energy End-use</t>
    <phoneticPr fontId="3" type="noConversion"/>
  </si>
  <si>
    <t>Residential End-use Energy Data (almost prepared, only leave unit not converted yet)</t>
    <phoneticPr fontId="3" type="noConversion"/>
  </si>
  <si>
    <t>Public Residential Energy End-use</t>
    <phoneticPr fontId="3" type="noConversion"/>
  </si>
  <si>
    <t>Private Residential End-use Energy Data</t>
    <phoneticPr fontId="3" type="noConversion"/>
  </si>
  <si>
    <t xml:space="preserve">Million </t>
  </si>
  <si>
    <t>enerngy consumption per capita</t>
  </si>
  <si>
    <t>MJ/PERPSON</t>
  </si>
  <si>
    <t>Public Residential End-use Energy Data</t>
    <phoneticPr fontId="3" type="noConversion"/>
  </si>
  <si>
    <t>electricity (BTU)</t>
  </si>
  <si>
    <t>coal (BTU)</t>
  </si>
  <si>
    <t>natural gas (BTU)</t>
  </si>
  <si>
    <t>petroleum diesel (BTU)</t>
  </si>
  <si>
    <t>heat (BTU)</t>
  </si>
  <si>
    <t>biomass (BTU)</t>
  </si>
  <si>
    <t>kerosene (BTU)</t>
  </si>
  <si>
    <t>heavy or residual fuel oil (BTU)</t>
  </si>
  <si>
    <t>LPG propane or butane (BTU)</t>
  </si>
  <si>
    <t>hydrogen (BTU)</t>
  </si>
  <si>
    <t>Residential (Unit : Terajoule)</t>
  </si>
  <si>
    <t>Residential Percentage (%)</t>
  </si>
  <si>
    <t>Commercial (Unit : Terajoule)</t>
  </si>
  <si>
    <t>Commercial Percentage (%)</t>
  </si>
  <si>
    <t>Industrial (Unit : Terajoule)</t>
  </si>
  <si>
    <t>Industrial Percentage (%)</t>
  </si>
  <si>
    <t>Transport (Unit : Terajoule)</t>
  </si>
  <si>
    <t>Transport Percentage (%)</t>
  </si>
  <si>
    <t>Laundry (Unit : Terajoule)</t>
  </si>
  <si>
    <t>Cooking (Unit : Terajoule)</t>
  </si>
  <si>
    <t>Air Conditioning (Unit : Terajoule)</t>
  </si>
  <si>
    <t>Hot Water (Unit : Terajoule)</t>
  </si>
  <si>
    <t>Lighting (Unit : Terajoule)</t>
  </si>
  <si>
    <t>Refrigeration (Unit : Terajoule)</t>
  </si>
  <si>
    <t>Office Equipment (Unit : Terajoule)</t>
  </si>
  <si>
    <t>Others (Unit : Terajoule)</t>
  </si>
  <si>
    <r>
      <rPr>
        <sz val="8"/>
        <rFont val="新細明體"/>
        <family val="1"/>
        <charset val="136"/>
        <scheme val="minor"/>
      </rPr>
      <t>年份
Year</t>
    </r>
  </si>
  <si>
    <r>
      <rPr>
        <sz val="8"/>
        <rFont val="新細明體"/>
        <family val="1"/>
        <charset val="136"/>
        <scheme val="minor"/>
      </rPr>
      <t>總計
Total</t>
    </r>
  </si>
  <si>
    <r>
      <rPr>
        <sz val="8"/>
        <rFont val="Noto Sans CJK JP Regular"/>
        <family val="2"/>
      </rPr>
      <t xml:space="preserve">煮食
</t>
    </r>
    <r>
      <rPr>
        <sz val="8"/>
        <rFont val="Arial"/>
        <family val="2"/>
      </rPr>
      <t>Cooking</t>
    </r>
  </si>
  <si>
    <r>
      <rPr>
        <sz val="8"/>
        <rFont val="Noto Sans CJK JP Regular"/>
        <family val="2"/>
      </rPr>
      <t xml:space="preserve">空氣調節
</t>
    </r>
    <r>
      <rPr>
        <sz val="8"/>
        <rFont val="Arial"/>
        <family val="2"/>
      </rPr>
      <t>Air
Conditioning</t>
    </r>
  </si>
  <si>
    <r>
      <rPr>
        <sz val="8"/>
        <rFont val="Noto Sans CJK JP Regular"/>
        <family val="2"/>
      </rPr>
      <t xml:space="preserve">熱水
</t>
    </r>
    <r>
      <rPr>
        <sz val="8"/>
        <rFont val="Arial"/>
        <family val="2"/>
      </rPr>
      <t>Hot
Water</t>
    </r>
  </si>
  <si>
    <r>
      <rPr>
        <sz val="8"/>
        <rFont val="Noto Sans CJK JP Regular"/>
        <family val="2"/>
      </rPr>
      <t xml:space="preserve">照明
</t>
    </r>
    <r>
      <rPr>
        <sz val="8"/>
        <rFont val="Arial"/>
        <family val="2"/>
      </rPr>
      <t>Lighting</t>
    </r>
  </si>
  <si>
    <r>
      <rPr>
        <sz val="8"/>
        <rFont val="Noto Sans CJK JP Regular"/>
        <family val="2"/>
      </rPr>
      <t xml:space="preserve">冷凍
</t>
    </r>
    <r>
      <rPr>
        <sz val="8"/>
        <rFont val="Arial"/>
        <family val="2"/>
      </rPr>
      <t>Refrigeration</t>
    </r>
  </si>
  <si>
    <r>
      <rPr>
        <sz val="8"/>
        <rFont val="Noto Sans CJK JP Regular"/>
        <family val="2"/>
      </rPr>
      <t xml:space="preserve">辦公室設備
</t>
    </r>
    <r>
      <rPr>
        <sz val="8"/>
        <rFont val="Arial"/>
        <family val="2"/>
      </rPr>
      <t>Office
Equipment</t>
    </r>
  </si>
  <si>
    <r>
      <rPr>
        <sz val="8"/>
        <rFont val="Noto Sans CJK JP Regular"/>
        <family val="2"/>
      </rPr>
      <t xml:space="preserve">其他 </t>
    </r>
    <r>
      <rPr>
        <vertAlign val="superscript"/>
        <sz val="8"/>
        <rFont val="Arial"/>
        <family val="2"/>
      </rPr>
      <t xml:space="preserve">1
</t>
    </r>
    <r>
      <rPr>
        <sz val="8"/>
        <rFont val="Arial"/>
        <family val="2"/>
      </rPr>
      <t xml:space="preserve">Others </t>
    </r>
    <r>
      <rPr>
        <vertAlign val="superscript"/>
        <sz val="8"/>
        <rFont val="Arial"/>
        <family val="2"/>
      </rPr>
      <t>1</t>
    </r>
  </si>
  <si>
    <t>Total Energy Consumption in Other Housing Segment by End-use</t>
    <phoneticPr fontId="3" type="noConversion"/>
  </si>
  <si>
    <t>Total ElecConsumption in Other Housing Segment by End-use</t>
    <phoneticPr fontId="3" type="noConversion"/>
  </si>
  <si>
    <t>Private = Urban defination in the EPS</t>
    <phoneticPr fontId="3" type="noConversion"/>
  </si>
  <si>
    <t>Public = Rural defination in the EPS</t>
    <phoneticPr fontId="3" type="noConversion"/>
  </si>
  <si>
    <t>Hot Water &amp; Refrigeration (Unit : Terajoule)</t>
  </si>
  <si>
    <t>Vertical Transport (Unit : Terajoule)</t>
  </si>
  <si>
    <t xml:space="preserve">Total Energy Consumption in Retail Segment by End-use </t>
  </si>
  <si>
    <t xml:space="preserve">Total Energy Consumption in Restaurant Segment by End-use </t>
  </si>
  <si>
    <t>Total Energy Consumption in Human Health Segment by End-use</t>
    <phoneticPr fontId="76" type="noConversion"/>
  </si>
  <si>
    <t>Total Energy Consumption in Accommodation Segment by End-use</t>
    <phoneticPr fontId="76" type="noConversion"/>
  </si>
  <si>
    <t>Total Energy Consumption in Office Segment by End-use</t>
    <phoneticPr fontId="76" type="noConversion"/>
  </si>
  <si>
    <t>Total Energy Consumption in Data Centre Segment by End-use</t>
    <phoneticPr fontId="76" type="noConversion"/>
  </si>
  <si>
    <t>Total Energy Consumption in Education Segment by End-use</t>
    <phoneticPr fontId="76" type="noConversion"/>
  </si>
  <si>
    <t>Total Energy Consumption in Other Commercial Segment by End-use</t>
    <phoneticPr fontId="76" type="noConversion"/>
  </si>
  <si>
    <t xml:space="preserve">Electricity Consumption in Restaurant Segment by End-use </t>
  </si>
  <si>
    <t>Electricity Consumption in Retail Segment by End-use</t>
    <phoneticPr fontId="76" type="noConversion"/>
  </si>
  <si>
    <t>Electricity Consumption in Office Segment by End-use</t>
    <phoneticPr fontId="76" type="noConversion"/>
  </si>
  <si>
    <t>Electricity Consumption in Accommodation Segment by End-use</t>
    <phoneticPr fontId="76" type="noConversion"/>
  </si>
  <si>
    <t>Electricity Consumption in Human Health Segment by End-use</t>
    <phoneticPr fontId="76" type="noConversion"/>
  </si>
  <si>
    <t xml:space="preserve">Electricity Consumption in Education Segment by End-use </t>
  </si>
  <si>
    <t>Electricity Consumption in Data Centre Segment by End-use</t>
    <phoneticPr fontId="76" type="noConversion"/>
  </si>
  <si>
    <t xml:space="preserve">Electricity Consumption in Other Commercial Segment by End-use </t>
  </si>
  <si>
    <t>Total</t>
    <phoneticPr fontId="76" type="noConversion"/>
  </si>
  <si>
    <t xml:space="preserve">Non Electricity Consumption in Other Commercial Segment by End-use </t>
    <phoneticPr fontId="76" type="noConversion"/>
  </si>
  <si>
    <t>Non Electricity Consumption in Data Centre Segment by End-use</t>
    <phoneticPr fontId="76" type="noConversion"/>
  </si>
  <si>
    <t xml:space="preserve">Non Electricity Consumption in Education Segment by End-use </t>
    <phoneticPr fontId="76" type="noConversion"/>
  </si>
  <si>
    <t>Non Electricity Consumption in Human Health Segment by End-use</t>
    <phoneticPr fontId="76" type="noConversion"/>
  </si>
  <si>
    <t>Non Electricity Consumption in Accommodation Segment by End-use</t>
    <phoneticPr fontId="76" type="noConversion"/>
  </si>
  <si>
    <t>Non Electricity Consumption in Office Segment by End-use</t>
    <phoneticPr fontId="76" type="noConversion"/>
  </si>
  <si>
    <t>Non Electricity Consumption in Retail Segment by End-use</t>
    <phoneticPr fontId="76" type="noConversion"/>
  </si>
  <si>
    <t xml:space="preserve">Non Electricity Consumption in Restaurant Segment by End-use </t>
    <phoneticPr fontId="76" type="noConversion"/>
  </si>
  <si>
    <t>Year</t>
    <phoneticPr fontId="76" type="noConversion"/>
  </si>
  <si>
    <t>https://www.statistics.gov.hk/pub/B1120015082020XXXXB0100.pdf</t>
  </si>
  <si>
    <t>Table A1</t>
    <phoneticPr fontId="3" type="noConversion"/>
  </si>
  <si>
    <t>Hong Kong Population Projections 2020–2069</t>
    <phoneticPr fontId="3" type="noConversion"/>
  </si>
  <si>
    <t>https://www.censtatd.gov.hk/en/web_table.html?id=31#</t>
  </si>
  <si>
    <t>HKGDP data</t>
    <phoneticPr fontId="3" type="noConversion"/>
  </si>
  <si>
    <t>GDP^4</t>
    <phoneticPr fontId="3" type="noConversion"/>
  </si>
  <si>
    <t>https://research.hktdc.com/en/article/MzIwNjkzNTY5</t>
  </si>
  <si>
    <t>2023 GDP growth</t>
    <phoneticPr fontId="3" type="noConversion"/>
  </si>
  <si>
    <t>2023^5</t>
    <phoneticPr fontId="3" type="noConversion"/>
  </si>
  <si>
    <t>Private residental and Public resident ratio</t>
    <phoneticPr fontId="3" type="noConversion"/>
  </si>
  <si>
    <t>https://www.hb.gov.hk/eng/publications/housing/HIF2022.pdf</t>
  </si>
  <si>
    <t>Private permanent housing</t>
    <phoneticPr fontId="3" type="noConversion"/>
  </si>
  <si>
    <t>Public permanent housing</t>
    <phoneticPr fontId="3" type="noConversion"/>
  </si>
  <si>
    <t>Population by type of housing^6</t>
    <phoneticPr fontId="3" type="noConversion"/>
  </si>
  <si>
    <t xml:space="preserve">Total Energy Consumption by End-use </t>
    <phoneticPr fontId="76" type="noConversion"/>
  </si>
  <si>
    <t xml:space="preserve">Electricity Consumption by End-use </t>
    <phoneticPr fontId="76" type="noConversion"/>
  </si>
  <si>
    <t xml:space="preserve">Non Electricity Consumption by End-use </t>
    <phoneticPr fontId="76" type="noConversion"/>
  </si>
  <si>
    <t>Non</t>
  </si>
  <si>
    <t>Consumption</t>
  </si>
  <si>
    <t>by</t>
  </si>
  <si>
    <t>End-use</t>
  </si>
  <si>
    <t>Energy efficiency improvement</t>
    <phoneticPr fontId="3" type="noConversion"/>
  </si>
  <si>
    <t>https://cnsd.gov.hk/wp-content/uploads/pdf/CAP2050_leaflet_en.pdf</t>
  </si>
  <si>
    <t>Energy efficiency improvement^1</t>
    <phoneticPr fontId="3" type="noConversion"/>
  </si>
  <si>
    <t>https://inews.hket.com/article/3606672/【能源標籤】三類產品納能源效益標籤計劃%20明年12月1日全面實施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</si>
</sst>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HK$&quot;* #,##0.00_);_(&quot;HK$&quot;* \(#,##0.00\);_(&quot;HK$&quot;* &quot;-&quot;??_);_(@_)"/>
    <numFmt numFmtId="43" formatCode="_(* #,##0.00_);_(* \(#,##0.00\);_(* &quot;-&quot;??_);_(@_)"/>
    <numFmt numFmtId="176" formatCode="_-* #,##0.00_-;\-* #,##0.00_-;_-* &quot;-&quot;??_-;_-@_-"/>
    <numFmt numFmtId="177" formatCode="0.00_);[Red]\(0.00\)"/>
    <numFmt numFmtId="178" formatCode="0.0%"/>
    <numFmt numFmtId="179" formatCode="0.0"/>
    <numFmt numFmtId="180" formatCode="###\ ###\ ##0.0"/>
    <numFmt numFmtId="181" formatCode="#\ ###\ ###"/>
    <numFmt numFmtId="182" formatCode="0_);[Red]\(0\)"/>
    <numFmt numFmtId="183" formatCode="0.000"/>
    <numFmt numFmtId="184" formatCode="_(* #,##0_);_(* \(#,##0\);_(* &quot;-&quot;??_);_(@_)"/>
    <numFmt numFmtId="185" formatCode="_(* #,##0.0_);_(* \(#,##0.0\);_(* &quot;-&quot;??_);_(@_)"/>
    <numFmt numFmtId="186" formatCode="[$-13C09]d\ mmm\ yyyy;@"/>
    <numFmt numFmtId="187" formatCode="_(* #,##0.0000_);_(* \(#,##0.0000\);_(* &quot;-&quot;??_);_(@_)"/>
    <numFmt numFmtId="188" formatCode="_-* #,##0_-;\-* #,##0_-;_-* &quot;-&quot;??_-;_-@_-"/>
    <numFmt numFmtId="189" formatCode="_(* #,##0_);_(* \(#,##0\);_(* &quot;-&quot;????_);_(@_)"/>
    <numFmt numFmtId="190" formatCode="_(* #,##0.0_);_(* \(#,##0.0\);_(* &quot;-&quot;?_);_(@_)"/>
  </numFmts>
  <fonts count="86">
    <font>
      <sz val="11"/>
      <color theme="1"/>
      <name val="新細明體"/>
      <family val="2"/>
      <scheme val="minor"/>
    </font>
    <font>
      <sz val="11"/>
      <color theme="1"/>
      <name val="新細明體"/>
      <family val="2"/>
      <charset val="134"/>
      <scheme val="minor"/>
    </font>
    <font>
      <sz val="11"/>
      <color theme="1"/>
      <name val="新細明體"/>
      <family val="2"/>
      <scheme val="minor"/>
    </font>
    <font>
      <sz val="9"/>
      <name val="新細明體"/>
      <family val="3"/>
      <charset val="134"/>
      <scheme val="minor"/>
    </font>
    <font>
      <sz val="8"/>
      <name val="Noto Sans CJK JP Regular"/>
      <family val="2"/>
    </font>
    <font>
      <sz val="8"/>
      <name val="Arial"/>
      <family val="2"/>
    </font>
    <font>
      <sz val="6"/>
      <name val="Arial"/>
      <family val="2"/>
    </font>
    <font>
      <sz val="8"/>
      <color rgb="FF000000"/>
      <name val="Arial"/>
      <family val="2"/>
    </font>
    <font>
      <b/>
      <sz val="11"/>
      <color theme="1"/>
      <name val="新細明體"/>
      <family val="2"/>
      <scheme val="minor"/>
    </font>
    <font>
      <sz val="11"/>
      <color theme="1" tint="4.9989318521683403E-2"/>
      <name val="新細明體"/>
      <family val="2"/>
      <scheme val="minor"/>
    </font>
    <font>
      <sz val="11"/>
      <color theme="1" tint="4.9989318521683403E-2"/>
      <name val="新細明體"/>
      <family val="3"/>
      <charset val="134"/>
      <scheme val="minor"/>
    </font>
    <font>
      <sz val="11"/>
      <color theme="1"/>
      <name val="新細明體"/>
      <family val="3"/>
      <charset val="134"/>
      <scheme val="minor"/>
    </font>
    <font>
      <b/>
      <sz val="11"/>
      <color theme="1"/>
      <name val="新細明體"/>
      <family val="3"/>
      <charset val="134"/>
      <scheme val="minor"/>
    </font>
    <font>
      <u/>
      <sz val="11"/>
      <color theme="10"/>
      <name val="新細明體"/>
      <family val="2"/>
      <scheme val="minor"/>
    </font>
    <font>
      <sz val="9"/>
      <color indexed="81"/>
      <name val="宋体"/>
      <family val="3"/>
      <charset val="134"/>
    </font>
    <font>
      <b/>
      <sz val="9"/>
      <color indexed="81"/>
      <name val="宋体"/>
      <family val="3"/>
      <charset val="134"/>
    </font>
    <font>
      <sz val="10"/>
      <name val="Calibri"/>
      <family val="2"/>
    </font>
    <font>
      <sz val="10"/>
      <name val="Arial"/>
      <family val="2"/>
    </font>
    <font>
      <sz val="12"/>
      <color theme="1"/>
      <name val="新細明體"/>
      <family val="1"/>
      <charset val="136"/>
      <scheme val="minor"/>
    </font>
    <font>
      <b/>
      <sz val="14"/>
      <color indexed="8"/>
      <name val="Times New Roman"/>
      <family val="1"/>
    </font>
    <font>
      <b/>
      <sz val="14"/>
      <color indexed="8"/>
      <name val="新細明體"/>
      <family val="1"/>
      <charset val="136"/>
    </font>
    <font>
      <sz val="9"/>
      <name val="新細明體"/>
      <family val="1"/>
      <charset val="136"/>
    </font>
    <font>
      <b/>
      <sz val="14"/>
      <color theme="1"/>
      <name val="Times New Roman"/>
      <family val="1"/>
    </font>
    <font>
      <sz val="11"/>
      <color theme="1"/>
      <name val="Times New Roman"/>
      <family val="1"/>
    </font>
    <font>
      <u/>
      <sz val="12"/>
      <color indexed="12"/>
      <name val="新細明體"/>
      <family val="1"/>
      <charset val="136"/>
    </font>
    <font>
      <b/>
      <sz val="11"/>
      <color theme="1"/>
      <name val="Times New Roman"/>
      <family val="1"/>
    </font>
    <font>
      <sz val="11"/>
      <color rgb="FF000000"/>
      <name val="Times New Roman"/>
      <family val="1"/>
    </font>
    <font>
      <sz val="11"/>
      <color indexed="8"/>
      <name val="新細明體"/>
      <family val="1"/>
      <charset val="136"/>
    </font>
    <font>
      <sz val="11"/>
      <color indexed="8"/>
      <name val="細明體"/>
      <family val="3"/>
      <charset val="136"/>
    </font>
    <font>
      <sz val="11"/>
      <color theme="1"/>
      <name val="細明體"/>
      <family val="3"/>
      <charset val="136"/>
    </font>
    <font>
      <sz val="11"/>
      <color indexed="8"/>
      <name val="新細明體"/>
      <family val="2"/>
      <scheme val="minor"/>
    </font>
    <font>
      <sz val="11"/>
      <color rgb="FFFF0000"/>
      <name val="新細明體"/>
      <family val="2"/>
      <scheme val="minor"/>
    </font>
    <font>
      <u/>
      <sz val="11"/>
      <color theme="1"/>
      <name val="新細明體"/>
      <family val="2"/>
      <scheme val="minor"/>
    </font>
    <font>
      <b/>
      <sz val="14"/>
      <color theme="1"/>
      <name val="新細明體"/>
      <family val="3"/>
      <charset val="134"/>
      <scheme val="minor"/>
    </font>
    <font>
      <b/>
      <sz val="16"/>
      <color theme="1"/>
      <name val="新細明體"/>
      <family val="3"/>
      <charset val="134"/>
      <scheme val="minor"/>
    </font>
    <font>
      <b/>
      <sz val="18"/>
      <color theme="1"/>
      <name val="新細明體"/>
      <family val="3"/>
      <charset val="134"/>
      <scheme val="minor"/>
    </font>
    <font>
      <b/>
      <sz val="11"/>
      <name val="Calibri"/>
      <family val="2"/>
    </font>
    <font>
      <b/>
      <sz val="11"/>
      <name val="Arial"/>
      <family val="2"/>
    </font>
    <font>
      <b/>
      <sz val="11"/>
      <name val="新細明體"/>
      <family val="3"/>
      <charset val="134"/>
      <scheme val="minor"/>
    </font>
    <font>
      <b/>
      <sz val="12"/>
      <color rgb="FF000000"/>
      <name val="Arial"/>
      <family val="2"/>
    </font>
    <font>
      <b/>
      <vertAlign val="superscript"/>
      <sz val="12"/>
      <color rgb="FF000000"/>
      <name val="Arial"/>
      <family val="2"/>
    </font>
    <font>
      <b/>
      <sz val="11"/>
      <color theme="1"/>
      <name val="Arial"/>
      <family val="2"/>
    </font>
    <font>
      <sz val="12"/>
      <color rgb="FF000000"/>
      <name val="Arial"/>
      <family val="2"/>
    </font>
    <font>
      <b/>
      <i/>
      <sz val="12"/>
      <color theme="1"/>
      <name val="Arial"/>
      <family val="2"/>
    </font>
    <font>
      <sz val="12"/>
      <color rgb="FFA52A2A"/>
      <name val="新細明體"/>
      <family val="2"/>
      <scheme val="minor"/>
    </font>
    <font>
      <sz val="11"/>
      <color theme="2"/>
      <name val="新細明體"/>
      <family val="2"/>
      <scheme val="minor"/>
    </font>
    <font>
      <sz val="11"/>
      <color theme="2"/>
      <name val="新細明體"/>
      <family val="3"/>
      <charset val="134"/>
      <scheme val="minor"/>
    </font>
    <font>
      <b/>
      <sz val="11"/>
      <color rgb="FFFF0000"/>
      <name val="新細明體"/>
      <family val="3"/>
      <charset val="134"/>
      <scheme val="minor"/>
    </font>
    <font>
      <b/>
      <sz val="14"/>
      <color theme="1"/>
      <name val="新細明體"/>
      <family val="2"/>
      <scheme val="minor"/>
    </font>
    <font>
      <sz val="11"/>
      <color theme="2" tint="-0.499984740745262"/>
      <name val="新細明體"/>
      <family val="2"/>
      <scheme val="minor"/>
    </font>
    <font>
      <sz val="11"/>
      <color theme="2" tint="-0.499984740745262"/>
      <name val="新細明體"/>
      <family val="3"/>
      <charset val="134"/>
      <scheme val="minor"/>
    </font>
    <font>
      <b/>
      <sz val="16"/>
      <color rgb="FF692272"/>
      <name val="Arial"/>
      <family val="2"/>
    </font>
    <font>
      <b/>
      <u/>
      <sz val="11"/>
      <color theme="1"/>
      <name val="新細明體"/>
      <family val="3"/>
      <charset val="134"/>
      <scheme val="minor"/>
    </font>
    <font>
      <sz val="6.5"/>
      <name val="Noto Sans CJK JP Regular"/>
      <family val="2"/>
    </font>
    <font>
      <sz val="6.5"/>
      <name val="Arial"/>
      <family val="2"/>
    </font>
    <font>
      <sz val="5.5"/>
      <name val="Arial"/>
      <family val="2"/>
    </font>
    <font>
      <vertAlign val="superscript"/>
      <sz val="6.5"/>
      <name val="Arial"/>
      <family val="2"/>
    </font>
    <font>
      <b/>
      <sz val="24"/>
      <color theme="1"/>
      <name val="新細明體"/>
      <family val="2"/>
      <scheme val="minor"/>
    </font>
    <font>
      <sz val="12"/>
      <color theme="1"/>
      <name val="新細明體"/>
      <family val="2"/>
      <scheme val="minor"/>
    </font>
    <font>
      <b/>
      <sz val="14"/>
      <name val="新細明體"/>
      <family val="2"/>
      <scheme val="minor"/>
    </font>
    <font>
      <sz val="11"/>
      <name val="新細明體"/>
      <family val="2"/>
      <scheme val="minor"/>
    </font>
    <font>
      <b/>
      <sz val="12"/>
      <color theme="1"/>
      <name val="新細明體"/>
      <family val="2"/>
      <scheme val="minor"/>
    </font>
    <font>
      <b/>
      <sz val="11"/>
      <name val="新細明體"/>
      <family val="2"/>
      <scheme val="minor"/>
    </font>
    <font>
      <b/>
      <sz val="11"/>
      <color theme="0"/>
      <name val="新細明體"/>
      <family val="2"/>
      <scheme val="minor"/>
    </font>
    <font>
      <b/>
      <sz val="11"/>
      <color rgb="FFFF0000"/>
      <name val="新細明體"/>
      <family val="2"/>
      <scheme val="minor"/>
    </font>
    <font>
      <vertAlign val="superscript"/>
      <sz val="11"/>
      <name val="新細明體"/>
      <family val="2"/>
      <scheme val="minor"/>
    </font>
    <font>
      <sz val="12"/>
      <color theme="1"/>
      <name val="新細明體"/>
      <family val="3"/>
      <charset val="134"/>
      <scheme val="minor"/>
    </font>
    <font>
      <b/>
      <sz val="12"/>
      <color theme="1"/>
      <name val="新細明體"/>
      <family val="3"/>
      <charset val="134"/>
      <scheme val="minor"/>
    </font>
    <font>
      <sz val="8"/>
      <color theme="1"/>
      <name val="Arial"/>
      <family val="2"/>
    </font>
    <font>
      <b/>
      <sz val="9"/>
      <color rgb="FF000000"/>
      <name val="Tahoma"/>
      <family val="2"/>
    </font>
    <font>
      <sz val="9"/>
      <color rgb="FF000000"/>
      <name val="Tahoma"/>
      <family val="2"/>
    </font>
    <font>
      <sz val="8"/>
      <name val="Calibri"/>
      <family val="2"/>
    </font>
    <font>
      <sz val="10"/>
      <color rgb="FF000000"/>
      <name val="Arial"/>
      <family val="2"/>
    </font>
    <font>
      <b/>
      <sz val="11"/>
      <color rgb="FF000000"/>
      <name val="新細明體"/>
      <family val="2"/>
      <scheme val="minor"/>
    </font>
    <font>
      <b/>
      <sz val="9"/>
      <color rgb="FF000000"/>
      <name val="宋体"/>
      <family val="3"/>
      <charset val="134"/>
    </font>
    <font>
      <sz val="9"/>
      <color rgb="FF000000"/>
      <name val="宋体"/>
      <family val="3"/>
      <charset val="134"/>
    </font>
    <font>
      <sz val="9"/>
      <name val="新細明體"/>
      <family val="3"/>
      <charset val="136"/>
      <scheme val="minor"/>
    </font>
    <font>
      <sz val="8"/>
      <name val="新細明體"/>
      <family val="1"/>
      <charset val="136"/>
      <scheme val="minor"/>
    </font>
    <font>
      <sz val="8"/>
      <color rgb="FF000000"/>
      <name val="新細明體"/>
      <family val="1"/>
      <charset val="136"/>
      <scheme val="minor"/>
    </font>
    <font>
      <sz val="8"/>
      <color theme="1"/>
      <name val="新細明體"/>
      <family val="1"/>
      <charset val="136"/>
      <scheme val="minor"/>
    </font>
    <font>
      <sz val="8"/>
      <color theme="1"/>
      <name val="新細明體"/>
      <family val="2"/>
      <scheme val="minor"/>
    </font>
    <font>
      <vertAlign val="superscript"/>
      <sz val="8"/>
      <name val="Arial"/>
      <family val="2"/>
    </font>
    <font>
      <b/>
      <sz val="11"/>
      <color theme="1"/>
      <name val="新細明體"/>
      <family val="1"/>
      <charset val="136"/>
      <scheme val="minor"/>
    </font>
    <font>
      <sz val="11"/>
      <color theme="1"/>
      <name val="FrutigerLTStd"/>
    </font>
    <font>
      <sz val="11"/>
      <color theme="1"/>
      <name val="TimesNewRomanPSMT"/>
    </font>
    <font>
      <b/>
      <sz val="9"/>
      <color rgb="FF000000"/>
      <name val="宋体"/>
      <charset val="134"/>
    </font>
  </fonts>
  <fills count="36">
    <fill>
      <patternFill patternType="none"/>
    </fill>
    <fill>
      <patternFill patternType="gray125"/>
    </fill>
    <fill>
      <patternFill patternType="solid">
        <fgColor rgb="FFD1E8FF"/>
      </patternFill>
    </fill>
    <fill>
      <patternFill patternType="solid">
        <fgColor rgb="FFD8FF69"/>
      </patternFill>
    </fill>
    <fill>
      <patternFill patternType="solid">
        <fgColor rgb="FFFFCD9A"/>
      </patternFill>
    </fill>
    <fill>
      <patternFill patternType="solid">
        <fgColor rgb="FFFFCC9A"/>
      </patternFill>
    </fill>
    <fill>
      <patternFill patternType="solid">
        <fgColor rgb="FFFFFF0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0D8F3"/>
        <bgColor indexed="64"/>
      </patternFill>
    </fill>
    <fill>
      <patternFill patternType="solid">
        <fgColor rgb="FFFCEAF4"/>
        <bgColor indexed="64"/>
      </patternFill>
    </fill>
    <fill>
      <patternFill patternType="solid">
        <fgColor rgb="FFFFFDEE"/>
        <bgColor indexed="64"/>
      </patternFill>
    </fill>
    <fill>
      <patternFill patternType="solid">
        <fgColor rgb="FFF3EAF5"/>
        <bgColor indexed="64"/>
      </patternFill>
    </fill>
    <fill>
      <patternFill patternType="solid">
        <fgColor rgb="FFCCCCCC"/>
        <bgColor indexed="64"/>
      </patternFill>
    </fill>
    <fill>
      <patternFill patternType="solid">
        <fgColor rgb="FFFFFFFF"/>
        <bgColor indexed="64"/>
      </patternFill>
    </fill>
    <fill>
      <patternFill patternType="solid">
        <fgColor rgb="FFDED7F4"/>
        <bgColor indexed="64"/>
      </patternFill>
    </fill>
    <fill>
      <patternFill patternType="solid">
        <fgColor rgb="FFFFFFCC"/>
      </patternFill>
    </fill>
    <fill>
      <patternFill patternType="solid">
        <fgColor rgb="FFFFD215"/>
      </patternFill>
    </fill>
    <fill>
      <patternFill patternType="solid">
        <fgColor rgb="FFBDDEFF"/>
      </patternFill>
    </fill>
    <fill>
      <patternFill patternType="solid">
        <fgColor rgb="FFFDD9BB"/>
      </patternFill>
    </fill>
    <fill>
      <patternFill patternType="solid">
        <fgColor rgb="FFFFFF65"/>
      </patternFill>
    </fill>
    <fill>
      <patternFill patternType="solid">
        <fgColor rgb="FFD9FFFF"/>
      </patternFill>
    </fill>
    <fill>
      <patternFill patternType="solid">
        <fgColor rgb="FFE0C1FF"/>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1"/>
        <bgColor indexed="64"/>
      </patternFill>
    </fill>
    <fill>
      <patternFill patternType="solid">
        <fgColor theme="4"/>
        <bgColor indexed="64"/>
      </patternFill>
    </fill>
    <fill>
      <patternFill patternType="solid">
        <fgColor rgb="FFF7CC9A"/>
        <bgColor indexed="64"/>
      </patternFill>
    </fill>
    <fill>
      <patternFill patternType="solid">
        <fgColor rgb="FFF6D218"/>
        <bgColor indexed="64"/>
      </patternFill>
    </fill>
    <fill>
      <patternFill patternType="solid">
        <fgColor theme="2"/>
        <bgColor indexed="64"/>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right/>
      <top/>
      <bottom style="mediumDashed">
        <color indexed="64"/>
      </bottom>
      <diagonal/>
    </border>
    <border>
      <left style="medium">
        <color rgb="FF666666"/>
      </left>
      <right/>
      <top style="medium">
        <color rgb="FF666666"/>
      </top>
      <bottom/>
      <diagonal/>
    </border>
    <border>
      <left/>
      <right/>
      <top style="medium">
        <color rgb="FF666666"/>
      </top>
      <bottom/>
      <diagonal/>
    </border>
    <border>
      <left/>
      <right style="medium">
        <color rgb="FF666666"/>
      </right>
      <top style="medium">
        <color rgb="FF666666"/>
      </top>
      <bottom/>
      <diagonal/>
    </border>
    <border>
      <left style="medium">
        <color rgb="FF666666"/>
      </left>
      <right/>
      <top style="medium">
        <color rgb="FF666666"/>
      </top>
      <bottom style="medium">
        <color rgb="FF666666"/>
      </bottom>
      <diagonal/>
    </border>
    <border>
      <left/>
      <right/>
      <top style="medium">
        <color rgb="FF666666"/>
      </top>
      <bottom style="medium">
        <color rgb="FF666666"/>
      </bottom>
      <diagonal/>
    </border>
    <border>
      <left/>
      <right style="medium">
        <color rgb="FF666666"/>
      </right>
      <top style="medium">
        <color rgb="FF666666"/>
      </top>
      <bottom style="medium">
        <color rgb="FF666666"/>
      </bottom>
      <diagonal/>
    </border>
    <border>
      <left style="medium">
        <color rgb="FF666666"/>
      </left>
      <right/>
      <top/>
      <bottom style="medium">
        <color rgb="FF666666"/>
      </bottom>
      <diagonal/>
    </border>
    <border>
      <left/>
      <right/>
      <top/>
      <bottom style="medium">
        <color rgb="FF666666"/>
      </bottom>
      <diagonal/>
    </border>
    <border>
      <left/>
      <right style="medium">
        <color rgb="FF666666"/>
      </right>
      <top/>
      <bottom style="medium">
        <color rgb="FF666666"/>
      </bottom>
      <diagonal/>
    </border>
    <border>
      <left style="medium">
        <color rgb="FF666666"/>
      </left>
      <right style="medium">
        <color rgb="FF666666"/>
      </right>
      <top style="medium">
        <color rgb="FF666666"/>
      </top>
      <bottom style="medium">
        <color rgb="FF666666"/>
      </bottom>
      <diagonal/>
    </border>
    <border>
      <left style="medium">
        <color rgb="FF666666"/>
      </left>
      <right/>
      <top/>
      <bottom/>
      <diagonal/>
    </border>
    <border>
      <left/>
      <right style="medium">
        <color rgb="FF666666"/>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style="thin">
        <color theme="0" tint="-4.9989318521683403E-2"/>
      </right>
      <top style="thin">
        <color auto="1"/>
      </top>
      <bottom/>
      <diagonal/>
    </border>
    <border>
      <left style="thin">
        <color theme="0" tint="-4.9989318521683403E-2"/>
      </left>
      <right/>
      <top style="thin">
        <color auto="1"/>
      </top>
      <bottom/>
      <diagonal/>
    </border>
    <border>
      <left style="thin">
        <color indexed="64"/>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style="thin">
        <color indexed="64"/>
      </top>
      <bottom style="thin">
        <color indexed="64"/>
      </bottom>
      <diagonal/>
    </border>
    <border>
      <left style="thin">
        <color theme="0" tint="-4.9989318521683403E-2"/>
      </left>
      <right style="thin">
        <color theme="0" tint="-4.9989318521683403E-2"/>
      </right>
      <top/>
      <bottom style="thin">
        <color auto="1"/>
      </bottom>
      <diagonal/>
    </border>
    <border>
      <left style="thin">
        <color theme="0" tint="-4.9989318521683403E-2"/>
      </left>
      <right style="thin">
        <color indexed="64"/>
      </right>
      <top/>
      <bottom style="thin">
        <color indexed="64"/>
      </bottom>
      <diagonal/>
    </border>
    <border>
      <left style="thin">
        <color auto="1"/>
      </left>
      <right style="thin">
        <color theme="0" tint="-4.9989318521683403E-2"/>
      </right>
      <top/>
      <bottom style="thin">
        <color auto="1"/>
      </bottom>
      <diagonal/>
    </border>
    <border>
      <left style="thin">
        <color theme="0" tint="-4.9989318521683403E-2"/>
      </left>
      <right style="thin">
        <color indexed="64"/>
      </right>
      <top style="thin">
        <color indexed="64"/>
      </top>
      <bottom style="thin">
        <color indexed="64"/>
      </bottom>
      <diagonal/>
    </border>
    <border>
      <left/>
      <right style="thin">
        <color auto="1"/>
      </right>
      <top style="thin">
        <color auto="1"/>
      </top>
      <bottom style="thin">
        <color theme="0" tint="-4.9989318521683403E-2"/>
      </bottom>
      <diagonal/>
    </border>
    <border>
      <left style="thin">
        <color auto="1"/>
      </left>
      <right style="thin">
        <color auto="1"/>
      </right>
      <top/>
      <bottom style="thin">
        <color auto="1"/>
      </bottom>
      <diagonal/>
    </border>
    <border>
      <left style="thin">
        <color theme="0" tint="-4.9989318521683403E-2"/>
      </left>
      <right/>
      <top/>
      <bottom style="thin">
        <color auto="1"/>
      </bottom>
      <diagonal/>
    </border>
    <border>
      <left style="thin">
        <color theme="0" tint="-4.9989318521683403E-2"/>
      </left>
      <right style="thin">
        <color auto="1"/>
      </right>
      <top style="thin">
        <color theme="0" tint="-4.9989318521683403E-2"/>
      </top>
      <bottom style="thin">
        <color auto="1"/>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auto="1"/>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auto="1"/>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auto="1"/>
      </bottom>
      <diagonal/>
    </border>
    <border>
      <left style="thin">
        <color theme="0" tint="-4.9989318521683403E-2"/>
      </left>
      <right style="thin">
        <color theme="0" tint="-4.9989318521683403E-2"/>
      </right>
      <top style="thin">
        <color theme="0" tint="-4.9989318521683403E-2"/>
      </top>
      <bottom style="thin">
        <color auto="1"/>
      </bottom>
      <diagonal/>
    </border>
    <border>
      <left/>
      <right/>
      <top style="thin">
        <color indexed="64"/>
      </top>
      <bottom style="double">
        <color indexed="64"/>
      </bottom>
      <diagonal/>
    </border>
    <border>
      <left style="thin">
        <color auto="1"/>
      </left>
      <right style="thin">
        <color auto="1"/>
      </right>
      <top/>
      <bottom style="dashed">
        <color auto="1"/>
      </bottom>
      <diagonal/>
    </border>
    <border>
      <left style="thin">
        <color auto="1"/>
      </left>
      <right/>
      <top style="dashDotDot">
        <color auto="1"/>
      </top>
      <bottom style="thin">
        <color auto="1"/>
      </bottom>
      <diagonal/>
    </border>
    <border>
      <left/>
      <right/>
      <top style="dashDotDot">
        <color auto="1"/>
      </top>
      <bottom style="thin">
        <color auto="1"/>
      </bottom>
      <diagonal/>
    </border>
    <border>
      <left/>
      <right style="thin">
        <color auto="1"/>
      </right>
      <top style="dashDotDot">
        <color auto="1"/>
      </top>
      <bottom style="thin">
        <color auto="1"/>
      </bottom>
      <diagonal/>
    </border>
    <border>
      <left/>
      <right/>
      <top style="dashDotDot">
        <color auto="1"/>
      </top>
      <bottom/>
      <diagonal/>
    </border>
    <border>
      <left/>
      <right style="thin">
        <color auto="1"/>
      </right>
      <top style="dashDotDot">
        <color auto="1"/>
      </top>
      <bottom/>
      <diagonal/>
    </border>
    <border>
      <left style="thin">
        <color auto="1"/>
      </left>
      <right style="thin">
        <color auto="1"/>
      </right>
      <top style="dashDotDot">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style="thin">
        <color auto="1"/>
      </left>
      <right/>
      <top style="dashed">
        <color auto="1"/>
      </top>
      <bottom/>
      <diagonal/>
    </border>
    <border>
      <left/>
      <right/>
      <top style="dashed">
        <color auto="1"/>
      </top>
      <bottom/>
      <diagonal/>
    </border>
    <border>
      <left/>
      <right style="thin">
        <color auto="1"/>
      </right>
      <top style="dashed">
        <color auto="1"/>
      </top>
      <bottom/>
      <diagonal/>
    </border>
    <border>
      <left style="thin">
        <color auto="1"/>
      </left>
      <right style="thin">
        <color auto="1"/>
      </right>
      <top style="dashed">
        <color auto="1"/>
      </top>
      <bottom style="thin">
        <color auto="1"/>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4">
    <xf numFmtId="0" fontId="0" fillId="0" borderId="0"/>
    <xf numFmtId="9" fontId="2" fillId="0" borderId="0" applyFont="0" applyFill="0" applyBorder="0" applyAlignment="0" applyProtection="0">
      <alignment vertical="center"/>
    </xf>
    <xf numFmtId="0" fontId="13" fillId="0" borderId="0" applyNumberFormat="0" applyFill="0" applyBorder="0" applyAlignment="0" applyProtection="0"/>
    <xf numFmtId="0" fontId="17" fillId="0" borderId="0"/>
    <xf numFmtId="0" fontId="18" fillId="0" borderId="0">
      <alignment vertical="center"/>
    </xf>
    <xf numFmtId="0" fontId="24" fillId="0" borderId="0" applyNumberFormat="0" applyFill="0" applyBorder="0" applyAlignment="0" applyProtection="0">
      <alignment vertical="top"/>
      <protection locked="0"/>
    </xf>
    <xf numFmtId="0" fontId="30" fillId="0" borderId="0">
      <alignment vertical="center"/>
    </xf>
    <xf numFmtId="0" fontId="1" fillId="0" borderId="0">
      <alignment vertical="center"/>
    </xf>
    <xf numFmtId="0" fontId="17"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4" fontId="2" fillId="0" borderId="0" applyFont="0" applyFill="0" applyBorder="0" applyAlignment="0" applyProtection="0"/>
  </cellStyleXfs>
  <cellXfs count="751">
    <xf numFmtId="0" fontId="0" fillId="0" borderId="0" xfId="0"/>
    <xf numFmtId="9" fontId="0" fillId="0" borderId="0" xfId="1" applyFont="1" applyAlignment="1"/>
    <xf numFmtId="0" fontId="0" fillId="0" borderId="1" xfId="0" applyBorder="1" applyAlignment="1">
      <alignment horizontal="left" vertical="top" wrapText="1" indent="1"/>
    </xf>
    <xf numFmtId="1" fontId="7" fillId="0" borderId="1" xfId="0" applyNumberFormat="1" applyFont="1" applyBorder="1" applyAlignment="1">
      <alignment horizontal="center" vertical="top" shrinkToFit="1"/>
    </xf>
    <xf numFmtId="9" fontId="7" fillId="2" borderId="4" xfId="0" applyNumberFormat="1" applyFont="1" applyFill="1" applyBorder="1" applyAlignment="1">
      <alignment horizontal="center" vertical="top" shrinkToFit="1"/>
    </xf>
    <xf numFmtId="9" fontId="7" fillId="3" borderId="4" xfId="0" applyNumberFormat="1" applyFont="1" applyFill="1" applyBorder="1" applyAlignment="1">
      <alignment horizontal="right" vertical="top" indent="1" shrinkToFit="1"/>
    </xf>
    <xf numFmtId="3" fontId="7" fillId="4" borderId="2" xfId="0" applyNumberFormat="1" applyFont="1" applyFill="1" applyBorder="1" applyAlignment="1">
      <alignment horizontal="right" vertical="top" indent="1" shrinkToFit="1"/>
    </xf>
    <xf numFmtId="0" fontId="0" fillId="0" borderId="2" xfId="0" applyBorder="1" applyAlignment="1">
      <alignment horizontal="center" vertical="top" wrapText="1"/>
    </xf>
    <xf numFmtId="3" fontId="7" fillId="2" borderId="2" xfId="0" applyNumberFormat="1" applyFont="1" applyFill="1" applyBorder="1" applyAlignment="1">
      <alignment vertical="top" shrinkToFit="1"/>
    </xf>
    <xf numFmtId="3" fontId="7" fillId="3" borderId="2" xfId="0" applyNumberFormat="1" applyFont="1" applyFill="1" applyBorder="1" applyAlignment="1">
      <alignment vertical="top" shrinkToFit="1"/>
    </xf>
    <xf numFmtId="9" fontId="7" fillId="4" borderId="3" xfId="0" applyNumberFormat="1" applyFont="1" applyFill="1" applyBorder="1" applyAlignment="1">
      <alignment vertical="top" shrinkToFit="1"/>
    </xf>
    <xf numFmtId="3" fontId="7" fillId="0" borderId="2" xfId="0" applyNumberFormat="1" applyFont="1" applyBorder="1" applyAlignment="1">
      <alignment vertical="top" shrinkToFit="1"/>
    </xf>
    <xf numFmtId="1" fontId="7" fillId="0" borderId="1" xfId="0" applyNumberFormat="1" applyFont="1" applyBorder="1" applyAlignment="1">
      <alignment horizontal="right" vertical="top" shrinkToFit="1"/>
    </xf>
    <xf numFmtId="9" fontId="7" fillId="2" borderId="4" xfId="0" applyNumberFormat="1" applyFont="1" applyFill="1" applyBorder="1" applyAlignment="1">
      <alignment horizontal="right" vertical="top" shrinkToFit="1"/>
    </xf>
    <xf numFmtId="3" fontId="7" fillId="5" borderId="2" xfId="0" applyNumberFormat="1" applyFont="1" applyFill="1" applyBorder="1" applyAlignment="1">
      <alignment horizontal="right" vertical="top" indent="1" shrinkToFit="1"/>
    </xf>
    <xf numFmtId="9" fontId="7" fillId="5" borderId="3" xfId="0" applyNumberFormat="1" applyFont="1" applyFill="1" applyBorder="1" applyAlignment="1">
      <alignment vertical="top" shrinkToFit="1"/>
    </xf>
    <xf numFmtId="1" fontId="7" fillId="3" borderId="2" xfId="0" applyNumberFormat="1" applyFont="1" applyFill="1" applyBorder="1" applyAlignment="1">
      <alignment vertical="top" shrinkToFit="1"/>
    </xf>
    <xf numFmtId="9" fontId="0" fillId="0" borderId="0" xfId="0" applyNumberFormat="1"/>
    <xf numFmtId="0" fontId="8" fillId="0" borderId="0" xfId="0" applyFont="1"/>
    <xf numFmtId="0" fontId="0" fillId="6" borderId="0" xfId="0" applyFill="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9" xfId="0" applyNumberFormat="1" applyBorder="1"/>
    <xf numFmtId="0" fontId="0" fillId="0" borderId="10" xfId="0" applyBorder="1"/>
    <xf numFmtId="0" fontId="0" fillId="0" borderId="11" xfId="0" applyBorder="1"/>
    <xf numFmtId="9" fontId="0" fillId="0" borderId="11" xfId="0" applyNumberFormat="1" applyBorder="1"/>
    <xf numFmtId="9" fontId="0" fillId="0" borderId="12" xfId="0" applyNumberFormat="1" applyBorder="1"/>
    <xf numFmtId="0" fontId="0" fillId="6" borderId="5" xfId="0" applyFill="1" applyBorder="1"/>
    <xf numFmtId="0" fontId="0" fillId="6" borderId="6" xfId="0" applyFill="1" applyBorder="1"/>
    <xf numFmtId="9" fontId="0" fillId="6" borderId="6" xfId="0" applyNumberFormat="1" applyFill="1" applyBorder="1"/>
    <xf numFmtId="9" fontId="0" fillId="6" borderId="7" xfId="0" applyNumberFormat="1" applyFill="1" applyBorder="1"/>
    <xf numFmtId="0" fontId="0" fillId="6" borderId="7" xfId="0" applyFill="1" applyBorder="1"/>
    <xf numFmtId="0" fontId="9" fillId="0" borderId="5" xfId="0" applyFont="1" applyBorder="1"/>
    <xf numFmtId="0" fontId="10" fillId="0" borderId="6" xfId="0" applyFont="1" applyBorder="1"/>
    <xf numFmtId="0" fontId="10" fillId="0" borderId="7" xfId="0" applyFont="1" applyBorder="1"/>
    <xf numFmtId="0" fontId="10" fillId="0" borderId="8" xfId="0" applyFont="1" applyBorder="1"/>
    <xf numFmtId="178" fontId="10" fillId="0" borderId="9" xfId="0" applyNumberFormat="1" applyFont="1" applyBorder="1"/>
    <xf numFmtId="178" fontId="10" fillId="6" borderId="9" xfId="0" applyNumberFormat="1" applyFont="1" applyFill="1" applyBorder="1"/>
    <xf numFmtId="0" fontId="10" fillId="0" borderId="10" xfId="0" applyFont="1" applyBorder="1"/>
    <xf numFmtId="178" fontId="0" fillId="0" borderId="0" xfId="1" applyNumberFormat="1" applyFont="1" applyBorder="1" applyAlignment="1"/>
    <xf numFmtId="178" fontId="0" fillId="0" borderId="11" xfId="1" applyNumberFormat="1" applyFont="1" applyBorder="1" applyAlignment="1"/>
    <xf numFmtId="0" fontId="0" fillId="6" borderId="9" xfId="0" applyFill="1" applyBorder="1"/>
    <xf numFmtId="178" fontId="0" fillId="6" borderId="0" xfId="1" applyNumberFormat="1" applyFont="1" applyFill="1" applyBorder="1" applyAlignment="1"/>
    <xf numFmtId="178" fontId="0" fillId="6" borderId="9" xfId="1" applyNumberFormat="1" applyFont="1" applyFill="1" applyBorder="1" applyAlignment="1"/>
    <xf numFmtId="0" fontId="11" fillId="0" borderId="0" xfId="0" applyFont="1"/>
    <xf numFmtId="0" fontId="12" fillId="0" borderId="0" xfId="0" applyFont="1"/>
    <xf numFmtId="179" fontId="0" fillId="0" borderId="0" xfId="0" applyNumberFormat="1"/>
    <xf numFmtId="1" fontId="0" fillId="0" borderId="0" xfId="0" applyNumberFormat="1"/>
    <xf numFmtId="1" fontId="0" fillId="6" borderId="0" xfId="0" applyNumberFormat="1" applyFill="1"/>
    <xf numFmtId="0" fontId="0" fillId="7" borderId="0" xfId="0" applyFill="1"/>
    <xf numFmtId="0" fontId="8" fillId="8" borderId="0" xfId="0" applyFont="1" applyFill="1"/>
    <xf numFmtId="0" fontId="0" fillId="0" borderId="0" xfId="0" applyAlignment="1">
      <alignment horizontal="left"/>
    </xf>
    <xf numFmtId="0" fontId="13" fillId="0" borderId="0" xfId="2"/>
    <xf numFmtId="0" fontId="0" fillId="9" borderId="0" xfId="0" applyFill="1"/>
    <xf numFmtId="0" fontId="0" fillId="10" borderId="0" xfId="0" applyFill="1"/>
    <xf numFmtId="179" fontId="0" fillId="9" borderId="0" xfId="0" applyNumberFormat="1" applyFill="1"/>
    <xf numFmtId="179" fontId="0" fillId="12" borderId="0" xfId="0" applyNumberFormat="1" applyFill="1"/>
    <xf numFmtId="0" fontId="0" fillId="12" borderId="0" xfId="0" applyFill="1"/>
    <xf numFmtId="0" fontId="19" fillId="0" borderId="0" xfId="4" applyFont="1">
      <alignment vertical="center"/>
    </xf>
    <xf numFmtId="0" fontId="22" fillId="0" borderId="0" xfId="4" applyFont="1">
      <alignment vertical="center"/>
    </xf>
    <xf numFmtId="0" fontId="23" fillId="0" borderId="0" xfId="4" applyFont="1">
      <alignment vertical="center"/>
    </xf>
    <xf numFmtId="0" fontId="25" fillId="0" borderId="0" xfId="4" applyFont="1">
      <alignment vertical="center"/>
    </xf>
    <xf numFmtId="0" fontId="26" fillId="0" borderId="13" xfId="4" applyFont="1" applyBorder="1" applyAlignment="1">
      <alignment horizontal="left" vertical="center" wrapText="1"/>
    </xf>
    <xf numFmtId="0" fontId="26" fillId="0" borderId="13" xfId="4" applyFont="1" applyBorder="1" applyAlignment="1">
      <alignment horizontal="center" vertical="center" wrapText="1"/>
    </xf>
    <xf numFmtId="0" fontId="26" fillId="0" borderId="0" xfId="4" applyFont="1" applyAlignment="1">
      <alignment horizontal="left" vertical="center" wrapText="1"/>
    </xf>
    <xf numFmtId="0" fontId="26" fillId="0" borderId="0" xfId="4" applyFont="1" applyAlignment="1">
      <alignment horizontal="center" vertical="center" wrapText="1"/>
    </xf>
    <xf numFmtId="0" fontId="23" fillId="0" borderId="14" xfId="4" applyFont="1" applyBorder="1" applyAlignment="1">
      <alignment horizontal="left" vertical="top" wrapText="1"/>
    </xf>
    <xf numFmtId="0" fontId="23" fillId="0" borderId="14" xfId="4" applyFont="1" applyBorder="1" applyAlignment="1">
      <alignment vertical="top" wrapText="1"/>
    </xf>
    <xf numFmtId="0" fontId="26" fillId="0" borderId="14" xfId="4" applyFont="1" applyBorder="1" applyAlignment="1">
      <alignment horizontal="center" vertical="center" wrapText="1"/>
    </xf>
    <xf numFmtId="0" fontId="26" fillId="0" borderId="0" xfId="4" applyFont="1" applyAlignment="1">
      <alignment horizontal="left" vertical="center"/>
    </xf>
    <xf numFmtId="181" fontId="26" fillId="0" borderId="0" xfId="4" applyNumberFormat="1" applyFont="1" applyAlignment="1">
      <alignment horizontal="center" vertical="center"/>
    </xf>
    <xf numFmtId="179" fontId="26" fillId="0" borderId="0" xfId="4" applyNumberFormat="1" applyFont="1" applyAlignment="1">
      <alignment horizontal="center" vertical="center"/>
    </xf>
    <xf numFmtId="1" fontId="23" fillId="0" borderId="0" xfId="4" applyNumberFormat="1" applyFont="1">
      <alignment vertical="center"/>
    </xf>
    <xf numFmtId="0" fontId="26" fillId="0" borderId="15" xfId="4" applyFont="1" applyBorder="1" applyAlignment="1">
      <alignment horizontal="left" vertical="center"/>
    </xf>
    <xf numFmtId="181" fontId="26" fillId="0" borderId="15" xfId="4" applyNumberFormat="1" applyFont="1" applyBorder="1" applyAlignment="1">
      <alignment horizontal="center" vertical="center"/>
    </xf>
    <xf numFmtId="181" fontId="26" fillId="0" borderId="15" xfId="4" quotePrefix="1" applyNumberFormat="1" applyFont="1" applyBorder="1" applyAlignment="1">
      <alignment horizontal="center" vertical="center"/>
    </xf>
    <xf numFmtId="179" fontId="26" fillId="0" borderId="15" xfId="4" applyNumberFormat="1" applyFont="1" applyBorder="1" applyAlignment="1">
      <alignment horizontal="center" vertical="center"/>
    </xf>
    <xf numFmtId="0" fontId="26" fillId="0" borderId="14" xfId="4" applyFont="1" applyBorder="1" applyAlignment="1">
      <alignment horizontal="left" vertical="center"/>
    </xf>
    <xf numFmtId="181" fontId="26" fillId="0" borderId="14" xfId="4" applyNumberFormat="1" applyFont="1" applyBorder="1" applyAlignment="1">
      <alignment horizontal="center" vertical="center"/>
    </xf>
    <xf numFmtId="179" fontId="26" fillId="0" borderId="14" xfId="4" applyNumberFormat="1" applyFont="1" applyBorder="1" applyAlignment="1">
      <alignment horizontal="center" vertical="center"/>
    </xf>
    <xf numFmtId="0" fontId="28" fillId="0" borderId="0" xfId="4" applyFont="1" applyAlignment="1">
      <alignment vertical="top"/>
    </xf>
    <xf numFmtId="0" fontId="29" fillId="0" borderId="0" xfId="4" applyFont="1" applyAlignment="1">
      <alignment vertical="top"/>
    </xf>
    <xf numFmtId="0" fontId="23" fillId="0" borderId="0" xfId="4" applyFont="1" applyAlignment="1">
      <alignment vertical="top"/>
    </xf>
    <xf numFmtId="2" fontId="0" fillId="12" borderId="0" xfId="0" applyNumberFormat="1" applyFill="1"/>
    <xf numFmtId="2" fontId="0" fillId="9" borderId="0" xfId="0" applyNumberFormat="1" applyFill="1"/>
    <xf numFmtId="0" fontId="17" fillId="0" borderId="0" xfId="3" applyAlignment="1">
      <alignment wrapText="1"/>
    </xf>
    <xf numFmtId="180" fontId="16" fillId="0" borderId="0" xfId="3" applyNumberFormat="1" applyFont="1" applyAlignment="1">
      <alignment horizontal="right" wrapText="1"/>
    </xf>
    <xf numFmtId="0" fontId="16" fillId="0" borderId="0" xfId="3" applyFont="1" applyAlignment="1">
      <alignment vertical="top" wrapText="1"/>
    </xf>
    <xf numFmtId="0" fontId="17" fillId="0" borderId="0" xfId="3"/>
    <xf numFmtId="0" fontId="0" fillId="11" borderId="0" xfId="0" applyFill="1"/>
    <xf numFmtId="0" fontId="16" fillId="0" borderId="0" xfId="3" applyFont="1" applyAlignment="1">
      <alignment horizontal="left" vertical="top" wrapText="1"/>
    </xf>
    <xf numFmtId="0" fontId="16" fillId="0" borderId="0" xfId="3" applyFont="1" applyAlignment="1">
      <alignment horizontal="right" wrapText="1"/>
    </xf>
    <xf numFmtId="178" fontId="0" fillId="0" borderId="0" xfId="1" applyNumberFormat="1" applyFont="1" applyAlignment="1"/>
    <xf numFmtId="2" fontId="0" fillId="0" borderId="0" xfId="0" applyNumberFormat="1"/>
    <xf numFmtId="0" fontId="31" fillId="11" borderId="0" xfId="0" applyFont="1" applyFill="1"/>
    <xf numFmtId="0" fontId="32" fillId="0" borderId="0" xfId="0" applyFont="1"/>
    <xf numFmtId="0" fontId="33" fillId="0" borderId="0" xfId="0" applyFont="1"/>
    <xf numFmtId="0" fontId="34" fillId="0" borderId="0" xfId="0" applyFont="1"/>
    <xf numFmtId="0" fontId="12" fillId="0" borderId="8" xfId="0" applyFont="1" applyBorder="1"/>
    <xf numFmtId="0" fontId="12" fillId="7" borderId="0" xfId="0" applyFont="1" applyFill="1"/>
    <xf numFmtId="0" fontId="35" fillId="0" borderId="0" xfId="0" applyFont="1"/>
    <xf numFmtId="0" fontId="38" fillId="11" borderId="0" xfId="0" applyFont="1" applyFill="1"/>
    <xf numFmtId="9" fontId="0" fillId="0" borderId="0" xfId="1" applyFont="1" applyBorder="1" applyAlignment="1"/>
    <xf numFmtId="9" fontId="0" fillId="0" borderId="11" xfId="1" applyFont="1" applyBorder="1" applyAlignment="1"/>
    <xf numFmtId="1" fontId="0" fillId="7" borderId="0" xfId="0" applyNumberFormat="1" applyFill="1"/>
    <xf numFmtId="1" fontId="0" fillId="7" borderId="9" xfId="0" applyNumberFormat="1" applyFill="1" applyBorder="1"/>
    <xf numFmtId="1" fontId="0" fillId="7" borderId="11" xfId="0" applyNumberFormat="1" applyFill="1" applyBorder="1"/>
    <xf numFmtId="0" fontId="0" fillId="0" borderId="8" xfId="0" applyBorder="1" applyAlignment="1">
      <alignment horizontal="left" vertical="top" wrapText="1" indent="1"/>
    </xf>
    <xf numFmtId="0" fontId="0" fillId="0" borderId="9" xfId="0" applyBorder="1" applyAlignment="1">
      <alignment horizontal="center" vertical="top" wrapText="1"/>
    </xf>
    <xf numFmtId="1" fontId="7" fillId="0" borderId="8" xfId="0" applyNumberFormat="1" applyFont="1" applyBorder="1" applyAlignment="1">
      <alignment horizontal="right" vertical="top" shrinkToFit="1"/>
    </xf>
    <xf numFmtId="3" fontId="7" fillId="0" borderId="9" xfId="0" applyNumberFormat="1" applyFont="1" applyBorder="1" applyAlignment="1">
      <alignment vertical="top" shrinkToFit="1"/>
    </xf>
    <xf numFmtId="1" fontId="7" fillId="0" borderId="10" xfId="0" applyNumberFormat="1" applyFont="1" applyBorder="1" applyAlignment="1">
      <alignment horizontal="right" vertical="top" shrinkToFit="1"/>
    </xf>
    <xf numFmtId="1" fontId="0" fillId="0" borderId="11" xfId="0" applyNumberFormat="1" applyBorder="1"/>
    <xf numFmtId="1" fontId="7" fillId="0" borderId="8" xfId="0" applyNumberFormat="1" applyFont="1" applyBorder="1" applyAlignment="1">
      <alignment horizontal="center" vertical="top" shrinkToFit="1"/>
    </xf>
    <xf numFmtId="1" fontId="7" fillId="0" borderId="10" xfId="0" applyNumberFormat="1" applyFont="1" applyBorder="1" applyAlignment="1">
      <alignment horizontal="center" vertical="top" shrinkToFit="1"/>
    </xf>
    <xf numFmtId="49" fontId="39" fillId="14" borderId="25" xfId="0" applyNumberFormat="1" applyFont="1" applyFill="1" applyBorder="1" applyAlignment="1">
      <alignment horizontal="center" vertical="center" wrapText="1"/>
    </xf>
    <xf numFmtId="49" fontId="39" fillId="15" borderId="25" xfId="0" applyNumberFormat="1" applyFont="1" applyFill="1" applyBorder="1" applyAlignment="1">
      <alignment horizontal="center" vertical="center" wrapText="1"/>
    </xf>
    <xf numFmtId="49" fontId="39" fillId="16" borderId="25" xfId="0" applyNumberFormat="1" applyFont="1" applyFill="1" applyBorder="1" applyAlignment="1">
      <alignment horizontal="left" vertical="center" wrapText="1"/>
    </xf>
    <xf numFmtId="0" fontId="42" fillId="18" borderId="25" xfId="0" applyFont="1" applyFill="1" applyBorder="1" applyAlignment="1">
      <alignment horizontal="right"/>
    </xf>
    <xf numFmtId="0" fontId="39" fillId="15" borderId="25" xfId="0" applyFont="1" applyFill="1" applyBorder="1" applyAlignment="1">
      <alignment horizontal="right"/>
    </xf>
    <xf numFmtId="49" fontId="43" fillId="19" borderId="25" xfId="0" applyNumberFormat="1" applyFont="1" applyFill="1" applyBorder="1" applyAlignment="1">
      <alignment horizontal="left" vertical="center" wrapText="1"/>
    </xf>
    <xf numFmtId="0" fontId="44" fillId="0" borderId="0" xfId="0" applyFont="1" applyAlignment="1">
      <alignment wrapText="1"/>
    </xf>
    <xf numFmtId="49" fontId="44" fillId="0" borderId="0" xfId="0" applyNumberFormat="1" applyFont="1" applyAlignment="1">
      <alignment horizontal="left" vertical="top" wrapText="1"/>
    </xf>
    <xf numFmtId="0" fontId="45" fillId="0" borderId="0" xfId="0" applyFont="1"/>
    <xf numFmtId="0" fontId="46" fillId="0" borderId="0" xfId="0" applyFont="1"/>
    <xf numFmtId="0" fontId="12" fillId="0" borderId="5" xfId="0" applyFont="1" applyBorder="1"/>
    <xf numFmtId="9" fontId="0" fillId="0" borderId="9" xfId="1" applyFont="1" applyBorder="1" applyAlignment="1"/>
    <xf numFmtId="9" fontId="12" fillId="0" borderId="5" xfId="1" applyFont="1" applyBorder="1" applyAlignment="1"/>
    <xf numFmtId="9" fontId="0" fillId="0" borderId="6" xfId="1" applyFont="1" applyBorder="1" applyAlignment="1"/>
    <xf numFmtId="9" fontId="0" fillId="0" borderId="7" xfId="1" applyFont="1" applyBorder="1" applyAlignment="1"/>
    <xf numFmtId="9" fontId="0" fillId="0" borderId="8" xfId="1" applyFont="1" applyBorder="1" applyAlignment="1"/>
    <xf numFmtId="182" fontId="0" fillId="0" borderId="8" xfId="1" applyNumberFormat="1" applyFont="1" applyBorder="1" applyAlignment="1"/>
    <xf numFmtId="182" fontId="0" fillId="0" borderId="10" xfId="1" applyNumberFormat="1" applyFont="1" applyBorder="1" applyAlignment="1"/>
    <xf numFmtId="0" fontId="8" fillId="7" borderId="0" xfId="0" applyFont="1" applyFill="1"/>
    <xf numFmtId="11" fontId="0" fillId="0" borderId="0" xfId="0" applyNumberFormat="1"/>
    <xf numFmtId="0" fontId="49" fillId="0" borderId="0" xfId="0" applyFont="1"/>
    <xf numFmtId="177" fontId="50" fillId="0" borderId="0" xfId="1" applyNumberFormat="1" applyFont="1" applyAlignment="1"/>
    <xf numFmtId="177" fontId="12" fillId="0" borderId="0" xfId="0" applyNumberFormat="1" applyFont="1"/>
    <xf numFmtId="177" fontId="11" fillId="0" borderId="0" xfId="0" applyNumberFormat="1" applyFont="1"/>
    <xf numFmtId="177" fontId="0" fillId="9" borderId="0" xfId="0" applyNumberFormat="1" applyFill="1"/>
    <xf numFmtId="177" fontId="0" fillId="12" borderId="0" xfId="0" applyNumberFormat="1" applyFill="1"/>
    <xf numFmtId="177" fontId="0" fillId="0" borderId="0" xfId="0" applyNumberFormat="1"/>
    <xf numFmtId="182" fontId="12" fillId="0" borderId="0" xfId="0" applyNumberFormat="1" applyFont="1"/>
    <xf numFmtId="0" fontId="0" fillId="0" borderId="0" xfId="0" applyAlignment="1">
      <alignment wrapText="1"/>
    </xf>
    <xf numFmtId="0" fontId="52" fillId="0" borderId="0" xfId="0" applyFont="1"/>
    <xf numFmtId="0" fontId="12" fillId="6" borderId="0" xfId="0" applyFont="1" applyFill="1"/>
    <xf numFmtId="0" fontId="12" fillId="0" borderId="0" xfId="0" applyFont="1" applyAlignment="1">
      <alignment horizontal="center"/>
    </xf>
    <xf numFmtId="0" fontId="12" fillId="9" borderId="0" xfId="0" applyFont="1" applyFill="1"/>
    <xf numFmtId="0" fontId="0" fillId="21" borderId="1" xfId="0" applyFill="1" applyBorder="1" applyAlignment="1">
      <alignment horizontal="center" vertical="top" wrapText="1"/>
    </xf>
    <xf numFmtId="0" fontId="0" fillId="22" borderId="1" xfId="0" applyFill="1" applyBorder="1" applyAlignment="1">
      <alignment horizontal="center" vertical="top" wrapText="1"/>
    </xf>
    <xf numFmtId="0" fontId="0" fillId="23" borderId="1" xfId="0" applyFill="1" applyBorder="1" applyAlignment="1">
      <alignment horizontal="center" vertical="top" wrapText="1"/>
    </xf>
    <xf numFmtId="0" fontId="0" fillId="24" borderId="1" xfId="0" applyFill="1" applyBorder="1" applyAlignment="1">
      <alignment horizontal="left" vertical="top" wrapText="1" indent="1"/>
    </xf>
    <xf numFmtId="0" fontId="0" fillId="25" borderId="1" xfId="0" applyFill="1" applyBorder="1" applyAlignment="1">
      <alignment horizontal="center" vertical="top" wrapText="1"/>
    </xf>
    <xf numFmtId="0" fontId="0" fillId="20" borderId="1" xfId="0" applyFill="1" applyBorder="1" applyAlignment="1">
      <alignment horizontal="center" vertical="top" wrapText="1"/>
    </xf>
    <xf numFmtId="0" fontId="0" fillId="26" borderId="1" xfId="0" applyFill="1" applyBorder="1" applyAlignment="1">
      <alignment horizontal="left" vertical="top" wrapText="1" indent="1"/>
    </xf>
    <xf numFmtId="0" fontId="0" fillId="0" borderId="1" xfId="0" applyBorder="1" applyAlignment="1">
      <alignment horizontal="left" vertical="top" wrapText="1" indent="2"/>
    </xf>
    <xf numFmtId="3" fontId="7" fillId="21" borderId="1" xfId="0" applyNumberFormat="1" applyFont="1" applyFill="1" applyBorder="1" applyAlignment="1">
      <alignment horizontal="left" vertical="top" indent="1" shrinkToFit="1"/>
    </xf>
    <xf numFmtId="3" fontId="7" fillId="22" borderId="1" xfId="0" applyNumberFormat="1" applyFont="1" applyFill="1" applyBorder="1" applyAlignment="1">
      <alignment horizontal="center" vertical="top" shrinkToFit="1"/>
    </xf>
    <xf numFmtId="3" fontId="7" fillId="23" borderId="1" xfId="0" applyNumberFormat="1" applyFont="1" applyFill="1" applyBorder="1" applyAlignment="1">
      <alignment horizontal="center" vertical="top" shrinkToFit="1"/>
    </xf>
    <xf numFmtId="3" fontId="7" fillId="24" borderId="1" xfId="0" applyNumberFormat="1" applyFont="1" applyFill="1" applyBorder="1" applyAlignment="1">
      <alignment horizontal="center" vertical="top" shrinkToFit="1"/>
    </xf>
    <xf numFmtId="3" fontId="7" fillId="25" borderId="1" xfId="0" applyNumberFormat="1" applyFont="1" applyFill="1" applyBorder="1" applyAlignment="1">
      <alignment horizontal="center" vertical="top" shrinkToFit="1"/>
    </xf>
    <xf numFmtId="3" fontId="7" fillId="20" borderId="1" xfId="0" applyNumberFormat="1" applyFont="1" applyFill="1" applyBorder="1" applyAlignment="1">
      <alignment horizontal="center" vertical="top" shrinkToFit="1"/>
    </xf>
    <xf numFmtId="1" fontId="7" fillId="26" borderId="1" xfId="0" applyNumberFormat="1" applyFont="1" applyFill="1" applyBorder="1" applyAlignment="1">
      <alignment horizontal="center" vertical="top" shrinkToFit="1"/>
    </xf>
    <xf numFmtId="3" fontId="7" fillId="0" borderId="1" xfId="0" applyNumberFormat="1" applyFont="1" applyBorder="1" applyAlignment="1">
      <alignment horizontal="center" vertical="top" shrinkToFit="1"/>
    </xf>
    <xf numFmtId="1" fontId="7" fillId="24" borderId="1" xfId="0" applyNumberFormat="1" applyFont="1" applyFill="1" applyBorder="1" applyAlignment="1">
      <alignment horizontal="center" vertical="top" shrinkToFit="1"/>
    </xf>
    <xf numFmtId="3" fontId="7" fillId="26" borderId="1" xfId="0" applyNumberFormat="1" applyFont="1" applyFill="1" applyBorder="1" applyAlignment="1">
      <alignment horizontal="center" vertical="top" shrinkToFit="1"/>
    </xf>
    <xf numFmtId="3" fontId="7" fillId="21" borderId="1" xfId="0" applyNumberFormat="1" applyFont="1" applyFill="1" applyBorder="1" applyAlignment="1">
      <alignment horizontal="center" vertical="top" shrinkToFit="1"/>
    </xf>
    <xf numFmtId="3" fontId="7" fillId="22" borderId="1" xfId="0" applyNumberFormat="1" applyFont="1" applyFill="1" applyBorder="1" applyAlignment="1">
      <alignment horizontal="right" vertical="top" indent="1" shrinkToFit="1"/>
    </xf>
    <xf numFmtId="1" fontId="7" fillId="24" borderId="1" xfId="0" applyNumberFormat="1" applyFont="1" applyFill="1" applyBorder="1" applyAlignment="1">
      <alignment horizontal="right" vertical="top" indent="1" shrinkToFit="1"/>
    </xf>
    <xf numFmtId="1" fontId="7" fillId="25" borderId="1" xfId="0" applyNumberFormat="1" applyFont="1" applyFill="1" applyBorder="1" applyAlignment="1">
      <alignment horizontal="center" vertical="top" shrinkToFit="1"/>
    </xf>
    <xf numFmtId="1" fontId="7" fillId="20" borderId="1" xfId="0" applyNumberFormat="1" applyFont="1" applyFill="1" applyBorder="1" applyAlignment="1">
      <alignment horizontal="right" vertical="top" indent="1" shrinkToFit="1"/>
    </xf>
    <xf numFmtId="3" fontId="7" fillId="20" borderId="1" xfId="0" applyNumberFormat="1" applyFont="1" applyFill="1" applyBorder="1" applyAlignment="1">
      <alignment horizontal="right" vertical="top" indent="1" shrinkToFit="1"/>
    </xf>
    <xf numFmtId="3" fontId="7" fillId="24" borderId="1" xfId="0" applyNumberFormat="1" applyFont="1" applyFill="1" applyBorder="1" applyAlignment="1">
      <alignment horizontal="right" vertical="top" indent="1" shrinkToFit="1"/>
    </xf>
    <xf numFmtId="0" fontId="12" fillId="11" borderId="8" xfId="0" applyFont="1" applyFill="1" applyBorder="1"/>
    <xf numFmtId="9" fontId="7" fillId="21" borderId="1" xfId="1" applyFont="1" applyFill="1" applyBorder="1" applyAlignment="1">
      <alignment horizontal="left" vertical="top" indent="1" shrinkToFit="1"/>
    </xf>
    <xf numFmtId="9" fontId="7" fillId="22" borderId="1" xfId="1" applyFont="1" applyFill="1" applyBorder="1" applyAlignment="1">
      <alignment horizontal="center" vertical="top" shrinkToFit="1"/>
    </xf>
    <xf numFmtId="9" fontId="7" fillId="23" borderId="1" xfId="1" applyFont="1" applyFill="1" applyBorder="1" applyAlignment="1">
      <alignment horizontal="center" vertical="top" shrinkToFit="1"/>
    </xf>
    <xf numFmtId="9" fontId="7" fillId="24" borderId="1" xfId="1" applyFont="1" applyFill="1" applyBorder="1" applyAlignment="1">
      <alignment horizontal="right" vertical="top" indent="1" shrinkToFit="1"/>
    </xf>
    <xf numFmtId="9" fontId="7" fillId="25" borderId="1" xfId="1" applyFont="1" applyFill="1" applyBorder="1" applyAlignment="1">
      <alignment horizontal="center" vertical="top" shrinkToFit="1"/>
    </xf>
    <xf numFmtId="9" fontId="7" fillId="20" borderId="1" xfId="1" applyFont="1" applyFill="1" applyBorder="1" applyAlignment="1">
      <alignment horizontal="center" vertical="top" shrinkToFit="1"/>
    </xf>
    <xf numFmtId="9" fontId="7" fillId="26" borderId="1" xfId="1" applyFont="1" applyFill="1" applyBorder="1" applyAlignment="1">
      <alignment horizontal="center" vertical="top" shrinkToFit="1"/>
    </xf>
    <xf numFmtId="9" fontId="7" fillId="0" borderId="1" xfId="1" applyFont="1" applyFill="1" applyBorder="1" applyAlignment="1">
      <alignment horizontal="center" vertical="top" shrinkToFit="1"/>
    </xf>
    <xf numFmtId="1" fontId="7" fillId="21" borderId="1" xfId="0" applyNumberFormat="1" applyFont="1" applyFill="1" applyBorder="1" applyAlignment="1">
      <alignment horizontal="right" vertical="top" indent="1" shrinkToFit="1"/>
    </xf>
    <xf numFmtId="3" fontId="7" fillId="21" borderId="1" xfId="0" applyNumberFormat="1" applyFont="1" applyFill="1" applyBorder="1" applyAlignment="1">
      <alignment horizontal="right" vertical="top" indent="1" shrinkToFit="1"/>
    </xf>
    <xf numFmtId="1" fontId="7" fillId="23" borderId="1" xfId="0" applyNumberFormat="1" applyFont="1" applyFill="1" applyBorder="1" applyAlignment="1">
      <alignment horizontal="center" vertical="top" shrinkToFit="1"/>
    </xf>
    <xf numFmtId="1" fontId="7" fillId="23" borderId="1" xfId="0" applyNumberFormat="1" applyFont="1" applyFill="1" applyBorder="1" applyAlignment="1">
      <alignment horizontal="left" vertical="top" indent="2" shrinkToFit="1"/>
    </xf>
    <xf numFmtId="0" fontId="12" fillId="27" borderId="0" xfId="0" applyFont="1" applyFill="1" applyAlignment="1">
      <alignment wrapText="1"/>
    </xf>
    <xf numFmtId="0" fontId="0" fillId="27" borderId="0" xfId="0" applyFill="1"/>
    <xf numFmtId="0" fontId="12" fillId="28" borderId="0" xfId="0" applyFont="1" applyFill="1" applyAlignment="1">
      <alignment wrapText="1"/>
    </xf>
    <xf numFmtId="0" fontId="0" fillId="28" borderId="0" xfId="0" applyFill="1"/>
    <xf numFmtId="1" fontId="0" fillId="11" borderId="0" xfId="0" applyNumberFormat="1" applyFill="1"/>
    <xf numFmtId="10" fontId="2" fillId="9" borderId="0" xfId="1" applyNumberFormat="1" applyFont="1" applyFill="1" applyAlignment="1"/>
    <xf numFmtId="0" fontId="57" fillId="29" borderId="11" xfId="0" applyFont="1" applyFill="1" applyBorder="1"/>
    <xf numFmtId="0" fontId="0" fillId="29" borderId="0" xfId="0" applyFill="1" applyAlignment="1">
      <alignment wrapText="1"/>
    </xf>
    <xf numFmtId="0" fontId="0" fillId="29" borderId="0" xfId="0" applyFill="1"/>
    <xf numFmtId="0" fontId="48" fillId="29" borderId="28" xfId="0" applyFont="1" applyFill="1" applyBorder="1" applyAlignment="1">
      <alignment horizontal="right"/>
    </xf>
    <xf numFmtId="186" fontId="0" fillId="0" borderId="30" xfId="0" applyNumberFormat="1" applyBorder="1"/>
    <xf numFmtId="0" fontId="0" fillId="0" borderId="29" xfId="0" applyBorder="1" applyAlignment="1">
      <alignment wrapText="1"/>
    </xf>
    <xf numFmtId="0" fontId="8" fillId="29" borderId="33" xfId="0" applyFont="1" applyFill="1" applyBorder="1" applyAlignment="1">
      <alignment horizontal="left" vertical="top" wrapText="1"/>
    </xf>
    <xf numFmtId="0" fontId="8" fillId="8" borderId="33" xfId="0" applyFont="1" applyFill="1" applyBorder="1" applyAlignment="1">
      <alignment vertical="top" wrapText="1"/>
    </xf>
    <xf numFmtId="0" fontId="0" fillId="6" borderId="33" xfId="0" applyFill="1" applyBorder="1" applyAlignment="1">
      <alignment vertical="top" wrapText="1"/>
    </xf>
    <xf numFmtId="0" fontId="8" fillId="30" borderId="33" xfId="0" applyFont="1" applyFill="1" applyBorder="1" applyAlignment="1">
      <alignment vertical="top" wrapText="1"/>
    </xf>
    <xf numFmtId="0" fontId="8" fillId="29" borderId="33" xfId="0" applyFont="1" applyFill="1" applyBorder="1" applyAlignment="1">
      <alignment vertical="top" wrapText="1"/>
    </xf>
    <xf numFmtId="0" fontId="57" fillId="29" borderId="0" xfId="0" applyFont="1" applyFill="1"/>
    <xf numFmtId="0" fontId="58" fillId="29" borderId="0" xfId="0" applyFont="1" applyFill="1" applyAlignment="1">
      <alignment horizontal="right" vertical="top"/>
    </xf>
    <xf numFmtId="0" fontId="0" fillId="0" borderId="30" xfId="0" applyBorder="1" applyAlignment="1">
      <alignment wrapText="1"/>
    </xf>
    <xf numFmtId="0" fontId="8" fillId="29" borderId="28" xfId="0" applyFont="1" applyFill="1" applyBorder="1" applyAlignment="1">
      <alignment horizontal="left" vertical="center" wrapText="1"/>
    </xf>
    <xf numFmtId="0" fontId="8" fillId="8" borderId="29" xfId="0" applyFont="1" applyFill="1" applyBorder="1" applyAlignment="1">
      <alignment vertical="center" wrapText="1"/>
    </xf>
    <xf numFmtId="0" fontId="8" fillId="29" borderId="29" xfId="0" applyFont="1" applyFill="1" applyBorder="1" applyAlignment="1">
      <alignment vertical="center" wrapText="1"/>
    </xf>
    <xf numFmtId="0" fontId="8" fillId="29" borderId="30" xfId="0" applyFont="1" applyFill="1" applyBorder="1" applyAlignment="1">
      <alignment vertical="center" wrapText="1"/>
    </xf>
    <xf numFmtId="0" fontId="0" fillId="29" borderId="0" xfId="0" applyFill="1" applyAlignment="1">
      <alignment horizontal="right" vertical="top" wrapText="1"/>
    </xf>
    <xf numFmtId="0" fontId="0" fillId="29" borderId="0" xfId="0" applyFill="1" applyAlignment="1">
      <alignment horizontal="center"/>
    </xf>
    <xf numFmtId="0" fontId="60" fillId="29" borderId="0" xfId="0" applyFont="1" applyFill="1" applyAlignment="1">
      <alignment horizontal="center"/>
    </xf>
    <xf numFmtId="0" fontId="61" fillId="29" borderId="0" xfId="0" applyFont="1" applyFill="1"/>
    <xf numFmtId="0" fontId="0" fillId="29" borderId="0" xfId="0" applyFill="1" applyAlignment="1">
      <alignment horizontal="center" wrapText="1"/>
    </xf>
    <xf numFmtId="0" fontId="60" fillId="29" borderId="38" xfId="0" applyFont="1" applyFill="1" applyBorder="1" applyAlignment="1">
      <alignment horizontal="center" wrapText="1"/>
    </xf>
    <xf numFmtId="0" fontId="60" fillId="0" borderId="0" xfId="0" applyFont="1"/>
    <xf numFmtId="0" fontId="62" fillId="29" borderId="32" xfId="0" applyFont="1" applyFill="1" applyBorder="1"/>
    <xf numFmtId="9" fontId="60" fillId="29" borderId="46" xfId="0" applyNumberFormat="1" applyFont="1" applyFill="1" applyBorder="1" applyAlignment="1">
      <alignment wrapText="1"/>
    </xf>
    <xf numFmtId="0" fontId="60" fillId="29" borderId="47" xfId="0" applyFont="1" applyFill="1" applyBorder="1" applyAlignment="1">
      <alignment wrapText="1"/>
    </xf>
    <xf numFmtId="0" fontId="60" fillId="29" borderId="48" xfId="0" applyFont="1" applyFill="1" applyBorder="1" applyAlignment="1">
      <alignment wrapText="1"/>
    </xf>
    <xf numFmtId="0" fontId="60" fillId="29" borderId="0" xfId="0" applyFont="1" applyFill="1"/>
    <xf numFmtId="0" fontId="0" fillId="29" borderId="10" xfId="0" applyFill="1" applyBorder="1" applyAlignment="1">
      <alignment wrapText="1"/>
    </xf>
    <xf numFmtId="0" fontId="0" fillId="29" borderId="12" xfId="0" applyFill="1" applyBorder="1" applyAlignment="1">
      <alignment wrapText="1"/>
    </xf>
    <xf numFmtId="0" fontId="60" fillId="29" borderId="32" xfId="0" applyFont="1" applyFill="1" applyBorder="1"/>
    <xf numFmtId="185" fontId="60" fillId="0" borderId="50" xfId="9" applyNumberFormat="1" applyFont="1" applyFill="1" applyBorder="1" applyAlignment="1">
      <alignment wrapText="1"/>
    </xf>
    <xf numFmtId="0" fontId="0" fillId="29" borderId="50" xfId="0" applyFill="1" applyBorder="1"/>
    <xf numFmtId="9" fontId="60" fillId="30" borderId="50" xfId="0" applyNumberFormat="1" applyFont="1" applyFill="1" applyBorder="1" applyAlignment="1">
      <alignment wrapText="1"/>
    </xf>
    <xf numFmtId="9" fontId="60" fillId="6" borderId="50" xfId="0" applyNumberFormat="1" applyFont="1" applyFill="1" applyBorder="1" applyAlignment="1">
      <alignment wrapText="1"/>
    </xf>
    <xf numFmtId="9" fontId="60" fillId="29" borderId="50" xfId="0" applyNumberFormat="1" applyFont="1" applyFill="1" applyBorder="1" applyAlignment="1">
      <alignment wrapText="1"/>
    </xf>
    <xf numFmtId="0" fontId="60" fillId="29" borderId="50" xfId="0" applyFont="1" applyFill="1" applyBorder="1" applyAlignment="1">
      <alignment wrapText="1"/>
    </xf>
    <xf numFmtId="9" fontId="60" fillId="30" borderId="50" xfId="10" applyFont="1" applyFill="1" applyBorder="1" applyAlignment="1">
      <alignment wrapText="1"/>
    </xf>
    <xf numFmtId="9" fontId="60" fillId="30" borderId="51" xfId="0" applyNumberFormat="1" applyFont="1" applyFill="1" applyBorder="1" applyAlignment="1">
      <alignment wrapText="1"/>
    </xf>
    <xf numFmtId="0" fontId="62" fillId="29" borderId="8" xfId="0" applyFont="1" applyFill="1" applyBorder="1"/>
    <xf numFmtId="184" fontId="0" fillId="29" borderId="0" xfId="0" applyNumberFormat="1" applyFill="1" applyAlignment="1">
      <alignment wrapText="1"/>
    </xf>
    <xf numFmtId="0" fontId="60" fillId="29" borderId="49" xfId="0" applyFont="1" applyFill="1" applyBorder="1" applyAlignment="1">
      <alignment wrapText="1"/>
    </xf>
    <xf numFmtId="0" fontId="62" fillId="29" borderId="43" xfId="0" applyFont="1" applyFill="1" applyBorder="1"/>
    <xf numFmtId="0" fontId="60" fillId="29" borderId="52" xfId="0" applyFont="1" applyFill="1" applyBorder="1" applyAlignment="1">
      <alignment wrapText="1"/>
    </xf>
    <xf numFmtId="185" fontId="60" fillId="0" borderId="53" xfId="9" applyNumberFormat="1" applyFont="1" applyFill="1" applyBorder="1" applyAlignment="1">
      <alignment wrapText="1"/>
    </xf>
    <xf numFmtId="9" fontId="60" fillId="6" borderId="53" xfId="0" applyNumberFormat="1" applyFont="1" applyFill="1" applyBorder="1" applyAlignment="1">
      <alignment wrapText="1"/>
    </xf>
    <xf numFmtId="0" fontId="60" fillId="29" borderId="53" xfId="0" applyFont="1" applyFill="1" applyBorder="1" applyAlignment="1">
      <alignment wrapText="1"/>
    </xf>
    <xf numFmtId="9" fontId="60" fillId="30" borderId="53" xfId="0" applyNumberFormat="1" applyFont="1" applyFill="1" applyBorder="1" applyAlignment="1">
      <alignment wrapText="1"/>
    </xf>
    <xf numFmtId="9" fontId="60" fillId="29" borderId="53" xfId="10" applyFont="1" applyFill="1" applyBorder="1" applyAlignment="1">
      <alignment wrapText="1"/>
    </xf>
    <xf numFmtId="9" fontId="60" fillId="29" borderId="53" xfId="0" applyNumberFormat="1" applyFont="1" applyFill="1" applyBorder="1" applyAlignment="1">
      <alignment wrapText="1"/>
    </xf>
    <xf numFmtId="9" fontId="60" fillId="29" borderId="45" xfId="0" applyNumberFormat="1" applyFont="1" applyFill="1" applyBorder="1" applyAlignment="1">
      <alignment wrapText="1"/>
    </xf>
    <xf numFmtId="184" fontId="8" fillId="29" borderId="54" xfId="0" applyNumberFormat="1" applyFont="1" applyFill="1" applyBorder="1" applyAlignment="1">
      <alignment wrapText="1"/>
    </xf>
    <xf numFmtId="184" fontId="8" fillId="29" borderId="0" xfId="0" applyNumberFormat="1" applyFont="1" applyFill="1" applyAlignment="1">
      <alignment wrapText="1"/>
    </xf>
    <xf numFmtId="0" fontId="62" fillId="0" borderId="0" xfId="0" applyFont="1" applyAlignment="1">
      <alignment wrapText="1"/>
    </xf>
    <xf numFmtId="185" fontId="62" fillId="0" borderId="0" xfId="9" applyNumberFormat="1" applyFont="1" applyFill="1" applyBorder="1" applyAlignment="1">
      <alignment wrapText="1"/>
    </xf>
    <xf numFmtId="9" fontId="62" fillId="0" borderId="0" xfId="0" applyNumberFormat="1" applyFont="1" applyAlignment="1">
      <alignment wrapText="1"/>
    </xf>
    <xf numFmtId="0" fontId="8" fillId="29" borderId="0" xfId="0" applyFont="1" applyFill="1"/>
    <xf numFmtId="9" fontId="62" fillId="29" borderId="0" xfId="0" applyNumberFormat="1" applyFont="1" applyFill="1" applyAlignment="1">
      <alignment wrapText="1"/>
    </xf>
    <xf numFmtId="9" fontId="62" fillId="0" borderId="0" xfId="10" applyFont="1" applyFill="1" applyBorder="1" applyAlignment="1">
      <alignment wrapText="1"/>
    </xf>
    <xf numFmtId="9" fontId="62" fillId="29" borderId="0" xfId="10" applyFont="1" applyFill="1" applyBorder="1" applyAlignment="1">
      <alignment wrapText="1"/>
    </xf>
    <xf numFmtId="0" fontId="62" fillId="0" borderId="0" xfId="0" applyFont="1"/>
    <xf numFmtId="0" fontId="8" fillId="0" borderId="0" xfId="0" applyFont="1" applyAlignment="1">
      <alignment wrapText="1"/>
    </xf>
    <xf numFmtId="9" fontId="62" fillId="0" borderId="0" xfId="0" applyNumberFormat="1" applyFont="1"/>
    <xf numFmtId="0" fontId="60" fillId="0" borderId="0" xfId="0" applyFont="1" applyAlignment="1">
      <alignment wrapText="1"/>
    </xf>
    <xf numFmtId="9" fontId="60" fillId="0" borderId="0" xfId="0" applyNumberFormat="1" applyFont="1" applyAlignment="1">
      <alignment wrapText="1"/>
    </xf>
    <xf numFmtId="9" fontId="60" fillId="29" borderId="0" xfId="0" applyNumberFormat="1" applyFont="1" applyFill="1" applyAlignment="1">
      <alignment wrapText="1"/>
    </xf>
    <xf numFmtId="9" fontId="60" fillId="0" borderId="0" xfId="10" applyFont="1" applyFill="1" applyBorder="1" applyAlignment="1">
      <alignment wrapText="1"/>
    </xf>
    <xf numFmtId="9" fontId="60" fillId="29" borderId="0" xfId="10" applyFont="1" applyFill="1" applyBorder="1" applyAlignment="1">
      <alignment wrapText="1"/>
    </xf>
    <xf numFmtId="0" fontId="8" fillId="0" borderId="5" xfId="0" applyFont="1" applyBorder="1"/>
    <xf numFmtId="9" fontId="60" fillId="0" borderId="6" xfId="0" applyNumberFormat="1" applyFont="1" applyBorder="1" applyAlignment="1">
      <alignment wrapText="1"/>
    </xf>
    <xf numFmtId="1" fontId="60" fillId="0" borderId="6" xfId="9" applyNumberFormat="1" applyFont="1" applyFill="1" applyBorder="1" applyAlignment="1">
      <alignment wrapText="1"/>
    </xf>
    <xf numFmtId="1" fontId="60" fillId="0" borderId="7" xfId="9" applyNumberFormat="1" applyFont="1" applyFill="1" applyBorder="1" applyAlignment="1">
      <alignment wrapText="1"/>
    </xf>
    <xf numFmtId="0" fontId="60" fillId="29" borderId="8" xfId="0" applyFont="1" applyFill="1" applyBorder="1"/>
    <xf numFmtId="187" fontId="60" fillId="30" borderId="0" xfId="9" applyNumberFormat="1" applyFont="1" applyFill="1" applyBorder="1"/>
    <xf numFmtId="187" fontId="60" fillId="30" borderId="9" xfId="0" applyNumberFormat="1" applyFont="1" applyFill="1" applyBorder="1"/>
    <xf numFmtId="184" fontId="60" fillId="8" borderId="0" xfId="9" applyNumberFormat="1" applyFont="1" applyFill="1" applyBorder="1"/>
    <xf numFmtId="184" fontId="60" fillId="8" borderId="9" xfId="9" applyNumberFormat="1" applyFont="1" applyFill="1" applyBorder="1"/>
    <xf numFmtId="0" fontId="60" fillId="0" borderId="9" xfId="0" applyFont="1" applyBorder="1" applyAlignment="1">
      <alignment wrapText="1"/>
    </xf>
    <xf numFmtId="9" fontId="60" fillId="0" borderId="8" xfId="10" applyFont="1" applyFill="1" applyBorder="1" applyAlignment="1"/>
    <xf numFmtId="9" fontId="60" fillId="0" borderId="10" xfId="10" applyFont="1" applyFill="1" applyBorder="1" applyAlignment="1"/>
    <xf numFmtId="9" fontId="60" fillId="0" borderId="11" xfId="0" applyNumberFormat="1" applyFont="1" applyBorder="1" applyAlignment="1">
      <alignment wrapText="1"/>
    </xf>
    <xf numFmtId="9" fontId="60" fillId="0" borderId="11" xfId="10" applyFont="1" applyFill="1" applyBorder="1" applyAlignment="1">
      <alignment wrapText="1"/>
    </xf>
    <xf numFmtId="0" fontId="60" fillId="0" borderId="11" xfId="0" applyFont="1" applyBorder="1" applyAlignment="1">
      <alignment wrapText="1"/>
    </xf>
    <xf numFmtId="0" fontId="60" fillId="0" borderId="12" xfId="0" applyFont="1" applyBorder="1" applyAlignment="1">
      <alignment wrapText="1"/>
    </xf>
    <xf numFmtId="185" fontId="60" fillId="0" borderId="0" xfId="9" applyNumberFormat="1" applyFont="1" applyFill="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31" xfId="0" applyBorder="1" applyAlignment="1">
      <alignment wrapText="1"/>
    </xf>
    <xf numFmtId="0" fontId="0" fillId="0" borderId="9" xfId="0" applyBorder="1" applyAlignment="1">
      <alignment wrapText="1"/>
    </xf>
    <xf numFmtId="0" fontId="0" fillId="0" borderId="32" xfId="0" applyBorder="1" applyAlignment="1">
      <alignment wrapText="1"/>
    </xf>
    <xf numFmtId="0" fontId="13" fillId="0" borderId="8" xfId="2" applyBorder="1"/>
    <xf numFmtId="0" fontId="0" fillId="0" borderId="43" xfId="0" applyBorder="1" applyAlignment="1">
      <alignment wrapText="1"/>
    </xf>
    <xf numFmtId="0" fontId="0" fillId="0" borderId="28" xfId="0" applyBorder="1" applyAlignment="1">
      <alignment wrapText="1"/>
    </xf>
    <xf numFmtId="0" fontId="0" fillId="0" borderId="29" xfId="0" applyBorder="1"/>
    <xf numFmtId="0" fontId="60" fillId="29" borderId="29" xfId="0" applyFont="1" applyFill="1" applyBorder="1" applyAlignment="1">
      <alignment horizontal="center" wrapText="1"/>
    </xf>
    <xf numFmtId="0" fontId="0" fillId="29" borderId="29" xfId="0" applyFill="1" applyBorder="1" applyAlignment="1">
      <alignment wrapText="1"/>
    </xf>
    <xf numFmtId="0" fontId="0" fillId="0" borderId="33" xfId="0" applyBorder="1" applyAlignment="1">
      <alignment wrapText="1"/>
    </xf>
    <xf numFmtId="9" fontId="0" fillId="8" borderId="0" xfId="0" applyNumberFormat="1" applyFill="1" applyAlignment="1">
      <alignment wrapText="1"/>
    </xf>
    <xf numFmtId="0" fontId="0" fillId="29" borderId="31" xfId="0" applyFill="1" applyBorder="1" applyAlignment="1">
      <alignment horizontal="center"/>
    </xf>
    <xf numFmtId="176" fontId="0" fillId="29" borderId="11" xfId="9" applyNumberFormat="1" applyFont="1" applyFill="1" applyBorder="1"/>
    <xf numFmtId="43" fontId="0" fillId="30" borderId="11" xfId="9" applyFont="1" applyFill="1" applyBorder="1"/>
    <xf numFmtId="176" fontId="0" fillId="0" borderId="43" xfId="0" applyNumberFormat="1" applyBorder="1"/>
    <xf numFmtId="188" fontId="0" fillId="29" borderId="12" xfId="9" applyNumberFormat="1" applyFont="1" applyFill="1" applyBorder="1" applyAlignment="1">
      <alignment horizontal="center"/>
    </xf>
    <xf numFmtId="188" fontId="0" fillId="29" borderId="43" xfId="0" applyNumberFormat="1" applyFill="1" applyBorder="1" applyAlignment="1">
      <alignment horizontal="center"/>
    </xf>
    <xf numFmtId="0" fontId="60" fillId="29" borderId="28" xfId="0" applyFont="1" applyFill="1" applyBorder="1"/>
    <xf numFmtId="0" fontId="60" fillId="29" borderId="29" xfId="0" applyFont="1" applyFill="1" applyBorder="1"/>
    <xf numFmtId="0" fontId="60" fillId="29" borderId="30" xfId="0" applyFont="1" applyFill="1" applyBorder="1"/>
    <xf numFmtId="0" fontId="60" fillId="29" borderId="28" xfId="0" applyFont="1" applyFill="1" applyBorder="1" applyAlignment="1">
      <alignment wrapText="1"/>
    </xf>
    <xf numFmtId="0" fontId="60" fillId="29" borderId="30" xfId="0" applyFont="1" applyFill="1" applyBorder="1" applyAlignment="1">
      <alignment wrapText="1"/>
    </xf>
    <xf numFmtId="0" fontId="59" fillId="29" borderId="5" xfId="0" applyFont="1" applyFill="1" applyBorder="1" applyAlignment="1">
      <alignment wrapText="1"/>
    </xf>
    <xf numFmtId="0" fontId="60" fillId="29" borderId="5" xfId="0" applyFont="1" applyFill="1" applyBorder="1"/>
    <xf numFmtId="0" fontId="60" fillId="29" borderId="6" xfId="0" applyFont="1" applyFill="1" applyBorder="1"/>
    <xf numFmtId="0" fontId="0" fillId="29" borderId="6" xfId="0" applyFill="1" applyBorder="1"/>
    <xf numFmtId="0" fontId="60" fillId="29" borderId="31" xfId="0" applyFont="1" applyFill="1" applyBorder="1" applyAlignment="1">
      <alignment wrapText="1"/>
    </xf>
    <xf numFmtId="0" fontId="60" fillId="29" borderId="8" xfId="0" applyFont="1" applyFill="1" applyBorder="1" applyAlignment="1">
      <alignment wrapText="1"/>
    </xf>
    <xf numFmtId="0" fontId="60" fillId="29" borderId="0" xfId="0" applyFont="1" applyFill="1" applyAlignment="1">
      <alignment wrapText="1"/>
    </xf>
    <xf numFmtId="0" fontId="60" fillId="29" borderId="9" xfId="0" applyFont="1" applyFill="1" applyBorder="1" applyAlignment="1">
      <alignment wrapText="1"/>
    </xf>
    <xf numFmtId="0" fontId="60" fillId="29" borderId="0" xfId="0" applyFont="1" applyFill="1" applyAlignment="1">
      <alignment horizontal="center" wrapText="1"/>
    </xf>
    <xf numFmtId="0" fontId="0" fillId="29" borderId="6" xfId="0" applyFill="1" applyBorder="1" applyAlignment="1">
      <alignment wrapText="1"/>
    </xf>
    <xf numFmtId="0" fontId="60" fillId="29" borderId="9" xfId="0" applyFont="1" applyFill="1" applyBorder="1" applyAlignment="1">
      <alignment horizontal="center" wrapText="1"/>
    </xf>
    <xf numFmtId="0" fontId="60" fillId="29" borderId="8" xfId="0" applyFont="1" applyFill="1" applyBorder="1" applyAlignment="1">
      <alignment horizontal="center" wrapText="1"/>
    </xf>
    <xf numFmtId="184" fontId="60" fillId="29" borderId="0" xfId="9" applyNumberFormat="1" applyFont="1" applyFill="1" applyBorder="1" applyAlignment="1">
      <alignment horizontal="center" wrapText="1"/>
    </xf>
    <xf numFmtId="0" fontId="60" fillId="29" borderId="8" xfId="0" applyFont="1" applyFill="1" applyBorder="1" applyAlignment="1">
      <alignment horizontal="center"/>
    </xf>
    <xf numFmtId="0" fontId="60" fillId="29" borderId="9" xfId="0" applyFont="1" applyFill="1" applyBorder="1" applyAlignment="1">
      <alignment horizontal="center"/>
    </xf>
    <xf numFmtId="0" fontId="59" fillId="29" borderId="8" xfId="0" applyFont="1" applyFill="1" applyBorder="1" applyAlignment="1">
      <alignment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55" xfId="0" applyFont="1" applyFill="1" applyBorder="1" applyAlignment="1">
      <alignment wrapText="1"/>
    </xf>
    <xf numFmtId="0" fontId="60" fillId="29" borderId="56" xfId="0" applyFont="1" applyFill="1" applyBorder="1" applyAlignment="1">
      <alignment horizontal="center" wrapText="1"/>
    </xf>
    <xf numFmtId="0" fontId="60" fillId="29" borderId="57" xfId="0" applyFont="1" applyFill="1" applyBorder="1" applyAlignment="1">
      <alignment horizontal="center" wrapText="1"/>
    </xf>
    <xf numFmtId="0" fontId="60" fillId="29" borderId="58" xfId="0" applyFont="1" applyFill="1" applyBorder="1" applyAlignment="1">
      <alignment horizontal="center" wrapText="1"/>
    </xf>
    <xf numFmtId="0" fontId="60" fillId="29" borderId="59" xfId="0" applyFont="1" applyFill="1" applyBorder="1" applyAlignment="1">
      <alignment horizontal="center" wrapText="1"/>
    </xf>
    <xf numFmtId="0" fontId="60" fillId="29" borderId="60" xfId="0" applyFont="1" applyFill="1" applyBorder="1" applyAlignment="1">
      <alignment horizontal="center" wrapText="1"/>
    </xf>
    <xf numFmtId="0" fontId="60" fillId="29" borderId="56" xfId="0" applyFont="1" applyFill="1" applyBorder="1" applyAlignment="1">
      <alignment horizontal="center"/>
    </xf>
    <xf numFmtId="0" fontId="60" fillId="29" borderId="58" xfId="0" applyFont="1" applyFill="1" applyBorder="1" applyAlignment="1">
      <alignment horizontal="center"/>
    </xf>
    <xf numFmtId="0" fontId="60" fillId="29" borderId="57" xfId="0" applyFont="1" applyFill="1" applyBorder="1" applyAlignment="1">
      <alignment horizontal="center"/>
    </xf>
    <xf numFmtId="0" fontId="59" fillId="29" borderId="10" xfId="0" applyFont="1" applyFill="1" applyBorder="1" applyAlignment="1">
      <alignment wrapText="1"/>
    </xf>
    <xf numFmtId="0" fontId="60" fillId="29" borderId="61" xfId="0" applyFont="1" applyFill="1" applyBorder="1" applyAlignment="1">
      <alignment horizontal="center" wrapText="1"/>
    </xf>
    <xf numFmtId="184" fontId="60" fillId="29" borderId="8" xfId="9" applyNumberFormat="1" applyFont="1" applyFill="1" applyBorder="1" applyAlignment="1">
      <alignment wrapText="1"/>
    </xf>
    <xf numFmtId="184" fontId="60" fillId="29" borderId="0" xfId="9" applyNumberFormat="1" applyFont="1" applyFill="1" applyAlignment="1">
      <alignment wrapText="1"/>
    </xf>
    <xf numFmtId="43" fontId="60" fillId="29" borderId="9" xfId="9" applyFont="1" applyFill="1" applyBorder="1" applyAlignment="1">
      <alignment wrapText="1"/>
    </xf>
    <xf numFmtId="0" fontId="60" fillId="29" borderId="5" xfId="0" applyFont="1" applyFill="1" applyBorder="1" applyAlignment="1">
      <alignment wrapText="1"/>
    </xf>
    <xf numFmtId="184" fontId="60" fillId="29" borderId="6" xfId="0" applyNumberFormat="1" applyFont="1" applyFill="1" applyBorder="1"/>
    <xf numFmtId="184" fontId="60" fillId="29" borderId="7" xfId="0" applyNumberFormat="1" applyFont="1" applyFill="1" applyBorder="1"/>
    <xf numFmtId="184" fontId="60" fillId="29" borderId="8" xfId="0" applyNumberFormat="1" applyFont="1" applyFill="1" applyBorder="1"/>
    <xf numFmtId="184" fontId="60" fillId="29" borderId="0" xfId="0" applyNumberFormat="1" applyFont="1" applyFill="1"/>
    <xf numFmtId="184" fontId="60" fillId="0" borderId="9" xfId="0" applyNumberFormat="1" applyFont="1" applyBorder="1"/>
    <xf numFmtId="187" fontId="60" fillId="29" borderId="8" xfId="0" applyNumberFormat="1" applyFont="1" applyFill="1" applyBorder="1"/>
    <xf numFmtId="184" fontId="60" fillId="29" borderId="9" xfId="9" applyNumberFormat="1" applyFont="1" applyFill="1" applyBorder="1"/>
    <xf numFmtId="189" fontId="60" fillId="29" borderId="0" xfId="0" applyNumberFormat="1" applyFont="1" applyFill="1"/>
    <xf numFmtId="184" fontId="60" fillId="29" borderId="9" xfId="0" applyNumberFormat="1" applyFont="1" applyFill="1" applyBorder="1"/>
    <xf numFmtId="184" fontId="60" fillId="29" borderId="0" xfId="9" applyNumberFormat="1" applyFont="1" applyFill="1" applyBorder="1" applyAlignment="1">
      <alignment wrapText="1"/>
    </xf>
    <xf numFmtId="184" fontId="0" fillId="29" borderId="0" xfId="9" applyNumberFormat="1" applyFont="1" applyFill="1" applyBorder="1" applyAlignment="1">
      <alignment wrapText="1"/>
    </xf>
    <xf numFmtId="0" fontId="60" fillId="29" borderId="32" xfId="0" applyFont="1" applyFill="1" applyBorder="1" applyAlignment="1">
      <alignment wrapText="1"/>
    </xf>
    <xf numFmtId="184" fontId="60" fillId="8" borderId="8" xfId="9" applyNumberFormat="1" applyFont="1" applyFill="1" applyBorder="1" applyAlignment="1">
      <alignment wrapText="1"/>
    </xf>
    <xf numFmtId="184" fontId="60" fillId="8" borderId="0" xfId="9" applyNumberFormat="1" applyFont="1" applyFill="1" applyAlignment="1">
      <alignment wrapText="1"/>
    </xf>
    <xf numFmtId="178" fontId="60" fillId="8" borderId="0" xfId="10" applyNumberFormat="1" applyFont="1" applyFill="1" applyAlignment="1">
      <alignment wrapText="1"/>
    </xf>
    <xf numFmtId="1" fontId="60" fillId="8" borderId="8" xfId="0" applyNumberFormat="1" applyFont="1" applyFill="1" applyBorder="1" applyAlignment="1">
      <alignment wrapText="1"/>
    </xf>
    <xf numFmtId="184" fontId="60" fillId="0" borderId="9" xfId="9" applyNumberFormat="1" applyFont="1" applyFill="1" applyBorder="1"/>
    <xf numFmtId="184" fontId="60" fillId="8" borderId="8" xfId="9" applyNumberFormat="1" applyFont="1" applyFill="1" applyBorder="1"/>
    <xf numFmtId="184" fontId="60" fillId="8" borderId="0" xfId="9" applyNumberFormat="1" applyFont="1" applyFill="1"/>
    <xf numFmtId="184" fontId="60" fillId="29" borderId="0" xfId="9" applyNumberFormat="1" applyFont="1" applyFill="1"/>
    <xf numFmtId="185" fontId="60" fillId="29" borderId="8" xfId="9" applyNumberFormat="1" applyFont="1" applyFill="1" applyBorder="1" applyAlignment="1">
      <alignment wrapText="1"/>
    </xf>
    <xf numFmtId="185" fontId="60" fillId="29" borderId="9" xfId="9" applyNumberFormat="1" applyFont="1" applyFill="1" applyBorder="1" applyAlignment="1">
      <alignment wrapText="1"/>
    </xf>
    <xf numFmtId="178" fontId="60" fillId="29" borderId="32" xfId="10" applyNumberFormat="1" applyFont="1" applyFill="1" applyBorder="1" applyAlignment="1">
      <alignment wrapText="1"/>
    </xf>
    <xf numFmtId="184" fontId="60" fillId="0" borderId="0" xfId="9" applyNumberFormat="1" applyFont="1" applyFill="1" applyAlignment="1">
      <alignment wrapText="1"/>
    </xf>
    <xf numFmtId="185" fontId="60" fillId="8" borderId="8" xfId="0" applyNumberFormat="1" applyFont="1" applyFill="1" applyBorder="1" applyAlignment="1">
      <alignment wrapText="1"/>
    </xf>
    <xf numFmtId="184" fontId="60" fillId="8" borderId="0" xfId="0" applyNumberFormat="1" applyFont="1" applyFill="1"/>
    <xf numFmtId="184" fontId="60" fillId="8" borderId="8" xfId="0" applyNumberFormat="1" applyFont="1" applyFill="1" applyBorder="1"/>
    <xf numFmtId="184" fontId="62" fillId="29" borderId="8" xfId="9" applyNumberFormat="1" applyFont="1" applyFill="1" applyBorder="1" applyAlignment="1">
      <alignment wrapText="1"/>
    </xf>
    <xf numFmtId="184" fontId="62" fillId="29" borderId="0" xfId="9" applyNumberFormat="1" applyFont="1" applyFill="1" applyBorder="1" applyAlignment="1">
      <alignment wrapText="1"/>
    </xf>
    <xf numFmtId="185" fontId="62" fillId="29" borderId="8" xfId="9" applyNumberFormat="1" applyFont="1" applyFill="1" applyBorder="1" applyAlignment="1">
      <alignment wrapText="1"/>
    </xf>
    <xf numFmtId="185" fontId="62" fillId="29" borderId="0" xfId="9" applyNumberFormat="1" applyFont="1" applyFill="1" applyBorder="1" applyAlignment="1">
      <alignment wrapText="1"/>
    </xf>
    <xf numFmtId="184" fontId="60" fillId="29" borderId="8" xfId="9" applyNumberFormat="1" applyFont="1" applyFill="1" applyBorder="1" applyAlignment="1">
      <alignment horizontal="center" wrapText="1"/>
    </xf>
    <xf numFmtId="184" fontId="60" fillId="29" borderId="0" xfId="9" applyNumberFormat="1" applyFont="1" applyFill="1" applyAlignment="1">
      <alignment vertical="center" wrapText="1"/>
    </xf>
    <xf numFmtId="0" fontId="60" fillId="8" borderId="8" xfId="0" applyFont="1" applyFill="1" applyBorder="1" applyAlignment="1">
      <alignment wrapText="1"/>
    </xf>
    <xf numFmtId="0" fontId="60" fillId="8" borderId="0" xfId="0" applyFont="1" applyFill="1"/>
    <xf numFmtId="0" fontId="60" fillId="29" borderId="9" xfId="0" applyFont="1" applyFill="1" applyBorder="1"/>
    <xf numFmtId="185" fontId="60" fillId="29" borderId="0" xfId="9" applyNumberFormat="1" applyFont="1" applyFill="1" applyBorder="1" applyAlignment="1">
      <alignment wrapText="1"/>
    </xf>
    <xf numFmtId="0" fontId="60" fillId="29" borderId="10" xfId="0" applyFont="1" applyFill="1" applyBorder="1" applyAlignment="1">
      <alignment wrapText="1"/>
    </xf>
    <xf numFmtId="0" fontId="60" fillId="29" borderId="11" xfId="0" applyFont="1" applyFill="1" applyBorder="1"/>
    <xf numFmtId="0" fontId="0" fillId="29" borderId="11" xfId="0" applyFill="1" applyBorder="1"/>
    <xf numFmtId="0" fontId="60" fillId="29" borderId="12" xfId="0" applyFont="1" applyFill="1" applyBorder="1"/>
    <xf numFmtId="0" fontId="62" fillId="29" borderId="10" xfId="0" applyFont="1" applyFill="1" applyBorder="1"/>
    <xf numFmtId="184" fontId="62" fillId="29" borderId="10" xfId="9" applyNumberFormat="1" applyFont="1" applyFill="1" applyBorder="1" applyAlignment="1">
      <alignment wrapText="1"/>
    </xf>
    <xf numFmtId="184" fontId="62" fillId="29" borderId="11" xfId="9" applyNumberFormat="1" applyFont="1" applyFill="1" applyBorder="1" applyAlignment="1">
      <alignment wrapText="1"/>
    </xf>
    <xf numFmtId="43" fontId="62" fillId="29" borderId="12" xfId="9" applyFont="1" applyFill="1" applyBorder="1" applyAlignment="1">
      <alignment wrapText="1"/>
    </xf>
    <xf numFmtId="184" fontId="62" fillId="29" borderId="12" xfId="9" applyNumberFormat="1" applyFont="1" applyFill="1" applyBorder="1" applyAlignment="1">
      <alignment wrapText="1"/>
    </xf>
    <xf numFmtId="184" fontId="8" fillId="29" borderId="11" xfId="9" applyNumberFormat="1" applyFont="1" applyFill="1" applyBorder="1"/>
    <xf numFmtId="185" fontId="62" fillId="29" borderId="10" xfId="9" applyNumberFormat="1" applyFont="1" applyFill="1" applyBorder="1" applyAlignment="1">
      <alignment wrapText="1"/>
    </xf>
    <xf numFmtId="185" fontId="62" fillId="29" borderId="11" xfId="9" applyNumberFormat="1" applyFont="1" applyFill="1" applyBorder="1" applyAlignment="1">
      <alignment wrapText="1"/>
    </xf>
    <xf numFmtId="185" fontId="62" fillId="29" borderId="12" xfId="9" applyNumberFormat="1" applyFont="1" applyFill="1" applyBorder="1" applyAlignment="1">
      <alignment wrapText="1"/>
    </xf>
    <xf numFmtId="184" fontId="62" fillId="29" borderId="43" xfId="9" applyNumberFormat="1" applyFont="1" applyFill="1" applyBorder="1" applyAlignment="1">
      <alignment wrapText="1"/>
    </xf>
    <xf numFmtId="0" fontId="31" fillId="29" borderId="0" xfId="0" applyFont="1" applyFill="1"/>
    <xf numFmtId="0" fontId="64" fillId="29" borderId="0" xfId="0" applyFont="1" applyFill="1" applyAlignment="1">
      <alignment horizontal="right"/>
    </xf>
    <xf numFmtId="185" fontId="60" fillId="29" borderId="0" xfId="9" applyNumberFormat="1" applyFont="1" applyFill="1" applyAlignment="1">
      <alignment wrapText="1"/>
    </xf>
    <xf numFmtId="0" fontId="60" fillId="29" borderId="7" xfId="0" applyFont="1" applyFill="1" applyBorder="1" applyAlignment="1">
      <alignment wrapText="1"/>
    </xf>
    <xf numFmtId="0" fontId="60" fillId="29" borderId="7" xfId="0" applyFont="1" applyFill="1" applyBorder="1"/>
    <xf numFmtId="0" fontId="59" fillId="29" borderId="31" xfId="0" applyFont="1" applyFill="1" applyBorder="1" applyAlignment="1">
      <alignment wrapText="1"/>
    </xf>
    <xf numFmtId="185" fontId="60" fillId="29" borderId="5" xfId="9" applyNumberFormat="1" applyFont="1" applyFill="1" applyBorder="1" applyAlignment="1"/>
    <xf numFmtId="185" fontId="60" fillId="29" borderId="6" xfId="9" applyNumberFormat="1" applyFont="1" applyFill="1" applyBorder="1" applyAlignment="1"/>
    <xf numFmtId="0" fontId="59" fillId="29" borderId="32" xfId="0" applyFont="1" applyFill="1" applyBorder="1" applyAlignment="1">
      <alignment wrapText="1"/>
    </xf>
    <xf numFmtId="185" fontId="60" fillId="29" borderId="8" xfId="9" applyNumberFormat="1" applyFont="1" applyFill="1" applyBorder="1" applyAlignment="1">
      <alignment horizontal="center" wrapText="1"/>
    </xf>
    <xf numFmtId="185" fontId="60" fillId="29" borderId="0" xfId="9" applyNumberFormat="1" applyFont="1" applyFill="1" applyBorder="1" applyAlignment="1">
      <alignment horizontal="center" wrapText="1"/>
    </xf>
    <xf numFmtId="0" fontId="60" fillId="29" borderId="62" xfId="0" applyFont="1" applyFill="1" applyBorder="1" applyAlignment="1">
      <alignment horizontal="center" wrapText="1"/>
    </xf>
    <xf numFmtId="0" fontId="60" fillId="29" borderId="63" xfId="0" applyFont="1" applyFill="1" applyBorder="1" applyAlignment="1">
      <alignment horizontal="center" wrapText="1"/>
    </xf>
    <xf numFmtId="0" fontId="60" fillId="29" borderId="64" xfId="0" applyFont="1" applyFill="1" applyBorder="1" applyAlignment="1">
      <alignment horizontal="center" wrapText="1"/>
    </xf>
    <xf numFmtId="0" fontId="60" fillId="29" borderId="65" xfId="0" applyFont="1" applyFill="1" applyBorder="1" applyAlignment="1">
      <alignment horizontal="center" wrapText="1"/>
    </xf>
    <xf numFmtId="0" fontId="60" fillId="29" borderId="66" xfId="0" applyFont="1" applyFill="1" applyBorder="1" applyAlignment="1">
      <alignment horizontal="center" wrapText="1"/>
    </xf>
    <xf numFmtId="0" fontId="60" fillId="29" borderId="67" xfId="0" applyFont="1" applyFill="1" applyBorder="1" applyAlignment="1">
      <alignment horizontal="center" wrapText="1"/>
    </xf>
    <xf numFmtId="0" fontId="60" fillId="0" borderId="62" xfId="0" applyFont="1" applyBorder="1" applyAlignment="1">
      <alignment horizontal="center"/>
    </xf>
    <xf numFmtId="0" fontId="60" fillId="29" borderId="64" xfId="0" applyFont="1" applyFill="1" applyBorder="1" applyAlignment="1">
      <alignment horizontal="center"/>
    </xf>
    <xf numFmtId="0" fontId="60" fillId="29" borderId="63" xfId="0" applyFont="1" applyFill="1" applyBorder="1" applyAlignment="1">
      <alignment horizontal="center"/>
    </xf>
    <xf numFmtId="0" fontId="59" fillId="29" borderId="43" xfId="0" applyFont="1" applyFill="1" applyBorder="1" applyAlignment="1">
      <alignment wrapText="1"/>
    </xf>
    <xf numFmtId="185" fontId="60" fillId="29" borderId="63" xfId="9" applyNumberFormat="1" applyFont="1" applyFill="1" applyBorder="1" applyAlignment="1">
      <alignment horizontal="center" wrapText="1"/>
    </xf>
    <xf numFmtId="0" fontId="60" fillId="29" borderId="68" xfId="0" applyFont="1" applyFill="1" applyBorder="1" applyAlignment="1">
      <alignment horizontal="center" wrapText="1"/>
    </xf>
    <xf numFmtId="184" fontId="60" fillId="31" borderId="0" xfId="9" applyNumberFormat="1" applyFont="1" applyFill="1" applyAlignment="1">
      <alignment wrapText="1"/>
    </xf>
    <xf numFmtId="184" fontId="60" fillId="31" borderId="9" xfId="9" applyNumberFormat="1" applyFont="1" applyFill="1" applyBorder="1" applyAlignment="1">
      <alignment wrapText="1"/>
    </xf>
    <xf numFmtId="187" fontId="0" fillId="29" borderId="0" xfId="0" applyNumberFormat="1" applyFill="1"/>
    <xf numFmtId="184" fontId="0" fillId="29" borderId="0" xfId="0" applyNumberFormat="1" applyFill="1"/>
    <xf numFmtId="184" fontId="60" fillId="29" borderId="5" xfId="0" applyNumberFormat="1" applyFont="1" applyFill="1" applyBorder="1"/>
    <xf numFmtId="0" fontId="60" fillId="29" borderId="6" xfId="0" applyFont="1" applyFill="1" applyBorder="1" applyAlignment="1">
      <alignment wrapText="1"/>
    </xf>
    <xf numFmtId="9" fontId="60" fillId="29" borderId="0" xfId="9" applyNumberFormat="1" applyFont="1" applyFill="1" applyAlignment="1">
      <alignment wrapText="1"/>
    </xf>
    <xf numFmtId="1" fontId="60" fillId="29" borderId="8" xfId="0" applyNumberFormat="1" applyFont="1" applyFill="1" applyBorder="1" applyAlignment="1">
      <alignment wrapText="1"/>
    </xf>
    <xf numFmtId="184" fontId="60" fillId="29" borderId="0" xfId="9" applyNumberFormat="1" applyFont="1" applyFill="1" applyBorder="1"/>
    <xf numFmtId="184" fontId="60" fillId="29" borderId="8" xfId="9" applyNumberFormat="1" applyFont="1" applyFill="1" applyBorder="1"/>
    <xf numFmtId="176" fontId="60" fillId="29" borderId="9" xfId="9" applyNumberFormat="1" applyFont="1" applyFill="1" applyBorder="1"/>
    <xf numFmtId="176" fontId="60" fillId="29" borderId="0" xfId="9" applyNumberFormat="1" applyFont="1" applyFill="1" applyBorder="1" applyAlignment="1">
      <alignment wrapText="1"/>
    </xf>
    <xf numFmtId="184" fontId="60" fillId="29" borderId="9" xfId="9" applyNumberFormat="1" applyFont="1" applyFill="1" applyBorder="1" applyAlignment="1">
      <alignment wrapText="1"/>
    </xf>
    <xf numFmtId="185" fontId="60" fillId="29" borderId="8" xfId="0" applyNumberFormat="1" applyFont="1" applyFill="1" applyBorder="1" applyAlignment="1">
      <alignment wrapText="1"/>
    </xf>
    <xf numFmtId="184" fontId="60" fillId="30" borderId="0" xfId="0" applyNumberFormat="1" applyFont="1" applyFill="1"/>
    <xf numFmtId="188" fontId="60" fillId="30" borderId="0" xfId="0" applyNumberFormat="1" applyFont="1" applyFill="1"/>
    <xf numFmtId="184" fontId="0" fillId="30" borderId="0" xfId="9" applyNumberFormat="1" applyFont="1" applyFill="1" applyBorder="1"/>
    <xf numFmtId="184" fontId="62" fillId="29" borderId="8" xfId="0" applyNumberFormat="1" applyFont="1" applyFill="1" applyBorder="1" applyAlignment="1">
      <alignment wrapText="1"/>
    </xf>
    <xf numFmtId="176" fontId="62" fillId="29" borderId="0" xfId="9" applyNumberFormat="1" applyFont="1" applyFill="1" applyBorder="1" applyAlignment="1">
      <alignment wrapText="1"/>
    </xf>
    <xf numFmtId="184" fontId="62" fillId="29" borderId="9" xfId="9" applyNumberFormat="1" applyFont="1" applyFill="1" applyBorder="1" applyAlignment="1">
      <alignment wrapText="1"/>
    </xf>
    <xf numFmtId="185" fontId="62" fillId="29" borderId="0" xfId="9" applyNumberFormat="1" applyFont="1" applyFill="1" applyAlignment="1">
      <alignment wrapText="1"/>
    </xf>
    <xf numFmtId="0" fontId="62" fillId="29" borderId="8" xfId="0" applyFont="1" applyFill="1" applyBorder="1" applyAlignment="1">
      <alignment wrapText="1"/>
    </xf>
    <xf numFmtId="0" fontId="62" fillId="29" borderId="0" xfId="0" applyFont="1" applyFill="1" applyAlignment="1">
      <alignment wrapText="1"/>
    </xf>
    <xf numFmtId="1" fontId="62" fillId="29" borderId="8" xfId="0" applyNumberFormat="1" applyFont="1" applyFill="1" applyBorder="1" applyAlignment="1">
      <alignment wrapText="1"/>
    </xf>
    <xf numFmtId="184" fontId="60" fillId="29" borderId="32" xfId="9" applyNumberFormat="1" applyFont="1" applyFill="1" applyBorder="1" applyAlignment="1">
      <alignment wrapText="1"/>
    </xf>
    <xf numFmtId="0" fontId="8" fillId="29" borderId="0" xfId="0" applyFont="1" applyFill="1" applyAlignment="1">
      <alignment wrapText="1"/>
    </xf>
    <xf numFmtId="188" fontId="62" fillId="29" borderId="12" xfId="9" applyNumberFormat="1" applyFont="1" applyFill="1" applyBorder="1" applyAlignment="1">
      <alignment wrapText="1"/>
    </xf>
    <xf numFmtId="0" fontId="8" fillId="29" borderId="11" xfId="0" applyFont="1" applyFill="1" applyBorder="1"/>
    <xf numFmtId="185" fontId="0" fillId="29" borderId="0" xfId="9" applyNumberFormat="1" applyFont="1" applyFill="1" applyAlignment="1">
      <alignment wrapText="1"/>
    </xf>
    <xf numFmtId="9" fontId="0" fillId="29" borderId="0" xfId="10" applyFont="1" applyFill="1"/>
    <xf numFmtId="43" fontId="0" fillId="29" borderId="0" xfId="9" applyFont="1" applyFill="1"/>
    <xf numFmtId="1" fontId="0" fillId="29" borderId="0" xfId="0" applyNumberFormat="1" applyFill="1" applyAlignment="1">
      <alignment wrapText="1"/>
    </xf>
    <xf numFmtId="179" fontId="0" fillId="29" borderId="0" xfId="0" applyNumberFormat="1" applyFill="1" applyAlignment="1">
      <alignment wrapText="1"/>
    </xf>
    <xf numFmtId="183" fontId="0" fillId="0" borderId="0" xfId="0" applyNumberFormat="1"/>
    <xf numFmtId="0" fontId="0" fillId="27" borderId="0" xfId="0" applyFill="1" applyAlignment="1">
      <alignment wrapText="1"/>
    </xf>
    <xf numFmtId="0" fontId="0" fillId="28" borderId="5" xfId="0" applyFill="1" applyBorder="1"/>
    <xf numFmtId="0" fontId="0" fillId="28" borderId="6" xfId="0" applyFill="1" applyBorder="1"/>
    <xf numFmtId="0" fontId="0" fillId="28" borderId="7" xfId="0" applyFill="1" applyBorder="1"/>
    <xf numFmtId="0" fontId="0" fillId="28" borderId="8" xfId="0" applyFill="1" applyBorder="1"/>
    <xf numFmtId="0" fontId="0" fillId="28" borderId="9" xfId="0" applyFill="1" applyBorder="1"/>
    <xf numFmtId="1" fontId="0" fillId="7" borderId="8" xfId="0" applyNumberFormat="1" applyFill="1" applyBorder="1"/>
    <xf numFmtId="0" fontId="0" fillId="7" borderId="9" xfId="0" applyFill="1" applyBorder="1"/>
    <xf numFmtId="1" fontId="0" fillId="7" borderId="10" xfId="0" applyNumberFormat="1" applyFill="1" applyBorder="1"/>
    <xf numFmtId="0" fontId="0" fillId="9" borderId="9" xfId="0" applyFill="1" applyBorder="1"/>
    <xf numFmtId="1" fontId="0" fillId="7" borderId="12" xfId="0" applyNumberFormat="1" applyFill="1" applyBorder="1"/>
    <xf numFmtId="0" fontId="0" fillId="0" borderId="0" xfId="0" applyAlignment="1">
      <alignment horizontal="center" vertical="top" wrapText="1"/>
    </xf>
    <xf numFmtId="3" fontId="7" fillId="0" borderId="0" xfId="0" applyNumberFormat="1" applyFont="1" applyAlignment="1">
      <alignment vertical="top" shrinkToFit="1"/>
    </xf>
    <xf numFmtId="0" fontId="0" fillId="0" borderId="5" xfId="0" applyBorder="1" applyAlignment="1">
      <alignment horizontal="left" vertical="top" wrapText="1" indent="1"/>
    </xf>
    <xf numFmtId="0" fontId="0" fillId="0" borderId="7" xfId="0" applyBorder="1" applyAlignment="1">
      <alignment horizontal="center" vertical="top" wrapText="1"/>
    </xf>
    <xf numFmtId="3" fontId="7" fillId="2" borderId="11" xfId="0" applyNumberFormat="1" applyFont="1" applyFill="1" applyBorder="1" applyAlignment="1">
      <alignment vertical="top" shrinkToFit="1"/>
    </xf>
    <xf numFmtId="9" fontId="7" fillId="2" borderId="11" xfId="0" applyNumberFormat="1" applyFont="1" applyFill="1" applyBorder="1" applyAlignment="1">
      <alignment horizontal="right" vertical="top" shrinkToFit="1"/>
    </xf>
    <xf numFmtId="1" fontId="7" fillId="3" borderId="11" xfId="0" applyNumberFormat="1" applyFont="1" applyFill="1" applyBorder="1" applyAlignment="1">
      <alignment vertical="top" shrinkToFit="1"/>
    </xf>
    <xf numFmtId="9" fontId="7" fillId="3" borderId="11" xfId="0" applyNumberFormat="1" applyFont="1" applyFill="1" applyBorder="1" applyAlignment="1">
      <alignment horizontal="right" vertical="top" indent="1" shrinkToFit="1"/>
    </xf>
    <xf numFmtId="3" fontId="7" fillId="5" borderId="11" xfId="0" applyNumberFormat="1" applyFont="1" applyFill="1" applyBorder="1" applyAlignment="1">
      <alignment horizontal="right" vertical="top" indent="1" shrinkToFit="1"/>
    </xf>
    <xf numFmtId="9" fontId="7" fillId="5" borderId="11" xfId="0" applyNumberFormat="1" applyFont="1" applyFill="1" applyBorder="1" applyAlignment="1">
      <alignment vertical="top" shrinkToFit="1"/>
    </xf>
    <xf numFmtId="3" fontId="7" fillId="0" borderId="12" xfId="0" applyNumberFormat="1" applyFont="1" applyBorder="1" applyAlignment="1">
      <alignment vertical="top" shrinkToFit="1"/>
    </xf>
    <xf numFmtId="1" fontId="0" fillId="9" borderId="9" xfId="0" applyNumberFormat="1" applyFill="1" applyBorder="1"/>
    <xf numFmtId="0" fontId="0" fillId="0" borderId="0" xfId="0" applyAlignment="1">
      <alignment vertical="center" wrapText="1"/>
    </xf>
    <xf numFmtId="0" fontId="12" fillId="0" borderId="8" xfId="0" applyFont="1" applyBorder="1" applyAlignment="1">
      <alignment vertical="center" wrapText="1"/>
    </xf>
    <xf numFmtId="0" fontId="12" fillId="0" borderId="0" xfId="0" applyFont="1" applyAlignment="1">
      <alignment vertical="center" wrapText="1"/>
    </xf>
    <xf numFmtId="0" fontId="12" fillId="0" borderId="9" xfId="0" applyFont="1" applyBorder="1" applyAlignment="1">
      <alignment vertical="center" wrapText="1"/>
    </xf>
    <xf numFmtId="0" fontId="47" fillId="0" borderId="5" xfId="0" applyFont="1" applyBorder="1"/>
    <xf numFmtId="178" fontId="0" fillId="0" borderId="9" xfId="1" applyNumberFormat="1" applyFont="1" applyBorder="1" applyAlignment="1"/>
    <xf numFmtId="0" fontId="0" fillId="7" borderId="8" xfId="0" applyFill="1" applyBorder="1"/>
    <xf numFmtId="9" fontId="0" fillId="7" borderId="0" xfId="0" applyNumberFormat="1" applyFill="1"/>
    <xf numFmtId="9" fontId="0" fillId="7" borderId="9" xfId="0" applyNumberFormat="1" applyFill="1" applyBorder="1"/>
    <xf numFmtId="178" fontId="0" fillId="7" borderId="0" xfId="1" applyNumberFormat="1" applyFont="1" applyFill="1" applyBorder="1" applyAlignment="1"/>
    <xf numFmtId="0" fontId="38" fillId="0" borderId="5" xfId="0" applyFont="1" applyBorder="1"/>
    <xf numFmtId="0" fontId="61" fillId="0" borderId="0" xfId="0" applyFont="1"/>
    <xf numFmtId="0" fontId="66" fillId="0" borderId="0" xfId="0" applyFont="1"/>
    <xf numFmtId="0" fontId="67" fillId="0" borderId="0" xfId="0" applyFont="1"/>
    <xf numFmtId="0" fontId="0" fillId="30" borderId="0" xfId="0" applyFill="1"/>
    <xf numFmtId="0" fontId="66" fillId="30" borderId="0" xfId="0" applyFont="1" applyFill="1"/>
    <xf numFmtId="0" fontId="12" fillId="30" borderId="0" xfId="0" applyFont="1" applyFill="1"/>
    <xf numFmtId="1" fontId="0" fillId="30" borderId="0" xfId="0" applyNumberFormat="1" applyFill="1"/>
    <xf numFmtId="0" fontId="60" fillId="7" borderId="0" xfId="0" applyFont="1" applyFill="1"/>
    <xf numFmtId="1" fontId="60" fillId="7" borderId="0" xfId="0" applyNumberFormat="1" applyFont="1" applyFill="1"/>
    <xf numFmtId="0" fontId="0" fillId="32" borderId="0" xfId="0" applyFill="1"/>
    <xf numFmtId="0" fontId="0" fillId="32" borderId="0" xfId="0" applyFill="1" applyAlignment="1">
      <alignment horizontal="left"/>
    </xf>
    <xf numFmtId="0" fontId="31" fillId="0" borderId="0" xfId="0" applyFont="1"/>
    <xf numFmtId="1" fontId="7" fillId="3" borderId="3" xfId="0" applyNumberFormat="1" applyFont="1" applyFill="1" applyBorder="1" applyAlignment="1">
      <alignment vertical="top" shrinkToFit="1"/>
    </xf>
    <xf numFmtId="184" fontId="68" fillId="33" borderId="2" xfId="11" applyNumberFormat="1" applyFont="1" applyFill="1" applyBorder="1" applyAlignment="1">
      <alignment horizontal="right" vertical="top"/>
    </xf>
    <xf numFmtId="184" fontId="68" fillId="33" borderId="2" xfId="11" applyNumberFormat="1" applyFont="1" applyFill="1" applyBorder="1" applyAlignment="1">
      <alignment horizontal="right"/>
    </xf>
    <xf numFmtId="1" fontId="7" fillId="0" borderId="2" xfId="0" applyNumberFormat="1" applyFont="1" applyBorder="1" applyAlignment="1">
      <alignment horizontal="right" vertical="top" shrinkToFit="1"/>
    </xf>
    <xf numFmtId="3" fontId="7" fillId="34" borderId="1" xfId="0" applyNumberFormat="1" applyFont="1" applyFill="1" applyBorder="1" applyAlignment="1">
      <alignment horizontal="left" vertical="top" indent="1" shrinkToFit="1"/>
    </xf>
    <xf numFmtId="0" fontId="68" fillId="0" borderId="1" xfId="0" applyFont="1" applyBorder="1" applyAlignment="1">
      <alignment horizontal="right" vertical="top"/>
    </xf>
    <xf numFmtId="0" fontId="68" fillId="34" borderId="1" xfId="0" applyFont="1" applyFill="1" applyBorder="1" applyAlignment="1">
      <alignment horizontal="center" vertical="center"/>
    </xf>
    <xf numFmtId="3" fontId="7" fillId="22" borderId="1" xfId="0" applyNumberFormat="1" applyFont="1" applyFill="1" applyBorder="1" applyAlignment="1">
      <alignment horizontal="center" vertical="center" shrinkToFit="1"/>
    </xf>
    <xf numFmtId="3" fontId="7" fillId="23" borderId="1" xfId="0" applyNumberFormat="1" applyFont="1" applyFill="1" applyBorder="1" applyAlignment="1">
      <alignment horizontal="center" vertical="center" shrinkToFit="1"/>
    </xf>
    <xf numFmtId="1" fontId="7" fillId="24" borderId="1" xfId="0" applyNumberFormat="1" applyFont="1" applyFill="1" applyBorder="1" applyAlignment="1">
      <alignment horizontal="center" vertical="center" shrinkToFit="1"/>
    </xf>
    <xf numFmtId="3" fontId="7" fillId="25" borderId="1" xfId="0" applyNumberFormat="1" applyFont="1" applyFill="1" applyBorder="1" applyAlignment="1">
      <alignment horizontal="center" vertical="center" shrinkToFit="1"/>
    </xf>
    <xf numFmtId="3" fontId="7" fillId="20" borderId="1" xfId="0" applyNumberFormat="1" applyFont="1" applyFill="1" applyBorder="1" applyAlignment="1">
      <alignment horizontal="center" vertical="center" shrinkToFit="1"/>
    </xf>
    <xf numFmtId="3" fontId="7" fillId="26" borderId="1" xfId="0" applyNumberFormat="1" applyFont="1" applyFill="1" applyBorder="1" applyAlignment="1">
      <alignment horizontal="center" vertical="center" shrinkToFit="1"/>
    </xf>
    <xf numFmtId="3" fontId="7" fillId="0" borderId="1" xfId="0" applyNumberFormat="1" applyFont="1" applyBorder="1" applyAlignment="1">
      <alignment horizontal="center" vertical="center" shrinkToFit="1"/>
    </xf>
    <xf numFmtId="1" fontId="7" fillId="0" borderId="69" xfId="0" applyNumberFormat="1" applyFont="1" applyBorder="1" applyAlignment="1">
      <alignment horizontal="right" vertical="top" shrinkToFit="1"/>
    </xf>
    <xf numFmtId="9" fontId="7" fillId="21" borderId="69" xfId="1" applyFont="1" applyFill="1" applyBorder="1" applyAlignment="1">
      <alignment horizontal="left" vertical="top" indent="1" shrinkToFit="1"/>
    </xf>
    <xf numFmtId="9" fontId="7" fillId="22" borderId="69" xfId="1" applyFont="1" applyFill="1" applyBorder="1" applyAlignment="1">
      <alignment horizontal="center" vertical="top" shrinkToFit="1"/>
    </xf>
    <xf numFmtId="9" fontId="7" fillId="23" borderId="69" xfId="1" applyFont="1" applyFill="1" applyBorder="1" applyAlignment="1">
      <alignment horizontal="center" vertical="top" shrinkToFit="1"/>
    </xf>
    <xf numFmtId="9" fontId="7" fillId="24" borderId="69" xfId="1" applyFont="1" applyFill="1" applyBorder="1" applyAlignment="1">
      <alignment horizontal="right" vertical="top" indent="1" shrinkToFit="1"/>
    </xf>
    <xf numFmtId="9" fontId="7" fillId="25" borderId="69" xfId="1" applyFont="1" applyFill="1" applyBorder="1" applyAlignment="1">
      <alignment horizontal="center" vertical="top" shrinkToFit="1"/>
    </xf>
    <xf numFmtId="9" fontId="7" fillId="20" borderId="69" xfId="1" applyFont="1" applyFill="1" applyBorder="1" applyAlignment="1">
      <alignment horizontal="center" vertical="top" shrinkToFit="1"/>
    </xf>
    <xf numFmtId="9" fontId="7" fillId="26" borderId="69" xfId="1" applyFont="1" applyFill="1" applyBorder="1" applyAlignment="1">
      <alignment horizontal="center" vertical="top" shrinkToFit="1"/>
    </xf>
    <xf numFmtId="9" fontId="7" fillId="0" borderId="69" xfId="1" applyFont="1" applyFill="1" applyBorder="1" applyAlignment="1">
      <alignment horizontal="center" vertical="top" shrinkToFit="1"/>
    </xf>
    <xf numFmtId="1" fontId="7" fillId="0" borderId="33" xfId="0" applyNumberFormat="1" applyFont="1" applyBorder="1" applyAlignment="1">
      <alignment horizontal="right" vertical="top" shrinkToFit="1"/>
    </xf>
    <xf numFmtId="0" fontId="0" fillId="0" borderId="33" xfId="0" applyBorder="1"/>
    <xf numFmtId="3" fontId="7" fillId="0" borderId="1" xfId="0" applyNumberFormat="1" applyFont="1" applyBorder="1" applyAlignment="1">
      <alignment vertical="top" shrinkToFit="1"/>
    </xf>
    <xf numFmtId="3" fontId="7" fillId="3" borderId="3" xfId="0" applyNumberFormat="1" applyFont="1" applyFill="1" applyBorder="1" applyAlignment="1">
      <alignment vertical="top" shrinkToFit="1"/>
    </xf>
    <xf numFmtId="3" fontId="7" fillId="4" borderId="3" xfId="0" applyNumberFormat="1" applyFont="1" applyFill="1" applyBorder="1" applyAlignment="1">
      <alignment horizontal="right" vertical="top" indent="1" shrinkToFit="1"/>
    </xf>
    <xf numFmtId="9" fontId="7" fillId="4" borderId="4" xfId="0" applyNumberFormat="1" applyFont="1" applyFill="1" applyBorder="1" applyAlignment="1">
      <alignment vertical="top" shrinkToFit="1"/>
    </xf>
    <xf numFmtId="9" fontId="7" fillId="5" borderId="3" xfId="1" applyFont="1" applyFill="1" applyBorder="1" applyAlignment="1">
      <alignment horizontal="right" vertical="top" indent="1" shrinkToFit="1"/>
    </xf>
    <xf numFmtId="9" fontId="0" fillId="35" borderId="0" xfId="0" applyNumberFormat="1" applyFill="1"/>
    <xf numFmtId="9" fontId="0" fillId="35" borderId="9" xfId="0" applyNumberFormat="1" applyFill="1" applyBorder="1"/>
    <xf numFmtId="176" fontId="0" fillId="0" borderId="0" xfId="12" applyFont="1" applyFill="1"/>
    <xf numFmtId="188" fontId="0" fillId="8" borderId="70" xfId="12" applyNumberFormat="1" applyFont="1" applyFill="1" applyBorder="1"/>
    <xf numFmtId="0" fontId="0" fillId="0" borderId="70" xfId="0" applyBorder="1" applyAlignment="1">
      <alignment horizontal="center"/>
    </xf>
    <xf numFmtId="0" fontId="72" fillId="0" borderId="70" xfId="0" applyFont="1" applyBorder="1" applyAlignment="1">
      <alignment horizontal="center"/>
    </xf>
    <xf numFmtId="178" fontId="0" fillId="8" borderId="0" xfId="1" applyNumberFormat="1" applyFont="1" applyFill="1" applyBorder="1" applyAlignment="1"/>
    <xf numFmtId="178" fontId="0" fillId="6" borderId="14" xfId="1" applyNumberFormat="1" applyFont="1" applyFill="1" applyBorder="1" applyAlignment="1"/>
    <xf numFmtId="188" fontId="0" fillId="29" borderId="0" xfId="12" applyNumberFormat="1" applyFont="1" applyFill="1"/>
    <xf numFmtId="188" fontId="0" fillId="30" borderId="14" xfId="12" applyNumberFormat="1" applyFont="1" applyFill="1" applyBorder="1"/>
    <xf numFmtId="188" fontId="0" fillId="30" borderId="71" xfId="12" applyNumberFormat="1" applyFont="1" applyFill="1" applyBorder="1"/>
    <xf numFmtId="188" fontId="0" fillId="0" borderId="0" xfId="0" applyNumberFormat="1"/>
    <xf numFmtId="190" fontId="0" fillId="0" borderId="0" xfId="13" applyNumberFormat="1" applyFont="1" applyAlignment="1"/>
    <xf numFmtId="43" fontId="0" fillId="0" borderId="0" xfId="13" applyNumberFormat="1" applyFont="1"/>
    <xf numFmtId="43" fontId="0" fillId="0" borderId="0" xfId="0" applyNumberFormat="1"/>
    <xf numFmtId="0" fontId="73" fillId="0" borderId="0" xfId="0" applyFont="1"/>
    <xf numFmtId="190" fontId="0" fillId="0" borderId="0" xfId="0" applyNumberFormat="1"/>
    <xf numFmtId="183" fontId="12" fillId="6" borderId="0" xfId="0" applyNumberFormat="1" applyFont="1" applyFill="1"/>
    <xf numFmtId="178" fontId="0" fillId="6" borderId="0" xfId="1" applyNumberFormat="1" applyFont="1" applyFill="1" applyBorder="1" applyAlignment="1">
      <alignment vertical="top"/>
    </xf>
    <xf numFmtId="178" fontId="0" fillId="6" borderId="9" xfId="1" applyNumberFormat="1" applyFont="1" applyFill="1" applyBorder="1" applyAlignment="1">
      <alignment vertical="top"/>
    </xf>
    <xf numFmtId="0" fontId="0" fillId="0" borderId="0" xfId="0" applyAlignment="1">
      <alignment vertical="center"/>
    </xf>
    <xf numFmtId="9" fontId="0" fillId="0" borderId="0" xfId="1" applyFont="1" applyAlignment="1">
      <alignment vertical="center"/>
    </xf>
    <xf numFmtId="9" fontId="7" fillId="21" borderId="1" xfId="1" applyFont="1" applyFill="1" applyBorder="1" applyAlignment="1">
      <alignment horizontal="center" vertical="top" shrinkToFit="1"/>
    </xf>
    <xf numFmtId="9" fontId="7" fillId="22" borderId="1" xfId="1" applyFont="1" applyFill="1" applyBorder="1" applyAlignment="1">
      <alignment horizontal="right" vertical="top" indent="1" shrinkToFit="1"/>
    </xf>
    <xf numFmtId="9" fontId="7" fillId="20" borderId="1" xfId="1" applyFont="1" applyFill="1" applyBorder="1" applyAlignment="1">
      <alignment horizontal="right" vertical="top" indent="1" shrinkToFit="1"/>
    </xf>
    <xf numFmtId="0" fontId="80" fillId="21" borderId="1" xfId="0" applyFont="1" applyFill="1" applyBorder="1" applyAlignment="1">
      <alignment horizontal="center" vertical="top" wrapText="1"/>
    </xf>
    <xf numFmtId="0" fontId="80" fillId="22" borderId="1" xfId="0" applyFont="1" applyFill="1" applyBorder="1" applyAlignment="1">
      <alignment horizontal="center" vertical="top" wrapText="1"/>
    </xf>
    <xf numFmtId="0" fontId="80" fillId="23" borderId="1" xfId="0" applyFont="1" applyFill="1" applyBorder="1" applyAlignment="1">
      <alignment horizontal="center" vertical="top" wrapText="1"/>
    </xf>
    <xf numFmtId="0" fontId="80" fillId="25" borderId="1" xfId="0" applyFont="1" applyFill="1" applyBorder="1" applyAlignment="1">
      <alignment horizontal="center" vertical="top" wrapText="1"/>
    </xf>
    <xf numFmtId="0" fontId="80" fillId="20" borderId="1" xfId="0" applyFont="1" applyFill="1" applyBorder="1" applyAlignment="1">
      <alignment horizontal="center" vertical="top" wrapText="1"/>
    </xf>
    <xf numFmtId="0" fontId="80" fillId="0" borderId="1" xfId="0" applyFont="1" applyBorder="1" applyAlignment="1">
      <alignment horizontal="center" vertical="top" wrapText="1"/>
    </xf>
    <xf numFmtId="0" fontId="80" fillId="24" borderId="1" xfId="0" applyFont="1" applyFill="1" applyBorder="1" applyAlignment="1">
      <alignment horizontal="center" vertical="top" wrapText="1"/>
    </xf>
    <xf numFmtId="0" fontId="80" fillId="26" borderId="1" xfId="0" applyFont="1" applyFill="1" applyBorder="1" applyAlignment="1">
      <alignment horizontal="center" vertical="top" wrapText="1"/>
    </xf>
    <xf numFmtId="0" fontId="80" fillId="0" borderId="0" xfId="0" applyFont="1" applyAlignment="1">
      <alignment horizontal="center"/>
    </xf>
    <xf numFmtId="0" fontId="80" fillId="26" borderId="2" xfId="0" applyFont="1" applyFill="1" applyBorder="1" applyAlignment="1">
      <alignment horizontal="center" vertical="top" wrapText="1"/>
    </xf>
    <xf numFmtId="1" fontId="7" fillId="26" borderId="2" xfId="0" applyNumberFormat="1" applyFont="1" applyFill="1" applyBorder="1" applyAlignment="1">
      <alignment horizontal="center" vertical="top" shrinkToFit="1"/>
    </xf>
    <xf numFmtId="184" fontId="79" fillId="0" borderId="33" xfId="11" applyNumberFormat="1" applyFont="1" applyFill="1" applyBorder="1" applyAlignment="1">
      <alignment horizontal="center" vertical="top" wrapText="1"/>
    </xf>
    <xf numFmtId="184" fontId="78" fillId="0" borderId="33" xfId="11" applyNumberFormat="1" applyFont="1" applyFill="1" applyBorder="1" applyAlignment="1">
      <alignment vertical="top" shrinkToFit="1"/>
    </xf>
    <xf numFmtId="3" fontId="7" fillId="0" borderId="33" xfId="0" applyNumberFormat="1" applyFont="1" applyBorder="1" applyAlignment="1">
      <alignment horizontal="center" vertical="top" shrinkToFit="1"/>
    </xf>
    <xf numFmtId="3" fontId="0" fillId="0" borderId="0" xfId="0" applyNumberFormat="1"/>
    <xf numFmtId="0" fontId="82" fillId="0" borderId="0" xfId="0" applyFont="1"/>
    <xf numFmtId="9" fontId="80" fillId="21" borderId="1" xfId="1" applyFont="1" applyFill="1" applyBorder="1" applyAlignment="1">
      <alignment horizontal="center" vertical="top" wrapText="1"/>
    </xf>
    <xf numFmtId="9" fontId="80" fillId="22" borderId="1" xfId="1" applyFont="1" applyFill="1" applyBorder="1" applyAlignment="1">
      <alignment horizontal="center" vertical="top" wrapText="1"/>
    </xf>
    <xf numFmtId="9" fontId="80" fillId="23" borderId="1" xfId="1" applyFont="1" applyFill="1" applyBorder="1" applyAlignment="1">
      <alignment horizontal="center" vertical="top" wrapText="1"/>
    </xf>
    <xf numFmtId="9" fontId="80" fillId="24" borderId="1" xfId="1" applyFont="1" applyFill="1" applyBorder="1" applyAlignment="1">
      <alignment horizontal="center" vertical="top" wrapText="1"/>
    </xf>
    <xf numFmtId="9" fontId="80" fillId="25" borderId="1" xfId="1" applyFont="1" applyFill="1" applyBorder="1" applyAlignment="1">
      <alignment horizontal="center" vertical="top" wrapText="1"/>
    </xf>
    <xf numFmtId="9" fontId="80" fillId="20" borderId="1" xfId="1" applyFont="1" applyFill="1" applyBorder="1" applyAlignment="1">
      <alignment horizontal="center" vertical="top" wrapText="1"/>
    </xf>
    <xf numFmtId="9" fontId="80" fillId="26" borderId="1" xfId="1" applyFont="1" applyFill="1" applyBorder="1" applyAlignment="1">
      <alignment horizontal="center" vertical="top" wrapText="1"/>
    </xf>
    <xf numFmtId="9" fontId="80" fillId="0" borderId="1" xfId="1" applyFont="1" applyBorder="1" applyAlignment="1">
      <alignment horizontal="center" vertical="top" wrapText="1"/>
    </xf>
    <xf numFmtId="3" fontId="80" fillId="21" borderId="1" xfId="0" applyNumberFormat="1" applyFont="1" applyFill="1" applyBorder="1" applyAlignment="1">
      <alignment horizontal="center" vertical="top" wrapText="1"/>
    </xf>
    <xf numFmtId="3" fontId="80" fillId="26" borderId="1" xfId="0" applyNumberFormat="1" applyFont="1" applyFill="1" applyBorder="1" applyAlignment="1">
      <alignment horizontal="center" vertical="top" wrapText="1"/>
    </xf>
    <xf numFmtId="184" fontId="0" fillId="0" borderId="0" xfId="0" applyNumberFormat="1"/>
    <xf numFmtId="0" fontId="11" fillId="0" borderId="0" xfId="0" applyFont="1" applyAlignment="1">
      <alignment horizontal="left" wrapText="1"/>
    </xf>
    <xf numFmtId="0" fontId="0" fillId="0" borderId="0" xfId="0" applyAlignment="1">
      <alignment horizontal="left" wrapText="1"/>
    </xf>
    <xf numFmtId="0" fontId="16" fillId="0" borderId="0" xfId="3" applyFont="1" applyAlignment="1">
      <alignment horizontal="left" vertical="top" wrapText="1"/>
    </xf>
    <xf numFmtId="0" fontId="17" fillId="0" borderId="0" xfId="3" applyAlignment="1">
      <alignment wrapText="1"/>
    </xf>
    <xf numFmtId="0" fontId="17" fillId="0" borderId="0" xfId="3"/>
    <xf numFmtId="0" fontId="36" fillId="0" borderId="0" xfId="3" applyFont="1" applyAlignment="1">
      <alignment horizontal="left" vertical="top" wrapText="1"/>
    </xf>
    <xf numFmtId="0" fontId="37" fillId="0" borderId="0" xfId="3" applyFont="1" applyAlignment="1">
      <alignment wrapText="1"/>
    </xf>
    <xf numFmtId="0" fontId="16" fillId="0" borderId="0" xfId="3" applyFont="1" applyAlignment="1">
      <alignment horizontal="left" wrapText="1"/>
    </xf>
    <xf numFmtId="0" fontId="29" fillId="0" borderId="0" xfId="4" applyFont="1" applyAlignment="1">
      <alignment horizontal="left" vertical="top" wrapText="1"/>
    </xf>
    <xf numFmtId="0" fontId="23" fillId="0" borderId="0" xfId="4" applyFont="1" applyAlignment="1">
      <alignment horizontal="left" vertical="top" wrapText="1"/>
    </xf>
    <xf numFmtId="0" fontId="0" fillId="5" borderId="2" xfId="0" applyFill="1" applyBorder="1" applyAlignment="1">
      <alignment horizontal="center" vertical="top" wrapText="1"/>
    </xf>
    <xf numFmtId="0" fontId="0" fillId="5" borderId="3" xfId="0" applyFill="1" applyBorder="1" applyAlignment="1">
      <alignment horizontal="center" vertical="top" wrapText="1"/>
    </xf>
    <xf numFmtId="0" fontId="0" fillId="2" borderId="2" xfId="0" applyFill="1" applyBorder="1" applyAlignment="1">
      <alignment horizontal="center" vertical="top" wrapText="1"/>
    </xf>
    <xf numFmtId="0" fontId="0" fillId="2" borderId="4" xfId="0" applyFill="1" applyBorder="1" applyAlignment="1">
      <alignment horizontal="center" vertical="top" wrapText="1"/>
    </xf>
    <xf numFmtId="0" fontId="0" fillId="3" borderId="2" xfId="0" applyFill="1" applyBorder="1" applyAlignment="1">
      <alignment horizontal="center" vertical="top" wrapText="1"/>
    </xf>
    <xf numFmtId="0" fontId="0" fillId="3" borderId="4" xfId="0" applyFill="1" applyBorder="1" applyAlignment="1">
      <alignment horizontal="center" vertical="top" wrapText="1"/>
    </xf>
    <xf numFmtId="0" fontId="0" fillId="4" borderId="2" xfId="0" applyFill="1" applyBorder="1" applyAlignment="1">
      <alignment horizontal="center" vertical="top" wrapText="1"/>
    </xf>
    <xf numFmtId="0" fontId="0" fillId="4" borderId="3" xfId="0" applyFill="1" applyBorder="1" applyAlignment="1">
      <alignment horizontal="center" vertical="top" wrapText="1"/>
    </xf>
    <xf numFmtId="49" fontId="44" fillId="0" borderId="0" xfId="0" applyNumberFormat="1" applyFont="1" applyAlignment="1">
      <alignment horizontal="left" vertical="top" wrapText="1"/>
    </xf>
    <xf numFmtId="49" fontId="39" fillId="16" borderId="16" xfId="0" applyNumberFormat="1" applyFont="1" applyFill="1" applyBorder="1" applyAlignment="1">
      <alignment horizontal="left" vertical="center" wrapText="1"/>
    </xf>
    <xf numFmtId="49" fontId="39" fillId="16" borderId="18" xfId="0" applyNumberFormat="1" applyFont="1" applyFill="1" applyBorder="1" applyAlignment="1">
      <alignment horizontal="left" vertical="center" wrapText="1"/>
    </xf>
    <xf numFmtId="49" fontId="39" fillId="16" borderId="26" xfId="0" applyNumberFormat="1" applyFont="1" applyFill="1" applyBorder="1" applyAlignment="1">
      <alignment horizontal="left" vertical="center" wrapText="1"/>
    </xf>
    <xf numFmtId="49" fontId="39" fillId="16" borderId="27" xfId="0" applyNumberFormat="1" applyFont="1" applyFill="1" applyBorder="1" applyAlignment="1">
      <alignment horizontal="left" vertical="center" wrapText="1"/>
    </xf>
    <xf numFmtId="49" fontId="39" fillId="16" borderId="22" xfId="0" applyNumberFormat="1" applyFont="1" applyFill="1" applyBorder="1" applyAlignment="1">
      <alignment horizontal="left" vertical="center" wrapText="1"/>
    </xf>
    <xf numFmtId="49" fontId="39" fillId="16" borderId="24" xfId="0" applyNumberFormat="1" applyFont="1" applyFill="1" applyBorder="1" applyAlignment="1">
      <alignment horizontal="left" vertical="center" wrapText="1"/>
    </xf>
    <xf numFmtId="49" fontId="43" fillId="19" borderId="16" xfId="0" applyNumberFormat="1" applyFont="1" applyFill="1" applyBorder="1" applyAlignment="1">
      <alignment horizontal="left" vertical="center" wrapText="1"/>
    </xf>
    <xf numFmtId="49" fontId="43" fillId="19" borderId="18" xfId="0" applyNumberFormat="1" applyFont="1" applyFill="1" applyBorder="1" applyAlignment="1">
      <alignment horizontal="left" vertical="center" wrapText="1"/>
    </xf>
    <xf numFmtId="49" fontId="43" fillId="19" borderId="26" xfId="0" applyNumberFormat="1" applyFont="1" applyFill="1" applyBorder="1" applyAlignment="1">
      <alignment horizontal="left" vertical="center" wrapText="1"/>
    </xf>
    <xf numFmtId="49" fontId="43" fillId="19" borderId="27" xfId="0" applyNumberFormat="1" applyFont="1" applyFill="1" applyBorder="1" applyAlignment="1">
      <alignment horizontal="left" vertical="center" wrapText="1"/>
    </xf>
    <xf numFmtId="49" fontId="43" fillId="19" borderId="22" xfId="0" applyNumberFormat="1" applyFont="1" applyFill="1" applyBorder="1" applyAlignment="1">
      <alignment horizontal="left" vertical="center" wrapText="1"/>
    </xf>
    <xf numFmtId="49" fontId="43" fillId="19" borderId="24" xfId="0" applyNumberFormat="1" applyFont="1" applyFill="1" applyBorder="1" applyAlignment="1">
      <alignment horizontal="left" vertical="center" wrapText="1"/>
    </xf>
    <xf numFmtId="0" fontId="44" fillId="0" borderId="0" xfId="0" applyFont="1" applyAlignment="1">
      <alignment wrapText="1"/>
    </xf>
    <xf numFmtId="0" fontId="51" fillId="0" borderId="0" xfId="0" applyFont="1" applyAlignment="1">
      <alignment horizontal="left" wrapText="1"/>
    </xf>
    <xf numFmtId="49" fontId="39" fillId="13" borderId="16" xfId="0" applyNumberFormat="1" applyFont="1" applyFill="1" applyBorder="1" applyAlignment="1">
      <alignment horizontal="center" vertical="center" wrapText="1"/>
    </xf>
    <xf numFmtId="49" fontId="39" fillId="13" borderId="17" xfId="0" applyNumberFormat="1" applyFont="1" applyFill="1" applyBorder="1" applyAlignment="1">
      <alignment horizontal="center" vertical="center" wrapText="1"/>
    </xf>
    <xf numFmtId="49" fontId="39" fillId="13" borderId="18" xfId="0" applyNumberFormat="1" applyFont="1" applyFill="1" applyBorder="1" applyAlignment="1">
      <alignment horizontal="center" vertical="center" wrapText="1"/>
    </xf>
    <xf numFmtId="49" fontId="39" fillId="13" borderId="22" xfId="0" applyNumberFormat="1" applyFont="1" applyFill="1" applyBorder="1" applyAlignment="1">
      <alignment horizontal="center" vertical="center" wrapText="1"/>
    </xf>
    <xf numFmtId="49" fontId="39" fillId="13" borderId="23" xfId="0" applyNumberFormat="1" applyFont="1" applyFill="1" applyBorder="1" applyAlignment="1">
      <alignment horizontal="center" vertical="center" wrapText="1"/>
    </xf>
    <xf numFmtId="49" fontId="39" fillId="13" borderId="24" xfId="0" applyNumberFormat="1" applyFont="1" applyFill="1" applyBorder="1" applyAlignment="1">
      <alignment horizontal="center" vertical="center" wrapText="1"/>
    </xf>
    <xf numFmtId="49" fontId="39" fillId="13" borderId="19" xfId="0" applyNumberFormat="1" applyFont="1" applyFill="1" applyBorder="1" applyAlignment="1">
      <alignment horizontal="center" vertical="center" wrapText="1"/>
    </xf>
    <xf numFmtId="49" fontId="39" fillId="13" borderId="20" xfId="0" applyNumberFormat="1" applyFont="1" applyFill="1" applyBorder="1" applyAlignment="1">
      <alignment horizontal="center" vertical="center" wrapText="1"/>
    </xf>
    <xf numFmtId="49" fontId="39" fillId="13" borderId="21" xfId="0" applyNumberFormat="1" applyFont="1" applyFill="1" applyBorder="1" applyAlignment="1">
      <alignment horizontal="center" vertical="center" wrapText="1"/>
    </xf>
    <xf numFmtId="49" fontId="39" fillId="14" borderId="19" xfId="0" applyNumberFormat="1" applyFont="1" applyFill="1" applyBorder="1" applyAlignment="1">
      <alignment horizontal="center" vertical="center" wrapText="1"/>
    </xf>
    <xf numFmtId="49" fontId="39" fillId="14" borderId="20" xfId="0" applyNumberFormat="1" applyFont="1" applyFill="1" applyBorder="1" applyAlignment="1">
      <alignment horizontal="center" vertical="center" wrapText="1"/>
    </xf>
    <xf numFmtId="49" fontId="39" fillId="14" borderId="21" xfId="0" applyNumberFormat="1" applyFont="1" applyFill="1" applyBorder="1" applyAlignment="1">
      <alignment horizontal="center" vertical="center" wrapText="1"/>
    </xf>
    <xf numFmtId="49" fontId="39" fillId="16" borderId="19" xfId="0" applyNumberFormat="1" applyFont="1" applyFill="1" applyBorder="1" applyAlignment="1">
      <alignment horizontal="left" vertical="center" wrapText="1"/>
    </xf>
    <xf numFmtId="49" fontId="39" fillId="16" borderId="21" xfId="0" applyNumberFormat="1" applyFont="1" applyFill="1" applyBorder="1" applyAlignment="1">
      <alignment horizontal="left" vertical="center" wrapText="1"/>
    </xf>
    <xf numFmtId="49" fontId="41" fillId="17" borderId="19" xfId="0" applyNumberFormat="1" applyFont="1" applyFill="1" applyBorder="1" applyAlignment="1">
      <alignment horizontal="left" vertical="center" wrapText="1"/>
    </xf>
    <xf numFmtId="49" fontId="41" fillId="17" borderId="20" xfId="0" applyNumberFormat="1" applyFont="1" applyFill="1" applyBorder="1" applyAlignment="1">
      <alignment horizontal="left" vertical="center" wrapText="1"/>
    </xf>
    <xf numFmtId="49" fontId="41" fillId="17" borderId="21" xfId="0" applyNumberFormat="1" applyFont="1" applyFill="1" applyBorder="1" applyAlignment="1">
      <alignment horizontal="left" vertical="center" wrapText="1"/>
    </xf>
    <xf numFmtId="0" fontId="34" fillId="0" borderId="0" xfId="0" applyFont="1" applyAlignment="1">
      <alignment horizontal="left"/>
    </xf>
    <xf numFmtId="0" fontId="0" fillId="29" borderId="5" xfId="0" applyFill="1" applyBorder="1" applyAlignment="1">
      <alignment horizontal="center"/>
    </xf>
    <xf numFmtId="0" fontId="0" fillId="29" borderId="7" xfId="0" applyFill="1" applyBorder="1" applyAlignment="1">
      <alignment horizontal="center"/>
    </xf>
    <xf numFmtId="0" fontId="0" fillId="0" borderId="10" xfId="0" applyBorder="1" applyAlignment="1">
      <alignment horizontal="left" vertical="top" wrapText="1"/>
    </xf>
    <xf numFmtId="0" fontId="0" fillId="0" borderId="11" xfId="0" applyBorder="1" applyAlignment="1">
      <alignment horizontal="left" vertical="top" wrapText="1"/>
    </xf>
    <xf numFmtId="0" fontId="59" fillId="29" borderId="31" xfId="0" applyFont="1" applyFill="1" applyBorder="1" applyAlignment="1">
      <alignment horizontal="center" wrapText="1"/>
    </xf>
    <xf numFmtId="0" fontId="59" fillId="29" borderId="32" xfId="0" applyFont="1" applyFill="1" applyBorder="1" applyAlignment="1">
      <alignment horizontal="center" wrapText="1"/>
    </xf>
    <xf numFmtId="0" fontId="59" fillId="29" borderId="43" xfId="0" applyFont="1" applyFill="1" applyBorder="1" applyAlignment="1">
      <alignment horizontal="center" wrapText="1"/>
    </xf>
    <xf numFmtId="0" fontId="60" fillId="29" borderId="28" xfId="0" applyFont="1" applyFill="1" applyBorder="1" applyAlignment="1">
      <alignment horizontal="center" wrapText="1"/>
    </xf>
    <xf numFmtId="0" fontId="60" fillId="29" borderId="29" xfId="0" applyFont="1" applyFill="1" applyBorder="1" applyAlignment="1">
      <alignment horizontal="center" wrapText="1"/>
    </xf>
    <xf numFmtId="0" fontId="60" fillId="29" borderId="30" xfId="0" applyFont="1" applyFill="1" applyBorder="1" applyAlignment="1">
      <alignment horizontal="center" wrapText="1"/>
    </xf>
    <xf numFmtId="184" fontId="60" fillId="0" borderId="0" xfId="9" applyNumberFormat="1" applyFont="1" applyFill="1" applyAlignment="1">
      <alignment horizontal="center" vertical="center" wrapText="1"/>
    </xf>
    <xf numFmtId="184" fontId="60" fillId="29" borderId="0" xfId="9" applyNumberFormat="1" applyFont="1" applyFill="1" applyAlignment="1">
      <alignment horizontal="center" vertical="center" wrapText="1"/>
    </xf>
    <xf numFmtId="43" fontId="60" fillId="29" borderId="9" xfId="9" applyFont="1" applyFill="1" applyBorder="1" applyAlignment="1">
      <alignment horizontal="center" vertical="center" wrapText="1"/>
    </xf>
    <xf numFmtId="0" fontId="59" fillId="29" borderId="31" xfId="0" applyFont="1" applyFill="1" applyBorder="1" applyAlignment="1">
      <alignment horizontal="center" vertical="center" wrapText="1"/>
    </xf>
    <xf numFmtId="0" fontId="59" fillId="29" borderId="43" xfId="0" applyFont="1" applyFill="1" applyBorder="1" applyAlignment="1">
      <alignment horizontal="center" vertical="center"/>
    </xf>
    <xf numFmtId="0" fontId="60" fillId="29" borderId="34" xfId="0" applyFont="1" applyFill="1" applyBorder="1" applyAlignment="1">
      <alignment horizontal="center" wrapText="1"/>
    </xf>
    <xf numFmtId="0" fontId="60" fillId="29" borderId="40" xfId="0" applyFont="1" applyFill="1" applyBorder="1" applyAlignment="1">
      <alignment horizontal="center" wrapText="1"/>
    </xf>
    <xf numFmtId="0" fontId="60" fillId="29" borderId="35" xfId="0" applyFont="1" applyFill="1" applyBorder="1" applyAlignment="1">
      <alignment horizontal="center" wrapText="1"/>
    </xf>
    <xf numFmtId="0" fontId="60" fillId="29" borderId="44" xfId="0" applyFont="1" applyFill="1" applyBorder="1" applyAlignment="1">
      <alignment horizontal="center" wrapText="1"/>
    </xf>
    <xf numFmtId="0" fontId="60" fillId="29" borderId="36" xfId="0" applyFont="1" applyFill="1" applyBorder="1" applyAlignment="1">
      <alignment horizontal="center" wrapText="1"/>
    </xf>
    <xf numFmtId="0" fontId="60" fillId="29" borderId="37" xfId="0" applyFont="1" applyFill="1" applyBorder="1" applyAlignment="1">
      <alignment horizontal="center" wrapText="1"/>
    </xf>
    <xf numFmtId="0" fontId="60" fillId="29" borderId="38" xfId="0" applyFont="1" applyFill="1" applyBorder="1" applyAlignment="1">
      <alignment horizontal="center" wrapText="1"/>
    </xf>
    <xf numFmtId="0" fontId="60" fillId="29" borderId="39" xfId="0" applyFont="1" applyFill="1" applyBorder="1" applyAlignment="1">
      <alignment horizontal="center" wrapText="1"/>
    </xf>
    <xf numFmtId="0" fontId="60" fillId="29" borderId="41" xfId="0" applyFont="1" applyFill="1" applyBorder="1" applyAlignment="1">
      <alignment horizontal="center" wrapText="1"/>
    </xf>
    <xf numFmtId="0" fontId="60" fillId="29" borderId="42" xfId="0" applyFont="1" applyFill="1" applyBorder="1" applyAlignment="1">
      <alignment horizontal="center" wrapText="1"/>
    </xf>
    <xf numFmtId="0" fontId="60" fillId="29" borderId="45" xfId="0" applyFont="1" applyFill="1" applyBorder="1" applyAlignment="1">
      <alignment horizontal="center" wrapText="1"/>
    </xf>
    <xf numFmtId="184" fontId="60" fillId="29" borderId="0" xfId="9" applyNumberFormat="1" applyFont="1" applyFill="1" applyAlignment="1">
      <alignment horizontal="center" wrapText="1"/>
    </xf>
    <xf numFmtId="0" fontId="60" fillId="29" borderId="5" xfId="0" applyFont="1" applyFill="1" applyBorder="1" applyAlignment="1">
      <alignment horizontal="center" wrapText="1"/>
    </xf>
    <xf numFmtId="0" fontId="60" fillId="29" borderId="6" xfId="0" applyFont="1" applyFill="1" applyBorder="1" applyAlignment="1">
      <alignment horizontal="center" wrapText="1"/>
    </xf>
    <xf numFmtId="0" fontId="60" fillId="29" borderId="7" xfId="0" applyFont="1" applyFill="1" applyBorder="1" applyAlignment="1">
      <alignment horizontal="center" wrapText="1"/>
    </xf>
    <xf numFmtId="0" fontId="60" fillId="29" borderId="28" xfId="0" applyFont="1" applyFill="1" applyBorder="1" applyAlignment="1">
      <alignment horizontal="center"/>
    </xf>
    <xf numFmtId="0" fontId="60" fillId="29" borderId="29" xfId="0" applyFont="1" applyFill="1" applyBorder="1" applyAlignment="1">
      <alignment horizontal="center"/>
    </xf>
    <xf numFmtId="0" fontId="60" fillId="29" borderId="30" xfId="0" applyFont="1" applyFill="1" applyBorder="1" applyAlignment="1">
      <alignment horizontal="center"/>
    </xf>
    <xf numFmtId="184" fontId="60" fillId="29" borderId="9" xfId="9" applyNumberFormat="1" applyFont="1" applyFill="1" applyBorder="1" applyAlignment="1">
      <alignment horizontal="center" vertical="center" wrapText="1"/>
    </xf>
    <xf numFmtId="0" fontId="72" fillId="0" borderId="0" xfId="0" applyFont="1" applyAlignment="1">
      <alignment horizontal="center" vertical="top" wrapText="1"/>
    </xf>
    <xf numFmtId="0" fontId="72" fillId="0" borderId="70" xfId="0" applyFont="1" applyBorder="1" applyAlignment="1">
      <alignment horizontal="center" vertical="top" wrapText="1"/>
    </xf>
    <xf numFmtId="0" fontId="12" fillId="0" borderId="9" xfId="0" applyFont="1" applyBorder="1" applyAlignment="1">
      <alignment horizontal="center" wrapText="1"/>
    </xf>
    <xf numFmtId="0" fontId="12" fillId="0" borderId="0" xfId="0" applyFont="1" applyAlignment="1">
      <alignment horizontal="center"/>
    </xf>
    <xf numFmtId="0" fontId="0" fillId="2" borderId="6" xfId="0" applyFill="1" applyBorder="1" applyAlignment="1">
      <alignment horizontal="center" vertical="top" wrapText="1"/>
    </xf>
    <xf numFmtId="0" fontId="0" fillId="3" borderId="6" xfId="0" applyFill="1" applyBorder="1" applyAlignment="1">
      <alignment horizontal="center" vertical="top" wrapText="1"/>
    </xf>
    <xf numFmtId="0" fontId="0" fillId="5" borderId="6" xfId="0" applyFill="1" applyBorder="1" applyAlignment="1">
      <alignment horizontal="center" vertical="top" wrapText="1"/>
    </xf>
    <xf numFmtId="0" fontId="0" fillId="0" borderId="0" xfId="0" applyBorder="1"/>
    <xf numFmtId="9" fontId="0" fillId="0" borderId="0" xfId="0" applyNumberFormat="1" applyBorder="1"/>
    <xf numFmtId="178" fontId="10" fillId="0" borderId="0" xfId="0" applyNumberFormat="1" applyFont="1" applyBorder="1"/>
    <xf numFmtId="178" fontId="10" fillId="0" borderId="12" xfId="0" applyNumberFormat="1" applyFont="1" applyBorder="1"/>
    <xf numFmtId="0" fontId="83" fillId="0" borderId="0" xfId="0" applyFont="1"/>
    <xf numFmtId="0" fontId="0" fillId="0" borderId="0" xfId="0" applyFont="1"/>
    <xf numFmtId="0" fontId="0" fillId="0" borderId="0" xfId="0" applyFont="1" applyAlignment="1">
      <alignment vertical="center"/>
    </xf>
    <xf numFmtId="9" fontId="0" fillId="0" borderId="0" xfId="0" applyNumberFormat="1" applyFont="1" applyAlignment="1">
      <alignment vertical="center"/>
    </xf>
    <xf numFmtId="0" fontId="0" fillId="6" borderId="0" xfId="0" applyFill="1" applyBorder="1"/>
    <xf numFmtId="178" fontId="10" fillId="6" borderId="0" xfId="0" applyNumberFormat="1" applyFont="1" applyFill="1" applyBorder="1"/>
    <xf numFmtId="0" fontId="84" fillId="0" borderId="0" xfId="0" applyFont="1"/>
    <xf numFmtId="176" fontId="0" fillId="0" borderId="0" xfId="0" applyNumberFormat="1"/>
    <xf numFmtId="10" fontId="60" fillId="6" borderId="49" xfId="0" applyNumberFormat="1" applyFont="1" applyFill="1" applyBorder="1" applyAlignment="1">
      <alignment wrapText="1"/>
    </xf>
    <xf numFmtId="0" fontId="0" fillId="0" borderId="72" xfId="0" applyBorder="1" applyAlignment="1">
      <alignment horizontal="left" vertical="top" wrapText="1" indent="1"/>
    </xf>
    <xf numFmtId="9" fontId="80" fillId="22" borderId="73" xfId="1" applyFont="1" applyFill="1" applyBorder="1" applyAlignment="1">
      <alignment horizontal="center" vertical="top" wrapText="1"/>
    </xf>
    <xf numFmtId="9" fontId="80" fillId="23" borderId="73" xfId="1" applyFont="1" applyFill="1" applyBorder="1" applyAlignment="1">
      <alignment horizontal="center" vertical="top" wrapText="1"/>
    </xf>
    <xf numFmtId="9" fontId="80" fillId="24" borderId="73" xfId="1" applyFont="1" applyFill="1" applyBorder="1" applyAlignment="1">
      <alignment horizontal="center" vertical="top" wrapText="1"/>
    </xf>
    <xf numFmtId="9" fontId="80" fillId="25" borderId="73" xfId="1" applyFont="1" applyFill="1" applyBorder="1" applyAlignment="1">
      <alignment horizontal="center" vertical="top" wrapText="1"/>
    </xf>
    <xf numFmtId="9" fontId="80" fillId="20" borderId="73" xfId="1" applyFont="1" applyFill="1" applyBorder="1" applyAlignment="1">
      <alignment horizontal="center" vertical="top" wrapText="1"/>
    </xf>
    <xf numFmtId="9" fontId="80" fillId="21" borderId="73" xfId="1" applyFont="1" applyFill="1" applyBorder="1" applyAlignment="1">
      <alignment horizontal="center" vertical="top" wrapText="1"/>
    </xf>
    <xf numFmtId="9" fontId="80" fillId="26" borderId="73" xfId="1" applyFont="1" applyFill="1" applyBorder="1" applyAlignment="1">
      <alignment horizontal="center" vertical="top" wrapText="1"/>
    </xf>
    <xf numFmtId="9" fontId="80" fillId="0" borderId="74" xfId="1" applyFont="1" applyBorder="1" applyAlignment="1">
      <alignment horizontal="center" vertical="top" wrapText="1"/>
    </xf>
    <xf numFmtId="9" fontId="80" fillId="0" borderId="75" xfId="1" applyFont="1" applyBorder="1" applyAlignment="1">
      <alignment horizontal="center" vertical="top" wrapText="1"/>
    </xf>
    <xf numFmtId="9" fontId="80" fillId="22" borderId="76" xfId="1" applyFont="1" applyFill="1" applyBorder="1" applyAlignment="1">
      <alignment horizontal="center" vertical="top" wrapText="1"/>
    </xf>
    <xf numFmtId="9" fontId="80" fillId="23" borderId="76" xfId="1" applyFont="1" applyFill="1" applyBorder="1" applyAlignment="1">
      <alignment horizontal="center" vertical="top" wrapText="1"/>
    </xf>
    <xf numFmtId="9" fontId="80" fillId="24" borderId="76" xfId="1" applyFont="1" applyFill="1" applyBorder="1" applyAlignment="1">
      <alignment horizontal="center" vertical="top" wrapText="1"/>
    </xf>
    <xf numFmtId="9" fontId="80" fillId="25" borderId="76" xfId="1" applyFont="1" applyFill="1" applyBorder="1" applyAlignment="1">
      <alignment horizontal="center" vertical="top" wrapText="1"/>
    </xf>
    <xf numFmtId="9" fontId="80" fillId="20" borderId="76" xfId="1" applyFont="1" applyFill="1" applyBorder="1" applyAlignment="1">
      <alignment horizontal="center" vertical="top" wrapText="1"/>
    </xf>
    <xf numFmtId="9" fontId="80" fillId="21" borderId="76" xfId="1" applyFont="1" applyFill="1" applyBorder="1" applyAlignment="1">
      <alignment horizontal="center" vertical="top" wrapText="1"/>
    </xf>
    <xf numFmtId="9" fontId="80" fillId="26" borderId="76" xfId="1" applyFont="1" applyFill="1" applyBorder="1" applyAlignment="1">
      <alignment horizontal="center" vertical="top" wrapText="1"/>
    </xf>
    <xf numFmtId="9" fontId="80" fillId="0" borderId="77" xfId="1" applyFont="1" applyBorder="1" applyAlignment="1">
      <alignment horizontal="center" vertical="top" wrapText="1"/>
    </xf>
    <xf numFmtId="0" fontId="0" fillId="0" borderId="72" xfId="0" applyBorder="1" applyAlignment="1">
      <alignment vertical="top" wrapText="1"/>
    </xf>
    <xf numFmtId="43" fontId="0" fillId="9" borderId="0" xfId="11" applyFont="1" applyFill="1"/>
    <xf numFmtId="43" fontId="0" fillId="27" borderId="0" xfId="11" applyFont="1" applyFill="1"/>
    <xf numFmtId="9" fontId="0" fillId="7" borderId="0" xfId="1" applyFont="1" applyFill="1" applyAlignment="1">
      <alignment horizontal="center" vertical="center"/>
    </xf>
    <xf numFmtId="9" fontId="0" fillId="9" borderId="9" xfId="1" applyFont="1" applyFill="1" applyBorder="1" applyAlignment="1">
      <alignment horizontal="center" vertical="center"/>
    </xf>
    <xf numFmtId="9" fontId="0" fillId="7" borderId="11" xfId="1" applyFont="1" applyFill="1" applyBorder="1" applyAlignment="1">
      <alignment horizontal="center" vertical="center"/>
    </xf>
    <xf numFmtId="0" fontId="0" fillId="0" borderId="0" xfId="0" applyFill="1"/>
    <xf numFmtId="0" fontId="0" fillId="29" borderId="0" xfId="0" applyFill="1" applyBorder="1"/>
    <xf numFmtId="0" fontId="12" fillId="29" borderId="0" xfId="0" applyFont="1" applyFill="1" applyBorder="1" applyAlignment="1">
      <alignment horizontal="center" wrapText="1"/>
    </xf>
    <xf numFmtId="1" fontId="0" fillId="29" borderId="0" xfId="0" applyNumberFormat="1" applyFill="1" applyBorder="1"/>
    <xf numFmtId="9" fontId="0" fillId="29" borderId="0" xfId="1" applyFont="1" applyFill="1" applyBorder="1" applyAlignment="1">
      <alignment horizontal="center" vertical="center"/>
    </xf>
    <xf numFmtId="9" fontId="0" fillId="7" borderId="11" xfId="1" applyFont="1" applyFill="1" applyBorder="1" applyAlignment="1">
      <alignment vertical="center"/>
    </xf>
    <xf numFmtId="0" fontId="12" fillId="0" borderId="0" xfId="0" applyFont="1" applyBorder="1" applyAlignment="1">
      <alignment horizontal="center"/>
    </xf>
    <xf numFmtId="0" fontId="12" fillId="0" borderId="0" xfId="0" applyFont="1" applyBorder="1" applyAlignment="1">
      <alignment horizontal="center"/>
    </xf>
    <xf numFmtId="1" fontId="0" fillId="7" borderId="0" xfId="0" applyNumberFormat="1" applyFill="1" applyBorder="1"/>
    <xf numFmtId="0" fontId="0" fillId="9" borderId="12" xfId="0" applyFill="1" applyBorder="1"/>
    <xf numFmtId="9" fontId="0" fillId="7" borderId="0" xfId="1" applyFont="1" applyFill="1" applyBorder="1" applyAlignment="1">
      <alignment vertical="center"/>
    </xf>
    <xf numFmtId="9" fontId="0" fillId="7" borderId="9" xfId="1" applyFont="1" applyFill="1" applyBorder="1" applyAlignment="1">
      <alignment vertical="center"/>
    </xf>
    <xf numFmtId="9" fontId="0" fillId="7" borderId="0" xfId="1" applyNumberFormat="1" applyFont="1" applyFill="1" applyBorder="1" applyAlignment="1">
      <alignment vertical="center"/>
    </xf>
    <xf numFmtId="9" fontId="0" fillId="7" borderId="12" xfId="1" applyFont="1" applyFill="1" applyBorder="1" applyAlignment="1">
      <alignment vertical="center"/>
    </xf>
    <xf numFmtId="1" fontId="7" fillId="0" borderId="0" xfId="0" applyNumberFormat="1" applyFont="1" applyFill="1" applyBorder="1" applyAlignment="1">
      <alignment horizontal="right" vertical="top" shrinkToFit="1"/>
    </xf>
    <xf numFmtId="0" fontId="0" fillId="2" borderId="0" xfId="0" applyFill="1" applyBorder="1" applyAlignment="1">
      <alignment horizontal="center" vertical="top" wrapText="1"/>
    </xf>
    <xf numFmtId="0" fontId="0" fillId="3" borderId="0" xfId="0" applyFill="1" applyBorder="1" applyAlignment="1">
      <alignment horizontal="center" vertical="top" wrapText="1"/>
    </xf>
    <xf numFmtId="0" fontId="0" fillId="5" borderId="0" xfId="0" applyFill="1" applyBorder="1" applyAlignment="1">
      <alignment horizontal="center" vertical="top" wrapText="1"/>
    </xf>
    <xf numFmtId="3" fontId="7" fillId="2" borderId="0" xfId="0" applyNumberFormat="1" applyFont="1" applyFill="1" applyBorder="1" applyAlignment="1">
      <alignment vertical="top" shrinkToFit="1"/>
    </xf>
    <xf numFmtId="9" fontId="7" fillId="2" borderId="0" xfId="0" applyNumberFormat="1" applyFont="1" applyFill="1" applyBorder="1" applyAlignment="1">
      <alignment horizontal="right" vertical="top" shrinkToFit="1"/>
    </xf>
    <xf numFmtId="1" fontId="7" fillId="3" borderId="0" xfId="0" applyNumberFormat="1" applyFont="1" applyFill="1" applyBorder="1" applyAlignment="1">
      <alignment vertical="top" shrinkToFit="1"/>
    </xf>
    <xf numFmtId="9" fontId="7" fillId="3" borderId="0" xfId="0" applyNumberFormat="1" applyFont="1" applyFill="1" applyBorder="1" applyAlignment="1">
      <alignment horizontal="right" vertical="top" indent="1" shrinkToFit="1"/>
    </xf>
    <xf numFmtId="3" fontId="7" fillId="5" borderId="0" xfId="0" applyNumberFormat="1" applyFont="1" applyFill="1" applyBorder="1" applyAlignment="1">
      <alignment horizontal="right" vertical="top" indent="1" shrinkToFit="1"/>
    </xf>
    <xf numFmtId="9" fontId="7" fillId="5" borderId="0" xfId="0" applyNumberFormat="1" applyFont="1" applyFill="1" applyBorder="1" applyAlignment="1">
      <alignment vertical="top" shrinkToFit="1"/>
    </xf>
    <xf numFmtId="1" fontId="0" fillId="0" borderId="0" xfId="0" applyNumberFormat="1" applyBorder="1"/>
    <xf numFmtId="9" fontId="7" fillId="2" borderId="0" xfId="0" applyNumberFormat="1" applyFont="1" applyFill="1" applyBorder="1" applyAlignment="1">
      <alignment horizontal="center" vertical="top" shrinkToFit="1"/>
    </xf>
    <xf numFmtId="3" fontId="7" fillId="3" borderId="0" xfId="0" applyNumberFormat="1" applyFont="1" applyFill="1" applyBorder="1" applyAlignment="1">
      <alignment vertical="top" shrinkToFit="1"/>
    </xf>
    <xf numFmtId="3" fontId="7" fillId="4" borderId="0" xfId="0" applyNumberFormat="1" applyFont="1" applyFill="1" applyBorder="1" applyAlignment="1">
      <alignment horizontal="right" vertical="top" indent="1" shrinkToFit="1"/>
    </xf>
    <xf numFmtId="9" fontId="7" fillId="4" borderId="0" xfId="0" applyNumberFormat="1" applyFont="1" applyFill="1" applyBorder="1" applyAlignment="1">
      <alignment vertical="top" shrinkToFit="1"/>
    </xf>
    <xf numFmtId="0" fontId="71" fillId="3" borderId="6" xfId="0" applyFont="1" applyFill="1" applyBorder="1" applyAlignment="1">
      <alignment horizontal="center" vertical="top" wrapText="1"/>
    </xf>
    <xf numFmtId="0" fontId="0" fillId="4" borderId="6" xfId="0" applyFill="1" applyBorder="1" applyAlignment="1">
      <alignment horizontal="center" vertical="top" wrapText="1"/>
    </xf>
    <xf numFmtId="1" fontId="7" fillId="0" borderId="5" xfId="0" applyNumberFormat="1" applyFont="1" applyBorder="1" applyAlignment="1">
      <alignment horizontal="center" vertical="top" shrinkToFit="1"/>
    </xf>
    <xf numFmtId="1" fontId="0" fillId="0" borderId="6" xfId="0" applyNumberFormat="1" applyBorder="1"/>
    <xf numFmtId="9" fontId="0" fillId="0" borderId="6" xfId="0" applyNumberFormat="1" applyBorder="1"/>
    <xf numFmtId="0" fontId="12" fillId="0" borderId="6" xfId="0" applyFont="1" applyBorder="1"/>
    <xf numFmtId="0" fontId="12" fillId="0" borderId="0" xfId="0" applyFont="1" applyBorder="1" applyAlignment="1">
      <alignment vertical="center" wrapText="1"/>
    </xf>
    <xf numFmtId="0" fontId="47" fillId="0" borderId="6" xfId="0" applyFont="1" applyBorder="1"/>
    <xf numFmtId="9" fontId="0" fillId="35" borderId="0" xfId="0" applyNumberFormat="1" applyFill="1" applyBorder="1"/>
    <xf numFmtId="9" fontId="0" fillId="7" borderId="0" xfId="0" applyNumberFormat="1" applyFill="1" applyBorder="1"/>
    <xf numFmtId="1" fontId="0" fillId="0" borderId="0" xfId="0" applyNumberFormat="1" applyFill="1"/>
    <xf numFmtId="184" fontId="0" fillId="0" borderId="6" xfId="11" applyNumberFormat="1" applyFont="1" applyBorder="1" applyAlignment="1"/>
    <xf numFmtId="184" fontId="0" fillId="0" borderId="0" xfId="11" applyNumberFormat="1" applyFont="1" applyBorder="1" applyAlignment="1"/>
    <xf numFmtId="184" fontId="0" fillId="0" borderId="11" xfId="11" applyNumberFormat="1" applyFont="1" applyBorder="1" applyAlignment="1"/>
    <xf numFmtId="184" fontId="0" fillId="0" borderId="7" xfId="11" applyNumberFormat="1" applyFont="1" applyBorder="1"/>
    <xf numFmtId="184" fontId="0" fillId="0" borderId="9" xfId="11" applyNumberFormat="1" applyFont="1" applyBorder="1"/>
    <xf numFmtId="184" fontId="0" fillId="0" borderId="12" xfId="11" applyNumberFormat="1" applyFont="1" applyBorder="1"/>
  </cellXfs>
  <cellStyles count="14">
    <cellStyle name="一般" xfId="0" builtinId="0"/>
    <cellStyle name="千分位" xfId="11" builtinId="3"/>
    <cellStyle name="千位分隔 2" xfId="9" xr:uid="{00000000-0005-0000-0000-00000A000000}"/>
    <cellStyle name="百分比" xfId="1" builtinId="5"/>
    <cellStyle name="百分比 2" xfId="10" xr:uid="{00000000-0005-0000-0000-000001000000}"/>
    <cellStyle name="常规 2" xfId="3" xr:uid="{00000000-0005-0000-0000-000003000000}"/>
    <cellStyle name="常规 3" xfId="4" xr:uid="{00000000-0005-0000-0000-000004000000}"/>
    <cellStyle name="常规 3 2" xfId="6" xr:uid="{00000000-0005-0000-0000-000005000000}"/>
    <cellStyle name="常规 4" xfId="7" xr:uid="{00000000-0005-0000-0000-000006000000}"/>
    <cellStyle name="常规 5" xfId="8" xr:uid="{00000000-0005-0000-0000-000007000000}"/>
    <cellStyle name="貨幣" xfId="13" builtinId="4"/>
    <cellStyle name="超連結" xfId="2" builtinId="8"/>
    <cellStyle name="超链接 2" xfId="5" xr:uid="{00000000-0005-0000-0000-000009000000}"/>
    <cellStyle name="Comma 2" xfId="12" xr:uid="{F3EF0A02-0BF2-F44B-B1F4-BD1E21C52048}"/>
  </cellStyles>
  <dxfs count="0"/>
  <tableStyles count="0" defaultTableStyle="TableStyleMedium2" defaultPivotStyle="PivotStyleLight16"/>
  <colors>
    <mruColors>
      <color rgb="FFF6D218"/>
      <color rgb="FFF7CC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schemas.openxmlformats.org/officeDocument/2006/relationships/sharedStrings" Target="sharedString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emissions form building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barChart>
        <c:barDir val="col"/>
        <c:grouping val="stacked"/>
        <c:varyColors val="0"/>
        <c:ser>
          <c:idx val="0"/>
          <c:order val="0"/>
          <c:tx>
            <c:strRef>
              <c:f>Building!$V$5</c:f>
              <c:strCache>
                <c:ptCount val="1"/>
                <c:pt idx="0">
                  <c:v>Residential</c:v>
                </c:pt>
              </c:strCache>
            </c:strRef>
          </c:tx>
          <c:spPr>
            <a:solidFill>
              <a:schemeClr val="accent1"/>
            </a:solidFill>
            <a:ln>
              <a:noFill/>
            </a:ln>
            <a:effectLst/>
          </c:spPr>
          <c:invertIfNegative val="0"/>
          <c:cat>
            <c:numRef>
              <c:f>Building!$W$4:$X$4</c:f>
              <c:numCache>
                <c:formatCode>General</c:formatCode>
                <c:ptCount val="2"/>
                <c:pt idx="0">
                  <c:v>2016</c:v>
                </c:pt>
                <c:pt idx="1">
                  <c:v>2050</c:v>
                </c:pt>
              </c:numCache>
            </c:numRef>
          </c:cat>
          <c:val>
            <c:numRef>
              <c:f>Building!$W$5:$X$5</c:f>
              <c:numCache>
                <c:formatCode>_(* #,##0_);_(* \(#,##0\);_(* "-"??_);_(@_)</c:formatCode>
                <c:ptCount val="2"/>
                <c:pt idx="0">
                  <c:v>0</c:v>
                </c:pt>
                <c:pt idx="1">
                  <c:v>138.12678197719634</c:v>
                </c:pt>
              </c:numCache>
            </c:numRef>
          </c:val>
          <c:extLst>
            <c:ext xmlns:c16="http://schemas.microsoft.com/office/drawing/2014/chart" uri="{C3380CC4-5D6E-409C-BE32-E72D297353CC}">
              <c16:uniqueId val="{00000000-FCA1-4E63-A7E9-2C8CB8D413D1}"/>
            </c:ext>
          </c:extLst>
        </c:ser>
        <c:ser>
          <c:idx val="1"/>
          <c:order val="1"/>
          <c:tx>
            <c:strRef>
              <c:f>Building!$V$6</c:f>
              <c:strCache>
                <c:ptCount val="1"/>
                <c:pt idx="0">
                  <c:v>Commercial</c:v>
                </c:pt>
              </c:strCache>
            </c:strRef>
          </c:tx>
          <c:spPr>
            <a:solidFill>
              <a:schemeClr val="accent2"/>
            </a:solidFill>
            <a:ln>
              <a:noFill/>
            </a:ln>
            <a:effectLst/>
          </c:spPr>
          <c:invertIfNegative val="0"/>
          <c:cat>
            <c:numRef>
              <c:f>Building!$W$4:$X$4</c:f>
              <c:numCache>
                <c:formatCode>General</c:formatCode>
                <c:ptCount val="2"/>
                <c:pt idx="0">
                  <c:v>2016</c:v>
                </c:pt>
                <c:pt idx="1">
                  <c:v>2050</c:v>
                </c:pt>
              </c:numCache>
            </c:numRef>
          </c:cat>
          <c:val>
            <c:numRef>
              <c:f>Building!$W$6:$X$6</c:f>
              <c:numCache>
                <c:formatCode>_(* #,##0_);_(* \(#,##0\);_(* "-"??_);_(@_)</c:formatCode>
                <c:ptCount val="2"/>
                <c:pt idx="0">
                  <c:v>0</c:v>
                </c:pt>
                <c:pt idx="1">
                  <c:v>209.22299843245273</c:v>
                </c:pt>
              </c:numCache>
            </c:numRef>
          </c:val>
          <c:extLst>
            <c:ext xmlns:c16="http://schemas.microsoft.com/office/drawing/2014/chart" uri="{C3380CC4-5D6E-409C-BE32-E72D297353CC}">
              <c16:uniqueId val="{00000001-FCA1-4E63-A7E9-2C8CB8D413D1}"/>
            </c:ext>
          </c:extLst>
        </c:ser>
        <c:ser>
          <c:idx val="2"/>
          <c:order val="2"/>
          <c:tx>
            <c:strRef>
              <c:f>Building!$V$7</c:f>
              <c:strCache>
                <c:ptCount val="1"/>
                <c:pt idx="0">
                  <c:v>Industrial</c:v>
                </c:pt>
              </c:strCache>
            </c:strRef>
          </c:tx>
          <c:spPr>
            <a:solidFill>
              <a:schemeClr val="accent3"/>
            </a:solidFill>
            <a:ln>
              <a:noFill/>
            </a:ln>
            <a:effectLst/>
          </c:spPr>
          <c:invertIfNegative val="0"/>
          <c:cat>
            <c:numRef>
              <c:f>Building!$W$4:$X$4</c:f>
              <c:numCache>
                <c:formatCode>General</c:formatCode>
                <c:ptCount val="2"/>
                <c:pt idx="0">
                  <c:v>2016</c:v>
                </c:pt>
                <c:pt idx="1">
                  <c:v>2050</c:v>
                </c:pt>
              </c:numCache>
            </c:numRef>
          </c:cat>
          <c:val>
            <c:numRef>
              <c:f>Building!$W$7:$X$7</c:f>
              <c:numCache>
                <c:formatCode>_(* #,##0_);_(* \(#,##0\);_(* "-"??_);_(@_)</c:formatCode>
                <c:ptCount val="2"/>
                <c:pt idx="0">
                  <c:v>0</c:v>
                </c:pt>
                <c:pt idx="1">
                  <c:v>28.11811987628359</c:v>
                </c:pt>
              </c:numCache>
            </c:numRef>
          </c:val>
          <c:extLst>
            <c:ext xmlns:c16="http://schemas.microsoft.com/office/drawing/2014/chart" uri="{C3380CC4-5D6E-409C-BE32-E72D297353CC}">
              <c16:uniqueId val="{00000002-FCA1-4E63-A7E9-2C8CB8D413D1}"/>
            </c:ext>
          </c:extLst>
        </c:ser>
        <c:dLbls>
          <c:showLegendKey val="0"/>
          <c:showVal val="0"/>
          <c:showCatName val="0"/>
          <c:showSerName val="0"/>
          <c:showPercent val="0"/>
          <c:showBubbleSize val="0"/>
        </c:dLbls>
        <c:gapWidth val="219"/>
        <c:overlap val="100"/>
        <c:axId val="1558183503"/>
        <c:axId val="1559114383"/>
      </c:barChart>
      <c:catAx>
        <c:axId val="155818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559114383"/>
        <c:crosses val="autoZero"/>
        <c:auto val="1"/>
        <c:lblAlgn val="ctr"/>
        <c:lblOffset val="100"/>
        <c:noMultiLvlLbl val="0"/>
      </c:catAx>
      <c:valAx>
        <c:axId val="155911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millin tonCO2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HK"/>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155818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4803149606299213" l="0.70866141732283472" r="0.70866141732283472" t="0.74803149606299213" header="0.31496062992125984" footer="0.31496062992125984"/>
    <c:pageSetup paperSize="8"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8.5199366053684181E-2"/>
                  <c:y val="0.20039301008426577"/>
                </c:manualLayout>
              </c:layout>
              <c:numFmt formatCode="#,##0.000000000_);[Red]\(#,##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AA33-4014-8060-D13EBDCBB1BF}"/>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5199366053684181E-2"/>
                  <c:y val="0.20039301008426577"/>
                </c:manualLayout>
              </c:layout>
              <c:numFmt formatCode="#,##0.0000000000_);[Red]\(#,##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8D7D-4D83-AF68-F4515335CC5C}"/>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manualLayout>
          <c:layoutTarget val="inner"/>
          <c:xMode val="edge"/>
          <c:yMode val="edge"/>
          <c:x val="8.9033030615582001E-2"/>
          <c:y val="0.16267543859649125"/>
          <c:w val="0.8620532816784483"/>
          <c:h val="0.73557777317309025"/>
        </c:manualLayout>
      </c:layout>
      <c:scatterChart>
        <c:scatterStyle val="lineMarker"/>
        <c:varyColors val="0"/>
        <c:ser>
          <c:idx val="0"/>
          <c:order val="0"/>
          <c:tx>
            <c:strRef>
              <c:f>FittingHH!$A$3</c:f>
              <c:strCache>
                <c:ptCount val="1"/>
                <c:pt idx="0">
                  <c:v>Domestic Household (HK C&amp;SD Pred)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8.5199366053684181E-2"/>
                  <c:y val="0.2003930100842657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trendlineLbl>
          </c:trendline>
          <c:xVal>
            <c:numRef>
              <c:f>FittingHH!$B$2:$BP$2</c:f>
              <c:numCache>
                <c:formatCode>0_);[Red]\(0\)</c:formatCode>
                <c:ptCount val="67"/>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2026</c:v>
                </c:pt>
                <c:pt idx="14">
                  <c:v>2031</c:v>
                </c:pt>
                <c:pt idx="15">
                  <c:v>2036</c:v>
                </c:pt>
                <c:pt idx="16">
                  <c:v>2041</c:v>
                </c:pt>
                <c:pt idx="17">
                  <c:v>2046</c:v>
                </c:pt>
                <c:pt idx="18">
                  <c:v>2051</c:v>
                </c:pt>
              </c:numCache>
            </c:numRef>
          </c:xVal>
          <c:yVal>
            <c:numRef>
              <c:f>FittingHH!$B$3:$BP$3</c:f>
              <c:numCache>
                <c:formatCode>0.00_);[Red]\(0.00\)</c:formatCode>
                <c:ptCount val="67"/>
                <c:pt idx="0">
                  <c:v>2.1970999999999998</c:v>
                </c:pt>
                <c:pt idx="1">
                  <c:v>2.2208999999999999</c:v>
                </c:pt>
                <c:pt idx="2">
                  <c:v>2.2499000000000002</c:v>
                </c:pt>
                <c:pt idx="3">
                  <c:v>2.2791000000000001</c:v>
                </c:pt>
                <c:pt idx="4">
                  <c:v>2.2971999999999997</c:v>
                </c:pt>
                <c:pt idx="5">
                  <c:v>2.3250999999999999</c:v>
                </c:pt>
                <c:pt idx="6">
                  <c:v>2.3593000000000002</c:v>
                </c:pt>
                <c:pt idx="7">
                  <c:v>2.3861999999999997</c:v>
                </c:pt>
                <c:pt idx="8">
                  <c:v>2.4073000000000002</c:v>
                </c:pt>
                <c:pt idx="9">
                  <c:v>2.4323999999999999</c:v>
                </c:pt>
                <c:pt idx="10">
                  <c:v>2.4710999999999999</c:v>
                </c:pt>
                <c:pt idx="11">
                  <c:v>2.4988999999999999</c:v>
                </c:pt>
                <c:pt idx="12">
                  <c:v>2.5347</c:v>
                </c:pt>
                <c:pt idx="13">
                  <c:v>2.7688999999999999</c:v>
                </c:pt>
                <c:pt idx="14">
                  <c:v>2.8544999999999998</c:v>
                </c:pt>
                <c:pt idx="15">
                  <c:v>2.9201999999999999</c:v>
                </c:pt>
                <c:pt idx="16">
                  <c:v>2.9613999999999998</c:v>
                </c:pt>
                <c:pt idx="17">
                  <c:v>2.9723000000000002</c:v>
                </c:pt>
                <c:pt idx="18">
                  <c:v>2.9495</c:v>
                </c:pt>
              </c:numCache>
            </c:numRef>
          </c:yVal>
          <c:smooth val="0"/>
          <c:extLst>
            <c:ext xmlns:c16="http://schemas.microsoft.com/office/drawing/2014/chart" uri="{C3380CC4-5D6E-409C-BE32-E72D297353CC}">
              <c16:uniqueId val="{00000000-0B74-4275-989F-32B1B15131DE}"/>
            </c:ext>
          </c:extLst>
        </c:ser>
        <c:dLbls>
          <c:showLegendKey val="0"/>
          <c:showVal val="0"/>
          <c:showCatName val="0"/>
          <c:showSerName val="0"/>
          <c:showPercent val="0"/>
          <c:showBubbleSize val="0"/>
        </c:dLbls>
        <c:axId val="366960624"/>
        <c:axId val="366966032"/>
      </c:scatterChart>
      <c:valAx>
        <c:axId val="366960624"/>
        <c:scaling>
          <c:orientation val="minMax"/>
        </c:scaling>
        <c:delete val="0"/>
        <c:axPos val="b"/>
        <c:majorGridlines>
          <c:spPr>
            <a:ln w="9525" cap="flat" cmpd="sng" algn="ctr">
              <a:solidFill>
                <a:schemeClr val="tx1">
                  <a:lumMod val="15000"/>
                  <a:lumOff val="85000"/>
                </a:schemeClr>
              </a:solidFill>
              <a:round/>
            </a:ln>
            <a:effectLst/>
          </c:spPr>
        </c:majorGridlines>
        <c:numFmt formatCode="0_);[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6032"/>
        <c:crosses val="autoZero"/>
        <c:crossBetween val="midCat"/>
      </c:valAx>
      <c:valAx>
        <c:axId val="366966032"/>
        <c:scaling>
          <c:orientation val="minMax"/>
        </c:scaling>
        <c:delete val="0"/>
        <c:axPos val="l"/>
        <c:majorGridlines>
          <c:spPr>
            <a:ln w="9525" cap="flat" cmpd="sng" algn="ctr">
              <a:solidFill>
                <a:schemeClr val="tx1">
                  <a:lumMod val="15000"/>
                  <a:lumOff val="85000"/>
                </a:schemeClr>
              </a:solidFill>
              <a:round/>
            </a:ln>
            <a:effectLst/>
          </c:spPr>
        </c:majorGridlines>
        <c:numFmt formatCode="0.00_);[Red]\(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HK"/>
          </a:p>
        </c:txPr>
        <c:crossAx val="366960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lineChart>
        <c:grouping val="standard"/>
        <c:varyColors val="0"/>
        <c:ser>
          <c:idx val="0"/>
          <c:order val="0"/>
          <c:tx>
            <c:strRef>
              <c:f>'Future Type Share'!$R$6</c:f>
              <c:strCache>
                <c:ptCount val="1"/>
                <c:pt idx="0">
                  <c:v>Private</c:v>
                </c:pt>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Share'!$R$12:$R$51</c:f>
              <c:numCache>
                <c:formatCode>0</c:formatCode>
                <c:ptCount val="40"/>
                <c:pt idx="0">
                  <c:v>29134</c:v>
                </c:pt>
                <c:pt idx="1">
                  <c:v>29323</c:v>
                </c:pt>
                <c:pt idx="2">
                  <c:v>28490</c:v>
                </c:pt>
                <c:pt idx="3">
                  <c:v>30548</c:v>
                </c:pt>
                <c:pt idx="4">
                  <c:v>29240</c:v>
                </c:pt>
                <c:pt idx="5">
                  <c:v>30488</c:v>
                </c:pt>
                <c:pt idx="6">
                  <c:v>30225</c:v>
                </c:pt>
                <c:pt idx="7">
                  <c:v>30220</c:v>
                </c:pt>
                <c:pt idx="8">
                  <c:v>30115</c:v>
                </c:pt>
                <c:pt idx="9">
                  <c:v>32065.966666666664</c:v>
                </c:pt>
                <c:pt idx="10">
                  <c:v>31451.093333333331</c:v>
                </c:pt>
                <c:pt idx="11">
                  <c:v>32359.257645970116</c:v>
                </c:pt>
                <c:pt idx="12">
                  <c:v>33024.202017038988</c:v>
                </c:pt>
                <c:pt idx="13">
                  <c:v>33364.738621796481</c:v>
                </c:pt>
                <c:pt idx="14">
                  <c:v>33734.257447139724</c:v>
                </c:pt>
                <c:pt idx="15">
                  <c:v>34140.436222221295</c:v>
                </c:pt>
                <c:pt idx="16">
                  <c:v>34518.748867513685</c:v>
                </c:pt>
                <c:pt idx="17">
                  <c:v>34906.676915074517</c:v>
                </c:pt>
                <c:pt idx="18">
                  <c:v>35496.10754956524</c:v>
                </c:pt>
                <c:pt idx="19">
                  <c:v>35835.38722001631</c:v>
                </c:pt>
                <c:pt idx="20">
                  <c:v>36418.375454574903</c:v>
                </c:pt>
                <c:pt idx="21">
                  <c:v>36804.912119464236</c:v>
                </c:pt>
                <c:pt idx="22">
                  <c:v>37325.105183907588</c:v>
                </c:pt>
                <c:pt idx="23">
                  <c:v>37674.187590723675</c:v>
                </c:pt>
                <c:pt idx="24">
                  <c:v>37998.416750852193</c:v>
                </c:pt>
                <c:pt idx="25">
                  <c:v>38025.067400624685</c:v>
                </c:pt>
                <c:pt idx="26">
                  <c:v>38498.980612507854</c:v>
                </c:pt>
                <c:pt idx="27">
                  <c:v>38881.332913725018</c:v>
                </c:pt>
                <c:pt idx="28">
                  <c:v>39254.551491410159</c:v>
                </c:pt>
                <c:pt idx="29">
                  <c:v>39614.847385634937</c:v>
                </c:pt>
                <c:pt idx="30">
                  <c:v>39946.603117767576</c:v>
                </c:pt>
                <c:pt idx="31">
                  <c:v>40251.27556310474</c:v>
                </c:pt>
                <c:pt idx="32">
                  <c:v>40540.35064341822</c:v>
                </c:pt>
                <c:pt idx="33">
                  <c:v>40806.702047905805</c:v>
                </c:pt>
                <c:pt idx="34">
                  <c:v>41047.250873049066</c:v>
                </c:pt>
                <c:pt idx="35">
                  <c:v>41287.137174163145</c:v>
                </c:pt>
                <c:pt idx="36">
                  <c:v>41489.551820968874</c:v>
                </c:pt>
                <c:pt idx="37">
                  <c:v>41698.78294566612</c:v>
                </c:pt>
                <c:pt idx="38">
                  <c:v>41887.721143301773</c:v>
                </c:pt>
                <c:pt idx="39">
                  <c:v>42065.391357466811</c:v>
                </c:pt>
              </c:numCache>
            </c:numRef>
          </c:val>
          <c:smooth val="0"/>
          <c:extLst>
            <c:ext xmlns:c16="http://schemas.microsoft.com/office/drawing/2014/chart" uri="{C3380CC4-5D6E-409C-BE32-E72D297353CC}">
              <c16:uniqueId val="{00000000-4EF9-4B01-A51E-5A4082B9FC20}"/>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itle>
    <c:autoTitleDeleted val="0"/>
    <c:plotArea>
      <c:layout/>
      <c:lineChart>
        <c:grouping val="standard"/>
        <c:varyColors val="0"/>
        <c:ser>
          <c:idx val="1"/>
          <c:order val="0"/>
          <c:tx>
            <c:strRef>
              <c:f>'Future Type Share'!$S$6</c:f>
              <c:strCache>
                <c:ptCount val="1"/>
                <c:pt idx="0">
                  <c:v>Public</c:v>
                </c:pt>
              </c:strCache>
            </c:strRef>
          </c:tx>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Share'!$S$12:$S$51</c:f>
              <c:numCache>
                <c:formatCode>0</c:formatCode>
                <c:ptCount val="40"/>
                <c:pt idx="0">
                  <c:v>16424</c:v>
                </c:pt>
                <c:pt idx="1">
                  <c:v>16866</c:v>
                </c:pt>
                <c:pt idx="2">
                  <c:v>16604</c:v>
                </c:pt>
                <c:pt idx="3">
                  <c:v>17372</c:v>
                </c:pt>
                <c:pt idx="4">
                  <c:v>16971</c:v>
                </c:pt>
                <c:pt idx="5">
                  <c:v>17189</c:v>
                </c:pt>
                <c:pt idx="6">
                  <c:v>16681</c:v>
                </c:pt>
                <c:pt idx="7">
                  <c:v>16860</c:v>
                </c:pt>
                <c:pt idx="8">
                  <c:v>16702</c:v>
                </c:pt>
                <c:pt idx="9">
                  <c:v>17997.213333333333</c:v>
                </c:pt>
                <c:pt idx="10">
                  <c:v>18178</c:v>
                </c:pt>
                <c:pt idx="11">
                  <c:v>18397.512930507699</c:v>
                </c:pt>
                <c:pt idx="12">
                  <c:v>18468.689037012515</c:v>
                </c:pt>
                <c:pt idx="13">
                  <c:v>18620.615779893193</c:v>
                </c:pt>
                <c:pt idx="14">
                  <c:v>18922.359517987479</c:v>
                </c:pt>
                <c:pt idx="15">
                  <c:v>19154.882379195689</c:v>
                </c:pt>
                <c:pt idx="16">
                  <c:v>19428.679040000334</c:v>
                </c:pt>
                <c:pt idx="17">
                  <c:v>19672.327912947454</c:v>
                </c:pt>
                <c:pt idx="18">
                  <c:v>19825.587206133601</c:v>
                </c:pt>
                <c:pt idx="19">
                  <c:v>19829.299656617328</c:v>
                </c:pt>
                <c:pt idx="20">
                  <c:v>20052.098501929406</c:v>
                </c:pt>
                <c:pt idx="21">
                  <c:v>20336.971837530604</c:v>
                </c:pt>
                <c:pt idx="22">
                  <c:v>20534.874639381291</c:v>
                </c:pt>
                <c:pt idx="23">
                  <c:v>20727.693638321885</c:v>
                </c:pt>
                <c:pt idx="24">
                  <c:v>20887.386727586618</c:v>
                </c:pt>
                <c:pt idx="25">
                  <c:v>20953.654700760686</c:v>
                </c:pt>
                <c:pt idx="26">
                  <c:v>21093.431991739122</c:v>
                </c:pt>
                <c:pt idx="27">
                  <c:v>21248.358120450048</c:v>
                </c:pt>
                <c:pt idx="28">
                  <c:v>21415.805552703237</c:v>
                </c:pt>
                <c:pt idx="29">
                  <c:v>21582.369958319054</c:v>
                </c:pt>
                <c:pt idx="30">
                  <c:v>21703.129132129401</c:v>
                </c:pt>
                <c:pt idx="31">
                  <c:v>21809.861403943567</c:v>
                </c:pt>
                <c:pt idx="32">
                  <c:v>21924.68438694717</c:v>
                </c:pt>
                <c:pt idx="33">
                  <c:v>22034.885972241187</c:v>
                </c:pt>
                <c:pt idx="34">
                  <c:v>22141.093681760321</c:v>
                </c:pt>
                <c:pt idx="35">
                  <c:v>22237.377127849701</c:v>
                </c:pt>
                <c:pt idx="36">
                  <c:v>22318.829204806658</c:v>
                </c:pt>
                <c:pt idx="37">
                  <c:v>22389.597954799265</c:v>
                </c:pt>
                <c:pt idx="38">
                  <c:v>22447.566277510301</c:v>
                </c:pt>
                <c:pt idx="39">
                  <c:v>22667.522250924212</c:v>
                </c:pt>
              </c:numCache>
            </c:numRef>
          </c:val>
          <c:smooth val="0"/>
          <c:extLst>
            <c:ext xmlns:c16="http://schemas.microsoft.com/office/drawing/2014/chart" uri="{C3380CC4-5D6E-409C-BE32-E72D297353CC}">
              <c16:uniqueId val="{00000003-AB21-C44F-AA86-5BB2C66842A8}"/>
            </c:ext>
          </c:extLst>
        </c:ser>
        <c:ser>
          <c:idx val="0"/>
          <c:order val="1"/>
          <c:tx>
            <c:strRef>
              <c:f>'Future Type Share'!$S$6</c:f>
              <c:strCache>
                <c:ptCount val="1"/>
                <c:pt idx="0">
                  <c:v>Public</c:v>
                </c:pt>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Share'!$S$12:$S$51</c:f>
              <c:numCache>
                <c:formatCode>0</c:formatCode>
                <c:ptCount val="40"/>
                <c:pt idx="0">
                  <c:v>16424</c:v>
                </c:pt>
                <c:pt idx="1">
                  <c:v>16866</c:v>
                </c:pt>
                <c:pt idx="2">
                  <c:v>16604</c:v>
                </c:pt>
                <c:pt idx="3">
                  <c:v>17372</c:v>
                </c:pt>
                <c:pt idx="4">
                  <c:v>16971</c:v>
                </c:pt>
                <c:pt idx="5">
                  <c:v>17189</c:v>
                </c:pt>
                <c:pt idx="6">
                  <c:v>16681</c:v>
                </c:pt>
                <c:pt idx="7">
                  <c:v>16860</c:v>
                </c:pt>
                <c:pt idx="8">
                  <c:v>16702</c:v>
                </c:pt>
                <c:pt idx="9">
                  <c:v>17997.213333333333</c:v>
                </c:pt>
                <c:pt idx="10">
                  <c:v>18178</c:v>
                </c:pt>
                <c:pt idx="11">
                  <c:v>18397.512930507699</c:v>
                </c:pt>
                <c:pt idx="12">
                  <c:v>18468.689037012515</c:v>
                </c:pt>
                <c:pt idx="13">
                  <c:v>18620.615779893193</c:v>
                </c:pt>
                <c:pt idx="14">
                  <c:v>18922.359517987479</c:v>
                </c:pt>
                <c:pt idx="15">
                  <c:v>19154.882379195689</c:v>
                </c:pt>
                <c:pt idx="16">
                  <c:v>19428.679040000334</c:v>
                </c:pt>
                <c:pt idx="17">
                  <c:v>19672.327912947454</c:v>
                </c:pt>
                <c:pt idx="18">
                  <c:v>19825.587206133601</c:v>
                </c:pt>
                <c:pt idx="19">
                  <c:v>19829.299656617328</c:v>
                </c:pt>
                <c:pt idx="20">
                  <c:v>20052.098501929406</c:v>
                </c:pt>
                <c:pt idx="21">
                  <c:v>20336.971837530604</c:v>
                </c:pt>
                <c:pt idx="22">
                  <c:v>20534.874639381291</c:v>
                </c:pt>
                <c:pt idx="23">
                  <c:v>20727.693638321885</c:v>
                </c:pt>
                <c:pt idx="24">
                  <c:v>20887.386727586618</c:v>
                </c:pt>
                <c:pt idx="25">
                  <c:v>20953.654700760686</c:v>
                </c:pt>
                <c:pt idx="26">
                  <c:v>21093.431991739122</c:v>
                </c:pt>
                <c:pt idx="27">
                  <c:v>21248.358120450048</c:v>
                </c:pt>
                <c:pt idx="28">
                  <c:v>21415.805552703237</c:v>
                </c:pt>
                <c:pt idx="29">
                  <c:v>21582.369958319054</c:v>
                </c:pt>
                <c:pt idx="30">
                  <c:v>21703.129132129401</c:v>
                </c:pt>
                <c:pt idx="31">
                  <c:v>21809.861403943567</c:v>
                </c:pt>
                <c:pt idx="32">
                  <c:v>21924.68438694717</c:v>
                </c:pt>
                <c:pt idx="33">
                  <c:v>22034.885972241187</c:v>
                </c:pt>
                <c:pt idx="34">
                  <c:v>22141.093681760321</c:v>
                </c:pt>
                <c:pt idx="35">
                  <c:v>22237.377127849701</c:v>
                </c:pt>
                <c:pt idx="36">
                  <c:v>22318.829204806658</c:v>
                </c:pt>
                <c:pt idx="37">
                  <c:v>22389.597954799265</c:v>
                </c:pt>
                <c:pt idx="38">
                  <c:v>22447.566277510301</c:v>
                </c:pt>
                <c:pt idx="39">
                  <c:v>22667.522250924212</c:v>
                </c:pt>
              </c:numCache>
            </c:numRef>
          </c:val>
          <c:smooth val="0"/>
          <c:extLst>
            <c:ext xmlns:c16="http://schemas.microsoft.com/office/drawing/2014/chart" uri="{C3380CC4-5D6E-409C-BE32-E72D297353CC}">
              <c16:uniqueId val="{00000002-AB21-C44F-AA86-5BB2C66842A8}"/>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plotArea>
    <c:plotVisOnly val="1"/>
    <c:dispBlanksAs val="gap"/>
    <c:showDLblsOverMax val="0"/>
  </c:chart>
  <c:txPr>
    <a:bodyPr/>
    <a:lstStyle/>
    <a:p>
      <a:pPr>
        <a:defRPr/>
      </a:pPr>
      <a:endParaRPr lang="zh-HK"/>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latin typeface="Arial" panose="020B0604020202020204" pitchFamily="34" charset="0"/>
                <a:cs typeface="Arial" panose="020B0604020202020204" pitchFamily="34" charset="0"/>
              </a:rPr>
              <a:t>Private Housing Total</a:t>
            </a:r>
            <a:r>
              <a:rPr lang="en-US" altLang="zh-CN" baseline="0">
                <a:latin typeface="Arial" panose="020B0604020202020204" pitchFamily="34" charset="0"/>
                <a:cs typeface="Arial" panose="020B0604020202020204" pitchFamily="34" charset="0"/>
              </a:rPr>
              <a:t> Energy Use</a:t>
            </a:r>
            <a:endParaRPr lang="en-US" altLang="zh-CN" sz="1000">
              <a:latin typeface="Arial" panose="020B0604020202020204" pitchFamily="34" charset="0"/>
              <a:cs typeface="Arial" panose="020B0604020202020204" pitchFamily="34" charset="0"/>
            </a:endParaRPr>
          </a:p>
        </c:rich>
      </c:tx>
      <c:layout>
        <c:manualLayout>
          <c:xMode val="edge"/>
          <c:yMode val="edge"/>
          <c:x val="0.20736708912189869"/>
          <c:y val="3.6946259109511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HK"/>
        </a:p>
      </c:txPr>
    </c:title>
    <c:autoTitleDeleted val="0"/>
    <c:plotArea>
      <c:layout/>
      <c:lineChart>
        <c:grouping val="standard"/>
        <c:varyColors val="0"/>
        <c:ser>
          <c:idx val="0"/>
          <c:order val="0"/>
          <c:tx>
            <c:strRef>
              <c:f>'Future Type Share'!$T$6</c:f>
              <c:strCache>
                <c:ptCount val="1"/>
              </c:strCache>
            </c:strRef>
          </c:tx>
          <c:spPr>
            <a:ln w="28575" cap="rnd">
              <a:solidFill>
                <a:schemeClr val="accent1"/>
              </a:solidFill>
              <a:round/>
            </a:ln>
            <a:effectLst/>
          </c:spPr>
          <c:marker>
            <c:symbol val="none"/>
          </c:marker>
          <c:cat>
            <c:numRef>
              <c:f>'Future Type Share'!$Q$12:$Q$51</c:f>
              <c:numCache>
                <c:formatCode>General</c:formatCode>
                <c:ptCount val="40"/>
                <c:pt idx="0">
                  <c:v>2011</c:v>
                </c:pt>
                <c:pt idx="1">
                  <c:v>2012</c:v>
                </c:pt>
                <c:pt idx="2">
                  <c:v>2013</c:v>
                </c:pt>
                <c:pt idx="3">
                  <c:v>2014</c:v>
                </c:pt>
                <c:pt idx="4">
                  <c:v>2015</c:v>
                </c:pt>
                <c:pt idx="5">
                  <c:v>2016</c:v>
                </c:pt>
                <c:pt idx="6">
                  <c:v>2017</c:v>
                </c:pt>
                <c:pt idx="7">
                  <c:v>2018</c:v>
                </c:pt>
                <c:pt idx="8">
                  <c:v>2019</c:v>
                </c:pt>
                <c:pt idx="9">
                  <c:v>2020</c:v>
                </c:pt>
                <c:pt idx="10">
                  <c:v>2021</c:v>
                </c:pt>
                <c:pt idx="11">
                  <c:v>2022</c:v>
                </c:pt>
                <c:pt idx="12">
                  <c:v>2023</c:v>
                </c:pt>
                <c:pt idx="13">
                  <c:v>2024</c:v>
                </c:pt>
                <c:pt idx="14">
                  <c:v>2025</c:v>
                </c:pt>
                <c:pt idx="15">
                  <c:v>2026</c:v>
                </c:pt>
                <c:pt idx="16">
                  <c:v>2027</c:v>
                </c:pt>
                <c:pt idx="17">
                  <c:v>2028</c:v>
                </c:pt>
                <c:pt idx="18">
                  <c:v>2029</c:v>
                </c:pt>
                <c:pt idx="19">
                  <c:v>2030</c:v>
                </c:pt>
                <c:pt idx="20">
                  <c:v>2031</c:v>
                </c:pt>
                <c:pt idx="21">
                  <c:v>2032</c:v>
                </c:pt>
                <c:pt idx="22">
                  <c:v>2033</c:v>
                </c:pt>
                <c:pt idx="23">
                  <c:v>2034</c:v>
                </c:pt>
                <c:pt idx="24">
                  <c:v>2035</c:v>
                </c:pt>
                <c:pt idx="25">
                  <c:v>2036</c:v>
                </c:pt>
                <c:pt idx="26">
                  <c:v>2037</c:v>
                </c:pt>
                <c:pt idx="27">
                  <c:v>2038</c:v>
                </c:pt>
                <c:pt idx="28">
                  <c:v>2039</c:v>
                </c:pt>
                <c:pt idx="29">
                  <c:v>2040</c:v>
                </c:pt>
                <c:pt idx="30">
                  <c:v>2041</c:v>
                </c:pt>
                <c:pt idx="31">
                  <c:v>2042</c:v>
                </c:pt>
                <c:pt idx="32">
                  <c:v>2043</c:v>
                </c:pt>
                <c:pt idx="33">
                  <c:v>2044</c:v>
                </c:pt>
                <c:pt idx="34">
                  <c:v>2045</c:v>
                </c:pt>
                <c:pt idx="35">
                  <c:v>2046</c:v>
                </c:pt>
                <c:pt idx="36">
                  <c:v>2047</c:v>
                </c:pt>
                <c:pt idx="37">
                  <c:v>2048</c:v>
                </c:pt>
                <c:pt idx="38">
                  <c:v>2049</c:v>
                </c:pt>
                <c:pt idx="39">
                  <c:v>2050</c:v>
                </c:pt>
              </c:numCache>
            </c:numRef>
          </c:cat>
          <c:val>
            <c:numRef>
              <c:f>'Future Type Share'!$T$12:$T$51</c:f>
              <c:numCache>
                <c:formatCode>General</c:formatCode>
                <c:ptCount val="40"/>
                <c:pt idx="0">
                  <c:v>118558</c:v>
                </c:pt>
                <c:pt idx="1">
                  <c:v>120970</c:v>
                </c:pt>
                <c:pt idx="2">
                  <c:v>121215</c:v>
                </c:pt>
                <c:pt idx="3">
                  <c:v>122711</c:v>
                </c:pt>
                <c:pt idx="4">
                  <c:v>123674</c:v>
                </c:pt>
                <c:pt idx="5">
                  <c:v>123969</c:v>
                </c:pt>
                <c:pt idx="6" formatCode="0">
                  <c:v>120891.66920796278</c:v>
                </c:pt>
                <c:pt idx="7" formatCode="0">
                  <c:v>121325.33841592554</c:v>
                </c:pt>
                <c:pt idx="8" formatCode="0">
                  <c:v>121759.00762388816</c:v>
                </c:pt>
                <c:pt idx="9">
                  <c:v>120970.75006353241</c:v>
                </c:pt>
                <c:pt idx="10">
                  <c:v>121905.17965692507</c:v>
                </c:pt>
                <c:pt idx="11" formatCode="0">
                  <c:v>122839.60925031771</c:v>
                </c:pt>
                <c:pt idx="12" formatCode="0">
                  <c:v>123774.03884371035</c:v>
                </c:pt>
                <c:pt idx="13" formatCode="0">
                  <c:v>124708.46843710299</c:v>
                </c:pt>
                <c:pt idx="14">
                  <c:v>125642.89803049563</c:v>
                </c:pt>
                <c:pt idx="15">
                  <c:v>126577.32762388828</c:v>
                </c:pt>
                <c:pt idx="16" formatCode="0">
                  <c:v>127511.75721728092</c:v>
                </c:pt>
                <c:pt idx="17" formatCode="0">
                  <c:v>128446.18681067356</c:v>
                </c:pt>
                <c:pt idx="18" formatCode="0">
                  <c:v>129380.61640406621</c:v>
                </c:pt>
                <c:pt idx="19">
                  <c:v>130315.04599745886</c:v>
                </c:pt>
                <c:pt idx="20">
                  <c:v>131249.47559085148</c:v>
                </c:pt>
                <c:pt idx="21" formatCode="0">
                  <c:v>132183.90518424415</c:v>
                </c:pt>
                <c:pt idx="22" formatCode="0">
                  <c:v>133118.3347776368</c:v>
                </c:pt>
                <c:pt idx="23" formatCode="0">
                  <c:v>134052.76437102939</c:v>
                </c:pt>
                <c:pt idx="24">
                  <c:v>134987.19396442204</c:v>
                </c:pt>
                <c:pt idx="25">
                  <c:v>135823.5560083499</c:v>
                </c:pt>
                <c:pt idx="26" formatCode="0">
                  <c:v>136757.31141011676</c:v>
                </c:pt>
                <c:pt idx="27" formatCode="0">
                  <c:v>137691.06681188353</c:v>
                </c:pt>
                <c:pt idx="28" formatCode="0">
                  <c:v>138624.82221365036</c:v>
                </c:pt>
                <c:pt idx="29">
                  <c:v>139558.57761541719</c:v>
                </c:pt>
                <c:pt idx="30">
                  <c:v>140492.33301718399</c:v>
                </c:pt>
                <c:pt idx="31" formatCode="0">
                  <c:v>141426.08841895082</c:v>
                </c:pt>
                <c:pt idx="32" formatCode="0">
                  <c:v>142359.84382071762</c:v>
                </c:pt>
                <c:pt idx="33" formatCode="0">
                  <c:v>143293.59922248442</c:v>
                </c:pt>
                <c:pt idx="34">
                  <c:v>144227.35462425128</c:v>
                </c:pt>
                <c:pt idx="35">
                  <c:v>145161.11002601808</c:v>
                </c:pt>
                <c:pt idx="36" formatCode="0">
                  <c:v>146094.86542778488</c:v>
                </c:pt>
                <c:pt idx="37" formatCode="0">
                  <c:v>147028.62082955174</c:v>
                </c:pt>
                <c:pt idx="38" formatCode="0">
                  <c:v>147962.37623131854</c:v>
                </c:pt>
                <c:pt idx="39">
                  <c:v>148896.13163308537</c:v>
                </c:pt>
              </c:numCache>
            </c:numRef>
          </c:val>
          <c:smooth val="0"/>
          <c:extLst>
            <c:ext xmlns:c16="http://schemas.microsoft.com/office/drawing/2014/chart" uri="{C3380CC4-5D6E-409C-BE32-E72D297353CC}">
              <c16:uniqueId val="{00000000-2BFE-6846-8FF8-8932ADF95C32}"/>
            </c:ext>
          </c:extLst>
        </c:ser>
        <c:dLbls>
          <c:showLegendKey val="0"/>
          <c:showVal val="0"/>
          <c:showCatName val="0"/>
          <c:showSerName val="0"/>
          <c:showPercent val="0"/>
          <c:showBubbleSize val="0"/>
        </c:dLbls>
        <c:smooth val="0"/>
        <c:axId val="186495808"/>
        <c:axId val="186506208"/>
      </c:lineChart>
      <c:catAx>
        <c:axId val="1864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00000" spcFirstLastPara="1" vertOverflow="ellipsis" wrap="square" anchor="ctr" anchorCtr="1"/>
          <a:lstStyle/>
          <a:p>
            <a:pPr>
              <a:defRPr sz="10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506208"/>
        <c:crosses val="autoZero"/>
        <c:auto val="1"/>
        <c:lblAlgn val="ctr"/>
        <c:lblOffset val="100"/>
        <c:noMultiLvlLbl val="0"/>
      </c:catAx>
      <c:valAx>
        <c:axId val="18650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Roboto" panose="02000000000000000000" pitchFamily="2" charset="0"/>
                <a:ea typeface="Roboto" panose="02000000000000000000" pitchFamily="2" charset="0"/>
                <a:cs typeface="+mn-cs"/>
              </a:defRPr>
            </a:pPr>
            <a:endParaRPr lang="zh-HK"/>
          </a:p>
        </c:txPr>
        <c:crossAx val="18649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H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367396</xdr:colOff>
      <xdr:row>0</xdr:row>
      <xdr:rowOff>101600</xdr:rowOff>
    </xdr:from>
    <xdr:to>
      <xdr:col>14</xdr:col>
      <xdr:colOff>301064</xdr:colOff>
      <xdr:row>25</xdr:row>
      <xdr:rowOff>94481</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310996" y="101600"/>
          <a:ext cx="3235668" cy="4437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743239</xdr:colOff>
      <xdr:row>27</xdr:row>
      <xdr:rowOff>135455</xdr:rowOff>
    </xdr:from>
    <xdr:to>
      <xdr:col>8</xdr:col>
      <xdr:colOff>519102</xdr:colOff>
      <xdr:row>48</xdr:row>
      <xdr:rowOff>151928</xdr:rowOff>
    </xdr:to>
    <xdr:pic>
      <xdr:nvPicPr>
        <xdr:cNvPr id="2" name="图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743239" y="4825796"/>
          <a:ext cx="8098674" cy="3804826"/>
        </a:xfrm>
        <a:prstGeom prst="rect">
          <a:avLst/>
        </a:prstGeom>
      </xdr:spPr>
    </xdr:pic>
    <xdr:clientData/>
  </xdr:twoCellAnchor>
  <xdr:twoCellAnchor editAs="oneCell">
    <xdr:from>
      <xdr:col>12</xdr:col>
      <xdr:colOff>158750</xdr:colOff>
      <xdr:row>28</xdr:row>
      <xdr:rowOff>149411</xdr:rowOff>
    </xdr:from>
    <xdr:to>
      <xdr:col>18</xdr:col>
      <xdr:colOff>408214</xdr:colOff>
      <xdr:row>43</xdr:row>
      <xdr:rowOff>71651</xdr:rowOff>
    </xdr:to>
    <xdr:pic>
      <xdr:nvPicPr>
        <xdr:cNvPr id="4" name="图片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9449405" y="4866554"/>
          <a:ext cx="4195535" cy="2643668"/>
        </a:xfrm>
        <a:prstGeom prst="rect">
          <a:avLst/>
        </a:prstGeom>
      </xdr:spPr>
    </xdr:pic>
    <xdr:clientData/>
  </xdr:twoCellAnchor>
  <xdr:twoCellAnchor editAs="oneCell">
    <xdr:from>
      <xdr:col>12</xdr:col>
      <xdr:colOff>268883</xdr:colOff>
      <xdr:row>44</xdr:row>
      <xdr:rowOff>143631</xdr:rowOff>
    </xdr:from>
    <xdr:to>
      <xdr:col>18</xdr:col>
      <xdr:colOff>269226</xdr:colOff>
      <xdr:row>54</xdr:row>
      <xdr:rowOff>175833</xdr:rowOff>
    </xdr:to>
    <xdr:pic>
      <xdr:nvPicPr>
        <xdr:cNvPr id="5" name="图片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3"/>
        <a:stretch>
          <a:fillRect/>
        </a:stretch>
      </xdr:blipFill>
      <xdr:spPr>
        <a:xfrm>
          <a:off x="9559538" y="7763631"/>
          <a:ext cx="3946414" cy="1846487"/>
        </a:xfrm>
        <a:prstGeom prst="rect">
          <a:avLst/>
        </a:prstGeom>
      </xdr:spPr>
    </xdr:pic>
    <xdr:clientData/>
  </xdr:twoCellAnchor>
  <xdr:twoCellAnchor editAs="oneCell">
    <xdr:from>
      <xdr:col>1</xdr:col>
      <xdr:colOff>279702</xdr:colOff>
      <xdr:row>60</xdr:row>
      <xdr:rowOff>83154</xdr:rowOff>
    </xdr:from>
    <xdr:to>
      <xdr:col>9</xdr:col>
      <xdr:colOff>110854</xdr:colOff>
      <xdr:row>84</xdr:row>
      <xdr:rowOff>147915</xdr:rowOff>
    </xdr:to>
    <xdr:pic>
      <xdr:nvPicPr>
        <xdr:cNvPr id="6" name="图片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4"/>
        <a:stretch>
          <a:fillRect/>
        </a:stretch>
      </xdr:blipFill>
      <xdr:spPr>
        <a:xfrm>
          <a:off x="1950357" y="10606011"/>
          <a:ext cx="5533333" cy="4419048"/>
        </a:xfrm>
        <a:prstGeom prst="rect">
          <a:avLst/>
        </a:prstGeom>
      </xdr:spPr>
    </xdr:pic>
    <xdr:clientData/>
  </xdr:twoCellAnchor>
  <xdr:twoCellAnchor editAs="oneCell">
    <xdr:from>
      <xdr:col>0</xdr:col>
      <xdr:colOff>1005418</xdr:colOff>
      <xdr:row>57</xdr:row>
      <xdr:rowOff>22679</xdr:rowOff>
    </xdr:from>
    <xdr:to>
      <xdr:col>4</xdr:col>
      <xdr:colOff>70438</xdr:colOff>
      <xdr:row>58</xdr:row>
      <xdr:rowOff>174585</xdr:rowOff>
    </xdr:to>
    <xdr:pic>
      <xdr:nvPicPr>
        <xdr:cNvPr id="7" name="图片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5"/>
        <a:stretch>
          <a:fillRect/>
        </a:stretch>
      </xdr:blipFill>
      <xdr:spPr>
        <a:xfrm>
          <a:off x="1005418" y="10001250"/>
          <a:ext cx="4714286" cy="333333"/>
        </a:xfrm>
        <a:prstGeom prst="rect">
          <a:avLst/>
        </a:prstGeom>
      </xdr:spPr>
    </xdr:pic>
    <xdr:clientData/>
  </xdr:twoCellAnchor>
  <xdr:twoCellAnchor editAs="oneCell">
    <xdr:from>
      <xdr:col>15</xdr:col>
      <xdr:colOff>128512</xdr:colOff>
      <xdr:row>57</xdr:row>
      <xdr:rowOff>52917</xdr:rowOff>
    </xdr:from>
    <xdr:to>
      <xdr:col>21</xdr:col>
      <xdr:colOff>287202</xdr:colOff>
      <xdr:row>68</xdr:row>
      <xdr:rowOff>47679</xdr:rowOff>
    </xdr:to>
    <xdr:pic>
      <xdr:nvPicPr>
        <xdr:cNvPr id="8" name="图片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6"/>
        <a:stretch>
          <a:fillRect/>
        </a:stretch>
      </xdr:blipFill>
      <xdr:spPr>
        <a:xfrm>
          <a:off x="11392202" y="10031488"/>
          <a:ext cx="4104762" cy="1990476"/>
        </a:xfrm>
        <a:prstGeom prst="rect">
          <a:avLst/>
        </a:prstGeom>
      </xdr:spPr>
    </xdr:pic>
    <xdr:clientData/>
  </xdr:twoCellAnchor>
  <xdr:twoCellAnchor editAs="oneCell">
    <xdr:from>
      <xdr:col>0</xdr:col>
      <xdr:colOff>1610178</xdr:colOff>
      <xdr:row>87</xdr:row>
      <xdr:rowOff>113393</xdr:rowOff>
    </xdr:from>
    <xdr:to>
      <xdr:col>9</xdr:col>
      <xdr:colOff>1718</xdr:colOff>
      <xdr:row>126</xdr:row>
      <xdr:rowOff>151964</xdr:rowOff>
    </xdr:to>
    <xdr:pic>
      <xdr:nvPicPr>
        <xdr:cNvPr id="9" name="图片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7"/>
        <a:stretch>
          <a:fillRect/>
        </a:stretch>
      </xdr:blipFill>
      <xdr:spPr>
        <a:xfrm>
          <a:off x="1610178" y="15716250"/>
          <a:ext cx="7295238" cy="711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371683</xdr:colOff>
      <xdr:row>57</xdr:row>
      <xdr:rowOff>116215</xdr:rowOff>
    </xdr:from>
    <xdr:to>
      <xdr:col>16</xdr:col>
      <xdr:colOff>522078</xdr:colOff>
      <xdr:row>59</xdr:row>
      <xdr:rowOff>99504</xdr:rowOff>
    </xdr:to>
    <xdr:sp macro="" textlink="">
      <xdr:nvSpPr>
        <xdr:cNvPr id="2" name="右箭头 1">
          <a:extLst>
            <a:ext uri="{FF2B5EF4-FFF2-40B4-BE49-F238E27FC236}">
              <a16:creationId xmlns:a16="http://schemas.microsoft.com/office/drawing/2014/main" id="{00000000-0008-0000-0800-000002000000}"/>
            </a:ext>
          </a:extLst>
        </xdr:cNvPr>
        <xdr:cNvSpPr/>
      </xdr:nvSpPr>
      <xdr:spPr>
        <a:xfrm>
          <a:off x="11234031" y="860212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40189</xdr:colOff>
      <xdr:row>59</xdr:row>
      <xdr:rowOff>112532</xdr:rowOff>
    </xdr:from>
    <xdr:to>
      <xdr:col>16</xdr:col>
      <xdr:colOff>195334</xdr:colOff>
      <xdr:row>65</xdr:row>
      <xdr:rowOff>88514</xdr:rowOff>
    </xdr:to>
    <xdr:sp macro="" textlink="">
      <xdr:nvSpPr>
        <xdr:cNvPr id="2" name="右箭头 1">
          <a:extLst>
            <a:ext uri="{FF2B5EF4-FFF2-40B4-BE49-F238E27FC236}">
              <a16:creationId xmlns:a16="http://schemas.microsoft.com/office/drawing/2014/main" id="{00000000-0008-0000-0A00-000002000000}"/>
            </a:ext>
          </a:extLst>
        </xdr:cNvPr>
        <xdr:cNvSpPr/>
      </xdr:nvSpPr>
      <xdr:spPr>
        <a:xfrm>
          <a:off x="11060252" y="8954304"/>
          <a:ext cx="814259" cy="32965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103419</xdr:colOff>
      <xdr:row>9</xdr:row>
      <xdr:rowOff>71438</xdr:rowOff>
    </xdr:from>
    <xdr:to>
      <xdr:col>23</xdr:col>
      <xdr:colOff>793050</xdr:colOff>
      <xdr:row>24</xdr:row>
      <xdr:rowOff>119063</xdr:rowOff>
    </xdr:to>
    <xdr:graphicFrame macro="">
      <xdr:nvGraphicFramePr>
        <xdr:cNvPr id="2" name="Chart 3">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43656</xdr:colOff>
      <xdr:row>10</xdr:row>
      <xdr:rowOff>87313</xdr:rowOff>
    </xdr:from>
    <xdr:to>
      <xdr:col>2</xdr:col>
      <xdr:colOff>536170</xdr:colOff>
      <xdr:row>23</xdr:row>
      <xdr:rowOff>65615</xdr:rowOff>
    </xdr:to>
    <xdr:pic>
      <xdr:nvPicPr>
        <xdr:cNvPr id="3" name="Picture 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3656" y="2538413"/>
          <a:ext cx="2981714" cy="2467502"/>
        </a:xfrm>
        <a:prstGeom prst="rect">
          <a:avLst/>
        </a:prstGeom>
      </xdr:spPr>
    </xdr:pic>
    <xdr:clientData/>
  </xdr:twoCellAnchor>
  <xdr:twoCellAnchor editAs="oneCell">
    <xdr:from>
      <xdr:col>3</xdr:col>
      <xdr:colOff>98426</xdr:colOff>
      <xdr:row>10</xdr:row>
      <xdr:rowOff>47686</xdr:rowOff>
    </xdr:from>
    <xdr:to>
      <xdr:col>8</xdr:col>
      <xdr:colOff>297640</xdr:colOff>
      <xdr:row>23</xdr:row>
      <xdr:rowOff>78594</xdr:rowOff>
    </xdr:to>
    <xdr:pic>
      <xdr:nvPicPr>
        <xdr:cNvPr id="4" name="Picture 5">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3">
          <a:lum bright="-20000" contrast="40000"/>
          <a:extLst>
            <a:ext uri="{28A0092B-C50C-407E-A947-70E740481C1C}">
              <a14:useLocalDpi xmlns:a14="http://schemas.microsoft.com/office/drawing/2010/main" val="0"/>
            </a:ext>
          </a:extLst>
        </a:blip>
        <a:srcRect/>
        <a:stretch>
          <a:fillRect/>
        </a:stretch>
      </xdr:blipFill>
      <xdr:spPr bwMode="auto">
        <a:xfrm>
          <a:off x="4079876" y="2498786"/>
          <a:ext cx="5520514" cy="252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41</xdr:col>
      <xdr:colOff>209550</xdr:colOff>
      <xdr:row>1</xdr:row>
      <xdr:rowOff>425450</xdr:rowOff>
    </xdr:from>
    <xdr:to>
      <xdr:col>43</xdr:col>
      <xdr:colOff>57150</xdr:colOff>
      <xdr:row>5</xdr:row>
      <xdr:rowOff>146050</xdr:rowOff>
    </xdr:to>
    <xdr:cxnSp macro="">
      <xdr:nvCxnSpPr>
        <xdr:cNvPr id="4" name="直接箭头连接符 3">
          <a:extLst>
            <a:ext uri="{FF2B5EF4-FFF2-40B4-BE49-F238E27FC236}">
              <a16:creationId xmlns:a16="http://schemas.microsoft.com/office/drawing/2014/main" id="{00000000-0008-0000-0E00-000004000000}"/>
            </a:ext>
          </a:extLst>
        </xdr:cNvPr>
        <xdr:cNvCxnSpPr/>
      </xdr:nvCxnSpPr>
      <xdr:spPr>
        <a:xfrm flipH="1" flipV="1">
          <a:off x="30283150" y="781050"/>
          <a:ext cx="1168400"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890067</xdr:colOff>
      <xdr:row>5</xdr:row>
      <xdr:rowOff>163285</xdr:rowOff>
    </xdr:from>
    <xdr:ext cx="813228" cy="665567"/>
    <xdr:sp macro="" textlink="">
      <xdr:nvSpPr>
        <xdr:cNvPr id="5" name="文本框 4">
          <a:extLst>
            <a:ext uri="{FF2B5EF4-FFF2-40B4-BE49-F238E27FC236}">
              <a16:creationId xmlns:a16="http://schemas.microsoft.com/office/drawing/2014/main" id="{00000000-0008-0000-0E00-000005000000}"/>
            </a:ext>
          </a:extLst>
        </xdr:cNvPr>
        <xdr:cNvSpPr txBox="1"/>
      </xdr:nvSpPr>
      <xdr:spPr>
        <a:xfrm>
          <a:off x="17646596" y="1605109"/>
          <a:ext cx="81322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25</xdr:col>
      <xdr:colOff>49389</xdr:colOff>
      <xdr:row>17</xdr:row>
      <xdr:rowOff>158246</xdr:rowOff>
    </xdr:from>
    <xdr:ext cx="689428" cy="283411"/>
    <xdr:sp macro="" textlink="">
      <xdr:nvSpPr>
        <xdr:cNvPr id="6" name="文本框 5">
          <a:extLst>
            <a:ext uri="{FF2B5EF4-FFF2-40B4-BE49-F238E27FC236}">
              <a16:creationId xmlns:a16="http://schemas.microsoft.com/office/drawing/2014/main" id="{00000000-0008-0000-0E00-000006000000}"/>
            </a:ext>
          </a:extLst>
        </xdr:cNvPr>
        <xdr:cNvSpPr txBox="1"/>
      </xdr:nvSpPr>
      <xdr:spPr>
        <a:xfrm>
          <a:off x="17716500" y="408113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26</xdr:col>
      <xdr:colOff>798820</xdr:colOff>
      <xdr:row>5</xdr:row>
      <xdr:rowOff>133934</xdr:rowOff>
    </xdr:from>
    <xdr:ext cx="822298" cy="665567"/>
    <xdr:sp macro="" textlink="">
      <xdr:nvSpPr>
        <xdr:cNvPr id="8" name="文本框 7">
          <a:extLst>
            <a:ext uri="{FF2B5EF4-FFF2-40B4-BE49-F238E27FC236}">
              <a16:creationId xmlns:a16="http://schemas.microsoft.com/office/drawing/2014/main" id="{00000000-0008-0000-0E00-000008000000}"/>
            </a:ext>
          </a:extLst>
        </xdr:cNvPr>
        <xdr:cNvSpPr txBox="1"/>
      </xdr:nvSpPr>
      <xdr:spPr>
        <a:xfrm>
          <a:off x="19721820" y="1575758"/>
          <a:ext cx="822298" cy="6655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历史值</a:t>
          </a:r>
          <a:endParaRPr lang="en-US" altLang="zh-CN" sz="1100">
            <a:solidFill>
              <a:schemeClr val="accent4">
                <a:lumMod val="75000"/>
              </a:schemeClr>
            </a:solidFill>
          </a:endParaRPr>
        </a:p>
        <a:p>
          <a:r>
            <a:rPr lang="en-US" altLang="zh-CN" sz="1100">
              <a:solidFill>
                <a:schemeClr val="accent4">
                  <a:lumMod val="75000"/>
                </a:schemeClr>
              </a:solidFill>
            </a:rPr>
            <a:t>=</a:t>
          </a:r>
          <a:r>
            <a:rPr lang="zh-CN" altLang="en-US" sz="1100">
              <a:solidFill>
                <a:schemeClr val="accent4">
                  <a:lumMod val="75000"/>
                </a:schemeClr>
              </a:solidFill>
            </a:rPr>
            <a:t>历史能耗</a:t>
          </a:r>
          <a:r>
            <a:rPr lang="en-US" altLang="zh-CN" sz="1100">
              <a:solidFill>
                <a:schemeClr val="accent4">
                  <a:lumMod val="75000"/>
                </a:schemeClr>
              </a:solidFill>
            </a:rPr>
            <a:t>/</a:t>
          </a:r>
          <a:r>
            <a:rPr lang="zh-CN" altLang="en-US" sz="1100">
              <a:solidFill>
                <a:schemeClr val="accent4">
                  <a:lumMod val="75000"/>
                </a:schemeClr>
              </a:solidFill>
            </a:rPr>
            <a:t>人口</a:t>
          </a:r>
        </a:p>
      </xdr:txBody>
    </xdr:sp>
    <xdr:clientData/>
  </xdr:oneCellAnchor>
  <xdr:oneCellAnchor>
    <xdr:from>
      <xdr:col>27</xdr:col>
      <xdr:colOff>124986</xdr:colOff>
      <xdr:row>17</xdr:row>
      <xdr:rowOff>159255</xdr:rowOff>
    </xdr:from>
    <xdr:ext cx="689428" cy="283411"/>
    <xdr:sp macro="" textlink="">
      <xdr:nvSpPr>
        <xdr:cNvPr id="10" name="文本框 9">
          <a:extLst>
            <a:ext uri="{FF2B5EF4-FFF2-40B4-BE49-F238E27FC236}">
              <a16:creationId xmlns:a16="http://schemas.microsoft.com/office/drawing/2014/main" id="{00000000-0008-0000-0E00-00000A00000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2" name="文本框 9">
          <a:extLst>
            <a:ext uri="{FF2B5EF4-FFF2-40B4-BE49-F238E27FC236}">
              <a16:creationId xmlns:a16="http://schemas.microsoft.com/office/drawing/2014/main" id="{D6172230-0A6F-EF49-9F44-1F9F9C34BEC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3" name="文本框 9">
          <a:extLst>
            <a:ext uri="{FF2B5EF4-FFF2-40B4-BE49-F238E27FC236}">
              <a16:creationId xmlns:a16="http://schemas.microsoft.com/office/drawing/2014/main" id="{5D2B05FD-E9E2-C045-AC12-0AB70F7CF15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7" name="文本框 9">
          <a:extLst>
            <a:ext uri="{FF2B5EF4-FFF2-40B4-BE49-F238E27FC236}">
              <a16:creationId xmlns:a16="http://schemas.microsoft.com/office/drawing/2014/main" id="{437F2C22-A852-264C-9C3B-7323205AB21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9" name="文本框 9">
          <a:extLst>
            <a:ext uri="{FF2B5EF4-FFF2-40B4-BE49-F238E27FC236}">
              <a16:creationId xmlns:a16="http://schemas.microsoft.com/office/drawing/2014/main" id="{E183EA5E-34FA-0B40-B3E1-ADB8F14D316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11" name="文本框 9">
          <a:extLst>
            <a:ext uri="{FF2B5EF4-FFF2-40B4-BE49-F238E27FC236}">
              <a16:creationId xmlns:a16="http://schemas.microsoft.com/office/drawing/2014/main" id="{6C2CF5FD-24F2-4044-9398-9BF788D81B3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12" name="文本框 9">
          <a:extLst>
            <a:ext uri="{FF2B5EF4-FFF2-40B4-BE49-F238E27FC236}">
              <a16:creationId xmlns:a16="http://schemas.microsoft.com/office/drawing/2014/main" id="{DC7ECA38-6FE5-8C44-96C4-86C9E2AA4D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13" name="文本框 9">
          <a:extLst>
            <a:ext uri="{FF2B5EF4-FFF2-40B4-BE49-F238E27FC236}">
              <a16:creationId xmlns:a16="http://schemas.microsoft.com/office/drawing/2014/main" id="{D1E05FD9-A903-C94B-8E2A-12E4CCD09AB9}"/>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14" name="文本框 9">
          <a:extLst>
            <a:ext uri="{FF2B5EF4-FFF2-40B4-BE49-F238E27FC236}">
              <a16:creationId xmlns:a16="http://schemas.microsoft.com/office/drawing/2014/main" id="{A6092BCC-B41C-A944-B86A-1CF0ADC6EE3A}"/>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15" name="文本框 9">
          <a:extLst>
            <a:ext uri="{FF2B5EF4-FFF2-40B4-BE49-F238E27FC236}">
              <a16:creationId xmlns:a16="http://schemas.microsoft.com/office/drawing/2014/main" id="{E9C2CFAC-8080-7A49-A8F6-5D2FD3E110D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16" name="文本框 9">
          <a:extLst>
            <a:ext uri="{FF2B5EF4-FFF2-40B4-BE49-F238E27FC236}">
              <a16:creationId xmlns:a16="http://schemas.microsoft.com/office/drawing/2014/main" id="{EEB2C037-A63E-1D4E-AFBD-83752A16571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17" name="文本框 9">
          <a:extLst>
            <a:ext uri="{FF2B5EF4-FFF2-40B4-BE49-F238E27FC236}">
              <a16:creationId xmlns:a16="http://schemas.microsoft.com/office/drawing/2014/main" id="{56ADB703-4784-104B-9641-2C6717624CF5}"/>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18" name="文本框 9">
          <a:extLst>
            <a:ext uri="{FF2B5EF4-FFF2-40B4-BE49-F238E27FC236}">
              <a16:creationId xmlns:a16="http://schemas.microsoft.com/office/drawing/2014/main" id="{D3837FEB-7E7E-6C48-8FFD-B18BC11DC0A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19" name="文本框 9">
          <a:extLst>
            <a:ext uri="{FF2B5EF4-FFF2-40B4-BE49-F238E27FC236}">
              <a16:creationId xmlns:a16="http://schemas.microsoft.com/office/drawing/2014/main" id="{2148F16D-71D4-9845-B860-F20927325F78}"/>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20" name="文本框 9">
          <a:extLst>
            <a:ext uri="{FF2B5EF4-FFF2-40B4-BE49-F238E27FC236}">
              <a16:creationId xmlns:a16="http://schemas.microsoft.com/office/drawing/2014/main" id="{B4027DDF-869C-C843-A718-5F4A3CF0BC66}"/>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21" name="文本框 9">
          <a:extLst>
            <a:ext uri="{FF2B5EF4-FFF2-40B4-BE49-F238E27FC236}">
              <a16:creationId xmlns:a16="http://schemas.microsoft.com/office/drawing/2014/main" id="{8B25677D-3DD3-D64D-9B25-8B44D918BFF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22" name="文本框 9">
          <a:extLst>
            <a:ext uri="{FF2B5EF4-FFF2-40B4-BE49-F238E27FC236}">
              <a16:creationId xmlns:a16="http://schemas.microsoft.com/office/drawing/2014/main" id="{95357766-B1C8-6A4A-9D75-D9E3350894A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23" name="文本框 9">
          <a:extLst>
            <a:ext uri="{FF2B5EF4-FFF2-40B4-BE49-F238E27FC236}">
              <a16:creationId xmlns:a16="http://schemas.microsoft.com/office/drawing/2014/main" id="{C644B5BB-E4BE-7C41-9C13-2CA824B50560}"/>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24" name="文本框 9">
          <a:extLst>
            <a:ext uri="{FF2B5EF4-FFF2-40B4-BE49-F238E27FC236}">
              <a16:creationId xmlns:a16="http://schemas.microsoft.com/office/drawing/2014/main" id="{EB8592F3-D14A-CD40-A3C9-97CA2755CF2E}"/>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25" name="文本框 9">
          <a:extLst>
            <a:ext uri="{FF2B5EF4-FFF2-40B4-BE49-F238E27FC236}">
              <a16:creationId xmlns:a16="http://schemas.microsoft.com/office/drawing/2014/main" id="{9A11FD74-B193-5842-8D72-2D4634289687}"/>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26" name="文本框 9">
          <a:extLst>
            <a:ext uri="{FF2B5EF4-FFF2-40B4-BE49-F238E27FC236}">
              <a16:creationId xmlns:a16="http://schemas.microsoft.com/office/drawing/2014/main" id="{99DADF99-CFC1-4240-A867-DD04DF89151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27" name="文本框 9">
          <a:extLst>
            <a:ext uri="{FF2B5EF4-FFF2-40B4-BE49-F238E27FC236}">
              <a16:creationId xmlns:a16="http://schemas.microsoft.com/office/drawing/2014/main" id="{ADED813D-BF79-6D43-84E0-EF31973B88EB}"/>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28" name="文本框 9">
          <a:extLst>
            <a:ext uri="{FF2B5EF4-FFF2-40B4-BE49-F238E27FC236}">
              <a16:creationId xmlns:a16="http://schemas.microsoft.com/office/drawing/2014/main" id="{D465183F-AC64-544E-9F5A-11E6EEFFFF64}"/>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29" name="文本框 9">
          <a:extLst>
            <a:ext uri="{FF2B5EF4-FFF2-40B4-BE49-F238E27FC236}">
              <a16:creationId xmlns:a16="http://schemas.microsoft.com/office/drawing/2014/main" id="{0FC9A77D-4339-BA48-ACBA-28C9CD51A7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30" name="文本框 9">
          <a:extLst>
            <a:ext uri="{FF2B5EF4-FFF2-40B4-BE49-F238E27FC236}">
              <a16:creationId xmlns:a16="http://schemas.microsoft.com/office/drawing/2014/main" id="{2BE84B0A-95DB-E44A-9818-37FBE8368F3C}"/>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31" name="文本框 9">
          <a:extLst>
            <a:ext uri="{FF2B5EF4-FFF2-40B4-BE49-F238E27FC236}">
              <a16:creationId xmlns:a16="http://schemas.microsoft.com/office/drawing/2014/main" id="{23FAB3EB-F810-1245-9F08-4B32A775307D}"/>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32" name="文本框 9">
          <a:extLst>
            <a:ext uri="{FF2B5EF4-FFF2-40B4-BE49-F238E27FC236}">
              <a16:creationId xmlns:a16="http://schemas.microsoft.com/office/drawing/2014/main" id="{4671CAC5-FBC1-BF4C-832E-F20409A1C29F}"/>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33" name="文本框 9">
          <a:extLst>
            <a:ext uri="{FF2B5EF4-FFF2-40B4-BE49-F238E27FC236}">
              <a16:creationId xmlns:a16="http://schemas.microsoft.com/office/drawing/2014/main" id="{83F1C9AF-644B-F94C-A806-40BEEFA89AD1}"/>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45</xdr:row>
      <xdr:rowOff>159255</xdr:rowOff>
    </xdr:from>
    <xdr:ext cx="689428" cy="283411"/>
    <xdr:sp macro="" textlink="">
      <xdr:nvSpPr>
        <xdr:cNvPr id="34" name="文本框 9">
          <a:extLst>
            <a:ext uri="{FF2B5EF4-FFF2-40B4-BE49-F238E27FC236}">
              <a16:creationId xmlns:a16="http://schemas.microsoft.com/office/drawing/2014/main" id="{53C0B2F7-100A-9D46-8F4E-34B54E26ADB3}"/>
            </a:ext>
          </a:extLst>
        </xdr:cNvPr>
        <xdr:cNvSpPr txBox="1"/>
      </xdr:nvSpPr>
      <xdr:spPr>
        <a:xfrm>
          <a:off x="19894653" y="4082144"/>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18</xdr:row>
      <xdr:rowOff>159255</xdr:rowOff>
    </xdr:from>
    <xdr:ext cx="689428" cy="283411"/>
    <xdr:sp macro="" textlink="">
      <xdr:nvSpPr>
        <xdr:cNvPr id="62" name="文本框 9">
          <a:extLst>
            <a:ext uri="{FF2B5EF4-FFF2-40B4-BE49-F238E27FC236}">
              <a16:creationId xmlns:a16="http://schemas.microsoft.com/office/drawing/2014/main" id="{AEB764EC-D02B-7046-8FCB-AEA267D8670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19</xdr:row>
      <xdr:rowOff>159255</xdr:rowOff>
    </xdr:from>
    <xdr:ext cx="689428" cy="283411"/>
    <xdr:sp macro="" textlink="">
      <xdr:nvSpPr>
        <xdr:cNvPr id="63" name="文本框 9">
          <a:extLst>
            <a:ext uri="{FF2B5EF4-FFF2-40B4-BE49-F238E27FC236}">
              <a16:creationId xmlns:a16="http://schemas.microsoft.com/office/drawing/2014/main" id="{6DEEC2E3-7B83-0F42-81AB-51BC8BF2E73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20</xdr:row>
      <xdr:rowOff>159255</xdr:rowOff>
    </xdr:from>
    <xdr:ext cx="689428" cy="283411"/>
    <xdr:sp macro="" textlink="">
      <xdr:nvSpPr>
        <xdr:cNvPr id="64" name="文本框 9">
          <a:extLst>
            <a:ext uri="{FF2B5EF4-FFF2-40B4-BE49-F238E27FC236}">
              <a16:creationId xmlns:a16="http://schemas.microsoft.com/office/drawing/2014/main" id="{64E1CEBF-037D-2A4A-B7CD-2CD5759E176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21</xdr:row>
      <xdr:rowOff>159255</xdr:rowOff>
    </xdr:from>
    <xdr:ext cx="689428" cy="283411"/>
    <xdr:sp macro="" textlink="">
      <xdr:nvSpPr>
        <xdr:cNvPr id="65" name="文本框 9">
          <a:extLst>
            <a:ext uri="{FF2B5EF4-FFF2-40B4-BE49-F238E27FC236}">
              <a16:creationId xmlns:a16="http://schemas.microsoft.com/office/drawing/2014/main" id="{64A2D7AD-5B0D-E54C-B38C-C468C5748AB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22</xdr:row>
      <xdr:rowOff>159255</xdr:rowOff>
    </xdr:from>
    <xdr:ext cx="689428" cy="283411"/>
    <xdr:sp macro="" textlink="">
      <xdr:nvSpPr>
        <xdr:cNvPr id="66" name="文本框 9">
          <a:extLst>
            <a:ext uri="{FF2B5EF4-FFF2-40B4-BE49-F238E27FC236}">
              <a16:creationId xmlns:a16="http://schemas.microsoft.com/office/drawing/2014/main" id="{75D37AED-1EB5-ED46-9163-EBD8F4897B35}"/>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23</xdr:row>
      <xdr:rowOff>159255</xdr:rowOff>
    </xdr:from>
    <xdr:ext cx="689428" cy="283411"/>
    <xdr:sp macro="" textlink="">
      <xdr:nvSpPr>
        <xdr:cNvPr id="67" name="文本框 9">
          <a:extLst>
            <a:ext uri="{FF2B5EF4-FFF2-40B4-BE49-F238E27FC236}">
              <a16:creationId xmlns:a16="http://schemas.microsoft.com/office/drawing/2014/main" id="{F382E665-5AEA-4445-831D-DFA3B41BC1D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24</xdr:row>
      <xdr:rowOff>159255</xdr:rowOff>
    </xdr:from>
    <xdr:ext cx="689428" cy="283411"/>
    <xdr:sp macro="" textlink="">
      <xdr:nvSpPr>
        <xdr:cNvPr id="68" name="文本框 9">
          <a:extLst>
            <a:ext uri="{FF2B5EF4-FFF2-40B4-BE49-F238E27FC236}">
              <a16:creationId xmlns:a16="http://schemas.microsoft.com/office/drawing/2014/main" id="{4E282AC3-44A9-424A-98CC-7950449B162E}"/>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25</xdr:row>
      <xdr:rowOff>159255</xdr:rowOff>
    </xdr:from>
    <xdr:ext cx="689428" cy="283411"/>
    <xdr:sp macro="" textlink="">
      <xdr:nvSpPr>
        <xdr:cNvPr id="69" name="文本框 9">
          <a:extLst>
            <a:ext uri="{FF2B5EF4-FFF2-40B4-BE49-F238E27FC236}">
              <a16:creationId xmlns:a16="http://schemas.microsoft.com/office/drawing/2014/main" id="{F0FEB624-47A2-EC48-A13D-083B7EDFA20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26</xdr:row>
      <xdr:rowOff>159255</xdr:rowOff>
    </xdr:from>
    <xdr:ext cx="689428" cy="283411"/>
    <xdr:sp macro="" textlink="">
      <xdr:nvSpPr>
        <xdr:cNvPr id="70" name="文本框 9">
          <a:extLst>
            <a:ext uri="{FF2B5EF4-FFF2-40B4-BE49-F238E27FC236}">
              <a16:creationId xmlns:a16="http://schemas.microsoft.com/office/drawing/2014/main" id="{25430D73-75AB-6048-93CA-F492E0BAA2F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27</xdr:row>
      <xdr:rowOff>159255</xdr:rowOff>
    </xdr:from>
    <xdr:ext cx="689428" cy="283411"/>
    <xdr:sp macro="" textlink="">
      <xdr:nvSpPr>
        <xdr:cNvPr id="71" name="文本框 9">
          <a:extLst>
            <a:ext uri="{FF2B5EF4-FFF2-40B4-BE49-F238E27FC236}">
              <a16:creationId xmlns:a16="http://schemas.microsoft.com/office/drawing/2014/main" id="{3D30B7C2-0197-4F42-9804-EEC07FE2620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28</xdr:row>
      <xdr:rowOff>159255</xdr:rowOff>
    </xdr:from>
    <xdr:ext cx="689428" cy="283411"/>
    <xdr:sp macro="" textlink="">
      <xdr:nvSpPr>
        <xdr:cNvPr id="72" name="文本框 9">
          <a:extLst>
            <a:ext uri="{FF2B5EF4-FFF2-40B4-BE49-F238E27FC236}">
              <a16:creationId xmlns:a16="http://schemas.microsoft.com/office/drawing/2014/main" id="{FCD982EB-DDB6-3647-B83E-9149786BB2C2}"/>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29</xdr:row>
      <xdr:rowOff>159255</xdr:rowOff>
    </xdr:from>
    <xdr:ext cx="689428" cy="283411"/>
    <xdr:sp macro="" textlink="">
      <xdr:nvSpPr>
        <xdr:cNvPr id="73" name="文本框 9">
          <a:extLst>
            <a:ext uri="{FF2B5EF4-FFF2-40B4-BE49-F238E27FC236}">
              <a16:creationId xmlns:a16="http://schemas.microsoft.com/office/drawing/2014/main" id="{68644A8A-2084-7541-AAB7-6E7E0835A54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30</xdr:row>
      <xdr:rowOff>159255</xdr:rowOff>
    </xdr:from>
    <xdr:ext cx="689428" cy="283411"/>
    <xdr:sp macro="" textlink="">
      <xdr:nvSpPr>
        <xdr:cNvPr id="74" name="文本框 9">
          <a:extLst>
            <a:ext uri="{FF2B5EF4-FFF2-40B4-BE49-F238E27FC236}">
              <a16:creationId xmlns:a16="http://schemas.microsoft.com/office/drawing/2014/main" id="{BEE67533-13B3-CA49-A615-D130A496696B}"/>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31</xdr:row>
      <xdr:rowOff>159255</xdr:rowOff>
    </xdr:from>
    <xdr:ext cx="689428" cy="283411"/>
    <xdr:sp macro="" textlink="">
      <xdr:nvSpPr>
        <xdr:cNvPr id="75" name="文本框 9">
          <a:extLst>
            <a:ext uri="{FF2B5EF4-FFF2-40B4-BE49-F238E27FC236}">
              <a16:creationId xmlns:a16="http://schemas.microsoft.com/office/drawing/2014/main" id="{1E50D2B8-F7B4-814B-82A6-8BC2AEF0A6E1}"/>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32</xdr:row>
      <xdr:rowOff>159255</xdr:rowOff>
    </xdr:from>
    <xdr:ext cx="689428" cy="283411"/>
    <xdr:sp macro="" textlink="">
      <xdr:nvSpPr>
        <xdr:cNvPr id="76" name="文本框 9">
          <a:extLst>
            <a:ext uri="{FF2B5EF4-FFF2-40B4-BE49-F238E27FC236}">
              <a16:creationId xmlns:a16="http://schemas.microsoft.com/office/drawing/2014/main" id="{1AD8CB58-5C50-094A-983F-CFC7650C78A0}"/>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33</xdr:row>
      <xdr:rowOff>159255</xdr:rowOff>
    </xdr:from>
    <xdr:ext cx="689428" cy="283411"/>
    <xdr:sp macro="" textlink="">
      <xdr:nvSpPr>
        <xdr:cNvPr id="77" name="文本框 9">
          <a:extLst>
            <a:ext uri="{FF2B5EF4-FFF2-40B4-BE49-F238E27FC236}">
              <a16:creationId xmlns:a16="http://schemas.microsoft.com/office/drawing/2014/main" id="{10601565-E474-6042-8EF8-87D407294836}"/>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34</xdr:row>
      <xdr:rowOff>159255</xdr:rowOff>
    </xdr:from>
    <xdr:ext cx="689428" cy="283411"/>
    <xdr:sp macro="" textlink="">
      <xdr:nvSpPr>
        <xdr:cNvPr id="78" name="文本框 9">
          <a:extLst>
            <a:ext uri="{FF2B5EF4-FFF2-40B4-BE49-F238E27FC236}">
              <a16:creationId xmlns:a16="http://schemas.microsoft.com/office/drawing/2014/main" id="{093B02B7-1429-D04F-845B-2845E1ECFC87}"/>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35</xdr:row>
      <xdr:rowOff>159255</xdr:rowOff>
    </xdr:from>
    <xdr:ext cx="689428" cy="283411"/>
    <xdr:sp macro="" textlink="">
      <xdr:nvSpPr>
        <xdr:cNvPr id="79" name="文本框 9">
          <a:extLst>
            <a:ext uri="{FF2B5EF4-FFF2-40B4-BE49-F238E27FC236}">
              <a16:creationId xmlns:a16="http://schemas.microsoft.com/office/drawing/2014/main" id="{BD65CA96-8D3A-4B41-AC17-5A3ADF62F953}"/>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36</xdr:row>
      <xdr:rowOff>159255</xdr:rowOff>
    </xdr:from>
    <xdr:ext cx="689428" cy="283411"/>
    <xdr:sp macro="" textlink="">
      <xdr:nvSpPr>
        <xdr:cNvPr id="80" name="文本框 9">
          <a:extLst>
            <a:ext uri="{FF2B5EF4-FFF2-40B4-BE49-F238E27FC236}">
              <a16:creationId xmlns:a16="http://schemas.microsoft.com/office/drawing/2014/main" id="{13061DBB-F77C-8A44-A565-E17234D5F81D}"/>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37</xdr:row>
      <xdr:rowOff>159255</xdr:rowOff>
    </xdr:from>
    <xdr:ext cx="689428" cy="283411"/>
    <xdr:sp macro="" textlink="">
      <xdr:nvSpPr>
        <xdr:cNvPr id="81" name="文本框 9">
          <a:extLst>
            <a:ext uri="{FF2B5EF4-FFF2-40B4-BE49-F238E27FC236}">
              <a16:creationId xmlns:a16="http://schemas.microsoft.com/office/drawing/2014/main" id="{DAE14186-219E-D341-92F8-9792847336FF}"/>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38</xdr:row>
      <xdr:rowOff>159255</xdr:rowOff>
    </xdr:from>
    <xdr:ext cx="689428" cy="283411"/>
    <xdr:sp macro="" textlink="">
      <xdr:nvSpPr>
        <xdr:cNvPr id="82" name="文本框 9">
          <a:extLst>
            <a:ext uri="{FF2B5EF4-FFF2-40B4-BE49-F238E27FC236}">
              <a16:creationId xmlns:a16="http://schemas.microsoft.com/office/drawing/2014/main" id="{D3848D5E-9B80-B542-ADCD-BC37CC09BC08}"/>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39</xdr:row>
      <xdr:rowOff>159255</xdr:rowOff>
    </xdr:from>
    <xdr:ext cx="689428" cy="283411"/>
    <xdr:sp macro="" textlink="">
      <xdr:nvSpPr>
        <xdr:cNvPr id="83" name="文本框 9">
          <a:extLst>
            <a:ext uri="{FF2B5EF4-FFF2-40B4-BE49-F238E27FC236}">
              <a16:creationId xmlns:a16="http://schemas.microsoft.com/office/drawing/2014/main" id="{DAC5DF7A-E29C-7F40-8305-1CBA2D786A0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40</xdr:row>
      <xdr:rowOff>159255</xdr:rowOff>
    </xdr:from>
    <xdr:ext cx="689428" cy="283411"/>
    <xdr:sp macro="" textlink="">
      <xdr:nvSpPr>
        <xdr:cNvPr id="84" name="文本框 9">
          <a:extLst>
            <a:ext uri="{FF2B5EF4-FFF2-40B4-BE49-F238E27FC236}">
              <a16:creationId xmlns:a16="http://schemas.microsoft.com/office/drawing/2014/main" id="{D9115262-CA67-A441-B2B4-1AE4203F2A9B}"/>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41</xdr:row>
      <xdr:rowOff>159255</xdr:rowOff>
    </xdr:from>
    <xdr:ext cx="689428" cy="283411"/>
    <xdr:sp macro="" textlink="">
      <xdr:nvSpPr>
        <xdr:cNvPr id="85" name="文本框 9">
          <a:extLst>
            <a:ext uri="{FF2B5EF4-FFF2-40B4-BE49-F238E27FC236}">
              <a16:creationId xmlns:a16="http://schemas.microsoft.com/office/drawing/2014/main" id="{74CBB694-7FF6-7A48-B4F0-8C18640B35BA}"/>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42</xdr:row>
      <xdr:rowOff>159255</xdr:rowOff>
    </xdr:from>
    <xdr:ext cx="689428" cy="283411"/>
    <xdr:sp macro="" textlink="">
      <xdr:nvSpPr>
        <xdr:cNvPr id="86" name="文本框 9">
          <a:extLst>
            <a:ext uri="{FF2B5EF4-FFF2-40B4-BE49-F238E27FC236}">
              <a16:creationId xmlns:a16="http://schemas.microsoft.com/office/drawing/2014/main" id="{2FB46F03-3802-014A-A21C-F7747A1307C2}"/>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43</xdr:row>
      <xdr:rowOff>159255</xdr:rowOff>
    </xdr:from>
    <xdr:ext cx="689428" cy="283411"/>
    <xdr:sp macro="" textlink="">
      <xdr:nvSpPr>
        <xdr:cNvPr id="87" name="文本框 9">
          <a:extLst>
            <a:ext uri="{FF2B5EF4-FFF2-40B4-BE49-F238E27FC236}">
              <a16:creationId xmlns:a16="http://schemas.microsoft.com/office/drawing/2014/main" id="{A8FB6C7F-E8B9-0644-BC09-EC6C443A6A39}"/>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27</xdr:col>
      <xdr:colOff>124986</xdr:colOff>
      <xdr:row>44</xdr:row>
      <xdr:rowOff>159255</xdr:rowOff>
    </xdr:from>
    <xdr:ext cx="689428" cy="283411"/>
    <xdr:sp macro="" textlink="">
      <xdr:nvSpPr>
        <xdr:cNvPr id="88" name="文本框 9">
          <a:extLst>
            <a:ext uri="{FF2B5EF4-FFF2-40B4-BE49-F238E27FC236}">
              <a16:creationId xmlns:a16="http://schemas.microsoft.com/office/drawing/2014/main" id="{82A73BAE-890F-A949-858F-48D6C2879369}"/>
            </a:ext>
          </a:extLst>
        </xdr:cNvPr>
        <xdr:cNvSpPr txBox="1"/>
      </xdr:nvSpPr>
      <xdr:spPr>
        <a:xfrm>
          <a:off x="17346186" y="3766055"/>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18</xdr:row>
      <xdr:rowOff>158246</xdr:rowOff>
    </xdr:from>
    <xdr:ext cx="689428" cy="283411"/>
    <xdr:sp macro="" textlink="">
      <xdr:nvSpPr>
        <xdr:cNvPr id="89" name="文本框 5">
          <a:extLst>
            <a:ext uri="{FF2B5EF4-FFF2-40B4-BE49-F238E27FC236}">
              <a16:creationId xmlns:a16="http://schemas.microsoft.com/office/drawing/2014/main" id="{C9D87A97-41CC-794F-832A-9F90A9A0B4D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19</xdr:row>
      <xdr:rowOff>158246</xdr:rowOff>
    </xdr:from>
    <xdr:ext cx="689428" cy="283411"/>
    <xdr:sp macro="" textlink="">
      <xdr:nvSpPr>
        <xdr:cNvPr id="90" name="文本框 5">
          <a:extLst>
            <a:ext uri="{FF2B5EF4-FFF2-40B4-BE49-F238E27FC236}">
              <a16:creationId xmlns:a16="http://schemas.microsoft.com/office/drawing/2014/main" id="{61240217-A5E2-0345-A7C6-3FB37366D73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20</xdr:row>
      <xdr:rowOff>158246</xdr:rowOff>
    </xdr:from>
    <xdr:ext cx="689428" cy="283411"/>
    <xdr:sp macro="" textlink="">
      <xdr:nvSpPr>
        <xdr:cNvPr id="91" name="文本框 5">
          <a:extLst>
            <a:ext uri="{FF2B5EF4-FFF2-40B4-BE49-F238E27FC236}">
              <a16:creationId xmlns:a16="http://schemas.microsoft.com/office/drawing/2014/main" id="{ADEA13A3-55B5-1340-A465-FA6CB2F9FF36}"/>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21</xdr:row>
      <xdr:rowOff>158246</xdr:rowOff>
    </xdr:from>
    <xdr:ext cx="689428" cy="283411"/>
    <xdr:sp macro="" textlink="">
      <xdr:nvSpPr>
        <xdr:cNvPr id="92" name="文本框 5">
          <a:extLst>
            <a:ext uri="{FF2B5EF4-FFF2-40B4-BE49-F238E27FC236}">
              <a16:creationId xmlns:a16="http://schemas.microsoft.com/office/drawing/2014/main" id="{9F5BA478-EA4D-3E4D-A116-0C30AF12911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22</xdr:row>
      <xdr:rowOff>158246</xdr:rowOff>
    </xdr:from>
    <xdr:ext cx="689428" cy="283411"/>
    <xdr:sp macro="" textlink="">
      <xdr:nvSpPr>
        <xdr:cNvPr id="93" name="文本框 5">
          <a:extLst>
            <a:ext uri="{FF2B5EF4-FFF2-40B4-BE49-F238E27FC236}">
              <a16:creationId xmlns:a16="http://schemas.microsoft.com/office/drawing/2014/main" id="{DD38F797-7C44-E348-BF73-4E54994BE15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23</xdr:row>
      <xdr:rowOff>158246</xdr:rowOff>
    </xdr:from>
    <xdr:ext cx="689428" cy="283411"/>
    <xdr:sp macro="" textlink="">
      <xdr:nvSpPr>
        <xdr:cNvPr id="94" name="文本框 5">
          <a:extLst>
            <a:ext uri="{FF2B5EF4-FFF2-40B4-BE49-F238E27FC236}">
              <a16:creationId xmlns:a16="http://schemas.microsoft.com/office/drawing/2014/main" id="{EDF484C7-9A53-5C45-8CC0-C767797AEFD2}"/>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24</xdr:row>
      <xdr:rowOff>158246</xdr:rowOff>
    </xdr:from>
    <xdr:ext cx="689428" cy="283411"/>
    <xdr:sp macro="" textlink="">
      <xdr:nvSpPr>
        <xdr:cNvPr id="95" name="文本框 5">
          <a:extLst>
            <a:ext uri="{FF2B5EF4-FFF2-40B4-BE49-F238E27FC236}">
              <a16:creationId xmlns:a16="http://schemas.microsoft.com/office/drawing/2014/main" id="{CA2896FB-9119-8A48-98D0-3B736B9F458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25</xdr:row>
      <xdr:rowOff>158246</xdr:rowOff>
    </xdr:from>
    <xdr:ext cx="689428" cy="283411"/>
    <xdr:sp macro="" textlink="">
      <xdr:nvSpPr>
        <xdr:cNvPr id="96" name="文本框 5">
          <a:extLst>
            <a:ext uri="{FF2B5EF4-FFF2-40B4-BE49-F238E27FC236}">
              <a16:creationId xmlns:a16="http://schemas.microsoft.com/office/drawing/2014/main" id="{298829E3-781D-A64F-8C44-1E7EB32FBE7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26</xdr:row>
      <xdr:rowOff>158246</xdr:rowOff>
    </xdr:from>
    <xdr:ext cx="689428" cy="283411"/>
    <xdr:sp macro="" textlink="">
      <xdr:nvSpPr>
        <xdr:cNvPr id="97" name="文本框 5">
          <a:extLst>
            <a:ext uri="{FF2B5EF4-FFF2-40B4-BE49-F238E27FC236}">
              <a16:creationId xmlns:a16="http://schemas.microsoft.com/office/drawing/2014/main" id="{6AF95F6E-92F3-2C43-A39C-0D1236DC3AC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27</xdr:row>
      <xdr:rowOff>158246</xdr:rowOff>
    </xdr:from>
    <xdr:ext cx="689428" cy="283411"/>
    <xdr:sp macro="" textlink="">
      <xdr:nvSpPr>
        <xdr:cNvPr id="98" name="文本框 5">
          <a:extLst>
            <a:ext uri="{FF2B5EF4-FFF2-40B4-BE49-F238E27FC236}">
              <a16:creationId xmlns:a16="http://schemas.microsoft.com/office/drawing/2014/main" id="{B07DAFD8-3C26-EA47-A0B0-865205853C8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28</xdr:row>
      <xdr:rowOff>158246</xdr:rowOff>
    </xdr:from>
    <xdr:ext cx="689428" cy="283411"/>
    <xdr:sp macro="" textlink="">
      <xdr:nvSpPr>
        <xdr:cNvPr id="99" name="文本框 5">
          <a:extLst>
            <a:ext uri="{FF2B5EF4-FFF2-40B4-BE49-F238E27FC236}">
              <a16:creationId xmlns:a16="http://schemas.microsoft.com/office/drawing/2014/main" id="{330EA124-B537-D04A-B66B-F94C4A9A4BC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29</xdr:row>
      <xdr:rowOff>158246</xdr:rowOff>
    </xdr:from>
    <xdr:ext cx="689428" cy="283411"/>
    <xdr:sp macro="" textlink="">
      <xdr:nvSpPr>
        <xdr:cNvPr id="100" name="文本框 5">
          <a:extLst>
            <a:ext uri="{FF2B5EF4-FFF2-40B4-BE49-F238E27FC236}">
              <a16:creationId xmlns:a16="http://schemas.microsoft.com/office/drawing/2014/main" id="{7C8ABEAF-228D-C444-83CD-EE280BC6284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30</xdr:row>
      <xdr:rowOff>158246</xdr:rowOff>
    </xdr:from>
    <xdr:ext cx="689428" cy="283411"/>
    <xdr:sp macro="" textlink="">
      <xdr:nvSpPr>
        <xdr:cNvPr id="101" name="文本框 5">
          <a:extLst>
            <a:ext uri="{FF2B5EF4-FFF2-40B4-BE49-F238E27FC236}">
              <a16:creationId xmlns:a16="http://schemas.microsoft.com/office/drawing/2014/main" id="{B7DF4567-0C2F-1646-836B-DB76C98861C3}"/>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31</xdr:row>
      <xdr:rowOff>158246</xdr:rowOff>
    </xdr:from>
    <xdr:ext cx="689428" cy="283411"/>
    <xdr:sp macro="" textlink="">
      <xdr:nvSpPr>
        <xdr:cNvPr id="102" name="文本框 5">
          <a:extLst>
            <a:ext uri="{FF2B5EF4-FFF2-40B4-BE49-F238E27FC236}">
              <a16:creationId xmlns:a16="http://schemas.microsoft.com/office/drawing/2014/main" id="{362F57FB-D8D7-4C4A-A682-0EDCCD02D459}"/>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32</xdr:row>
      <xdr:rowOff>158246</xdr:rowOff>
    </xdr:from>
    <xdr:ext cx="689428" cy="283411"/>
    <xdr:sp macro="" textlink="">
      <xdr:nvSpPr>
        <xdr:cNvPr id="103" name="文本框 5">
          <a:extLst>
            <a:ext uri="{FF2B5EF4-FFF2-40B4-BE49-F238E27FC236}">
              <a16:creationId xmlns:a16="http://schemas.microsoft.com/office/drawing/2014/main" id="{99DAFDC9-65D3-B442-9D98-F776CA4E4C1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33</xdr:row>
      <xdr:rowOff>158246</xdr:rowOff>
    </xdr:from>
    <xdr:ext cx="689428" cy="283411"/>
    <xdr:sp macro="" textlink="">
      <xdr:nvSpPr>
        <xdr:cNvPr id="104" name="文本框 5">
          <a:extLst>
            <a:ext uri="{FF2B5EF4-FFF2-40B4-BE49-F238E27FC236}">
              <a16:creationId xmlns:a16="http://schemas.microsoft.com/office/drawing/2014/main" id="{36AC1982-4CB7-1C4D-B7BB-E2290BB35F3C}"/>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34</xdr:row>
      <xdr:rowOff>158246</xdr:rowOff>
    </xdr:from>
    <xdr:ext cx="689428" cy="283411"/>
    <xdr:sp macro="" textlink="">
      <xdr:nvSpPr>
        <xdr:cNvPr id="105" name="文本框 5">
          <a:extLst>
            <a:ext uri="{FF2B5EF4-FFF2-40B4-BE49-F238E27FC236}">
              <a16:creationId xmlns:a16="http://schemas.microsoft.com/office/drawing/2014/main" id="{9324738F-1F56-FA4D-8C37-799DEB2E0F91}"/>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35</xdr:row>
      <xdr:rowOff>158246</xdr:rowOff>
    </xdr:from>
    <xdr:ext cx="689428" cy="283411"/>
    <xdr:sp macro="" textlink="">
      <xdr:nvSpPr>
        <xdr:cNvPr id="106" name="文本框 5">
          <a:extLst>
            <a:ext uri="{FF2B5EF4-FFF2-40B4-BE49-F238E27FC236}">
              <a16:creationId xmlns:a16="http://schemas.microsoft.com/office/drawing/2014/main" id="{398B4217-3C6D-B541-9F4D-2506D72396A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36</xdr:row>
      <xdr:rowOff>158246</xdr:rowOff>
    </xdr:from>
    <xdr:ext cx="689428" cy="283411"/>
    <xdr:sp macro="" textlink="">
      <xdr:nvSpPr>
        <xdr:cNvPr id="107" name="文本框 5">
          <a:extLst>
            <a:ext uri="{FF2B5EF4-FFF2-40B4-BE49-F238E27FC236}">
              <a16:creationId xmlns:a16="http://schemas.microsoft.com/office/drawing/2014/main" id="{3746B6C7-C1D4-E140-A79F-A5242BE4570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37</xdr:row>
      <xdr:rowOff>158246</xdr:rowOff>
    </xdr:from>
    <xdr:ext cx="689428" cy="283411"/>
    <xdr:sp macro="" textlink="">
      <xdr:nvSpPr>
        <xdr:cNvPr id="108" name="文本框 5">
          <a:extLst>
            <a:ext uri="{FF2B5EF4-FFF2-40B4-BE49-F238E27FC236}">
              <a16:creationId xmlns:a16="http://schemas.microsoft.com/office/drawing/2014/main" id="{B934E86B-D7EB-304B-95EC-0E9ACAF86928}"/>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38</xdr:row>
      <xdr:rowOff>158246</xdr:rowOff>
    </xdr:from>
    <xdr:ext cx="689428" cy="283411"/>
    <xdr:sp macro="" textlink="">
      <xdr:nvSpPr>
        <xdr:cNvPr id="109" name="文本框 5">
          <a:extLst>
            <a:ext uri="{FF2B5EF4-FFF2-40B4-BE49-F238E27FC236}">
              <a16:creationId xmlns:a16="http://schemas.microsoft.com/office/drawing/2014/main" id="{CC110F91-83C9-1545-98D4-8E0C1ADAFA6D}"/>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39</xdr:row>
      <xdr:rowOff>158246</xdr:rowOff>
    </xdr:from>
    <xdr:ext cx="689428" cy="283411"/>
    <xdr:sp macro="" textlink="">
      <xdr:nvSpPr>
        <xdr:cNvPr id="110" name="文本框 5">
          <a:extLst>
            <a:ext uri="{FF2B5EF4-FFF2-40B4-BE49-F238E27FC236}">
              <a16:creationId xmlns:a16="http://schemas.microsoft.com/office/drawing/2014/main" id="{5E3B58C2-64B1-364B-9BBA-5E7D712235E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40</xdr:row>
      <xdr:rowOff>158246</xdr:rowOff>
    </xdr:from>
    <xdr:ext cx="689428" cy="283411"/>
    <xdr:sp macro="" textlink="">
      <xdr:nvSpPr>
        <xdr:cNvPr id="111" name="文本框 5">
          <a:extLst>
            <a:ext uri="{FF2B5EF4-FFF2-40B4-BE49-F238E27FC236}">
              <a16:creationId xmlns:a16="http://schemas.microsoft.com/office/drawing/2014/main" id="{912A2DA0-CC72-D24D-9E7B-3274E8A6FAE5}"/>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41</xdr:row>
      <xdr:rowOff>158246</xdr:rowOff>
    </xdr:from>
    <xdr:ext cx="689428" cy="283411"/>
    <xdr:sp macro="" textlink="">
      <xdr:nvSpPr>
        <xdr:cNvPr id="112" name="文本框 5">
          <a:extLst>
            <a:ext uri="{FF2B5EF4-FFF2-40B4-BE49-F238E27FC236}">
              <a16:creationId xmlns:a16="http://schemas.microsoft.com/office/drawing/2014/main" id="{98CA0140-AE93-B84D-BDB2-FCE9A432D467}"/>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42</xdr:row>
      <xdr:rowOff>158246</xdr:rowOff>
    </xdr:from>
    <xdr:ext cx="689428" cy="283411"/>
    <xdr:sp macro="" textlink="">
      <xdr:nvSpPr>
        <xdr:cNvPr id="113" name="文本框 5">
          <a:extLst>
            <a:ext uri="{FF2B5EF4-FFF2-40B4-BE49-F238E27FC236}">
              <a16:creationId xmlns:a16="http://schemas.microsoft.com/office/drawing/2014/main" id="{C28B0FF2-9BEE-124C-A667-EB74B6DDD8D4}"/>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43</xdr:row>
      <xdr:rowOff>158246</xdr:rowOff>
    </xdr:from>
    <xdr:ext cx="689428" cy="283411"/>
    <xdr:sp macro="" textlink="">
      <xdr:nvSpPr>
        <xdr:cNvPr id="114" name="文本框 5">
          <a:extLst>
            <a:ext uri="{FF2B5EF4-FFF2-40B4-BE49-F238E27FC236}">
              <a16:creationId xmlns:a16="http://schemas.microsoft.com/office/drawing/2014/main" id="{1BC223CB-335D-B94A-B33C-5A39E95437CA}"/>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44</xdr:row>
      <xdr:rowOff>158246</xdr:rowOff>
    </xdr:from>
    <xdr:ext cx="689428" cy="283411"/>
    <xdr:sp macro="" textlink="">
      <xdr:nvSpPr>
        <xdr:cNvPr id="115" name="文本框 5">
          <a:extLst>
            <a:ext uri="{FF2B5EF4-FFF2-40B4-BE49-F238E27FC236}">
              <a16:creationId xmlns:a16="http://schemas.microsoft.com/office/drawing/2014/main" id="{AFC326B5-8A80-FA48-B6D2-F12A78E611BF}"/>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oneCellAnchor>
    <xdr:from>
      <xdr:col>25</xdr:col>
      <xdr:colOff>49389</xdr:colOff>
      <xdr:row>45</xdr:row>
      <xdr:rowOff>158246</xdr:rowOff>
    </xdr:from>
    <xdr:ext cx="689428" cy="283411"/>
    <xdr:sp macro="" textlink="">
      <xdr:nvSpPr>
        <xdr:cNvPr id="116" name="文本框 5">
          <a:extLst>
            <a:ext uri="{FF2B5EF4-FFF2-40B4-BE49-F238E27FC236}">
              <a16:creationId xmlns:a16="http://schemas.microsoft.com/office/drawing/2014/main" id="{2A43F6B7-576B-3A42-A383-229AE59A63B0}"/>
            </a:ext>
          </a:extLst>
        </xdr:cNvPr>
        <xdr:cNvSpPr txBox="1"/>
      </xdr:nvSpPr>
      <xdr:spPr>
        <a:xfrm>
          <a:off x="15454489" y="3765046"/>
          <a:ext cx="689428" cy="283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zh-CN" altLang="en-US" sz="1100">
              <a:solidFill>
                <a:schemeClr val="accent4">
                  <a:lumMod val="75000"/>
                </a:schemeClr>
              </a:solidFill>
            </a:rPr>
            <a:t>预测值</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9</xdr:col>
      <xdr:colOff>60324</xdr:colOff>
      <xdr:row>8</xdr:row>
      <xdr:rowOff>31750</xdr:rowOff>
    </xdr:from>
    <xdr:to>
      <xdr:col>16</xdr:col>
      <xdr:colOff>406399</xdr:colOff>
      <xdr:row>24</xdr:row>
      <xdr:rowOff>82550</xdr:rowOff>
    </xdr:to>
    <xdr:graphicFrame macro="">
      <xdr:nvGraphicFramePr>
        <xdr:cNvPr id="2" name="图表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8</xdr:col>
      <xdr:colOff>346075</xdr:colOff>
      <xdr:row>24</xdr:row>
      <xdr:rowOff>50800</xdr:rowOff>
    </xdr:to>
    <xdr:graphicFrame macro="">
      <xdr:nvGraphicFramePr>
        <xdr:cNvPr id="3" name="图表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127000</xdr:colOff>
      <xdr:row>8</xdr:row>
      <xdr:rowOff>38100</xdr:rowOff>
    </xdr:from>
    <xdr:to>
      <xdr:col>24</xdr:col>
      <xdr:colOff>473075</xdr:colOff>
      <xdr:row>24</xdr:row>
      <xdr:rowOff>88900</xdr:rowOff>
    </xdr:to>
    <xdr:graphicFrame macro="">
      <xdr:nvGraphicFramePr>
        <xdr:cNvPr id="5" name="图表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21</xdr:col>
      <xdr:colOff>95250</xdr:colOff>
      <xdr:row>8</xdr:row>
      <xdr:rowOff>103188</xdr:rowOff>
    </xdr:from>
    <xdr:to>
      <xdr:col>21</xdr:col>
      <xdr:colOff>1714500</xdr:colOff>
      <xdr:row>11</xdr:row>
      <xdr:rowOff>31750</xdr:rowOff>
    </xdr:to>
    <xdr:sp macro="" textlink="">
      <xdr:nvSpPr>
        <xdr:cNvPr id="2" name="右箭头 1">
          <a:extLst>
            <a:ext uri="{FF2B5EF4-FFF2-40B4-BE49-F238E27FC236}">
              <a16:creationId xmlns:a16="http://schemas.microsoft.com/office/drawing/2014/main" id="{00000000-0008-0000-1000-000002000000}"/>
            </a:ext>
          </a:extLst>
        </xdr:cNvPr>
        <xdr:cNvSpPr/>
      </xdr:nvSpPr>
      <xdr:spPr>
        <a:xfrm>
          <a:off x="4021667" y="1658938"/>
          <a:ext cx="1619250" cy="46831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0</xdr:col>
      <xdr:colOff>400501</xdr:colOff>
      <xdr:row>59</xdr:row>
      <xdr:rowOff>4774</xdr:rowOff>
    </xdr:from>
    <xdr:to>
      <xdr:col>5</xdr:col>
      <xdr:colOff>118533</xdr:colOff>
      <xdr:row>74</xdr:row>
      <xdr:rowOff>111283</xdr:rowOff>
    </xdr:to>
    <xdr:graphicFrame macro="">
      <xdr:nvGraphicFramePr>
        <xdr:cNvPr id="3" name="图表 2">
          <a:extLst>
            <a:ext uri="{FF2B5EF4-FFF2-40B4-BE49-F238E27FC236}">
              <a16:creationId xmlns:a16="http://schemas.microsoft.com/office/drawing/2014/main" id="{00000000-0008-0000-1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7470</xdr:colOff>
      <xdr:row>1</xdr:row>
      <xdr:rowOff>0</xdr:rowOff>
    </xdr:from>
    <xdr:to>
      <xdr:col>28</xdr:col>
      <xdr:colOff>366059</xdr:colOff>
      <xdr:row>5</xdr:row>
      <xdr:rowOff>59764</xdr:rowOff>
    </xdr:to>
    <xdr:cxnSp macro="">
      <xdr:nvCxnSpPr>
        <xdr:cNvPr id="7" name="直接箭头连接符 6">
          <a:extLst>
            <a:ext uri="{FF2B5EF4-FFF2-40B4-BE49-F238E27FC236}">
              <a16:creationId xmlns:a16="http://schemas.microsoft.com/office/drawing/2014/main" id="{00000000-0008-0000-1000-000007000000}"/>
            </a:ext>
          </a:extLst>
        </xdr:cNvPr>
        <xdr:cNvCxnSpPr/>
      </xdr:nvCxnSpPr>
      <xdr:spPr>
        <a:xfrm flipH="1">
          <a:off x="15523882" y="373529"/>
          <a:ext cx="1016001" cy="11803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346636</xdr:colOff>
      <xdr:row>1</xdr:row>
      <xdr:rowOff>0</xdr:rowOff>
    </xdr:from>
    <xdr:to>
      <xdr:col>32</xdr:col>
      <xdr:colOff>425823</xdr:colOff>
      <xdr:row>5</xdr:row>
      <xdr:rowOff>134470</xdr:rowOff>
    </xdr:to>
    <xdr:cxnSp macro="">
      <xdr:nvCxnSpPr>
        <xdr:cNvPr id="9" name="直接箭头连接符 8">
          <a:extLst>
            <a:ext uri="{FF2B5EF4-FFF2-40B4-BE49-F238E27FC236}">
              <a16:creationId xmlns:a16="http://schemas.microsoft.com/office/drawing/2014/main" id="{00000000-0008-0000-1000-000009000000}"/>
            </a:ext>
          </a:extLst>
        </xdr:cNvPr>
        <xdr:cNvCxnSpPr/>
      </xdr:nvCxnSpPr>
      <xdr:spPr>
        <a:xfrm>
          <a:off x="18701871" y="354105"/>
          <a:ext cx="736599" cy="12744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21</xdr:col>
      <xdr:colOff>84667</xdr:colOff>
      <xdr:row>6</xdr:row>
      <xdr:rowOff>158750</xdr:rowOff>
    </xdr:from>
    <xdr:ext cx="1715662" cy="280205"/>
    <xdr:sp macro="" textlink="">
      <xdr:nvSpPr>
        <xdr:cNvPr id="13" name="文本框 12">
          <a:extLst>
            <a:ext uri="{FF2B5EF4-FFF2-40B4-BE49-F238E27FC236}">
              <a16:creationId xmlns:a16="http://schemas.microsoft.com/office/drawing/2014/main" id="{00000000-0008-0000-1000-00000D000000}"/>
            </a:ext>
          </a:extLst>
        </xdr:cNvPr>
        <xdr:cNvSpPr txBox="1"/>
      </xdr:nvSpPr>
      <xdr:spPr>
        <a:xfrm>
          <a:off x="4011084" y="1354667"/>
          <a:ext cx="171566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zh-CN" sz="1200"/>
            <a:t>Breakdown by Fuel Type</a:t>
          </a:r>
          <a:endParaRPr lang="zh-CN" altLang="en-US" sz="1200"/>
        </a:p>
      </xdr:txBody>
    </xdr:sp>
    <xdr:clientData/>
  </xdr:oneCellAnchor>
  <xdr:twoCellAnchor>
    <xdr:from>
      <xdr:col>6</xdr:col>
      <xdr:colOff>457200</xdr:colOff>
      <xdr:row>58</xdr:row>
      <xdr:rowOff>139700</xdr:rowOff>
    </xdr:from>
    <xdr:to>
      <xdr:col>12</xdr:col>
      <xdr:colOff>124432</xdr:colOff>
      <xdr:row>74</xdr:row>
      <xdr:rowOff>68409</xdr:rowOff>
    </xdr:to>
    <xdr:graphicFrame macro="">
      <xdr:nvGraphicFramePr>
        <xdr:cNvPr id="6" name="图表 2">
          <a:extLst>
            <a:ext uri="{FF2B5EF4-FFF2-40B4-BE49-F238E27FC236}">
              <a16:creationId xmlns:a16="http://schemas.microsoft.com/office/drawing/2014/main" id="{CFDBDB7B-D2A7-BA4E-973F-B6DDF9D9A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59267</xdr:colOff>
      <xdr:row>8</xdr:row>
      <xdr:rowOff>173038</xdr:rowOff>
    </xdr:from>
    <xdr:to>
      <xdr:col>10</xdr:col>
      <xdr:colOff>520700</xdr:colOff>
      <xdr:row>11</xdr:row>
      <xdr:rowOff>101600</xdr:rowOff>
    </xdr:to>
    <xdr:sp macro="" textlink="">
      <xdr:nvSpPr>
        <xdr:cNvPr id="8" name="右箭头 1">
          <a:extLst>
            <a:ext uri="{FF2B5EF4-FFF2-40B4-BE49-F238E27FC236}">
              <a16:creationId xmlns:a16="http://schemas.microsoft.com/office/drawing/2014/main" id="{95B35E10-45E7-9B4B-B5DB-3C509978E345}"/>
            </a:ext>
          </a:extLst>
        </xdr:cNvPr>
        <xdr:cNvSpPr/>
      </xdr:nvSpPr>
      <xdr:spPr>
        <a:xfrm>
          <a:off x="6104467" y="1747838"/>
          <a:ext cx="461433" cy="46196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46567</xdr:colOff>
      <xdr:row>9</xdr:row>
      <xdr:rowOff>7938</xdr:rowOff>
    </xdr:from>
    <xdr:to>
      <xdr:col>5</xdr:col>
      <xdr:colOff>508000</xdr:colOff>
      <xdr:row>11</xdr:row>
      <xdr:rowOff>114300</xdr:rowOff>
    </xdr:to>
    <xdr:sp macro="" textlink="">
      <xdr:nvSpPr>
        <xdr:cNvPr id="10" name="右箭头 1">
          <a:extLst>
            <a:ext uri="{FF2B5EF4-FFF2-40B4-BE49-F238E27FC236}">
              <a16:creationId xmlns:a16="http://schemas.microsoft.com/office/drawing/2014/main" id="{4DB155B2-E512-BF46-ABAD-20B6EB238C57}"/>
            </a:ext>
          </a:extLst>
        </xdr:cNvPr>
        <xdr:cNvSpPr/>
      </xdr:nvSpPr>
      <xdr:spPr>
        <a:xfrm>
          <a:off x="3323167" y="1760538"/>
          <a:ext cx="461433" cy="46196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59</xdr:row>
      <xdr:rowOff>0</xdr:rowOff>
    </xdr:from>
    <xdr:to>
      <xdr:col>18</xdr:col>
      <xdr:colOff>200632</xdr:colOff>
      <xdr:row>74</xdr:row>
      <xdr:rowOff>106509</xdr:rowOff>
    </xdr:to>
    <xdr:graphicFrame macro="">
      <xdr:nvGraphicFramePr>
        <xdr:cNvPr id="11" name="图表 2">
          <a:extLst>
            <a:ext uri="{FF2B5EF4-FFF2-40B4-BE49-F238E27FC236}">
              <a16:creationId xmlns:a16="http://schemas.microsoft.com/office/drawing/2014/main" id="{DB034B42-FC32-8645-A1D2-B71735E25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34</xdr:col>
      <xdr:colOff>749998</xdr:colOff>
      <xdr:row>129</xdr:row>
      <xdr:rowOff>89402</xdr:rowOff>
    </xdr:from>
    <xdr:to>
      <xdr:col>37</xdr:col>
      <xdr:colOff>354424</xdr:colOff>
      <xdr:row>132</xdr:row>
      <xdr:rowOff>24616</xdr:rowOff>
    </xdr:to>
    <xdr:sp macro="" textlink="">
      <xdr:nvSpPr>
        <xdr:cNvPr id="3" name="右箭头 2">
          <a:extLst>
            <a:ext uri="{FF2B5EF4-FFF2-40B4-BE49-F238E27FC236}">
              <a16:creationId xmlns:a16="http://schemas.microsoft.com/office/drawing/2014/main" id="{00000000-0008-0000-1200-000003000000}"/>
            </a:ext>
          </a:extLst>
        </xdr:cNvPr>
        <xdr:cNvSpPr/>
      </xdr:nvSpPr>
      <xdr:spPr>
        <a:xfrm>
          <a:off x="26568351" y="13999637"/>
          <a:ext cx="2024897" cy="47309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kustconnect-my.sharepoint.com/Users/lawrenceiu/Downloads/20190110%206pm%20TLG_HK%20emissions%20Dataset_0801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cuments/WeChat%20Files/yz761241/FileStorage/File/2019-09/PCM%2020190611%20Li(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tal emissions"/>
      <sheetName val="Emission intensity"/>
      <sheetName val="Electricity emissions"/>
      <sheetName val="Electricity emission by sector"/>
      <sheetName val="Transport emissions"/>
      <sheetName val="Gas emissions"/>
      <sheetName val="Emissions by technology"/>
      <sheetName val="Demand forecast"/>
      <sheetName val="Future suppl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MEWORK"/>
      <sheetName val="GHG &amp; Energy rpt"/>
      <sheetName val="Results summary rpt"/>
      <sheetName val="Result Report"/>
      <sheetName val="Key parameters rpt"/>
      <sheetName val="Sheet4"/>
      <sheetName val="2016 Data Source"/>
      <sheetName val="Pivot_Table"/>
      <sheetName val="Population and GDP"/>
      <sheetName val="Population and GDP (1)"/>
      <sheetName val="Sheet3"/>
      <sheetName val="Building"/>
      <sheetName val="Transport"/>
      <sheetName val="Transport-1"/>
      <sheetName val="Transport-2"/>
      <sheetName val="Electricity"/>
      <sheetName val="Waste"/>
      <sheetName val="PMC ref file ---&gt;"/>
      <sheetName val="Trans rough work"/>
      <sheetName val="Trans analysis"/>
      <sheetName val="EF-1"/>
      <sheetName val="Elc"/>
      <sheetName val="Housing demand"/>
      <sheetName val="Commerical demand"/>
      <sheetName val="Elderly &amp; Children pax trips"/>
      <sheetName val="Marine VKM"/>
      <sheetName val="Sheet1"/>
      <sheetName val="Sheet2"/>
      <sheetName val="data demand"/>
    </sheetNames>
    <sheetDataSet>
      <sheetData sheetId="0">
        <row r="2">
          <cell r="B2">
            <v>43599</v>
          </cell>
          <cell r="D2" t="str">
            <v>Core higher population</v>
          </cell>
        </row>
      </sheetData>
      <sheetData sheetId="1"/>
      <sheetData sheetId="2"/>
      <sheetData sheetId="3"/>
      <sheetData sheetId="4">
        <row r="25">
          <cell r="O25">
            <v>0.4</v>
          </cell>
        </row>
        <row r="27">
          <cell r="O27">
            <v>2174901.2425941145</v>
          </cell>
        </row>
        <row r="28">
          <cell r="O28">
            <v>2121852.1582866181</v>
          </cell>
        </row>
        <row r="30">
          <cell r="O30">
            <v>5.9026996398998897</v>
          </cell>
        </row>
        <row r="31">
          <cell r="O31">
            <v>3.6728616334859097</v>
          </cell>
        </row>
        <row r="33">
          <cell r="O33">
            <v>0.1</v>
          </cell>
        </row>
        <row r="34">
          <cell r="O34">
            <v>0.5</v>
          </cell>
        </row>
        <row r="35">
          <cell r="O35">
            <v>0.35</v>
          </cell>
        </row>
        <row r="36">
          <cell r="O36">
            <v>0.55000000000000004</v>
          </cell>
        </row>
        <row r="37">
          <cell r="O37">
            <v>0.08</v>
          </cell>
        </row>
        <row r="38">
          <cell r="O38">
            <v>0.15</v>
          </cell>
        </row>
        <row r="39">
          <cell r="O39">
            <v>2.21</v>
          </cell>
        </row>
        <row r="40">
          <cell r="O40">
            <v>0.05</v>
          </cell>
        </row>
        <row r="41">
          <cell r="O41">
            <v>0</v>
          </cell>
        </row>
        <row r="42">
          <cell r="O42">
            <v>1</v>
          </cell>
        </row>
        <row r="43">
          <cell r="O43">
            <v>0</v>
          </cell>
        </row>
      </sheetData>
      <sheetData sheetId="5"/>
      <sheetData sheetId="6"/>
      <sheetData sheetId="7"/>
      <sheetData sheetId="8">
        <row r="6">
          <cell r="E6">
            <v>7116800</v>
          </cell>
        </row>
        <row r="41">
          <cell r="E41">
            <v>9066500</v>
          </cell>
        </row>
      </sheetData>
      <sheetData sheetId="9"/>
      <sheetData sheetId="10"/>
      <sheetData sheetId="11"/>
      <sheetData sheetId="12"/>
      <sheetData sheetId="13"/>
      <sheetData sheetId="14"/>
      <sheetData sheetId="15">
        <row r="6">
          <cell r="K6">
            <v>8.765039029278613E-3</v>
          </cell>
        </row>
      </sheetData>
      <sheetData sheetId="16"/>
      <sheetData sheetId="17"/>
      <sheetData sheetId="18"/>
      <sheetData sheetId="19"/>
      <sheetData sheetId="20">
        <row r="5">
          <cell r="R5">
            <v>3600000</v>
          </cell>
        </row>
        <row r="6">
          <cell r="R6">
            <v>2.7777777777777776E-7</v>
          </cell>
        </row>
        <row r="7">
          <cell r="R7">
            <v>35588000</v>
          </cell>
        </row>
        <row r="8">
          <cell r="R8">
            <v>2.8099359334607172E-8</v>
          </cell>
        </row>
        <row r="20">
          <cell r="S20" t="str">
            <v>Mj / L</v>
          </cell>
        </row>
      </sheetData>
      <sheetData sheetId="21"/>
      <sheetData sheetId="22"/>
      <sheetData sheetId="23">
        <row r="46">
          <cell r="D46">
            <v>4819866.666666667</v>
          </cell>
        </row>
        <row r="47">
          <cell r="D47">
            <v>5034266.666666667</v>
          </cell>
        </row>
        <row r="48">
          <cell r="D48">
            <v>3552000</v>
          </cell>
        </row>
        <row r="49">
          <cell r="D49">
            <v>1953866.6666666667</v>
          </cell>
        </row>
        <row r="50">
          <cell r="D50">
            <v>14844266.666666666</v>
          </cell>
        </row>
        <row r="51">
          <cell r="D51">
            <v>16850133.333333332</v>
          </cell>
        </row>
        <row r="52">
          <cell r="D52">
            <v>22305466.666666668</v>
          </cell>
        </row>
      </sheetData>
      <sheetData sheetId="24"/>
      <sheetData sheetId="25"/>
      <sheetData sheetId="26"/>
      <sheetData sheetId="27"/>
      <sheetData sheetId="2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land.gov.hk/pland_en/p_study/comp_s/hk2030/eng/finalreport/" TargetMode="External"/><Relationship Id="rId2" Type="http://schemas.openxmlformats.org/officeDocument/2006/relationships/hyperlink" Target="https://www.censtatd.gov.hk/hkstat/sub/sp190.jsp?productCode=D5320185" TargetMode="External"/><Relationship Id="rId1" Type="http://schemas.openxmlformats.org/officeDocument/2006/relationships/hyperlink" Target="https://www.censtatd.gov.hk/hkstat/sub/sp150.jsp?tableID=005&amp;ID=0&amp;productType=8" TargetMode="External"/><Relationship Id="rId4" Type="http://schemas.openxmlformats.org/officeDocument/2006/relationships/hyperlink" Target="https://www.bycensus2016.gov.hk/en/bc-mt.html?search=E129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emsd.gov.hk/energyland/en/building/district_cooling_sys/dcs_benefits.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zoomScale="84" workbookViewId="0">
      <selection activeCell="B6" sqref="B6"/>
    </sheetView>
  </sheetViews>
  <sheetFormatPr baseColWidth="10" defaultColWidth="8.796875" defaultRowHeight="14"/>
  <cols>
    <col min="1" max="1" width="12.19921875" customWidth="1"/>
    <col min="2" max="2" width="46.3984375" customWidth="1"/>
    <col min="6" max="6" width="58.796875" customWidth="1"/>
  </cols>
  <sheetData>
    <row r="1" spans="1:6">
      <c r="A1" s="18" t="s">
        <v>0</v>
      </c>
    </row>
    <row r="2" spans="1:6">
      <c r="A2" s="18"/>
      <c r="B2" s="53" t="s">
        <v>1</v>
      </c>
      <c r="C2" t="s">
        <v>2</v>
      </c>
    </row>
    <row r="3" spans="1:6">
      <c r="B3" t="s">
        <v>3</v>
      </c>
    </row>
    <row r="4" spans="1:6">
      <c r="B4" s="54" t="s">
        <v>4</v>
      </c>
    </row>
    <row r="5" spans="1:6">
      <c r="B5" s="55" t="s">
        <v>5</v>
      </c>
    </row>
    <row r="6" spans="1:6">
      <c r="B6" t="s">
        <v>6</v>
      </c>
    </row>
    <row r="8" spans="1:6">
      <c r="B8" s="53" t="s">
        <v>7</v>
      </c>
      <c r="F8" s="53" t="s">
        <v>8</v>
      </c>
    </row>
    <row r="9" spans="1:6">
      <c r="B9" t="s">
        <v>9</v>
      </c>
      <c r="F9" t="s">
        <v>10</v>
      </c>
    </row>
    <row r="10" spans="1:6">
      <c r="B10" s="54">
        <v>2017</v>
      </c>
      <c r="F10" s="54">
        <v>2017</v>
      </c>
    </row>
    <row r="11" spans="1:6">
      <c r="B11" t="s">
        <v>11</v>
      </c>
      <c r="F11" t="s">
        <v>12</v>
      </c>
    </row>
    <row r="12" spans="1:6">
      <c r="B12" s="55" t="s">
        <v>13</v>
      </c>
      <c r="F12" t="s">
        <v>14</v>
      </c>
    </row>
    <row r="14" spans="1:6">
      <c r="B14" s="53" t="s">
        <v>15</v>
      </c>
      <c r="F14" s="53" t="s">
        <v>16</v>
      </c>
    </row>
    <row r="15" spans="1:6">
      <c r="B15" t="s">
        <v>17</v>
      </c>
      <c r="F15" t="s">
        <v>17</v>
      </c>
    </row>
    <row r="16" spans="1:6">
      <c r="B16" s="54">
        <v>2019</v>
      </c>
      <c r="F16" s="54">
        <v>2019</v>
      </c>
    </row>
    <row r="17" spans="1:6">
      <c r="B17" t="s">
        <v>18</v>
      </c>
      <c r="F17" t="s">
        <v>19</v>
      </c>
    </row>
    <row r="18" spans="1:6">
      <c r="B18" s="55" t="s">
        <v>20</v>
      </c>
      <c r="F18" s="55" t="s">
        <v>21</v>
      </c>
    </row>
    <row r="19" spans="1:6">
      <c r="B19" s="55"/>
      <c r="F19" s="55"/>
    </row>
    <row r="20" spans="1:6">
      <c r="B20" s="53" t="s">
        <v>22</v>
      </c>
      <c r="F20" s="55"/>
    </row>
    <row r="21" spans="1:6">
      <c r="B21" t="s">
        <v>23</v>
      </c>
      <c r="F21" s="55"/>
    </row>
    <row r="22" spans="1:6">
      <c r="B22" s="54">
        <v>2017</v>
      </c>
      <c r="F22" s="55"/>
    </row>
    <row r="23" spans="1:6">
      <c r="B23" t="s">
        <v>24</v>
      </c>
      <c r="F23" s="55"/>
    </row>
    <row r="24" spans="1:6">
      <c r="B24" s="55" t="s">
        <v>25</v>
      </c>
      <c r="F24" s="55"/>
    </row>
    <row r="25" spans="1:6">
      <c r="B25" s="55"/>
      <c r="F25" s="55"/>
    </row>
    <row r="26" spans="1:6">
      <c r="B26" s="53" t="s">
        <v>26</v>
      </c>
      <c r="F26" s="55"/>
    </row>
    <row r="27" spans="1:6">
      <c r="B27" s="491" t="s">
        <v>27</v>
      </c>
      <c r="F27" s="55"/>
    </row>
    <row r="28" spans="1:6">
      <c r="B28" s="492">
        <v>2017</v>
      </c>
      <c r="F28" s="55"/>
    </row>
    <row r="29" spans="1:6">
      <c r="B29" s="491" t="s">
        <v>28</v>
      </c>
      <c r="F29" s="55"/>
    </row>
    <row r="30" spans="1:6">
      <c r="B30" s="55"/>
      <c r="F30" s="55"/>
    </row>
    <row r="31" spans="1:6">
      <c r="B31" s="55"/>
    </row>
    <row r="32" spans="1:6">
      <c r="A32" s="48" t="s">
        <v>29</v>
      </c>
    </row>
    <row r="33" spans="1:3">
      <c r="A33" s="48" t="s">
        <v>30</v>
      </c>
    </row>
    <row r="34" spans="1:3">
      <c r="A34" t="s">
        <v>31</v>
      </c>
    </row>
    <row r="35" spans="1:3">
      <c r="A35" t="s">
        <v>32</v>
      </c>
      <c r="B35" t="s">
        <v>33</v>
      </c>
    </row>
    <row r="36" spans="1:3">
      <c r="B36" t="s">
        <v>34</v>
      </c>
    </row>
    <row r="37" spans="1:3">
      <c r="C37" t="s">
        <v>35</v>
      </c>
    </row>
    <row r="38" spans="1:3" ht="14.5" customHeight="1">
      <c r="C38" t="s">
        <v>36</v>
      </c>
    </row>
    <row r="39" spans="1:3">
      <c r="C39" t="s">
        <v>37</v>
      </c>
    </row>
    <row r="40" spans="1:3">
      <c r="A40" s="48" t="s">
        <v>38</v>
      </c>
    </row>
    <row r="41" spans="1:3">
      <c r="A41" t="s">
        <v>39</v>
      </c>
      <c r="B41" t="s">
        <v>40</v>
      </c>
    </row>
    <row r="42" spans="1:3">
      <c r="B42" t="s">
        <v>41</v>
      </c>
    </row>
    <row r="43" spans="1:3">
      <c r="B43" t="s">
        <v>42</v>
      </c>
    </row>
    <row r="44" spans="1:3">
      <c r="A44" s="48" t="s">
        <v>43</v>
      </c>
    </row>
    <row r="45" spans="1:3">
      <c r="A45" t="s">
        <v>39</v>
      </c>
      <c r="B45" t="s">
        <v>44</v>
      </c>
    </row>
    <row r="46" spans="1:3">
      <c r="B46" t="s">
        <v>45</v>
      </c>
    </row>
    <row r="47" spans="1:3">
      <c r="A47" s="48" t="s">
        <v>46</v>
      </c>
    </row>
    <row r="48" spans="1:3">
      <c r="A48" t="s">
        <v>39</v>
      </c>
      <c r="B48" t="s">
        <v>47</v>
      </c>
    </row>
    <row r="49" spans="1:2">
      <c r="B49" t="s">
        <v>48</v>
      </c>
    </row>
    <row r="50" spans="1:2">
      <c r="B50" t="s">
        <v>49</v>
      </c>
    </row>
    <row r="51" spans="1:2">
      <c r="B51" t="s">
        <v>50</v>
      </c>
    </row>
    <row r="52" spans="1:2">
      <c r="A52" s="48" t="s">
        <v>51</v>
      </c>
    </row>
    <row r="53" spans="1:2">
      <c r="A53" t="s">
        <v>52</v>
      </c>
      <c r="B53" t="s">
        <v>53</v>
      </c>
    </row>
    <row r="54" spans="1:2">
      <c r="B54" t="s">
        <v>54</v>
      </c>
    </row>
    <row r="55" spans="1:2">
      <c r="B55" t="s">
        <v>55</v>
      </c>
    </row>
    <row r="56" spans="1:2">
      <c r="B56" t="s">
        <v>56</v>
      </c>
    </row>
    <row r="58" spans="1:2">
      <c r="A58" s="48" t="s">
        <v>57</v>
      </c>
    </row>
    <row r="59" spans="1:2">
      <c r="A59" t="s">
        <v>52</v>
      </c>
      <c r="B59" t="s">
        <v>58</v>
      </c>
    </row>
    <row r="60" spans="1:2">
      <c r="B60" t="s">
        <v>59</v>
      </c>
    </row>
    <row r="61" spans="1:2">
      <c r="B61" t="s">
        <v>60</v>
      </c>
    </row>
  </sheetData>
  <phoneticPr fontId="3" type="noConversion"/>
  <hyperlinks>
    <hyperlink ref="B18" r:id="rId1" xr:uid="{00000000-0004-0000-0000-000000000000}"/>
    <hyperlink ref="F18" r:id="rId2" xr:uid="{00000000-0004-0000-0000-000001000000}"/>
    <hyperlink ref="B12" r:id="rId3" xr:uid="{00000000-0004-0000-0000-000002000000}"/>
    <hyperlink ref="B2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zoomScale="150" workbookViewId="0">
      <selection activeCell="A25" sqref="A25"/>
    </sheetView>
  </sheetViews>
  <sheetFormatPr baseColWidth="10" defaultColWidth="8.796875" defaultRowHeight="14"/>
  <cols>
    <col min="2" max="2" width="12.19921875" customWidth="1"/>
  </cols>
  <sheetData>
    <row r="1" spans="1:2">
      <c r="A1" s="18" t="s">
        <v>61</v>
      </c>
    </row>
    <row r="2" spans="1:2">
      <c r="A2" t="s">
        <v>62</v>
      </c>
    </row>
    <row r="3" spans="1:2">
      <c r="B3" t="s">
        <v>63</v>
      </c>
    </row>
    <row r="4" spans="1:2">
      <c r="A4" t="s">
        <v>64</v>
      </c>
    </row>
    <row r="5" spans="1:2">
      <c r="A5" t="s">
        <v>65</v>
      </c>
    </row>
    <row r="7" spans="1:2">
      <c r="A7" s="47"/>
    </row>
    <row r="8" spans="1:2">
      <c r="A8" s="48" t="s">
        <v>66</v>
      </c>
    </row>
    <row r="9" spans="1:2">
      <c r="A9" s="47" t="s">
        <v>67</v>
      </c>
    </row>
    <row r="10" spans="1:2">
      <c r="A10" s="47" t="s">
        <v>68</v>
      </c>
    </row>
    <row r="11" spans="1:2">
      <c r="A11" s="47" t="s">
        <v>69</v>
      </c>
    </row>
    <row r="12" spans="1:2">
      <c r="A12" s="47" t="s">
        <v>70</v>
      </c>
    </row>
    <row r="13" spans="1:2">
      <c r="A13" s="47" t="s">
        <v>71</v>
      </c>
    </row>
    <row r="14" spans="1:2">
      <c r="A14" s="47"/>
    </row>
    <row r="15" spans="1:2" ht="13.5" customHeight="1">
      <c r="A15" s="48" t="s">
        <v>72</v>
      </c>
    </row>
    <row r="16" spans="1:2" ht="13.5" customHeight="1">
      <c r="A16" t="s">
        <v>73</v>
      </c>
    </row>
    <row r="17" spans="1:12" ht="13.5" customHeight="1">
      <c r="A17" t="s">
        <v>74</v>
      </c>
    </row>
    <row r="18" spans="1:12" ht="13.5" customHeight="1">
      <c r="A18" t="s">
        <v>75</v>
      </c>
    </row>
    <row r="19" spans="1:12" ht="13.5" customHeight="1">
      <c r="A19" t="s">
        <v>76</v>
      </c>
    </row>
    <row r="20" spans="1:12" ht="13.5" customHeight="1">
      <c r="A20" t="s">
        <v>77</v>
      </c>
    </row>
    <row r="21" spans="1:12" ht="15.75" customHeight="1">
      <c r="A21" s="576" t="s">
        <v>78</v>
      </c>
      <c r="B21" s="577"/>
      <c r="C21" s="577"/>
      <c r="D21" s="577"/>
      <c r="E21" s="577"/>
      <c r="F21" s="577"/>
      <c r="G21" s="577"/>
      <c r="H21" s="577"/>
      <c r="I21" s="577"/>
      <c r="J21" s="577"/>
      <c r="K21" s="577"/>
      <c r="L21" s="577"/>
    </row>
    <row r="22" spans="1:12" ht="13.5" customHeight="1">
      <c r="A22" t="s">
        <v>79</v>
      </c>
    </row>
    <row r="24" spans="1:12">
      <c r="A24" s="493" t="s">
        <v>80</v>
      </c>
    </row>
    <row r="25" spans="1:12">
      <c r="A25" t="s">
        <v>81</v>
      </c>
    </row>
    <row r="51" spans="1:1">
      <c r="A51" t="s">
        <v>82</v>
      </c>
    </row>
  </sheetData>
  <mergeCells count="1">
    <mergeCell ref="A21:L21"/>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18"/>
  <sheetViews>
    <sheetView zoomScale="92" workbookViewId="0">
      <selection activeCell="E23" sqref="E23"/>
    </sheetView>
  </sheetViews>
  <sheetFormatPr baseColWidth="10" defaultColWidth="8.796875" defaultRowHeight="14"/>
  <sheetData>
    <row r="2" spans="1:1">
      <c r="A2" s="55" t="s">
        <v>83</v>
      </c>
    </row>
    <row r="3" spans="1:1">
      <c r="A3" t="s">
        <v>84</v>
      </c>
    </row>
    <row r="4" spans="1:1">
      <c r="A4" s="55" t="s">
        <v>85</v>
      </c>
    </row>
    <row r="5" spans="1:1">
      <c r="A5" s="55" t="s">
        <v>86</v>
      </c>
    </row>
    <row r="6" spans="1:1">
      <c r="A6" s="55" t="s">
        <v>87</v>
      </c>
    </row>
    <row r="7" spans="1:1">
      <c r="A7" s="55" t="s">
        <v>88</v>
      </c>
    </row>
    <row r="8" spans="1:1">
      <c r="A8" s="55" t="s">
        <v>89</v>
      </c>
    </row>
    <row r="9" spans="1:1">
      <c r="A9" s="55" t="s">
        <v>90</v>
      </c>
    </row>
    <row r="10" spans="1:1">
      <c r="A10" s="55" t="s">
        <v>91</v>
      </c>
    </row>
    <row r="11" spans="1:1">
      <c r="A11" s="55" t="s">
        <v>92</v>
      </c>
    </row>
    <row r="12" spans="1:1">
      <c r="A12" s="55" t="s">
        <v>93</v>
      </c>
    </row>
    <row r="13" spans="1:1">
      <c r="A13" s="55" t="s">
        <v>94</v>
      </c>
    </row>
    <row r="14" spans="1:1">
      <c r="A14" s="55" t="s">
        <v>95</v>
      </c>
    </row>
    <row r="15" spans="1:1">
      <c r="A15" s="55" t="s">
        <v>96</v>
      </c>
    </row>
    <row r="16" spans="1:1">
      <c r="A16" s="55" t="s">
        <v>97</v>
      </c>
    </row>
    <row r="17" spans="1:1">
      <c r="A17" s="55" t="s">
        <v>98</v>
      </c>
    </row>
    <row r="18" spans="1:1">
      <c r="A18" s="55" t="s">
        <v>99</v>
      </c>
    </row>
  </sheetData>
  <phoneticPr fontId="3" type="noConversion"/>
  <hyperlinks>
    <hyperlink ref="A2" location="About!A1" display="About" xr:uid="{00000000-0004-0000-0200-000000000000}"/>
    <hyperlink ref="A4" location="Household_Histo!A1" display="Household_Histo" xr:uid="{00000000-0004-0000-0200-000001000000}"/>
    <hyperlink ref="A5" location="Household_Pred!A1" display="Household_Pred" xr:uid="{00000000-0004-0000-0200-000002000000}"/>
    <hyperlink ref="A6" location="Energy8Sec!A1" display="Energy8Sec" xr:uid="{00000000-0004-0000-0200-000003000000}"/>
    <hyperlink ref="A7" location="Residential8Fuel!A1" display="Residential8Fuel" xr:uid="{00000000-0004-0000-0200-000004000000}"/>
    <hyperlink ref="A8" location="Commercial8Fuel!A1" display="Commercial8Fuel" xr:uid="{00000000-0004-0000-0200-000005000000}"/>
    <hyperlink ref="A9" location="Residential8EndUse!A1" display="Residential8EndUse" xr:uid="{00000000-0004-0000-0200-000006000000}"/>
    <hyperlink ref="A10" location="Commercial8EndUse!A1" display="Commercial8EndUse" xr:uid="{00000000-0004-0000-0200-000007000000}"/>
    <hyperlink ref="A11" location="Commercial!A1" display="Commercial" xr:uid="{00000000-0004-0000-0200-000008000000}"/>
    <hyperlink ref="A12" location="Residential!A1" display="Residential" xr:uid="{00000000-0004-0000-0200-000009000000}"/>
    <hyperlink ref="A13" location="'Future Pred'!A1" display="Future Pred" xr:uid="{00000000-0004-0000-0200-00000A000000}"/>
    <hyperlink ref="A14" location="'Future Data'!A1" display="Futre Data" xr:uid="{00000000-0004-0000-0200-00000B000000}"/>
    <hyperlink ref="A15" location="'transition for STATA'!A1" display="transition for STATA" xr:uid="{00000000-0004-0000-0200-00000C000000}"/>
    <hyperlink ref="A16" location="'STATA Reg Result'!A1" display="STATA Reg Result" xr:uid="{00000000-0004-0000-0200-00000D000000}"/>
    <hyperlink ref="A17" location="'BTU Factor'!A1" display="BTU Factor " xr:uid="{00000000-0004-0000-0200-00000E000000}"/>
    <hyperlink ref="A18" location="Note!A1" display="Note" xr:uid="{00000000-0004-0000-0200-00000F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03"/>
  <sheetViews>
    <sheetView zoomScaleNormal="100" workbookViewId="0">
      <selection activeCell="F21" sqref="F21"/>
    </sheetView>
  </sheetViews>
  <sheetFormatPr baseColWidth="10" defaultColWidth="8.796875" defaultRowHeight="13"/>
  <cols>
    <col min="1" max="1" width="7.3984375" style="91" customWidth="1"/>
    <col min="2" max="2" width="4.19921875" style="91" bestFit="1" customWidth="1"/>
    <col min="3" max="3" width="19.19921875" style="91" customWidth="1"/>
    <col min="4" max="4" width="15.19921875" style="91" customWidth="1"/>
    <col min="5" max="5" width="15.796875" style="91" customWidth="1"/>
    <col min="6" max="7" width="30.3984375" style="91" customWidth="1"/>
    <col min="8" max="256" width="8.796875" style="91"/>
    <col min="257" max="257" width="7.3984375" style="91" customWidth="1"/>
    <col min="258" max="258" width="8.796875" style="91" customWidth="1"/>
    <col min="259" max="259" width="30.796875" style="91" customWidth="1"/>
    <col min="260" max="260" width="26.3984375" style="91" customWidth="1"/>
    <col min="261" max="263" width="30.3984375" style="91" customWidth="1"/>
    <col min="264" max="512" width="8.796875" style="91"/>
    <col min="513" max="513" width="7.3984375" style="91" customWidth="1"/>
    <col min="514" max="514" width="8.796875" style="91" customWidth="1"/>
    <col min="515" max="515" width="30.796875" style="91" customWidth="1"/>
    <col min="516" max="516" width="26.3984375" style="91" customWidth="1"/>
    <col min="517" max="519" width="30.3984375" style="91" customWidth="1"/>
    <col min="520" max="768" width="8.796875" style="91"/>
    <col min="769" max="769" width="7.3984375" style="91" customWidth="1"/>
    <col min="770" max="770" width="8.796875" style="91" customWidth="1"/>
    <col min="771" max="771" width="30.796875" style="91" customWidth="1"/>
    <col min="772" max="772" width="26.3984375" style="91" customWidth="1"/>
    <col min="773" max="775" width="30.3984375" style="91" customWidth="1"/>
    <col min="776" max="1024" width="8.796875" style="91"/>
    <col min="1025" max="1025" width="7.3984375" style="91" customWidth="1"/>
    <col min="1026" max="1026" width="8.796875" style="91" customWidth="1"/>
    <col min="1027" max="1027" width="30.796875" style="91" customWidth="1"/>
    <col min="1028" max="1028" width="26.3984375" style="91" customWidth="1"/>
    <col min="1029" max="1031" width="30.3984375" style="91" customWidth="1"/>
    <col min="1032" max="1280" width="8.796875" style="91"/>
    <col min="1281" max="1281" width="7.3984375" style="91" customWidth="1"/>
    <col min="1282" max="1282" width="8.796875" style="91" customWidth="1"/>
    <col min="1283" max="1283" width="30.796875" style="91" customWidth="1"/>
    <col min="1284" max="1284" width="26.3984375" style="91" customWidth="1"/>
    <col min="1285" max="1287" width="30.3984375" style="91" customWidth="1"/>
    <col min="1288" max="1536" width="8.796875" style="91"/>
    <col min="1537" max="1537" width="7.3984375" style="91" customWidth="1"/>
    <col min="1538" max="1538" width="8.796875" style="91" customWidth="1"/>
    <col min="1539" max="1539" width="30.796875" style="91" customWidth="1"/>
    <col min="1540" max="1540" width="26.3984375" style="91" customWidth="1"/>
    <col min="1541" max="1543" width="30.3984375" style="91" customWidth="1"/>
    <col min="1544" max="1792" width="8.796875" style="91"/>
    <col min="1793" max="1793" width="7.3984375" style="91" customWidth="1"/>
    <col min="1794" max="1794" width="8.796875" style="91" customWidth="1"/>
    <col min="1795" max="1795" width="30.796875" style="91" customWidth="1"/>
    <col min="1796" max="1796" width="26.3984375" style="91" customWidth="1"/>
    <col min="1797" max="1799" width="30.3984375" style="91" customWidth="1"/>
    <col min="1800" max="2048" width="8.796875" style="91"/>
    <col min="2049" max="2049" width="7.3984375" style="91" customWidth="1"/>
    <col min="2050" max="2050" width="8.796875" style="91" customWidth="1"/>
    <col min="2051" max="2051" width="30.796875" style="91" customWidth="1"/>
    <col min="2052" max="2052" width="26.3984375" style="91" customWidth="1"/>
    <col min="2053" max="2055" width="30.3984375" style="91" customWidth="1"/>
    <col min="2056" max="2304" width="8.796875" style="91"/>
    <col min="2305" max="2305" width="7.3984375" style="91" customWidth="1"/>
    <col min="2306" max="2306" width="8.796875" style="91" customWidth="1"/>
    <col min="2307" max="2307" width="30.796875" style="91" customWidth="1"/>
    <col min="2308" max="2308" width="26.3984375" style="91" customWidth="1"/>
    <col min="2309" max="2311" width="30.3984375" style="91" customWidth="1"/>
    <col min="2312" max="2560" width="8.796875" style="91"/>
    <col min="2561" max="2561" width="7.3984375" style="91" customWidth="1"/>
    <col min="2562" max="2562" width="8.796875" style="91" customWidth="1"/>
    <col min="2563" max="2563" width="30.796875" style="91" customWidth="1"/>
    <col min="2564" max="2564" width="26.3984375" style="91" customWidth="1"/>
    <col min="2565" max="2567" width="30.3984375" style="91" customWidth="1"/>
    <col min="2568" max="2816" width="8.796875" style="91"/>
    <col min="2817" max="2817" width="7.3984375" style="91" customWidth="1"/>
    <col min="2818" max="2818" width="8.796875" style="91" customWidth="1"/>
    <col min="2819" max="2819" width="30.796875" style="91" customWidth="1"/>
    <col min="2820" max="2820" width="26.3984375" style="91" customWidth="1"/>
    <col min="2821" max="2823" width="30.3984375" style="91" customWidth="1"/>
    <col min="2824" max="3072" width="8.796875" style="91"/>
    <col min="3073" max="3073" width="7.3984375" style="91" customWidth="1"/>
    <col min="3074" max="3074" width="8.796875" style="91" customWidth="1"/>
    <col min="3075" max="3075" width="30.796875" style="91" customWidth="1"/>
    <col min="3076" max="3076" width="26.3984375" style="91" customWidth="1"/>
    <col min="3077" max="3079" width="30.3984375" style="91" customWidth="1"/>
    <col min="3080" max="3328" width="8.796875" style="91"/>
    <col min="3329" max="3329" width="7.3984375" style="91" customWidth="1"/>
    <col min="3330" max="3330" width="8.796875" style="91" customWidth="1"/>
    <col min="3331" max="3331" width="30.796875" style="91" customWidth="1"/>
    <col min="3332" max="3332" width="26.3984375" style="91" customWidth="1"/>
    <col min="3333" max="3335" width="30.3984375" style="91" customWidth="1"/>
    <col min="3336" max="3584" width="8.796875" style="91"/>
    <col min="3585" max="3585" width="7.3984375" style="91" customWidth="1"/>
    <col min="3586" max="3586" width="8.796875" style="91" customWidth="1"/>
    <col min="3587" max="3587" width="30.796875" style="91" customWidth="1"/>
    <col min="3588" max="3588" width="26.3984375" style="91" customWidth="1"/>
    <col min="3589" max="3591" width="30.3984375" style="91" customWidth="1"/>
    <col min="3592" max="3840" width="8.796875" style="91"/>
    <col min="3841" max="3841" width="7.3984375" style="91" customWidth="1"/>
    <col min="3842" max="3842" width="8.796875" style="91" customWidth="1"/>
    <col min="3843" max="3843" width="30.796875" style="91" customWidth="1"/>
    <col min="3844" max="3844" width="26.3984375" style="91" customWidth="1"/>
    <col min="3845" max="3847" width="30.3984375" style="91" customWidth="1"/>
    <col min="3848" max="4096" width="8.796875" style="91"/>
    <col min="4097" max="4097" width="7.3984375" style="91" customWidth="1"/>
    <col min="4098" max="4098" width="8.796875" style="91" customWidth="1"/>
    <col min="4099" max="4099" width="30.796875" style="91" customWidth="1"/>
    <col min="4100" max="4100" width="26.3984375" style="91" customWidth="1"/>
    <col min="4101" max="4103" width="30.3984375" style="91" customWidth="1"/>
    <col min="4104" max="4352" width="8.796875" style="91"/>
    <col min="4353" max="4353" width="7.3984375" style="91" customWidth="1"/>
    <col min="4354" max="4354" width="8.796875" style="91" customWidth="1"/>
    <col min="4355" max="4355" width="30.796875" style="91" customWidth="1"/>
    <col min="4356" max="4356" width="26.3984375" style="91" customWidth="1"/>
    <col min="4357" max="4359" width="30.3984375" style="91" customWidth="1"/>
    <col min="4360" max="4608" width="8.796875" style="91"/>
    <col min="4609" max="4609" width="7.3984375" style="91" customWidth="1"/>
    <col min="4610" max="4610" width="8.796875" style="91" customWidth="1"/>
    <col min="4611" max="4611" width="30.796875" style="91" customWidth="1"/>
    <col min="4612" max="4612" width="26.3984375" style="91" customWidth="1"/>
    <col min="4613" max="4615" width="30.3984375" style="91" customWidth="1"/>
    <col min="4616" max="4864" width="8.796875" style="91"/>
    <col min="4865" max="4865" width="7.3984375" style="91" customWidth="1"/>
    <col min="4866" max="4866" width="8.796875" style="91" customWidth="1"/>
    <col min="4867" max="4867" width="30.796875" style="91" customWidth="1"/>
    <col min="4868" max="4868" width="26.3984375" style="91" customWidth="1"/>
    <col min="4869" max="4871" width="30.3984375" style="91" customWidth="1"/>
    <col min="4872" max="5120" width="8.796875" style="91"/>
    <col min="5121" max="5121" width="7.3984375" style="91" customWidth="1"/>
    <col min="5122" max="5122" width="8.796875" style="91" customWidth="1"/>
    <col min="5123" max="5123" width="30.796875" style="91" customWidth="1"/>
    <col min="5124" max="5124" width="26.3984375" style="91" customWidth="1"/>
    <col min="5125" max="5127" width="30.3984375" style="91" customWidth="1"/>
    <col min="5128" max="5376" width="8.796875" style="91"/>
    <col min="5377" max="5377" width="7.3984375" style="91" customWidth="1"/>
    <col min="5378" max="5378" width="8.796875" style="91" customWidth="1"/>
    <col min="5379" max="5379" width="30.796875" style="91" customWidth="1"/>
    <col min="5380" max="5380" width="26.3984375" style="91" customWidth="1"/>
    <col min="5381" max="5383" width="30.3984375" style="91" customWidth="1"/>
    <col min="5384" max="5632" width="8.796875" style="91"/>
    <col min="5633" max="5633" width="7.3984375" style="91" customWidth="1"/>
    <col min="5634" max="5634" width="8.796875" style="91" customWidth="1"/>
    <col min="5635" max="5635" width="30.796875" style="91" customWidth="1"/>
    <col min="5636" max="5636" width="26.3984375" style="91" customWidth="1"/>
    <col min="5637" max="5639" width="30.3984375" style="91" customWidth="1"/>
    <col min="5640" max="5888" width="8.796875" style="91"/>
    <col min="5889" max="5889" width="7.3984375" style="91" customWidth="1"/>
    <col min="5890" max="5890" width="8.796875" style="91" customWidth="1"/>
    <col min="5891" max="5891" width="30.796875" style="91" customWidth="1"/>
    <col min="5892" max="5892" width="26.3984375" style="91" customWidth="1"/>
    <col min="5893" max="5895" width="30.3984375" style="91" customWidth="1"/>
    <col min="5896" max="6144" width="8.796875" style="91"/>
    <col min="6145" max="6145" width="7.3984375" style="91" customWidth="1"/>
    <col min="6146" max="6146" width="8.796875" style="91" customWidth="1"/>
    <col min="6147" max="6147" width="30.796875" style="91" customWidth="1"/>
    <col min="6148" max="6148" width="26.3984375" style="91" customWidth="1"/>
    <col min="6149" max="6151" width="30.3984375" style="91" customWidth="1"/>
    <col min="6152" max="6400" width="8.796875" style="91"/>
    <col min="6401" max="6401" width="7.3984375" style="91" customWidth="1"/>
    <col min="6402" max="6402" width="8.796875" style="91" customWidth="1"/>
    <col min="6403" max="6403" width="30.796875" style="91" customWidth="1"/>
    <col min="6404" max="6404" width="26.3984375" style="91" customWidth="1"/>
    <col min="6405" max="6407" width="30.3984375" style="91" customWidth="1"/>
    <col min="6408" max="6656" width="8.796875" style="91"/>
    <col min="6657" max="6657" width="7.3984375" style="91" customWidth="1"/>
    <col min="6658" max="6658" width="8.796875" style="91" customWidth="1"/>
    <col min="6659" max="6659" width="30.796875" style="91" customWidth="1"/>
    <col min="6660" max="6660" width="26.3984375" style="91" customWidth="1"/>
    <col min="6661" max="6663" width="30.3984375" style="91" customWidth="1"/>
    <col min="6664" max="6912" width="8.796875" style="91"/>
    <col min="6913" max="6913" width="7.3984375" style="91" customWidth="1"/>
    <col min="6914" max="6914" width="8.796875" style="91" customWidth="1"/>
    <col min="6915" max="6915" width="30.796875" style="91" customWidth="1"/>
    <col min="6916" max="6916" width="26.3984375" style="91" customWidth="1"/>
    <col min="6917" max="6919" width="30.3984375" style="91" customWidth="1"/>
    <col min="6920" max="7168" width="8.796875" style="91"/>
    <col min="7169" max="7169" width="7.3984375" style="91" customWidth="1"/>
    <col min="7170" max="7170" width="8.796875" style="91" customWidth="1"/>
    <col min="7171" max="7171" width="30.796875" style="91" customWidth="1"/>
    <col min="7172" max="7172" width="26.3984375" style="91" customWidth="1"/>
    <col min="7173" max="7175" width="30.3984375" style="91" customWidth="1"/>
    <col min="7176" max="7424" width="8.796875" style="91"/>
    <col min="7425" max="7425" width="7.3984375" style="91" customWidth="1"/>
    <col min="7426" max="7426" width="8.796875" style="91" customWidth="1"/>
    <col min="7427" max="7427" width="30.796875" style="91" customWidth="1"/>
    <col min="7428" max="7428" width="26.3984375" style="91" customWidth="1"/>
    <col min="7429" max="7431" width="30.3984375" style="91" customWidth="1"/>
    <col min="7432" max="7680" width="8.796875" style="91"/>
    <col min="7681" max="7681" width="7.3984375" style="91" customWidth="1"/>
    <col min="7682" max="7682" width="8.796875" style="91" customWidth="1"/>
    <col min="7683" max="7683" width="30.796875" style="91" customWidth="1"/>
    <col min="7684" max="7684" width="26.3984375" style="91" customWidth="1"/>
    <col min="7685" max="7687" width="30.3984375" style="91" customWidth="1"/>
    <col min="7688" max="7936" width="8.796875" style="91"/>
    <col min="7937" max="7937" width="7.3984375" style="91" customWidth="1"/>
    <col min="7938" max="7938" width="8.796875" style="91" customWidth="1"/>
    <col min="7939" max="7939" width="30.796875" style="91" customWidth="1"/>
    <col min="7940" max="7940" width="26.3984375" style="91" customWidth="1"/>
    <col min="7941" max="7943" width="30.3984375" style="91" customWidth="1"/>
    <col min="7944" max="8192" width="8.796875" style="91"/>
    <col min="8193" max="8193" width="7.3984375" style="91" customWidth="1"/>
    <col min="8194" max="8194" width="8.796875" style="91" customWidth="1"/>
    <col min="8195" max="8195" width="30.796875" style="91" customWidth="1"/>
    <col min="8196" max="8196" width="26.3984375" style="91" customWidth="1"/>
    <col min="8197" max="8199" width="30.3984375" style="91" customWidth="1"/>
    <col min="8200" max="8448" width="8.796875" style="91"/>
    <col min="8449" max="8449" width="7.3984375" style="91" customWidth="1"/>
    <col min="8450" max="8450" width="8.796875" style="91" customWidth="1"/>
    <col min="8451" max="8451" width="30.796875" style="91" customWidth="1"/>
    <col min="8452" max="8452" width="26.3984375" style="91" customWidth="1"/>
    <col min="8453" max="8455" width="30.3984375" style="91" customWidth="1"/>
    <col min="8456" max="8704" width="8.796875" style="91"/>
    <col min="8705" max="8705" width="7.3984375" style="91" customWidth="1"/>
    <col min="8706" max="8706" width="8.796875" style="91" customWidth="1"/>
    <col min="8707" max="8707" width="30.796875" style="91" customWidth="1"/>
    <col min="8708" max="8708" width="26.3984375" style="91" customWidth="1"/>
    <col min="8709" max="8711" width="30.3984375" style="91" customWidth="1"/>
    <col min="8712" max="8960" width="8.796875" style="91"/>
    <col min="8961" max="8961" width="7.3984375" style="91" customWidth="1"/>
    <col min="8962" max="8962" width="8.796875" style="91" customWidth="1"/>
    <col min="8963" max="8963" width="30.796875" style="91" customWidth="1"/>
    <col min="8964" max="8964" width="26.3984375" style="91" customWidth="1"/>
    <col min="8965" max="8967" width="30.3984375" style="91" customWidth="1"/>
    <col min="8968" max="9216" width="8.796875" style="91"/>
    <col min="9217" max="9217" width="7.3984375" style="91" customWidth="1"/>
    <col min="9218" max="9218" width="8.796875" style="91" customWidth="1"/>
    <col min="9219" max="9219" width="30.796875" style="91" customWidth="1"/>
    <col min="9220" max="9220" width="26.3984375" style="91" customWidth="1"/>
    <col min="9221" max="9223" width="30.3984375" style="91" customWidth="1"/>
    <col min="9224" max="9472" width="8.796875" style="91"/>
    <col min="9473" max="9473" width="7.3984375" style="91" customWidth="1"/>
    <col min="9474" max="9474" width="8.796875" style="91" customWidth="1"/>
    <col min="9475" max="9475" width="30.796875" style="91" customWidth="1"/>
    <col min="9476" max="9476" width="26.3984375" style="91" customWidth="1"/>
    <col min="9477" max="9479" width="30.3984375" style="91" customWidth="1"/>
    <col min="9480" max="9728" width="8.796875" style="91"/>
    <col min="9729" max="9729" width="7.3984375" style="91" customWidth="1"/>
    <col min="9730" max="9730" width="8.796875" style="91" customWidth="1"/>
    <col min="9731" max="9731" width="30.796875" style="91" customWidth="1"/>
    <col min="9732" max="9732" width="26.3984375" style="91" customWidth="1"/>
    <col min="9733" max="9735" width="30.3984375" style="91" customWidth="1"/>
    <col min="9736" max="9984" width="8.796875" style="91"/>
    <col min="9985" max="9985" width="7.3984375" style="91" customWidth="1"/>
    <col min="9986" max="9986" width="8.796875" style="91" customWidth="1"/>
    <col min="9987" max="9987" width="30.796875" style="91" customWidth="1"/>
    <col min="9988" max="9988" width="26.3984375" style="91" customWidth="1"/>
    <col min="9989" max="9991" width="30.3984375" style="91" customWidth="1"/>
    <col min="9992" max="10240" width="8.796875" style="91"/>
    <col min="10241" max="10241" width="7.3984375" style="91" customWidth="1"/>
    <col min="10242" max="10242" width="8.796875" style="91" customWidth="1"/>
    <col min="10243" max="10243" width="30.796875" style="91" customWidth="1"/>
    <col min="10244" max="10244" width="26.3984375" style="91" customWidth="1"/>
    <col min="10245" max="10247" width="30.3984375" style="91" customWidth="1"/>
    <col min="10248" max="10496" width="8.796875" style="91"/>
    <col min="10497" max="10497" width="7.3984375" style="91" customWidth="1"/>
    <col min="10498" max="10498" width="8.796875" style="91" customWidth="1"/>
    <col min="10499" max="10499" width="30.796875" style="91" customWidth="1"/>
    <col min="10500" max="10500" width="26.3984375" style="91" customWidth="1"/>
    <col min="10501" max="10503" width="30.3984375" style="91" customWidth="1"/>
    <col min="10504" max="10752" width="8.796875" style="91"/>
    <col min="10753" max="10753" width="7.3984375" style="91" customWidth="1"/>
    <col min="10754" max="10754" width="8.796875" style="91" customWidth="1"/>
    <col min="10755" max="10755" width="30.796875" style="91" customWidth="1"/>
    <col min="10756" max="10756" width="26.3984375" style="91" customWidth="1"/>
    <col min="10757" max="10759" width="30.3984375" style="91" customWidth="1"/>
    <col min="10760" max="11008" width="8.796875" style="91"/>
    <col min="11009" max="11009" width="7.3984375" style="91" customWidth="1"/>
    <col min="11010" max="11010" width="8.796875" style="91" customWidth="1"/>
    <col min="11011" max="11011" width="30.796875" style="91" customWidth="1"/>
    <col min="11012" max="11012" width="26.3984375" style="91" customWidth="1"/>
    <col min="11013" max="11015" width="30.3984375" style="91" customWidth="1"/>
    <col min="11016" max="11264" width="8.796875" style="91"/>
    <col min="11265" max="11265" width="7.3984375" style="91" customWidth="1"/>
    <col min="11266" max="11266" width="8.796875" style="91" customWidth="1"/>
    <col min="11267" max="11267" width="30.796875" style="91" customWidth="1"/>
    <col min="11268" max="11268" width="26.3984375" style="91" customWidth="1"/>
    <col min="11269" max="11271" width="30.3984375" style="91" customWidth="1"/>
    <col min="11272" max="11520" width="8.796875" style="91"/>
    <col min="11521" max="11521" width="7.3984375" style="91" customWidth="1"/>
    <col min="11522" max="11522" width="8.796875" style="91" customWidth="1"/>
    <col min="11523" max="11523" width="30.796875" style="91" customWidth="1"/>
    <col min="11524" max="11524" width="26.3984375" style="91" customWidth="1"/>
    <col min="11525" max="11527" width="30.3984375" style="91" customWidth="1"/>
    <col min="11528" max="11776" width="8.796875" style="91"/>
    <col min="11777" max="11777" width="7.3984375" style="91" customWidth="1"/>
    <col min="11778" max="11778" width="8.796875" style="91" customWidth="1"/>
    <col min="11779" max="11779" width="30.796875" style="91" customWidth="1"/>
    <col min="11780" max="11780" width="26.3984375" style="91" customWidth="1"/>
    <col min="11781" max="11783" width="30.3984375" style="91" customWidth="1"/>
    <col min="11784" max="12032" width="8.796875" style="91"/>
    <col min="12033" max="12033" width="7.3984375" style="91" customWidth="1"/>
    <col min="12034" max="12034" width="8.796875" style="91" customWidth="1"/>
    <col min="12035" max="12035" width="30.796875" style="91" customWidth="1"/>
    <col min="12036" max="12036" width="26.3984375" style="91" customWidth="1"/>
    <col min="12037" max="12039" width="30.3984375" style="91" customWidth="1"/>
    <col min="12040" max="12288" width="8.796875" style="91"/>
    <col min="12289" max="12289" width="7.3984375" style="91" customWidth="1"/>
    <col min="12290" max="12290" width="8.796875" style="91" customWidth="1"/>
    <col min="12291" max="12291" width="30.796875" style="91" customWidth="1"/>
    <col min="12292" max="12292" width="26.3984375" style="91" customWidth="1"/>
    <col min="12293" max="12295" width="30.3984375" style="91" customWidth="1"/>
    <col min="12296" max="12544" width="8.796875" style="91"/>
    <col min="12545" max="12545" width="7.3984375" style="91" customWidth="1"/>
    <col min="12546" max="12546" width="8.796875" style="91" customWidth="1"/>
    <col min="12547" max="12547" width="30.796875" style="91" customWidth="1"/>
    <col min="12548" max="12548" width="26.3984375" style="91" customWidth="1"/>
    <col min="12549" max="12551" width="30.3984375" style="91" customWidth="1"/>
    <col min="12552" max="12800" width="8.796875" style="91"/>
    <col min="12801" max="12801" width="7.3984375" style="91" customWidth="1"/>
    <col min="12802" max="12802" width="8.796875" style="91" customWidth="1"/>
    <col min="12803" max="12803" width="30.796875" style="91" customWidth="1"/>
    <col min="12804" max="12804" width="26.3984375" style="91" customWidth="1"/>
    <col min="12805" max="12807" width="30.3984375" style="91" customWidth="1"/>
    <col min="12808" max="13056" width="8.796875" style="91"/>
    <col min="13057" max="13057" width="7.3984375" style="91" customWidth="1"/>
    <col min="13058" max="13058" width="8.796875" style="91" customWidth="1"/>
    <col min="13059" max="13059" width="30.796875" style="91" customWidth="1"/>
    <col min="13060" max="13060" width="26.3984375" style="91" customWidth="1"/>
    <col min="13061" max="13063" width="30.3984375" style="91" customWidth="1"/>
    <col min="13064" max="13312" width="8.796875" style="91"/>
    <col min="13313" max="13313" width="7.3984375" style="91" customWidth="1"/>
    <col min="13314" max="13314" width="8.796875" style="91" customWidth="1"/>
    <col min="13315" max="13315" width="30.796875" style="91" customWidth="1"/>
    <col min="13316" max="13316" width="26.3984375" style="91" customWidth="1"/>
    <col min="13317" max="13319" width="30.3984375" style="91" customWidth="1"/>
    <col min="13320" max="13568" width="8.796875" style="91"/>
    <col min="13569" max="13569" width="7.3984375" style="91" customWidth="1"/>
    <col min="13570" max="13570" width="8.796875" style="91" customWidth="1"/>
    <col min="13571" max="13571" width="30.796875" style="91" customWidth="1"/>
    <col min="13572" max="13572" width="26.3984375" style="91" customWidth="1"/>
    <col min="13573" max="13575" width="30.3984375" style="91" customWidth="1"/>
    <col min="13576" max="13824" width="8.796875" style="91"/>
    <col min="13825" max="13825" width="7.3984375" style="91" customWidth="1"/>
    <col min="13826" max="13826" width="8.796875" style="91" customWidth="1"/>
    <col min="13827" max="13827" width="30.796875" style="91" customWidth="1"/>
    <col min="13828" max="13828" width="26.3984375" style="91" customWidth="1"/>
    <col min="13829" max="13831" width="30.3984375" style="91" customWidth="1"/>
    <col min="13832" max="14080" width="8.796875" style="91"/>
    <col min="14081" max="14081" width="7.3984375" style="91" customWidth="1"/>
    <col min="14082" max="14082" width="8.796875" style="91" customWidth="1"/>
    <col min="14083" max="14083" width="30.796875" style="91" customWidth="1"/>
    <col min="14084" max="14084" width="26.3984375" style="91" customWidth="1"/>
    <col min="14085" max="14087" width="30.3984375" style="91" customWidth="1"/>
    <col min="14088" max="14336" width="8.796875" style="91"/>
    <col min="14337" max="14337" width="7.3984375" style="91" customWidth="1"/>
    <col min="14338" max="14338" width="8.796875" style="91" customWidth="1"/>
    <col min="14339" max="14339" width="30.796875" style="91" customWidth="1"/>
    <col min="14340" max="14340" width="26.3984375" style="91" customWidth="1"/>
    <col min="14341" max="14343" width="30.3984375" style="91" customWidth="1"/>
    <col min="14344" max="14592" width="8.796875" style="91"/>
    <col min="14593" max="14593" width="7.3984375" style="91" customWidth="1"/>
    <col min="14594" max="14594" width="8.796875" style="91" customWidth="1"/>
    <col min="14595" max="14595" width="30.796875" style="91" customWidth="1"/>
    <col min="14596" max="14596" width="26.3984375" style="91" customWidth="1"/>
    <col min="14597" max="14599" width="30.3984375" style="91" customWidth="1"/>
    <col min="14600" max="14848" width="8.796875" style="91"/>
    <col min="14849" max="14849" width="7.3984375" style="91" customWidth="1"/>
    <col min="14850" max="14850" width="8.796875" style="91" customWidth="1"/>
    <col min="14851" max="14851" width="30.796875" style="91" customWidth="1"/>
    <col min="14852" max="14852" width="26.3984375" style="91" customWidth="1"/>
    <col min="14853" max="14855" width="30.3984375" style="91" customWidth="1"/>
    <col min="14856" max="15104" width="8.796875" style="91"/>
    <col min="15105" max="15105" width="7.3984375" style="91" customWidth="1"/>
    <col min="15106" max="15106" width="8.796875" style="91" customWidth="1"/>
    <col min="15107" max="15107" width="30.796875" style="91" customWidth="1"/>
    <col min="15108" max="15108" width="26.3984375" style="91" customWidth="1"/>
    <col min="15109" max="15111" width="30.3984375" style="91" customWidth="1"/>
    <col min="15112" max="15360" width="8.796875" style="91"/>
    <col min="15361" max="15361" width="7.3984375" style="91" customWidth="1"/>
    <col min="15362" max="15362" width="8.796875" style="91" customWidth="1"/>
    <col min="15363" max="15363" width="30.796875" style="91" customWidth="1"/>
    <col min="15364" max="15364" width="26.3984375" style="91" customWidth="1"/>
    <col min="15365" max="15367" width="30.3984375" style="91" customWidth="1"/>
    <col min="15368" max="15616" width="8.796875" style="91"/>
    <col min="15617" max="15617" width="7.3984375" style="91" customWidth="1"/>
    <col min="15618" max="15618" width="8.796875" style="91" customWidth="1"/>
    <col min="15619" max="15619" width="30.796875" style="91" customWidth="1"/>
    <col min="15620" max="15620" width="26.3984375" style="91" customWidth="1"/>
    <col min="15621" max="15623" width="30.3984375" style="91" customWidth="1"/>
    <col min="15624" max="15872" width="8.796875" style="91"/>
    <col min="15873" max="15873" width="7.3984375" style="91" customWidth="1"/>
    <col min="15874" max="15874" width="8.796875" style="91" customWidth="1"/>
    <col min="15875" max="15875" width="30.796875" style="91" customWidth="1"/>
    <col min="15876" max="15876" width="26.3984375" style="91" customWidth="1"/>
    <col min="15877" max="15879" width="30.3984375" style="91" customWidth="1"/>
    <col min="15880" max="16128" width="8.796875" style="91"/>
    <col min="16129" max="16129" width="7.3984375" style="91" customWidth="1"/>
    <col min="16130" max="16130" width="8.796875" style="91" customWidth="1"/>
    <col min="16131" max="16131" width="30.796875" style="91" customWidth="1"/>
    <col min="16132" max="16132" width="26.3984375" style="91" customWidth="1"/>
    <col min="16133" max="16135" width="30.3984375" style="91" customWidth="1"/>
    <col min="16136" max="16384" width="8.796875" style="91"/>
  </cols>
  <sheetData>
    <row r="1" spans="1:15" s="88" customFormat="1" ht="14">
      <c r="A1" s="581" t="s">
        <v>100</v>
      </c>
      <c r="B1" s="582"/>
      <c r="C1" s="582"/>
      <c r="D1" s="582"/>
      <c r="E1" s="582"/>
      <c r="F1" s="582"/>
      <c r="G1" s="582"/>
      <c r="H1" s="582"/>
      <c r="I1" s="582"/>
      <c r="J1" s="582"/>
      <c r="K1" s="582"/>
      <c r="L1" s="582"/>
      <c r="M1" s="582"/>
      <c r="N1" s="582"/>
      <c r="O1" s="582"/>
    </row>
    <row r="3" spans="1:15" s="88" customFormat="1" ht="75">
      <c r="A3" s="583" t="s">
        <v>101</v>
      </c>
      <c r="B3" s="580"/>
      <c r="C3" s="94" t="s">
        <v>102</v>
      </c>
      <c r="D3" s="94" t="s">
        <v>103</v>
      </c>
      <c r="E3" s="94" t="s">
        <v>104</v>
      </c>
      <c r="F3" s="94" t="s">
        <v>105</v>
      </c>
      <c r="G3" s="94" t="s">
        <v>106</v>
      </c>
    </row>
    <row r="4" spans="1:15" s="88" customFormat="1" ht="15">
      <c r="A4" s="578">
        <v>1982</v>
      </c>
      <c r="B4" s="580"/>
      <c r="C4" s="89">
        <v>1311.6</v>
      </c>
      <c r="D4" s="89">
        <v>3.9</v>
      </c>
      <c r="E4" s="89">
        <v>28.7</v>
      </c>
      <c r="F4" s="94" t="s">
        <v>107</v>
      </c>
      <c r="G4" s="94" t="s">
        <v>107</v>
      </c>
    </row>
    <row r="5" spans="1:15" s="88" customFormat="1" ht="15">
      <c r="A5" s="578">
        <v>1983</v>
      </c>
      <c r="B5" s="580"/>
      <c r="C5" s="89">
        <v>1334.3</v>
      </c>
      <c r="D5" s="89">
        <v>3.9</v>
      </c>
      <c r="E5" s="89">
        <v>30.7</v>
      </c>
      <c r="F5" s="94" t="s">
        <v>107</v>
      </c>
      <c r="G5" s="94" t="s">
        <v>107</v>
      </c>
    </row>
    <row r="6" spans="1:15" s="88" customFormat="1" ht="15">
      <c r="A6" s="578">
        <v>1984</v>
      </c>
      <c r="B6" s="580"/>
      <c r="C6" s="89">
        <v>1378.7</v>
      </c>
      <c r="D6" s="89">
        <v>3.7</v>
      </c>
      <c r="E6" s="89">
        <v>31.2</v>
      </c>
      <c r="F6" s="94" t="s">
        <v>107</v>
      </c>
      <c r="G6" s="94" t="s">
        <v>107</v>
      </c>
    </row>
    <row r="7" spans="1:15" s="88" customFormat="1" ht="14">
      <c r="A7" s="578">
        <v>1985</v>
      </c>
      <c r="B7" s="580"/>
      <c r="C7" s="89">
        <v>1417.7</v>
      </c>
      <c r="D7" s="89">
        <v>3.7</v>
      </c>
      <c r="E7" s="89">
        <v>32.799999999999997</v>
      </c>
      <c r="F7" s="89">
        <v>6.6</v>
      </c>
      <c r="G7" s="89">
        <v>51.8</v>
      </c>
    </row>
    <row r="8" spans="1:15" s="88" customFormat="1" ht="14">
      <c r="A8" s="578">
        <v>1986</v>
      </c>
      <c r="B8" s="580"/>
      <c r="C8" s="89">
        <v>1473.1</v>
      </c>
      <c r="D8" s="89">
        <v>3.6</v>
      </c>
      <c r="E8" s="89">
        <v>34.9</v>
      </c>
      <c r="F8" s="89">
        <v>9.1</v>
      </c>
      <c r="G8" s="89">
        <v>53.9</v>
      </c>
    </row>
    <row r="9" spans="1:15" s="88" customFormat="1" ht="14">
      <c r="A9" s="578">
        <v>1987</v>
      </c>
      <c r="B9" s="580"/>
      <c r="C9" s="89">
        <v>1496.1</v>
      </c>
      <c r="D9" s="89">
        <v>3.6</v>
      </c>
      <c r="E9" s="89">
        <v>37.9</v>
      </c>
      <c r="F9" s="89">
        <v>10.1</v>
      </c>
      <c r="G9" s="89">
        <v>59.1</v>
      </c>
    </row>
    <row r="10" spans="1:15" s="88" customFormat="1" ht="14">
      <c r="A10" s="578">
        <v>1988</v>
      </c>
      <c r="B10" s="580"/>
      <c r="C10" s="89">
        <v>1532.6</v>
      </c>
      <c r="D10" s="89">
        <v>3.6</v>
      </c>
      <c r="E10" s="89">
        <v>39.4</v>
      </c>
      <c r="F10" s="89">
        <v>11.9</v>
      </c>
      <c r="G10" s="89">
        <v>60.8</v>
      </c>
    </row>
    <row r="11" spans="1:15" s="88" customFormat="1" ht="14">
      <c r="A11" s="578">
        <v>1989</v>
      </c>
      <c r="B11" s="580"/>
      <c r="C11" s="89">
        <v>1549</v>
      </c>
      <c r="D11" s="89">
        <v>3.6</v>
      </c>
      <c r="E11" s="89">
        <v>41.6</v>
      </c>
      <c r="F11" s="89">
        <v>12.9</v>
      </c>
      <c r="G11" s="89">
        <v>64.5</v>
      </c>
    </row>
    <row r="12" spans="1:15" s="88" customFormat="1" ht="14">
      <c r="A12" s="578">
        <v>1990</v>
      </c>
      <c r="B12" s="580"/>
      <c r="C12" s="89">
        <v>1559</v>
      </c>
      <c r="D12" s="89">
        <v>3.5</v>
      </c>
      <c r="E12" s="89">
        <v>42.6</v>
      </c>
      <c r="F12" s="89">
        <v>14.2</v>
      </c>
      <c r="G12" s="89">
        <v>66.3</v>
      </c>
    </row>
    <row r="13" spans="1:15" s="88" customFormat="1" ht="14">
      <c r="A13" s="578">
        <v>1991</v>
      </c>
      <c r="B13" s="580"/>
      <c r="C13" s="89">
        <v>1601.9</v>
      </c>
      <c r="D13" s="89">
        <v>3.5</v>
      </c>
      <c r="E13" s="89">
        <v>43.1</v>
      </c>
      <c r="F13" s="89">
        <v>15.8</v>
      </c>
      <c r="G13" s="89">
        <v>66.5</v>
      </c>
    </row>
    <row r="14" spans="1:15" s="88" customFormat="1" ht="14">
      <c r="A14" s="578">
        <v>1992</v>
      </c>
      <c r="B14" s="580"/>
      <c r="C14" s="89">
        <v>1633.5</v>
      </c>
      <c r="D14" s="89">
        <v>3.4</v>
      </c>
      <c r="E14" s="89">
        <v>43.5</v>
      </c>
      <c r="F14" s="89">
        <v>16.3</v>
      </c>
      <c r="G14" s="89">
        <v>68</v>
      </c>
    </row>
    <row r="15" spans="1:15" s="88" customFormat="1" ht="14">
      <c r="A15" s="578">
        <v>1993</v>
      </c>
      <c r="B15" s="580"/>
      <c r="C15" s="89">
        <v>1677.7</v>
      </c>
      <c r="D15" s="89">
        <v>3.5</v>
      </c>
      <c r="E15" s="89">
        <v>44.6</v>
      </c>
      <c r="F15" s="89">
        <v>18.2</v>
      </c>
      <c r="G15" s="89">
        <v>68.599999999999994</v>
      </c>
    </row>
    <row r="16" spans="1:15" s="88" customFormat="1" ht="14">
      <c r="A16" s="578">
        <v>1994</v>
      </c>
      <c r="B16" s="580"/>
      <c r="C16" s="89">
        <v>1729.1</v>
      </c>
      <c r="D16" s="89">
        <v>3.4</v>
      </c>
      <c r="E16" s="89">
        <v>45.1</v>
      </c>
      <c r="F16" s="89">
        <v>20.5</v>
      </c>
      <c r="G16" s="89">
        <v>67.8</v>
      </c>
    </row>
    <row r="17" spans="1:7" s="88" customFormat="1" ht="14">
      <c r="A17" s="578">
        <v>1995</v>
      </c>
      <c r="B17" s="580"/>
      <c r="C17" s="89">
        <v>1783</v>
      </c>
      <c r="D17" s="89">
        <v>3.4</v>
      </c>
      <c r="E17" s="89">
        <v>45.2</v>
      </c>
      <c r="F17" s="89">
        <v>21.6</v>
      </c>
      <c r="G17" s="89">
        <v>67.3</v>
      </c>
    </row>
    <row r="18" spans="1:7" s="88" customFormat="1" ht="14">
      <c r="A18" s="578">
        <v>1996</v>
      </c>
      <c r="B18" s="580"/>
      <c r="C18" s="89">
        <v>1864.5</v>
      </c>
      <c r="D18" s="89">
        <v>3.4</v>
      </c>
      <c r="E18" s="89">
        <v>45.9</v>
      </c>
      <c r="F18" s="89">
        <v>21.9</v>
      </c>
      <c r="G18" s="89">
        <v>67.099999999999994</v>
      </c>
    </row>
    <row r="19" spans="1:7" s="88" customFormat="1" ht="14">
      <c r="A19" s="578">
        <v>1997</v>
      </c>
      <c r="B19" s="580"/>
      <c r="C19" s="89">
        <v>1922.8</v>
      </c>
      <c r="D19" s="89">
        <v>3.3</v>
      </c>
      <c r="E19" s="89">
        <v>46.7</v>
      </c>
      <c r="F19" s="89">
        <v>23</v>
      </c>
      <c r="G19" s="89">
        <v>66.5</v>
      </c>
    </row>
    <row r="20" spans="1:7" s="88" customFormat="1" ht="14">
      <c r="A20" s="578">
        <v>1998</v>
      </c>
      <c r="B20" s="580"/>
      <c r="C20" s="89">
        <v>1961.5</v>
      </c>
      <c r="D20" s="89">
        <v>3.3</v>
      </c>
      <c r="E20" s="89">
        <v>46.6</v>
      </c>
      <c r="F20" s="89">
        <v>25</v>
      </c>
      <c r="G20" s="89">
        <v>66</v>
      </c>
    </row>
    <row r="21" spans="1:7" s="88" customFormat="1" ht="14">
      <c r="A21" s="578">
        <v>1999</v>
      </c>
      <c r="B21" s="580"/>
      <c r="C21" s="89">
        <v>1998.9</v>
      </c>
      <c r="D21" s="89">
        <v>3.3</v>
      </c>
      <c r="E21" s="89">
        <v>48.2</v>
      </c>
      <c r="F21" s="89">
        <v>27.8</v>
      </c>
      <c r="G21" s="89">
        <v>66.8</v>
      </c>
    </row>
    <row r="22" spans="1:7" s="88" customFormat="1" ht="14">
      <c r="A22" s="578">
        <v>2000</v>
      </c>
      <c r="B22" s="580"/>
      <c r="C22" s="89">
        <v>2037</v>
      </c>
      <c r="D22" s="89">
        <v>3.3</v>
      </c>
      <c r="E22" s="89">
        <v>51.1</v>
      </c>
      <c r="F22" s="89">
        <v>31.5</v>
      </c>
      <c r="G22" s="89">
        <v>68.900000000000006</v>
      </c>
    </row>
    <row r="23" spans="1:7" s="88" customFormat="1" ht="14">
      <c r="A23" s="578">
        <v>2001</v>
      </c>
      <c r="B23" s="580"/>
      <c r="C23" s="89">
        <v>2054.5</v>
      </c>
      <c r="D23" s="89">
        <v>3.2</v>
      </c>
      <c r="E23" s="89">
        <v>52.2</v>
      </c>
      <c r="F23" s="89">
        <v>35.799999999999997</v>
      </c>
      <c r="G23" s="89">
        <v>67</v>
      </c>
    </row>
    <row r="24" spans="1:7" s="88" customFormat="1" ht="14">
      <c r="A24" s="578">
        <v>2002</v>
      </c>
      <c r="B24" s="580"/>
      <c r="C24" s="89">
        <v>2080.5</v>
      </c>
      <c r="D24" s="89">
        <v>3.2</v>
      </c>
      <c r="E24" s="89">
        <v>53</v>
      </c>
      <c r="F24" s="89">
        <v>35.200000000000003</v>
      </c>
      <c r="G24" s="89">
        <v>69.099999999999994</v>
      </c>
    </row>
    <row r="25" spans="1:7" s="88" customFormat="1" ht="14">
      <c r="A25" s="578">
        <v>2003</v>
      </c>
      <c r="B25" s="580"/>
      <c r="C25" s="89">
        <v>2114</v>
      </c>
      <c r="D25" s="89">
        <v>3.1</v>
      </c>
      <c r="E25" s="89">
        <v>53.4</v>
      </c>
      <c r="F25" s="89">
        <v>35.299999999999997</v>
      </c>
      <c r="G25" s="89">
        <v>69.900000000000006</v>
      </c>
    </row>
    <row r="26" spans="1:7" s="88" customFormat="1" ht="14">
      <c r="A26" s="578">
        <v>2004</v>
      </c>
      <c r="B26" s="580"/>
      <c r="C26" s="89">
        <v>2140.5</v>
      </c>
      <c r="D26" s="89">
        <v>3.1</v>
      </c>
      <c r="E26" s="89">
        <v>54.3</v>
      </c>
      <c r="F26" s="89">
        <v>35.200000000000003</v>
      </c>
      <c r="G26" s="89">
        <v>71.3</v>
      </c>
    </row>
    <row r="27" spans="1:7" s="88" customFormat="1" ht="14">
      <c r="A27" s="578">
        <v>2005</v>
      </c>
      <c r="B27" s="580"/>
      <c r="C27" s="89">
        <v>2197.1</v>
      </c>
      <c r="D27" s="89">
        <v>3</v>
      </c>
      <c r="E27" s="89">
        <v>53.7</v>
      </c>
      <c r="F27" s="89">
        <v>34.6</v>
      </c>
      <c r="G27" s="89">
        <v>70.3</v>
      </c>
    </row>
    <row r="28" spans="1:7" s="88" customFormat="1" ht="14">
      <c r="A28" s="578">
        <v>2006</v>
      </c>
      <c r="B28" s="580"/>
      <c r="C28" s="89">
        <v>2220.9</v>
      </c>
      <c r="D28" s="89">
        <v>3</v>
      </c>
      <c r="E28" s="89">
        <v>53.5</v>
      </c>
      <c r="F28" s="89">
        <v>34.1</v>
      </c>
      <c r="G28" s="89">
        <v>70.5</v>
      </c>
    </row>
    <row r="29" spans="1:7" s="88" customFormat="1" ht="14">
      <c r="A29" s="578">
        <v>2007</v>
      </c>
      <c r="B29" s="580"/>
      <c r="C29" s="89">
        <v>2249.9</v>
      </c>
      <c r="D29" s="89">
        <v>3</v>
      </c>
      <c r="E29" s="89">
        <v>53.1</v>
      </c>
      <c r="F29" s="89">
        <v>34.4</v>
      </c>
      <c r="G29" s="89">
        <v>69.5</v>
      </c>
    </row>
    <row r="30" spans="1:7" s="88" customFormat="1" ht="14">
      <c r="A30" s="578">
        <v>2008</v>
      </c>
      <c r="B30" s="580"/>
      <c r="C30" s="89">
        <v>2279.1</v>
      </c>
      <c r="D30" s="89">
        <v>3</v>
      </c>
      <c r="E30" s="89">
        <v>53.6</v>
      </c>
      <c r="F30" s="89">
        <v>34.9</v>
      </c>
      <c r="G30" s="89">
        <v>69.7</v>
      </c>
    </row>
    <row r="31" spans="1:7" s="88" customFormat="1" ht="14">
      <c r="A31" s="578">
        <v>2009</v>
      </c>
      <c r="B31" s="580"/>
      <c r="C31" s="89">
        <v>2297.1999999999998</v>
      </c>
      <c r="D31" s="89">
        <v>2.9</v>
      </c>
      <c r="E31" s="89">
        <v>53.5</v>
      </c>
      <c r="F31" s="89">
        <v>34.6</v>
      </c>
      <c r="G31" s="89">
        <v>69.7</v>
      </c>
    </row>
    <row r="32" spans="1:7" s="88" customFormat="1" ht="14">
      <c r="A32" s="578">
        <v>2010</v>
      </c>
      <c r="B32" s="580"/>
      <c r="C32" s="89">
        <v>2325.1</v>
      </c>
      <c r="D32" s="89">
        <v>2.9</v>
      </c>
      <c r="E32" s="89">
        <v>53.1</v>
      </c>
      <c r="F32" s="89">
        <v>34.200000000000003</v>
      </c>
      <c r="G32" s="89">
        <v>69.400000000000006</v>
      </c>
    </row>
    <row r="33" spans="1:7" s="88" customFormat="1" ht="14">
      <c r="A33" s="578">
        <v>2011</v>
      </c>
      <c r="B33" s="580"/>
      <c r="C33" s="89">
        <v>2359.3000000000002</v>
      </c>
      <c r="D33" s="89">
        <v>2.9</v>
      </c>
      <c r="E33" s="89">
        <v>53.2</v>
      </c>
      <c r="F33" s="89">
        <v>33.6</v>
      </c>
      <c r="G33" s="89">
        <v>69.8</v>
      </c>
    </row>
    <row r="34" spans="1:7" s="88" customFormat="1" ht="14">
      <c r="A34" s="578">
        <v>2012</v>
      </c>
      <c r="B34" s="580"/>
      <c r="C34" s="89">
        <v>2386.1999999999998</v>
      </c>
      <c r="D34" s="89">
        <v>2.9</v>
      </c>
      <c r="E34" s="89">
        <v>52</v>
      </c>
      <c r="F34" s="89">
        <v>33</v>
      </c>
      <c r="G34" s="89">
        <v>68.3</v>
      </c>
    </row>
    <row r="35" spans="1:7" s="88" customFormat="1" ht="14">
      <c r="A35" s="578">
        <v>2013</v>
      </c>
      <c r="B35" s="580"/>
      <c r="C35" s="89">
        <v>2407.3000000000002</v>
      </c>
      <c r="D35" s="89">
        <v>2.9</v>
      </c>
      <c r="E35" s="89">
        <v>51.1</v>
      </c>
      <c r="F35" s="89">
        <v>32.799999999999997</v>
      </c>
      <c r="G35" s="89">
        <v>66.7</v>
      </c>
    </row>
    <row r="36" spans="1:7" s="88" customFormat="1" ht="14">
      <c r="A36" s="578">
        <v>2014</v>
      </c>
      <c r="B36" s="580"/>
      <c r="C36" s="89">
        <v>2432.4</v>
      </c>
      <c r="D36" s="89">
        <v>2.9</v>
      </c>
      <c r="E36" s="89">
        <v>50.9</v>
      </c>
      <c r="F36" s="89">
        <v>32.700000000000003</v>
      </c>
      <c r="G36" s="89">
        <v>66.400000000000006</v>
      </c>
    </row>
    <row r="37" spans="1:7" s="88" customFormat="1" ht="14">
      <c r="A37" s="578">
        <v>2015</v>
      </c>
      <c r="B37" s="580"/>
      <c r="C37" s="89">
        <v>2471.1</v>
      </c>
      <c r="D37" s="89">
        <v>2.9</v>
      </c>
      <c r="E37" s="89">
        <v>50.3</v>
      </c>
      <c r="F37" s="89">
        <v>32.200000000000003</v>
      </c>
      <c r="G37" s="89">
        <v>65.7</v>
      </c>
    </row>
    <row r="38" spans="1:7" s="88" customFormat="1" ht="14">
      <c r="A38" s="578">
        <v>2016</v>
      </c>
      <c r="B38" s="580"/>
      <c r="C38" s="89">
        <v>2498.9</v>
      </c>
      <c r="D38" s="89">
        <v>2.8</v>
      </c>
      <c r="E38" s="89">
        <v>50.4</v>
      </c>
      <c r="F38" s="89">
        <v>31.9</v>
      </c>
      <c r="G38" s="89">
        <v>65.8</v>
      </c>
    </row>
    <row r="39" spans="1:7" s="88" customFormat="1" ht="14">
      <c r="A39" s="578">
        <v>2017</v>
      </c>
      <c r="B39" s="580"/>
      <c r="C39" s="89">
        <v>2534.6999999999998</v>
      </c>
      <c r="D39" s="89">
        <v>2.8</v>
      </c>
      <c r="E39" s="89">
        <v>49.2</v>
      </c>
      <c r="F39" s="89">
        <v>31.8</v>
      </c>
      <c r="G39" s="89">
        <v>63.8</v>
      </c>
    </row>
    <row r="40" spans="1:7" s="88" customFormat="1" ht="15">
      <c r="A40" s="578" t="s">
        <v>108</v>
      </c>
      <c r="B40" s="580"/>
      <c r="C40" s="89">
        <v>1297.7</v>
      </c>
      <c r="D40" s="89">
        <v>3.8</v>
      </c>
      <c r="E40" s="89">
        <v>28.7</v>
      </c>
      <c r="F40" s="94" t="s">
        <v>107</v>
      </c>
      <c r="G40" s="94" t="s">
        <v>107</v>
      </c>
    </row>
    <row r="41" spans="1:7" s="88" customFormat="1" ht="15">
      <c r="A41" s="578" t="s">
        <v>109</v>
      </c>
      <c r="B41" s="580"/>
      <c r="C41" s="89">
        <v>1297.4000000000001</v>
      </c>
      <c r="D41" s="89">
        <v>3.9</v>
      </c>
      <c r="E41" s="89">
        <v>28.3</v>
      </c>
      <c r="F41" s="94" t="s">
        <v>107</v>
      </c>
      <c r="G41" s="94" t="s">
        <v>107</v>
      </c>
    </row>
    <row r="42" spans="1:7" s="88" customFormat="1" ht="15">
      <c r="A42" s="578" t="s">
        <v>110</v>
      </c>
      <c r="B42" s="580"/>
      <c r="C42" s="89">
        <v>1317.5</v>
      </c>
      <c r="D42" s="89">
        <v>3.9</v>
      </c>
      <c r="E42" s="89">
        <v>28.5</v>
      </c>
      <c r="F42" s="94" t="s">
        <v>107</v>
      </c>
      <c r="G42" s="94" t="s">
        <v>107</v>
      </c>
    </row>
    <row r="43" spans="1:7" s="88" customFormat="1" ht="15">
      <c r="A43" s="578" t="s">
        <v>111</v>
      </c>
      <c r="B43" s="580"/>
      <c r="C43" s="89">
        <v>1312.3</v>
      </c>
      <c r="D43" s="89">
        <v>3.9</v>
      </c>
      <c r="E43" s="89">
        <v>29</v>
      </c>
      <c r="F43" s="94" t="s">
        <v>107</v>
      </c>
      <c r="G43" s="94" t="s">
        <v>107</v>
      </c>
    </row>
    <row r="44" spans="1:7" s="88" customFormat="1" ht="15">
      <c r="A44" s="578" t="s">
        <v>112</v>
      </c>
      <c r="B44" s="580"/>
      <c r="C44" s="89">
        <v>1319.3</v>
      </c>
      <c r="D44" s="89">
        <v>3.9</v>
      </c>
      <c r="E44" s="89">
        <v>29</v>
      </c>
      <c r="F44" s="94" t="s">
        <v>107</v>
      </c>
      <c r="G44" s="94" t="s">
        <v>107</v>
      </c>
    </row>
    <row r="45" spans="1:7" s="88" customFormat="1" ht="15">
      <c r="A45" s="578" t="s">
        <v>113</v>
      </c>
      <c r="B45" s="580"/>
      <c r="C45" s="89">
        <v>1320.1</v>
      </c>
      <c r="D45" s="89">
        <v>3.9</v>
      </c>
      <c r="E45" s="89">
        <v>31.1</v>
      </c>
      <c r="F45" s="94" t="s">
        <v>107</v>
      </c>
      <c r="G45" s="94" t="s">
        <v>107</v>
      </c>
    </row>
    <row r="46" spans="1:7" s="88" customFormat="1" ht="15">
      <c r="A46" s="578" t="s">
        <v>114</v>
      </c>
      <c r="B46" s="580"/>
      <c r="C46" s="89">
        <v>1330.5</v>
      </c>
      <c r="D46" s="89">
        <v>3.9</v>
      </c>
      <c r="E46" s="89">
        <v>30.9</v>
      </c>
      <c r="F46" s="94" t="s">
        <v>107</v>
      </c>
      <c r="G46" s="94" t="s">
        <v>107</v>
      </c>
    </row>
    <row r="47" spans="1:7" s="88" customFormat="1" ht="15">
      <c r="A47" s="578" t="s">
        <v>115</v>
      </c>
      <c r="B47" s="580"/>
      <c r="C47" s="89">
        <v>1336.9</v>
      </c>
      <c r="D47" s="89">
        <v>3.8</v>
      </c>
      <c r="E47" s="89">
        <v>30.3</v>
      </c>
      <c r="F47" s="94" t="s">
        <v>107</v>
      </c>
      <c r="G47" s="94" t="s">
        <v>107</v>
      </c>
    </row>
    <row r="48" spans="1:7" s="88" customFormat="1" ht="15">
      <c r="A48" s="578" t="s">
        <v>116</v>
      </c>
      <c r="B48" s="580"/>
      <c r="C48" s="89">
        <v>1349.9</v>
      </c>
      <c r="D48" s="89">
        <v>3.8</v>
      </c>
      <c r="E48" s="89">
        <v>30.3</v>
      </c>
      <c r="F48" s="94" t="s">
        <v>107</v>
      </c>
      <c r="G48" s="94" t="s">
        <v>107</v>
      </c>
    </row>
    <row r="49" spans="1:7" s="88" customFormat="1" ht="15">
      <c r="A49" s="578" t="s">
        <v>117</v>
      </c>
      <c r="B49" s="580"/>
      <c r="C49" s="89">
        <v>1345.4</v>
      </c>
      <c r="D49" s="89">
        <v>3.8</v>
      </c>
      <c r="E49" s="89">
        <v>30.9</v>
      </c>
      <c r="F49" s="94" t="s">
        <v>107</v>
      </c>
      <c r="G49" s="94" t="s">
        <v>107</v>
      </c>
    </row>
    <row r="50" spans="1:7" s="88" customFormat="1" ht="15">
      <c r="A50" s="578" t="s">
        <v>118</v>
      </c>
      <c r="B50" s="580"/>
      <c r="C50" s="89">
        <v>1378.1</v>
      </c>
      <c r="D50" s="89">
        <v>3.8</v>
      </c>
      <c r="E50" s="89">
        <v>30.9</v>
      </c>
      <c r="F50" s="94" t="s">
        <v>107</v>
      </c>
      <c r="G50" s="94" t="s">
        <v>107</v>
      </c>
    </row>
    <row r="51" spans="1:7" s="88" customFormat="1" ht="15">
      <c r="A51" s="578" t="s">
        <v>119</v>
      </c>
      <c r="B51" s="580"/>
      <c r="C51" s="89">
        <v>1386.3</v>
      </c>
      <c r="D51" s="89">
        <v>3.7</v>
      </c>
      <c r="E51" s="89">
        <v>31.8</v>
      </c>
      <c r="F51" s="94" t="s">
        <v>107</v>
      </c>
      <c r="G51" s="94" t="s">
        <v>107</v>
      </c>
    </row>
    <row r="52" spans="1:7" s="88" customFormat="1" ht="15">
      <c r="A52" s="578" t="s">
        <v>120</v>
      </c>
      <c r="B52" s="580"/>
      <c r="C52" s="89">
        <v>1405</v>
      </c>
      <c r="D52" s="89">
        <v>3.7</v>
      </c>
      <c r="E52" s="89">
        <v>31.3</v>
      </c>
      <c r="F52" s="94" t="s">
        <v>107</v>
      </c>
      <c r="G52" s="94" t="s">
        <v>107</v>
      </c>
    </row>
    <row r="53" spans="1:7" s="88" customFormat="1" ht="14">
      <c r="A53" s="578" t="s">
        <v>121</v>
      </c>
      <c r="B53" s="580"/>
      <c r="C53" s="89">
        <v>1402.9</v>
      </c>
      <c r="D53" s="89">
        <v>3.7</v>
      </c>
      <c r="E53" s="89">
        <v>31.4</v>
      </c>
      <c r="F53" s="89">
        <v>5.9</v>
      </c>
      <c r="G53" s="89">
        <v>50.2</v>
      </c>
    </row>
    <row r="54" spans="1:7" s="88" customFormat="1" ht="14">
      <c r="A54" s="578" t="s">
        <v>122</v>
      </c>
      <c r="B54" s="580"/>
      <c r="C54" s="89">
        <v>1416.7</v>
      </c>
      <c r="D54" s="89">
        <v>3.7</v>
      </c>
      <c r="E54" s="89">
        <v>32.799999999999997</v>
      </c>
      <c r="F54" s="89">
        <v>6.3</v>
      </c>
      <c r="G54" s="89">
        <v>51.6</v>
      </c>
    </row>
    <row r="55" spans="1:7" s="88" customFormat="1" ht="14">
      <c r="A55" s="578" t="s">
        <v>123</v>
      </c>
      <c r="B55" s="580"/>
      <c r="C55" s="89">
        <v>1416.5</v>
      </c>
      <c r="D55" s="89">
        <v>3.7</v>
      </c>
      <c r="E55" s="89">
        <v>33.9</v>
      </c>
      <c r="F55" s="89">
        <v>6.9</v>
      </c>
      <c r="G55" s="89">
        <v>53.6</v>
      </c>
    </row>
    <row r="56" spans="1:7" s="88" customFormat="1" ht="14">
      <c r="A56" s="578" t="s">
        <v>124</v>
      </c>
      <c r="B56" s="580"/>
      <c r="C56" s="89">
        <v>1434.7</v>
      </c>
      <c r="D56" s="89">
        <v>3.7</v>
      </c>
      <c r="E56" s="89">
        <v>33.200000000000003</v>
      </c>
      <c r="F56" s="89">
        <v>7.3</v>
      </c>
      <c r="G56" s="89">
        <v>51.8</v>
      </c>
    </row>
    <row r="57" spans="1:7" s="88" customFormat="1" ht="14">
      <c r="A57" s="578" t="s">
        <v>125</v>
      </c>
      <c r="B57" s="580"/>
      <c r="C57" s="89">
        <v>1453</v>
      </c>
      <c r="D57" s="89">
        <v>3.7</v>
      </c>
      <c r="E57" s="89">
        <v>32.9</v>
      </c>
      <c r="F57" s="89">
        <v>7.9</v>
      </c>
      <c r="G57" s="89">
        <v>50.6</v>
      </c>
    </row>
    <row r="58" spans="1:7" s="88" customFormat="1" ht="14">
      <c r="A58" s="578" t="s">
        <v>126</v>
      </c>
      <c r="B58" s="580"/>
      <c r="C58" s="89">
        <v>1469.7</v>
      </c>
      <c r="D58" s="89">
        <v>3.6</v>
      </c>
      <c r="E58" s="89">
        <v>34</v>
      </c>
      <c r="F58" s="89">
        <v>9</v>
      </c>
      <c r="G58" s="89">
        <v>52</v>
      </c>
    </row>
    <row r="59" spans="1:7" s="88" customFormat="1" ht="14">
      <c r="A59" s="578" t="s">
        <v>127</v>
      </c>
      <c r="B59" s="580"/>
      <c r="C59" s="89">
        <v>1481.4</v>
      </c>
      <c r="D59" s="89">
        <v>3.6</v>
      </c>
      <c r="E59" s="89">
        <v>36</v>
      </c>
      <c r="F59" s="89">
        <v>9.5</v>
      </c>
      <c r="G59" s="89">
        <v>56.4</v>
      </c>
    </row>
    <row r="60" spans="1:7" s="88" customFormat="1" ht="14">
      <c r="A60" s="578" t="s">
        <v>128</v>
      </c>
      <c r="B60" s="580"/>
      <c r="C60" s="89">
        <v>1488.2</v>
      </c>
      <c r="D60" s="89">
        <v>3.6</v>
      </c>
      <c r="E60" s="89">
        <v>36.5</v>
      </c>
      <c r="F60" s="89">
        <v>9.9</v>
      </c>
      <c r="G60" s="89">
        <v>56.9</v>
      </c>
    </row>
    <row r="61" spans="1:7" s="88" customFormat="1" ht="14">
      <c r="A61" s="578" t="s">
        <v>129</v>
      </c>
      <c r="B61" s="580"/>
      <c r="C61" s="89">
        <v>1478.3</v>
      </c>
      <c r="D61" s="89">
        <v>3.6</v>
      </c>
      <c r="E61" s="89">
        <v>37.1</v>
      </c>
      <c r="F61" s="89">
        <v>9.9</v>
      </c>
      <c r="G61" s="89">
        <v>57.7</v>
      </c>
    </row>
    <row r="62" spans="1:7" s="88" customFormat="1" ht="14">
      <c r="A62" s="578" t="s">
        <v>130</v>
      </c>
      <c r="B62" s="580"/>
      <c r="C62" s="89">
        <v>1494.3</v>
      </c>
      <c r="D62" s="89">
        <v>3.6</v>
      </c>
      <c r="E62" s="89">
        <v>37.299999999999997</v>
      </c>
      <c r="F62" s="89">
        <v>10.3</v>
      </c>
      <c r="G62" s="89">
        <v>57.9</v>
      </c>
    </row>
    <row r="63" spans="1:7" s="88" customFormat="1" ht="14">
      <c r="A63" s="578" t="s">
        <v>131</v>
      </c>
      <c r="B63" s="580"/>
      <c r="C63" s="89">
        <v>1496.7</v>
      </c>
      <c r="D63" s="89">
        <v>3.6</v>
      </c>
      <c r="E63" s="89">
        <v>38.5</v>
      </c>
      <c r="F63" s="89">
        <v>10.199999999999999</v>
      </c>
      <c r="G63" s="89">
        <v>60.3</v>
      </c>
    </row>
    <row r="64" spans="1:7" s="88" customFormat="1" ht="14">
      <c r="A64" s="578" t="s">
        <v>132</v>
      </c>
      <c r="B64" s="580"/>
      <c r="C64" s="89">
        <v>1514.9</v>
      </c>
      <c r="D64" s="89">
        <v>3.6</v>
      </c>
      <c r="E64" s="89">
        <v>38.700000000000003</v>
      </c>
      <c r="F64" s="89">
        <v>9.9</v>
      </c>
      <c r="G64" s="89">
        <v>60.4</v>
      </c>
    </row>
    <row r="65" spans="1:7" s="88" customFormat="1" ht="14">
      <c r="A65" s="578" t="s">
        <v>133</v>
      </c>
      <c r="B65" s="580"/>
      <c r="C65" s="89">
        <v>1520.5</v>
      </c>
      <c r="D65" s="89">
        <v>3.6</v>
      </c>
      <c r="E65" s="89">
        <v>39.200000000000003</v>
      </c>
      <c r="F65" s="89">
        <v>11.6</v>
      </c>
      <c r="G65" s="89">
        <v>60.6</v>
      </c>
    </row>
    <row r="66" spans="1:7" s="88" customFormat="1" ht="14">
      <c r="A66" s="578" t="s">
        <v>134</v>
      </c>
      <c r="B66" s="580"/>
      <c r="C66" s="89">
        <v>1531.6</v>
      </c>
      <c r="D66" s="89">
        <v>3.6</v>
      </c>
      <c r="E66" s="89">
        <v>39.1</v>
      </c>
      <c r="F66" s="89">
        <v>12.1</v>
      </c>
      <c r="G66" s="89">
        <v>60.3</v>
      </c>
    </row>
    <row r="67" spans="1:7" s="88" customFormat="1" ht="14">
      <c r="A67" s="578" t="s">
        <v>135</v>
      </c>
      <c r="B67" s="580"/>
      <c r="C67" s="89">
        <v>1534.4</v>
      </c>
      <c r="D67" s="89">
        <v>3.6</v>
      </c>
      <c r="E67" s="89">
        <v>39.200000000000003</v>
      </c>
      <c r="F67" s="89">
        <v>11.8</v>
      </c>
      <c r="G67" s="89">
        <v>60.6</v>
      </c>
    </row>
    <row r="68" spans="1:7" s="88" customFormat="1" ht="14">
      <c r="A68" s="578" t="s">
        <v>136</v>
      </c>
      <c r="B68" s="580"/>
      <c r="C68" s="89">
        <v>1543.8</v>
      </c>
      <c r="D68" s="89">
        <v>3.6</v>
      </c>
      <c r="E68" s="89">
        <v>40.200000000000003</v>
      </c>
      <c r="F68" s="89">
        <v>11.9</v>
      </c>
      <c r="G68" s="89">
        <v>61.6</v>
      </c>
    </row>
    <row r="69" spans="1:7" s="88" customFormat="1" ht="14">
      <c r="A69" s="578" t="s">
        <v>137</v>
      </c>
      <c r="B69" s="580"/>
      <c r="C69" s="89">
        <v>1544.8</v>
      </c>
      <c r="D69" s="89">
        <v>3.6</v>
      </c>
      <c r="E69" s="89">
        <v>41.2</v>
      </c>
      <c r="F69" s="89">
        <v>12.4</v>
      </c>
      <c r="G69" s="89">
        <v>63.3</v>
      </c>
    </row>
    <row r="70" spans="1:7" s="88" customFormat="1" ht="14">
      <c r="A70" s="578" t="s">
        <v>138</v>
      </c>
      <c r="B70" s="580"/>
      <c r="C70" s="89">
        <v>1553.4</v>
      </c>
      <c r="D70" s="89">
        <v>3.6</v>
      </c>
      <c r="E70" s="89">
        <v>41.8</v>
      </c>
      <c r="F70" s="89">
        <v>12.9</v>
      </c>
      <c r="G70" s="89">
        <v>64.3</v>
      </c>
    </row>
    <row r="71" spans="1:7" s="88" customFormat="1" ht="14">
      <c r="A71" s="578" t="s">
        <v>139</v>
      </c>
      <c r="B71" s="580"/>
      <c r="C71" s="89">
        <v>1544.3</v>
      </c>
      <c r="D71" s="89">
        <v>3.6</v>
      </c>
      <c r="E71" s="89">
        <v>42</v>
      </c>
      <c r="F71" s="89">
        <v>13</v>
      </c>
      <c r="G71" s="89">
        <v>65.7</v>
      </c>
    </row>
    <row r="72" spans="1:7" s="88" customFormat="1" ht="14">
      <c r="A72" s="578" t="s">
        <v>140</v>
      </c>
      <c r="B72" s="580"/>
      <c r="C72" s="89">
        <v>1553.5</v>
      </c>
      <c r="D72" s="89">
        <v>3.6</v>
      </c>
      <c r="E72" s="89">
        <v>41.6</v>
      </c>
      <c r="F72" s="89">
        <v>13.3</v>
      </c>
      <c r="G72" s="89">
        <v>64.900000000000006</v>
      </c>
    </row>
    <row r="73" spans="1:7" s="88" customFormat="1" ht="14">
      <c r="A73" s="578" t="s">
        <v>141</v>
      </c>
      <c r="B73" s="580"/>
      <c r="C73" s="89">
        <v>1551.2</v>
      </c>
      <c r="D73" s="89">
        <v>3.6</v>
      </c>
      <c r="E73" s="89">
        <v>41.8</v>
      </c>
      <c r="F73" s="89">
        <v>13.4</v>
      </c>
      <c r="G73" s="89">
        <v>65.099999999999994</v>
      </c>
    </row>
    <row r="74" spans="1:7" s="88" customFormat="1" ht="14">
      <c r="A74" s="578" t="s">
        <v>142</v>
      </c>
      <c r="B74" s="580"/>
      <c r="C74" s="89">
        <v>1557.8</v>
      </c>
      <c r="D74" s="89">
        <v>3.5</v>
      </c>
      <c r="E74" s="89">
        <v>42.6</v>
      </c>
      <c r="F74" s="89">
        <v>14.4</v>
      </c>
      <c r="G74" s="89">
        <v>66</v>
      </c>
    </row>
    <row r="75" spans="1:7" s="88" customFormat="1" ht="14">
      <c r="A75" s="578" t="s">
        <v>143</v>
      </c>
      <c r="B75" s="580"/>
      <c r="C75" s="89">
        <v>1552.7</v>
      </c>
      <c r="D75" s="89">
        <v>3.5</v>
      </c>
      <c r="E75" s="89">
        <v>42.8</v>
      </c>
      <c r="F75" s="89">
        <v>14.3</v>
      </c>
      <c r="G75" s="89">
        <v>67</v>
      </c>
    </row>
    <row r="76" spans="1:7" s="88" customFormat="1" ht="14">
      <c r="A76" s="578" t="s">
        <v>144</v>
      </c>
      <c r="B76" s="580"/>
      <c r="C76" s="89">
        <v>1574.1</v>
      </c>
      <c r="D76" s="89">
        <v>3.5</v>
      </c>
      <c r="E76" s="89">
        <v>43</v>
      </c>
      <c r="F76" s="89">
        <v>14.6</v>
      </c>
      <c r="G76" s="89">
        <v>67.2</v>
      </c>
    </row>
    <row r="77" spans="1:7" s="88" customFormat="1" ht="14">
      <c r="A77" s="578" t="s">
        <v>145</v>
      </c>
      <c r="B77" s="580"/>
      <c r="C77" s="89">
        <v>1586.5</v>
      </c>
      <c r="D77" s="89">
        <v>3.5</v>
      </c>
      <c r="E77" s="89">
        <v>42.9</v>
      </c>
      <c r="F77" s="89">
        <v>15.3</v>
      </c>
      <c r="G77" s="89">
        <v>65.5</v>
      </c>
    </row>
    <row r="78" spans="1:7" s="88" customFormat="1" ht="14">
      <c r="A78" s="578" t="s">
        <v>146</v>
      </c>
      <c r="B78" s="580"/>
      <c r="C78" s="89">
        <v>1602</v>
      </c>
      <c r="D78" s="89">
        <v>3.5</v>
      </c>
      <c r="E78" s="89">
        <v>43.8</v>
      </c>
      <c r="F78" s="89">
        <v>16.3</v>
      </c>
      <c r="G78" s="89">
        <v>67.8</v>
      </c>
    </row>
    <row r="79" spans="1:7" s="88" customFormat="1" ht="14">
      <c r="A79" s="578" t="s">
        <v>147</v>
      </c>
      <c r="B79" s="580"/>
      <c r="C79" s="89">
        <v>1600.2</v>
      </c>
      <c r="D79" s="89">
        <v>3.5</v>
      </c>
      <c r="E79" s="89">
        <v>42.9</v>
      </c>
      <c r="F79" s="89">
        <v>15.9</v>
      </c>
      <c r="G79" s="89">
        <v>66.400000000000006</v>
      </c>
    </row>
    <row r="80" spans="1:7" s="88" customFormat="1" ht="14">
      <c r="A80" s="578" t="s">
        <v>148</v>
      </c>
      <c r="B80" s="580"/>
      <c r="C80" s="89">
        <v>1619.1</v>
      </c>
      <c r="D80" s="89">
        <v>3.5</v>
      </c>
      <c r="E80" s="89">
        <v>42.8</v>
      </c>
      <c r="F80" s="89">
        <v>15.7</v>
      </c>
      <c r="G80" s="89">
        <v>66.5</v>
      </c>
    </row>
    <row r="81" spans="1:7" s="88" customFormat="1" ht="14">
      <c r="A81" s="578" t="s">
        <v>149</v>
      </c>
      <c r="B81" s="580"/>
      <c r="C81" s="89">
        <v>1622</v>
      </c>
      <c r="D81" s="89">
        <v>3.5</v>
      </c>
      <c r="E81" s="89">
        <v>44.2</v>
      </c>
      <c r="F81" s="89">
        <v>16.2</v>
      </c>
      <c r="G81" s="89">
        <v>68.8</v>
      </c>
    </row>
    <row r="82" spans="1:7" s="88" customFormat="1" ht="14">
      <c r="A82" s="578" t="s">
        <v>150</v>
      </c>
      <c r="B82" s="580"/>
      <c r="C82" s="89">
        <v>1628.8</v>
      </c>
      <c r="D82" s="89">
        <v>3.4</v>
      </c>
      <c r="E82" s="89">
        <v>42.8</v>
      </c>
      <c r="F82" s="89">
        <v>16</v>
      </c>
      <c r="G82" s="89">
        <v>67.5</v>
      </c>
    </row>
    <row r="83" spans="1:7" s="88" customFormat="1" ht="14">
      <c r="A83" s="578" t="s">
        <v>151</v>
      </c>
      <c r="B83" s="580"/>
      <c r="C83" s="89">
        <v>1626.3</v>
      </c>
      <c r="D83" s="89">
        <v>3.4</v>
      </c>
      <c r="E83" s="89">
        <v>43.5</v>
      </c>
      <c r="F83" s="89">
        <v>16.2</v>
      </c>
      <c r="G83" s="89">
        <v>68.099999999999994</v>
      </c>
    </row>
    <row r="84" spans="1:7" s="88" customFormat="1" ht="14">
      <c r="A84" s="578" t="s">
        <v>152</v>
      </c>
      <c r="B84" s="580"/>
      <c r="C84" s="89">
        <v>1656.8</v>
      </c>
      <c r="D84" s="89">
        <v>3.4</v>
      </c>
      <c r="E84" s="89">
        <v>43.3</v>
      </c>
      <c r="F84" s="89">
        <v>16.8</v>
      </c>
      <c r="G84" s="89">
        <v>67.5</v>
      </c>
    </row>
    <row r="85" spans="1:7" s="88" customFormat="1" ht="14">
      <c r="A85" s="578" t="s">
        <v>153</v>
      </c>
      <c r="B85" s="580"/>
      <c r="C85" s="89">
        <v>1661.9</v>
      </c>
      <c r="D85" s="89">
        <v>3.4</v>
      </c>
      <c r="E85" s="89">
        <v>43.9</v>
      </c>
      <c r="F85" s="89">
        <v>18.2</v>
      </c>
      <c r="G85" s="89">
        <v>66.900000000000006</v>
      </c>
    </row>
    <row r="86" spans="1:7" s="88" customFormat="1" ht="14">
      <c r="A86" s="578" t="s">
        <v>154</v>
      </c>
      <c r="B86" s="580"/>
      <c r="C86" s="89">
        <v>1664.9</v>
      </c>
      <c r="D86" s="89">
        <v>3.5</v>
      </c>
      <c r="E86" s="89">
        <v>44.2</v>
      </c>
      <c r="F86" s="89">
        <v>18.3</v>
      </c>
      <c r="G86" s="89">
        <v>67.7</v>
      </c>
    </row>
    <row r="87" spans="1:7" s="88" customFormat="1" ht="14">
      <c r="A87" s="578" t="s">
        <v>155</v>
      </c>
      <c r="B87" s="580"/>
      <c r="C87" s="89">
        <v>1672.5</v>
      </c>
      <c r="D87" s="89">
        <v>3.5</v>
      </c>
      <c r="E87" s="89">
        <v>44</v>
      </c>
      <c r="F87" s="89">
        <v>18.100000000000001</v>
      </c>
      <c r="G87" s="89">
        <v>67.599999999999994</v>
      </c>
    </row>
    <row r="88" spans="1:7" s="88" customFormat="1" ht="14">
      <c r="A88" s="578" t="s">
        <v>156</v>
      </c>
      <c r="B88" s="580"/>
      <c r="C88" s="89">
        <v>1673.9</v>
      </c>
      <c r="D88" s="89">
        <v>3.5</v>
      </c>
      <c r="E88" s="89">
        <v>44.3</v>
      </c>
      <c r="F88" s="89">
        <v>18</v>
      </c>
      <c r="G88" s="89">
        <v>68.5</v>
      </c>
    </row>
    <row r="89" spans="1:7" s="88" customFormat="1" ht="14">
      <c r="A89" s="578" t="s">
        <v>157</v>
      </c>
      <c r="B89" s="580"/>
      <c r="C89" s="89">
        <v>1672.3</v>
      </c>
      <c r="D89" s="89">
        <v>3.5</v>
      </c>
      <c r="E89" s="89">
        <v>44.6</v>
      </c>
      <c r="F89" s="89">
        <v>17.8</v>
      </c>
      <c r="G89" s="89">
        <v>69.5</v>
      </c>
    </row>
    <row r="90" spans="1:7" s="88" customFormat="1" ht="14">
      <c r="A90" s="578" t="s">
        <v>158</v>
      </c>
      <c r="B90" s="580"/>
      <c r="C90" s="89">
        <v>1671.5</v>
      </c>
      <c r="D90" s="89">
        <v>3.5</v>
      </c>
      <c r="E90" s="89">
        <v>45</v>
      </c>
      <c r="F90" s="89">
        <v>18</v>
      </c>
      <c r="G90" s="89">
        <v>70.2</v>
      </c>
    </row>
    <row r="91" spans="1:7" s="88" customFormat="1" ht="14">
      <c r="A91" s="578" t="s">
        <v>159</v>
      </c>
      <c r="B91" s="580"/>
      <c r="C91" s="89">
        <v>1673</v>
      </c>
      <c r="D91" s="89">
        <v>3.5</v>
      </c>
      <c r="E91" s="89">
        <v>45.1</v>
      </c>
      <c r="F91" s="89">
        <v>18.100000000000001</v>
      </c>
      <c r="G91" s="89">
        <v>70</v>
      </c>
    </row>
    <row r="92" spans="1:7" s="88" customFormat="1" ht="14">
      <c r="A92" s="578" t="s">
        <v>160</v>
      </c>
      <c r="B92" s="580"/>
      <c r="C92" s="89">
        <v>1682.1</v>
      </c>
      <c r="D92" s="89">
        <v>3.5</v>
      </c>
      <c r="E92" s="89">
        <v>45.2</v>
      </c>
      <c r="F92" s="89">
        <v>18.5</v>
      </c>
      <c r="G92" s="89">
        <v>69.7</v>
      </c>
    </row>
    <row r="93" spans="1:7" s="88" customFormat="1" ht="14">
      <c r="A93" s="578" t="s">
        <v>161</v>
      </c>
      <c r="B93" s="580"/>
      <c r="C93" s="89">
        <v>1691.8</v>
      </c>
      <c r="D93" s="89">
        <v>3.4</v>
      </c>
      <c r="E93" s="89">
        <v>45.3</v>
      </c>
      <c r="F93" s="89">
        <v>18.600000000000001</v>
      </c>
      <c r="G93" s="89">
        <v>69.599999999999994</v>
      </c>
    </row>
    <row r="94" spans="1:7" s="88" customFormat="1" ht="14">
      <c r="A94" s="578" t="s">
        <v>162</v>
      </c>
      <c r="B94" s="580"/>
      <c r="C94" s="89">
        <v>1701.9</v>
      </c>
      <c r="D94" s="89">
        <v>3.4</v>
      </c>
      <c r="E94" s="89">
        <v>45.2</v>
      </c>
      <c r="F94" s="89">
        <v>18.7</v>
      </c>
      <c r="G94" s="89">
        <v>69.099999999999994</v>
      </c>
    </row>
    <row r="95" spans="1:7" s="88" customFormat="1" ht="14">
      <c r="A95" s="578" t="s">
        <v>163</v>
      </c>
      <c r="B95" s="580"/>
      <c r="C95" s="89">
        <v>1709.3</v>
      </c>
      <c r="D95" s="89">
        <v>3.4</v>
      </c>
      <c r="E95" s="89">
        <v>45.1</v>
      </c>
      <c r="F95" s="89">
        <v>18.600000000000001</v>
      </c>
      <c r="G95" s="89">
        <v>68.900000000000006</v>
      </c>
    </row>
    <row r="96" spans="1:7" s="88" customFormat="1" ht="14">
      <c r="A96" s="578" t="s">
        <v>164</v>
      </c>
      <c r="B96" s="580"/>
      <c r="C96" s="89">
        <v>1712.6</v>
      </c>
      <c r="D96" s="89">
        <v>3.5</v>
      </c>
      <c r="E96" s="89">
        <v>45</v>
      </c>
      <c r="F96" s="89">
        <v>19.2</v>
      </c>
      <c r="G96" s="89">
        <v>68.099999999999994</v>
      </c>
    </row>
    <row r="97" spans="1:7" s="88" customFormat="1" ht="14">
      <c r="A97" s="578" t="s">
        <v>165</v>
      </c>
      <c r="B97" s="580"/>
      <c r="C97" s="89">
        <v>1712</v>
      </c>
      <c r="D97" s="89">
        <v>3.4</v>
      </c>
      <c r="E97" s="89">
        <v>45.1</v>
      </c>
      <c r="F97" s="89">
        <v>19.5</v>
      </c>
      <c r="G97" s="89">
        <v>68.099999999999994</v>
      </c>
    </row>
    <row r="98" spans="1:7" s="88" customFormat="1" ht="14">
      <c r="A98" s="578" t="s">
        <v>166</v>
      </c>
      <c r="B98" s="580"/>
      <c r="C98" s="89">
        <v>1711.6</v>
      </c>
      <c r="D98" s="89">
        <v>3.4</v>
      </c>
      <c r="E98" s="89">
        <v>45.2</v>
      </c>
      <c r="F98" s="89">
        <v>20</v>
      </c>
      <c r="G98" s="89">
        <v>68.099999999999994</v>
      </c>
    </row>
    <row r="99" spans="1:7" s="88" customFormat="1" ht="14">
      <c r="A99" s="578" t="s">
        <v>167</v>
      </c>
      <c r="B99" s="580"/>
      <c r="C99" s="89">
        <v>1714.6</v>
      </c>
      <c r="D99" s="89">
        <v>3.4</v>
      </c>
      <c r="E99" s="89">
        <v>44.7</v>
      </c>
      <c r="F99" s="89">
        <v>19.7</v>
      </c>
      <c r="G99" s="89">
        <v>67.2</v>
      </c>
    </row>
    <row r="100" spans="1:7" s="88" customFormat="1" ht="14">
      <c r="A100" s="578" t="s">
        <v>168</v>
      </c>
      <c r="B100" s="580"/>
      <c r="C100" s="89">
        <v>1721.6</v>
      </c>
      <c r="D100" s="89">
        <v>3.4</v>
      </c>
      <c r="E100" s="89">
        <v>44.3</v>
      </c>
      <c r="F100" s="89">
        <v>19.8</v>
      </c>
      <c r="G100" s="89">
        <v>66.400000000000006</v>
      </c>
    </row>
    <row r="101" spans="1:7" s="88" customFormat="1" ht="14">
      <c r="A101" s="578" t="s">
        <v>169</v>
      </c>
      <c r="B101" s="580"/>
      <c r="C101" s="89">
        <v>1725</v>
      </c>
      <c r="D101" s="89">
        <v>3.4</v>
      </c>
      <c r="E101" s="89">
        <v>44.5</v>
      </c>
      <c r="F101" s="89">
        <v>20.2</v>
      </c>
      <c r="G101" s="89">
        <v>66.7</v>
      </c>
    </row>
    <row r="102" spans="1:7" s="88" customFormat="1" ht="14">
      <c r="A102" s="578" t="s">
        <v>170</v>
      </c>
      <c r="B102" s="580"/>
      <c r="C102" s="89">
        <v>1725</v>
      </c>
      <c r="D102" s="89">
        <v>3.4</v>
      </c>
      <c r="E102" s="89">
        <v>45</v>
      </c>
      <c r="F102" s="89">
        <v>20.7</v>
      </c>
      <c r="G102" s="89">
        <v>67.900000000000006</v>
      </c>
    </row>
    <row r="103" spans="1:7" s="88" customFormat="1" ht="14">
      <c r="A103" s="578" t="s">
        <v>171</v>
      </c>
      <c r="B103" s="580"/>
      <c r="C103" s="89">
        <v>1726.8</v>
      </c>
      <c r="D103" s="89">
        <v>3.4</v>
      </c>
      <c r="E103" s="89">
        <v>45.6</v>
      </c>
      <c r="F103" s="89">
        <v>21.2</v>
      </c>
      <c r="G103" s="89">
        <v>68.7</v>
      </c>
    </row>
    <row r="104" spans="1:7" s="88" customFormat="1" ht="14">
      <c r="A104" s="578" t="s">
        <v>172</v>
      </c>
      <c r="B104" s="580"/>
      <c r="C104" s="89">
        <v>1734.1</v>
      </c>
      <c r="D104" s="89">
        <v>3.4</v>
      </c>
      <c r="E104" s="89">
        <v>45.4</v>
      </c>
      <c r="F104" s="89">
        <v>21.2</v>
      </c>
      <c r="G104" s="89">
        <v>68.599999999999994</v>
      </c>
    </row>
    <row r="105" spans="1:7" s="88" customFormat="1" ht="14">
      <c r="A105" s="578" t="s">
        <v>173</v>
      </c>
      <c r="B105" s="580"/>
      <c r="C105" s="89">
        <v>1746.2</v>
      </c>
      <c r="D105" s="89">
        <v>3.4</v>
      </c>
      <c r="E105" s="89">
        <v>45.3</v>
      </c>
      <c r="F105" s="89">
        <v>21.5</v>
      </c>
      <c r="G105" s="89">
        <v>67.900000000000006</v>
      </c>
    </row>
    <row r="106" spans="1:7" s="88" customFormat="1" ht="14">
      <c r="A106" s="578" t="s">
        <v>174</v>
      </c>
      <c r="B106" s="580"/>
      <c r="C106" s="89">
        <v>1756.2</v>
      </c>
      <c r="D106" s="89">
        <v>3.4</v>
      </c>
      <c r="E106" s="89">
        <v>45.1</v>
      </c>
      <c r="F106" s="89">
        <v>21.4</v>
      </c>
      <c r="G106" s="89">
        <v>68</v>
      </c>
    </row>
    <row r="107" spans="1:7" s="88" customFormat="1" ht="14">
      <c r="A107" s="578" t="s">
        <v>175</v>
      </c>
      <c r="B107" s="580"/>
      <c r="C107" s="89">
        <v>1755</v>
      </c>
      <c r="D107" s="89">
        <v>3.4</v>
      </c>
      <c r="E107" s="89">
        <v>45.4</v>
      </c>
      <c r="F107" s="89">
        <v>21.6</v>
      </c>
      <c r="G107" s="89">
        <v>68</v>
      </c>
    </row>
    <row r="108" spans="1:7" s="88" customFormat="1" ht="14">
      <c r="A108" s="578" t="s">
        <v>176</v>
      </c>
      <c r="B108" s="580"/>
      <c r="C108" s="89">
        <v>1749.8</v>
      </c>
      <c r="D108" s="89">
        <v>3.4</v>
      </c>
      <c r="E108" s="89">
        <v>45.6</v>
      </c>
      <c r="F108" s="89">
        <v>21.4</v>
      </c>
      <c r="G108" s="89">
        <v>68.3</v>
      </c>
    </row>
    <row r="109" spans="1:7" s="88" customFormat="1" ht="14">
      <c r="A109" s="578" t="s">
        <v>177</v>
      </c>
      <c r="B109" s="580"/>
      <c r="C109" s="89">
        <v>1755</v>
      </c>
      <c r="D109" s="89">
        <v>3.4</v>
      </c>
      <c r="E109" s="89">
        <v>45.7</v>
      </c>
      <c r="F109" s="89">
        <v>21.5</v>
      </c>
      <c r="G109" s="89">
        <v>68.400000000000006</v>
      </c>
    </row>
    <row r="110" spans="1:7" s="88" customFormat="1" ht="14">
      <c r="A110" s="578" t="s">
        <v>178</v>
      </c>
      <c r="B110" s="580"/>
      <c r="C110" s="89">
        <v>1769.6</v>
      </c>
      <c r="D110" s="89">
        <v>3.4</v>
      </c>
      <c r="E110" s="89">
        <v>45.5</v>
      </c>
      <c r="F110" s="89">
        <v>21.4</v>
      </c>
      <c r="G110" s="89">
        <v>67.8</v>
      </c>
    </row>
    <row r="111" spans="1:7" s="88" customFormat="1" ht="14">
      <c r="A111" s="578" t="s">
        <v>179</v>
      </c>
      <c r="B111" s="580"/>
      <c r="C111" s="89">
        <v>1783.7</v>
      </c>
      <c r="D111" s="89">
        <v>3.4</v>
      </c>
      <c r="E111" s="89">
        <v>45.4</v>
      </c>
      <c r="F111" s="89">
        <v>21.5</v>
      </c>
      <c r="G111" s="89">
        <v>67.2</v>
      </c>
    </row>
    <row r="112" spans="1:7" s="88" customFormat="1" ht="14">
      <c r="A112" s="578" t="s">
        <v>180</v>
      </c>
      <c r="B112" s="580"/>
      <c r="C112" s="89">
        <v>1786.5</v>
      </c>
      <c r="D112" s="89">
        <v>3.4</v>
      </c>
      <c r="E112" s="89">
        <v>44.8</v>
      </c>
      <c r="F112" s="89">
        <v>21.5</v>
      </c>
      <c r="G112" s="89">
        <v>66.3</v>
      </c>
    </row>
    <row r="113" spans="1:7" s="88" customFormat="1" ht="14">
      <c r="A113" s="578" t="s">
        <v>181</v>
      </c>
      <c r="B113" s="580"/>
      <c r="C113" s="89">
        <v>1784.2</v>
      </c>
      <c r="D113" s="89">
        <v>3.4</v>
      </c>
      <c r="E113" s="89">
        <v>44.6</v>
      </c>
      <c r="F113" s="89">
        <v>21.7</v>
      </c>
      <c r="G113" s="89">
        <v>66.099999999999994</v>
      </c>
    </row>
    <row r="114" spans="1:7" s="88" customFormat="1" ht="14">
      <c r="A114" s="578" t="s">
        <v>182</v>
      </c>
      <c r="B114" s="580"/>
      <c r="C114" s="89">
        <v>1782.3</v>
      </c>
      <c r="D114" s="89">
        <v>3.4</v>
      </c>
      <c r="E114" s="89">
        <v>45</v>
      </c>
      <c r="F114" s="89">
        <v>21.6</v>
      </c>
      <c r="G114" s="89">
        <v>67.099999999999994</v>
      </c>
    </row>
    <row r="115" spans="1:7" s="88" customFormat="1" ht="14">
      <c r="A115" s="578" t="s">
        <v>183</v>
      </c>
      <c r="B115" s="580"/>
      <c r="C115" s="89">
        <v>1783.5</v>
      </c>
      <c r="D115" s="89">
        <v>3.4</v>
      </c>
      <c r="E115" s="89">
        <v>45</v>
      </c>
      <c r="F115" s="89">
        <v>21.8</v>
      </c>
      <c r="G115" s="89">
        <v>67.2</v>
      </c>
    </row>
    <row r="116" spans="1:7" s="88" customFormat="1" ht="14">
      <c r="A116" s="578" t="s">
        <v>184</v>
      </c>
      <c r="B116" s="580"/>
      <c r="C116" s="89">
        <v>1790.1</v>
      </c>
      <c r="D116" s="89">
        <v>3.4</v>
      </c>
      <c r="E116" s="89">
        <v>45.4</v>
      </c>
      <c r="F116" s="89">
        <v>21.8</v>
      </c>
      <c r="G116" s="89">
        <v>68</v>
      </c>
    </row>
    <row r="117" spans="1:7" s="88" customFormat="1" ht="14">
      <c r="A117" s="578" t="s">
        <v>185</v>
      </c>
      <c r="B117" s="580"/>
      <c r="C117" s="89">
        <v>1798.1</v>
      </c>
      <c r="D117" s="89">
        <v>3.4</v>
      </c>
      <c r="E117" s="89">
        <v>45.2</v>
      </c>
      <c r="F117" s="89">
        <v>21.7</v>
      </c>
      <c r="G117" s="89">
        <v>67.5</v>
      </c>
    </row>
    <row r="118" spans="1:7" s="88" customFormat="1" ht="14">
      <c r="A118" s="578" t="s">
        <v>186</v>
      </c>
      <c r="B118" s="580"/>
      <c r="C118" s="89">
        <v>1807.1</v>
      </c>
      <c r="D118" s="89">
        <v>3.4</v>
      </c>
      <c r="E118" s="89">
        <v>45.3</v>
      </c>
      <c r="F118" s="89">
        <v>21.6</v>
      </c>
      <c r="G118" s="89">
        <v>67.400000000000006</v>
      </c>
    </row>
    <row r="119" spans="1:7" s="88" customFormat="1" ht="14">
      <c r="A119" s="578" t="s">
        <v>187</v>
      </c>
      <c r="B119" s="580"/>
      <c r="C119" s="89">
        <v>1816.3</v>
      </c>
      <c r="D119" s="89">
        <v>3.4</v>
      </c>
      <c r="E119" s="89">
        <v>45.2</v>
      </c>
      <c r="F119" s="89">
        <v>21.7</v>
      </c>
      <c r="G119" s="89">
        <v>67.099999999999994</v>
      </c>
    </row>
    <row r="120" spans="1:7" s="88" customFormat="1" ht="14">
      <c r="A120" s="578" t="s">
        <v>188</v>
      </c>
      <c r="B120" s="580"/>
      <c r="C120" s="89">
        <v>1820.7</v>
      </c>
      <c r="D120" s="89">
        <v>3.4</v>
      </c>
      <c r="E120" s="89">
        <v>45.1</v>
      </c>
      <c r="F120" s="89">
        <v>21.6</v>
      </c>
      <c r="G120" s="89">
        <v>67.099999999999994</v>
      </c>
    </row>
    <row r="121" spans="1:7" s="88" customFormat="1" ht="14">
      <c r="A121" s="578" t="s">
        <v>189</v>
      </c>
      <c r="B121" s="580"/>
      <c r="C121" s="89">
        <v>1819.5</v>
      </c>
      <c r="D121" s="89">
        <v>3.4</v>
      </c>
      <c r="E121" s="89">
        <v>45.1</v>
      </c>
      <c r="F121" s="89">
        <v>21.8</v>
      </c>
      <c r="G121" s="89">
        <v>66.7</v>
      </c>
    </row>
    <row r="122" spans="1:7" s="88" customFormat="1" ht="14">
      <c r="A122" s="578" t="s">
        <v>190</v>
      </c>
      <c r="B122" s="580"/>
      <c r="C122" s="89">
        <v>1822.1</v>
      </c>
      <c r="D122" s="89">
        <v>3.4</v>
      </c>
      <c r="E122" s="89">
        <v>44.8</v>
      </c>
      <c r="F122" s="89">
        <v>21.4</v>
      </c>
      <c r="G122" s="89">
        <v>66.5</v>
      </c>
    </row>
    <row r="123" spans="1:7" s="88" customFormat="1" ht="14">
      <c r="A123" s="578" t="s">
        <v>191</v>
      </c>
      <c r="B123" s="580"/>
      <c r="C123" s="89">
        <v>1830.6</v>
      </c>
      <c r="D123" s="89">
        <v>3.4</v>
      </c>
      <c r="E123" s="89">
        <v>44.2</v>
      </c>
      <c r="F123" s="89">
        <v>21.3</v>
      </c>
      <c r="G123" s="89">
        <v>65.7</v>
      </c>
    </row>
    <row r="124" spans="1:7" s="88" customFormat="1" ht="14">
      <c r="A124" s="578" t="s">
        <v>192</v>
      </c>
      <c r="B124" s="580"/>
      <c r="C124" s="89">
        <v>1876</v>
      </c>
      <c r="D124" s="89">
        <v>3.4</v>
      </c>
      <c r="E124" s="89">
        <v>45.4</v>
      </c>
      <c r="F124" s="89">
        <v>21</v>
      </c>
      <c r="G124" s="89">
        <v>66.8</v>
      </c>
    </row>
    <row r="125" spans="1:7" s="88" customFormat="1" ht="14">
      <c r="A125" s="578" t="s">
        <v>193</v>
      </c>
      <c r="B125" s="580"/>
      <c r="C125" s="89">
        <v>1875.6</v>
      </c>
      <c r="D125" s="89">
        <v>3.4</v>
      </c>
      <c r="E125" s="89">
        <v>45.2</v>
      </c>
      <c r="F125" s="89">
        <v>20.9</v>
      </c>
      <c r="G125" s="89">
        <v>66.900000000000006</v>
      </c>
    </row>
    <row r="126" spans="1:7" s="88" customFormat="1" ht="14">
      <c r="A126" s="578" t="s">
        <v>194</v>
      </c>
      <c r="B126" s="580"/>
      <c r="C126" s="89">
        <v>1875.1</v>
      </c>
      <c r="D126" s="89">
        <v>3.4</v>
      </c>
      <c r="E126" s="89">
        <v>45.9</v>
      </c>
      <c r="F126" s="89">
        <v>21.3</v>
      </c>
      <c r="G126" s="89">
        <v>67.8</v>
      </c>
    </row>
    <row r="127" spans="1:7" s="88" customFormat="1" ht="14">
      <c r="A127" s="578" t="s">
        <v>195</v>
      </c>
      <c r="B127" s="580"/>
      <c r="C127" s="89">
        <v>1876.1</v>
      </c>
      <c r="D127" s="89">
        <v>3.4</v>
      </c>
      <c r="E127" s="89">
        <v>45.9</v>
      </c>
      <c r="F127" s="89">
        <v>21.5</v>
      </c>
      <c r="G127" s="89">
        <v>67.2</v>
      </c>
    </row>
    <row r="128" spans="1:7" s="88" customFormat="1" ht="14">
      <c r="A128" s="578" t="s">
        <v>196</v>
      </c>
      <c r="B128" s="580"/>
      <c r="C128" s="89">
        <v>1878.9</v>
      </c>
      <c r="D128" s="89">
        <v>3.4</v>
      </c>
      <c r="E128" s="89">
        <v>46.4</v>
      </c>
      <c r="F128" s="89">
        <v>22.2</v>
      </c>
      <c r="G128" s="89">
        <v>67.599999999999994</v>
      </c>
    </row>
    <row r="129" spans="1:7" s="88" customFormat="1" ht="14">
      <c r="A129" s="578" t="s">
        <v>197</v>
      </c>
      <c r="B129" s="580"/>
      <c r="C129" s="89">
        <v>1881.7</v>
      </c>
      <c r="D129" s="89">
        <v>3.3</v>
      </c>
      <c r="E129" s="89">
        <v>46.9</v>
      </c>
      <c r="F129" s="89">
        <v>22.8</v>
      </c>
      <c r="G129" s="89">
        <v>67.7</v>
      </c>
    </row>
    <row r="130" spans="1:7" s="88" customFormat="1" ht="14">
      <c r="A130" s="578" t="s">
        <v>198</v>
      </c>
      <c r="B130" s="580"/>
      <c r="C130" s="89">
        <v>1886.5</v>
      </c>
      <c r="D130" s="89">
        <v>3.3</v>
      </c>
      <c r="E130" s="89">
        <v>47.1</v>
      </c>
      <c r="F130" s="89">
        <v>23.3</v>
      </c>
      <c r="G130" s="89">
        <v>67.599999999999994</v>
      </c>
    </row>
    <row r="131" spans="1:7" s="88" customFormat="1" ht="14">
      <c r="A131" s="578" t="s">
        <v>199</v>
      </c>
      <c r="B131" s="580"/>
      <c r="C131" s="89">
        <v>1892.6</v>
      </c>
      <c r="D131" s="89">
        <v>3.3</v>
      </c>
      <c r="E131" s="89">
        <v>47.4</v>
      </c>
      <c r="F131" s="89">
        <v>23.6</v>
      </c>
      <c r="G131" s="89">
        <v>67.5</v>
      </c>
    </row>
    <row r="132" spans="1:7" s="88" customFormat="1" ht="14">
      <c r="A132" s="578" t="s">
        <v>200</v>
      </c>
      <c r="B132" s="580"/>
      <c r="C132" s="89">
        <v>1900.1</v>
      </c>
      <c r="D132" s="89">
        <v>3.3</v>
      </c>
      <c r="E132" s="89">
        <v>47.2</v>
      </c>
      <c r="F132" s="89">
        <v>23.4</v>
      </c>
      <c r="G132" s="89">
        <v>67.099999999999994</v>
      </c>
    </row>
    <row r="133" spans="1:7" s="88" customFormat="1" ht="14">
      <c r="A133" s="578" t="s">
        <v>201</v>
      </c>
      <c r="B133" s="580"/>
      <c r="C133" s="89">
        <v>1908.4</v>
      </c>
      <c r="D133" s="89">
        <v>3.3</v>
      </c>
      <c r="E133" s="89">
        <v>46.8</v>
      </c>
      <c r="F133" s="89">
        <v>23</v>
      </c>
      <c r="G133" s="89">
        <v>66.599999999999994</v>
      </c>
    </row>
    <row r="134" spans="1:7" s="88" customFormat="1" ht="14">
      <c r="A134" s="578" t="s">
        <v>202</v>
      </c>
      <c r="B134" s="580"/>
      <c r="C134" s="89">
        <v>1915.6</v>
      </c>
      <c r="D134" s="89">
        <v>3.3</v>
      </c>
      <c r="E134" s="89">
        <v>45.9</v>
      </c>
      <c r="F134" s="89">
        <v>22.3</v>
      </c>
      <c r="G134" s="89">
        <v>65.400000000000006</v>
      </c>
    </row>
    <row r="135" spans="1:7" s="88" customFormat="1" ht="14">
      <c r="A135" s="578" t="s">
        <v>203</v>
      </c>
      <c r="B135" s="580"/>
      <c r="C135" s="89">
        <v>1920.5</v>
      </c>
      <c r="D135" s="89">
        <v>3.3</v>
      </c>
      <c r="E135" s="89">
        <v>45</v>
      </c>
      <c r="F135" s="89">
        <v>21.7</v>
      </c>
      <c r="G135" s="89">
        <v>64.5</v>
      </c>
    </row>
    <row r="136" spans="1:7" s="88" customFormat="1" ht="14">
      <c r="A136" s="578" t="s">
        <v>204</v>
      </c>
      <c r="B136" s="580"/>
      <c r="C136" s="89">
        <v>1923.2</v>
      </c>
      <c r="D136" s="89">
        <v>3.3</v>
      </c>
      <c r="E136" s="89">
        <v>45.2</v>
      </c>
      <c r="F136" s="89">
        <v>21.3</v>
      </c>
      <c r="G136" s="89">
        <v>65.2</v>
      </c>
    </row>
    <row r="137" spans="1:7" s="88" customFormat="1" ht="14">
      <c r="A137" s="578" t="s">
        <v>205</v>
      </c>
      <c r="B137" s="580"/>
      <c r="C137" s="89">
        <v>1923.9</v>
      </c>
      <c r="D137" s="89">
        <v>3.3</v>
      </c>
      <c r="E137" s="89">
        <v>45.4</v>
      </c>
      <c r="F137" s="89">
        <v>21.4</v>
      </c>
      <c r="G137" s="89">
        <v>65.7</v>
      </c>
    </row>
    <row r="138" spans="1:7" s="88" customFormat="1" ht="14">
      <c r="A138" s="578" t="s">
        <v>206</v>
      </c>
      <c r="B138" s="580"/>
      <c r="C138" s="89">
        <v>1923.5</v>
      </c>
      <c r="D138" s="89">
        <v>3.3</v>
      </c>
      <c r="E138" s="89">
        <v>46.4</v>
      </c>
      <c r="F138" s="89">
        <v>22.4</v>
      </c>
      <c r="G138" s="89">
        <v>66.8</v>
      </c>
    </row>
    <row r="139" spans="1:7" s="88" customFormat="1" ht="14">
      <c r="A139" s="578" t="s">
        <v>207</v>
      </c>
      <c r="B139" s="580"/>
      <c r="C139" s="89">
        <v>1924.1</v>
      </c>
      <c r="D139" s="89">
        <v>3.3</v>
      </c>
      <c r="E139" s="89">
        <v>46.9</v>
      </c>
      <c r="F139" s="89">
        <v>23.3</v>
      </c>
      <c r="G139" s="89">
        <v>67</v>
      </c>
    </row>
    <row r="140" spans="1:7" s="88" customFormat="1" ht="14">
      <c r="A140" s="578" t="s">
        <v>208</v>
      </c>
      <c r="B140" s="580"/>
      <c r="C140" s="89">
        <v>1927.8</v>
      </c>
      <c r="D140" s="89">
        <v>3.3</v>
      </c>
      <c r="E140" s="89">
        <v>47.3</v>
      </c>
      <c r="F140" s="89">
        <v>23.9</v>
      </c>
      <c r="G140" s="89">
        <v>67.099999999999994</v>
      </c>
    </row>
    <row r="141" spans="1:7" s="88" customFormat="1" ht="14">
      <c r="A141" s="578" t="s">
        <v>209</v>
      </c>
      <c r="B141" s="580"/>
      <c r="C141" s="89">
        <v>1931.8</v>
      </c>
      <c r="D141" s="89">
        <v>3.3</v>
      </c>
      <c r="E141" s="89">
        <v>48</v>
      </c>
      <c r="F141" s="89">
        <v>24.3</v>
      </c>
      <c r="G141" s="89">
        <v>67.599999999999994</v>
      </c>
    </row>
    <row r="142" spans="1:7" s="88" customFormat="1" ht="14">
      <c r="A142" s="578" t="s">
        <v>210</v>
      </c>
      <c r="B142" s="580"/>
      <c r="C142" s="89">
        <v>1935.5</v>
      </c>
      <c r="D142" s="89">
        <v>3.3</v>
      </c>
      <c r="E142" s="89">
        <v>47.9</v>
      </c>
      <c r="F142" s="89">
        <v>24.3</v>
      </c>
      <c r="G142" s="89">
        <v>67.2</v>
      </c>
    </row>
    <row r="143" spans="1:7" s="88" customFormat="1" ht="14">
      <c r="A143" s="578" t="s">
        <v>211</v>
      </c>
      <c r="B143" s="580"/>
      <c r="C143" s="89">
        <v>1938.5</v>
      </c>
      <c r="D143" s="89">
        <v>3.3</v>
      </c>
      <c r="E143" s="89">
        <v>47.6</v>
      </c>
      <c r="F143" s="89">
        <v>24.1</v>
      </c>
      <c r="G143" s="89">
        <v>67</v>
      </c>
    </row>
    <row r="144" spans="1:7" s="88" customFormat="1" ht="14">
      <c r="A144" s="578" t="s">
        <v>212</v>
      </c>
      <c r="B144" s="580"/>
      <c r="C144" s="89">
        <v>1941.5</v>
      </c>
      <c r="D144" s="89">
        <v>3.3</v>
      </c>
      <c r="E144" s="89">
        <v>46.8</v>
      </c>
      <c r="F144" s="89">
        <v>23.4</v>
      </c>
      <c r="G144" s="89">
        <v>66.599999999999994</v>
      </c>
    </row>
    <row r="145" spans="1:7" s="88" customFormat="1" ht="14">
      <c r="A145" s="578" t="s">
        <v>213</v>
      </c>
      <c r="B145" s="580"/>
      <c r="C145" s="89">
        <v>1945.6</v>
      </c>
      <c r="D145" s="89">
        <v>3.3</v>
      </c>
      <c r="E145" s="89">
        <v>46.2</v>
      </c>
      <c r="F145" s="89">
        <v>23.2</v>
      </c>
      <c r="G145" s="89">
        <v>66.3</v>
      </c>
    </row>
    <row r="146" spans="1:7" s="88" customFormat="1" ht="14">
      <c r="A146" s="578" t="s">
        <v>214</v>
      </c>
      <c r="B146" s="580"/>
      <c r="C146" s="89">
        <v>1950.1</v>
      </c>
      <c r="D146" s="89">
        <v>3.3</v>
      </c>
      <c r="E146" s="89">
        <v>45.8</v>
      </c>
      <c r="F146" s="89">
        <v>23</v>
      </c>
      <c r="G146" s="89">
        <v>65.8</v>
      </c>
    </row>
    <row r="147" spans="1:7" s="88" customFormat="1" ht="14">
      <c r="A147" s="578" t="s">
        <v>215</v>
      </c>
      <c r="B147" s="580"/>
      <c r="C147" s="89">
        <v>1954.5</v>
      </c>
      <c r="D147" s="89">
        <v>3.3</v>
      </c>
      <c r="E147" s="89">
        <v>45.2</v>
      </c>
      <c r="F147" s="89">
        <v>23.3</v>
      </c>
      <c r="G147" s="89">
        <v>64.599999999999994</v>
      </c>
    </row>
    <row r="148" spans="1:7" s="88" customFormat="1" ht="14">
      <c r="A148" s="578" t="s">
        <v>216</v>
      </c>
      <c r="B148" s="580"/>
      <c r="C148" s="89">
        <v>1957.4</v>
      </c>
      <c r="D148" s="89">
        <v>3.3</v>
      </c>
      <c r="E148" s="89">
        <v>45.6</v>
      </c>
      <c r="F148" s="89">
        <v>24.2</v>
      </c>
      <c r="G148" s="89">
        <v>64.7</v>
      </c>
    </row>
    <row r="149" spans="1:7" s="88" customFormat="1" ht="14">
      <c r="A149" s="578" t="s">
        <v>217</v>
      </c>
      <c r="B149" s="580"/>
      <c r="C149" s="89">
        <v>1959.1</v>
      </c>
      <c r="D149" s="89">
        <v>3.3</v>
      </c>
      <c r="E149" s="89">
        <v>46.2</v>
      </c>
      <c r="F149" s="89">
        <v>25.1</v>
      </c>
      <c r="G149" s="89">
        <v>65.400000000000006</v>
      </c>
    </row>
    <row r="150" spans="1:7" s="88" customFormat="1" ht="14">
      <c r="A150" s="578" t="s">
        <v>218</v>
      </c>
      <c r="B150" s="580"/>
      <c r="C150" s="89">
        <v>1962.9</v>
      </c>
      <c r="D150" s="89">
        <v>3.3</v>
      </c>
      <c r="E150" s="89">
        <v>46.8</v>
      </c>
      <c r="F150" s="89">
        <v>25.7</v>
      </c>
      <c r="G150" s="89">
        <v>66.3</v>
      </c>
    </row>
    <row r="151" spans="1:7" s="88" customFormat="1" ht="14">
      <c r="A151" s="578" t="s">
        <v>219</v>
      </c>
      <c r="B151" s="580"/>
      <c r="C151" s="89">
        <v>1968.3</v>
      </c>
      <c r="D151" s="89">
        <v>3.3</v>
      </c>
      <c r="E151" s="89">
        <v>47.2</v>
      </c>
      <c r="F151" s="89">
        <v>26.2</v>
      </c>
      <c r="G151" s="89">
        <v>66.5</v>
      </c>
    </row>
    <row r="152" spans="1:7" s="88" customFormat="1" ht="14">
      <c r="A152" s="578" t="s">
        <v>220</v>
      </c>
      <c r="B152" s="580"/>
      <c r="C152" s="89">
        <v>1973</v>
      </c>
      <c r="D152" s="89">
        <v>3.3</v>
      </c>
      <c r="E152" s="89">
        <v>47.6</v>
      </c>
      <c r="F152" s="89">
        <v>26.5</v>
      </c>
      <c r="G152" s="89">
        <v>66.599999999999994</v>
      </c>
    </row>
    <row r="153" spans="1:7" s="88" customFormat="1" ht="14">
      <c r="A153" s="578" t="s">
        <v>221</v>
      </c>
      <c r="B153" s="580"/>
      <c r="C153" s="89">
        <v>1974.9</v>
      </c>
      <c r="D153" s="89">
        <v>3.3</v>
      </c>
      <c r="E153" s="89">
        <v>47.5</v>
      </c>
      <c r="F153" s="89">
        <v>26.5</v>
      </c>
      <c r="G153" s="89">
        <v>66.3</v>
      </c>
    </row>
    <row r="154" spans="1:7" s="88" customFormat="1" ht="14">
      <c r="A154" s="578" t="s">
        <v>222</v>
      </c>
      <c r="B154" s="580"/>
      <c r="C154" s="89">
        <v>1974.8</v>
      </c>
      <c r="D154" s="89">
        <v>3.3</v>
      </c>
      <c r="E154" s="89">
        <v>47.4</v>
      </c>
      <c r="F154" s="89">
        <v>26.3</v>
      </c>
      <c r="G154" s="89">
        <v>66.400000000000006</v>
      </c>
    </row>
    <row r="155" spans="1:7" s="88" customFormat="1" ht="14">
      <c r="A155" s="578" t="s">
        <v>223</v>
      </c>
      <c r="B155" s="580"/>
      <c r="C155" s="89">
        <v>1974</v>
      </c>
      <c r="D155" s="89">
        <v>3.3</v>
      </c>
      <c r="E155" s="89">
        <v>47.1</v>
      </c>
      <c r="F155" s="89">
        <v>26</v>
      </c>
      <c r="G155" s="89">
        <v>66.3</v>
      </c>
    </row>
    <row r="156" spans="1:7" s="88" customFormat="1" ht="14">
      <c r="A156" s="578" t="s">
        <v>224</v>
      </c>
      <c r="B156" s="580"/>
      <c r="C156" s="89">
        <v>1972.9</v>
      </c>
      <c r="D156" s="89">
        <v>3.3</v>
      </c>
      <c r="E156" s="89">
        <v>47.5</v>
      </c>
      <c r="F156" s="89">
        <v>26.2</v>
      </c>
      <c r="G156" s="89">
        <v>66.8</v>
      </c>
    </row>
    <row r="157" spans="1:7" s="88" customFormat="1" ht="14">
      <c r="A157" s="578" t="s">
        <v>225</v>
      </c>
      <c r="B157" s="580"/>
      <c r="C157" s="89">
        <v>1976.9</v>
      </c>
      <c r="D157" s="89">
        <v>3.3</v>
      </c>
      <c r="E157" s="89">
        <v>47.4</v>
      </c>
      <c r="F157" s="89">
        <v>26.6</v>
      </c>
      <c r="G157" s="89">
        <v>66.2</v>
      </c>
    </row>
    <row r="158" spans="1:7" s="88" customFormat="1" ht="14">
      <c r="A158" s="578" t="s">
        <v>226</v>
      </c>
      <c r="B158" s="580"/>
      <c r="C158" s="89">
        <v>1983.3</v>
      </c>
      <c r="D158" s="89">
        <v>3.3</v>
      </c>
      <c r="E158" s="89">
        <v>48</v>
      </c>
      <c r="F158" s="89">
        <v>27.5</v>
      </c>
      <c r="G158" s="89">
        <v>66.599999999999994</v>
      </c>
    </row>
    <row r="159" spans="1:7" s="88" customFormat="1" ht="14">
      <c r="A159" s="578" t="s">
        <v>227</v>
      </c>
      <c r="B159" s="580"/>
      <c r="C159" s="89">
        <v>1993.5</v>
      </c>
      <c r="D159" s="89">
        <v>3.2</v>
      </c>
      <c r="E159" s="89">
        <v>48.2</v>
      </c>
      <c r="F159" s="89">
        <v>27.9</v>
      </c>
      <c r="G159" s="89">
        <v>66.599999999999994</v>
      </c>
    </row>
    <row r="160" spans="1:7" s="88" customFormat="1" ht="14">
      <c r="A160" s="578" t="s">
        <v>228</v>
      </c>
      <c r="B160" s="580"/>
      <c r="C160" s="89">
        <v>2001.6</v>
      </c>
      <c r="D160" s="89">
        <v>3.2</v>
      </c>
      <c r="E160" s="89">
        <v>48.3</v>
      </c>
      <c r="F160" s="89">
        <v>28.1</v>
      </c>
      <c r="G160" s="89">
        <v>66.7</v>
      </c>
    </row>
    <row r="161" spans="1:7" s="88" customFormat="1" ht="14">
      <c r="A161" s="578" t="s">
        <v>229</v>
      </c>
      <c r="B161" s="580"/>
      <c r="C161" s="89">
        <v>2005.7</v>
      </c>
      <c r="D161" s="89">
        <v>3.3</v>
      </c>
      <c r="E161" s="89">
        <v>48.5</v>
      </c>
      <c r="F161" s="89">
        <v>28.3</v>
      </c>
      <c r="G161" s="89">
        <v>66.900000000000006</v>
      </c>
    </row>
    <row r="162" spans="1:7" s="88" customFormat="1" ht="14">
      <c r="A162" s="578" t="s">
        <v>230</v>
      </c>
      <c r="B162" s="580"/>
      <c r="C162" s="89">
        <v>2007.7</v>
      </c>
      <c r="D162" s="89">
        <v>3.3</v>
      </c>
      <c r="E162" s="89">
        <v>48.8</v>
      </c>
      <c r="F162" s="89">
        <v>28.4</v>
      </c>
      <c r="G162" s="89">
        <v>67.400000000000006</v>
      </c>
    </row>
    <row r="163" spans="1:7" s="88" customFormat="1" ht="14">
      <c r="A163" s="578" t="s">
        <v>231</v>
      </c>
      <c r="B163" s="580"/>
      <c r="C163" s="89">
        <v>2007.7</v>
      </c>
      <c r="D163" s="89">
        <v>3.3</v>
      </c>
      <c r="E163" s="89">
        <v>48.8</v>
      </c>
      <c r="F163" s="89">
        <v>28.3</v>
      </c>
      <c r="G163" s="89">
        <v>67.5</v>
      </c>
    </row>
    <row r="164" spans="1:7" s="88" customFormat="1" ht="14">
      <c r="A164" s="578" t="s">
        <v>232</v>
      </c>
      <c r="B164" s="580"/>
      <c r="C164" s="89">
        <v>2009.7</v>
      </c>
      <c r="D164" s="89">
        <v>3.3</v>
      </c>
      <c r="E164" s="89">
        <v>48.3</v>
      </c>
      <c r="F164" s="89">
        <v>27.9</v>
      </c>
      <c r="G164" s="89">
        <v>67.099999999999994</v>
      </c>
    </row>
    <row r="165" spans="1:7" s="88" customFormat="1" ht="14">
      <c r="A165" s="578" t="s">
        <v>233</v>
      </c>
      <c r="B165" s="580"/>
      <c r="C165" s="89">
        <v>2009.9</v>
      </c>
      <c r="D165" s="89">
        <v>3.3</v>
      </c>
      <c r="E165" s="89">
        <v>48</v>
      </c>
      <c r="F165" s="89">
        <v>27.9</v>
      </c>
      <c r="G165" s="89">
        <v>66.599999999999994</v>
      </c>
    </row>
    <row r="166" spans="1:7" s="88" customFormat="1" ht="14">
      <c r="A166" s="578" t="s">
        <v>234</v>
      </c>
      <c r="B166" s="580"/>
      <c r="C166" s="89">
        <v>2009.7</v>
      </c>
      <c r="D166" s="89">
        <v>3.3</v>
      </c>
      <c r="E166" s="89">
        <v>48.2</v>
      </c>
      <c r="F166" s="89">
        <v>28.1</v>
      </c>
      <c r="G166" s="89">
        <v>67</v>
      </c>
    </row>
    <row r="167" spans="1:7" s="88" customFormat="1" ht="14">
      <c r="A167" s="578" t="s">
        <v>235</v>
      </c>
      <c r="B167" s="580"/>
      <c r="C167" s="89">
        <v>2010</v>
      </c>
      <c r="D167" s="89">
        <v>3.3</v>
      </c>
      <c r="E167" s="89">
        <v>48.7</v>
      </c>
      <c r="F167" s="89">
        <v>28.4</v>
      </c>
      <c r="G167" s="89">
        <v>67.599999999999994</v>
      </c>
    </row>
    <row r="168" spans="1:7" s="88" customFormat="1" ht="14">
      <c r="A168" s="578" t="s">
        <v>236</v>
      </c>
      <c r="B168" s="580"/>
      <c r="C168" s="89">
        <v>2011.7</v>
      </c>
      <c r="D168" s="89">
        <v>3.3</v>
      </c>
      <c r="E168" s="89">
        <v>49</v>
      </c>
      <c r="F168" s="89">
        <v>28.9</v>
      </c>
      <c r="G168" s="89">
        <v>67.5</v>
      </c>
    </row>
    <row r="169" spans="1:7" s="88" customFormat="1" ht="14">
      <c r="A169" s="578" t="s">
        <v>237</v>
      </c>
      <c r="B169" s="580"/>
      <c r="C169" s="89">
        <v>2014.4</v>
      </c>
      <c r="D169" s="89">
        <v>3.3</v>
      </c>
      <c r="E169" s="89">
        <v>49</v>
      </c>
      <c r="F169" s="89">
        <v>29.2</v>
      </c>
      <c r="G169" s="89">
        <v>67.2</v>
      </c>
    </row>
    <row r="170" spans="1:7" s="88" customFormat="1" ht="14">
      <c r="A170" s="578" t="s">
        <v>238</v>
      </c>
      <c r="B170" s="580"/>
      <c r="C170" s="89">
        <v>2018.5</v>
      </c>
      <c r="D170" s="89">
        <v>3.3</v>
      </c>
      <c r="E170" s="89">
        <v>49.7</v>
      </c>
      <c r="F170" s="89">
        <v>29.9</v>
      </c>
      <c r="G170" s="89">
        <v>67.8</v>
      </c>
    </row>
    <row r="171" spans="1:7" s="88" customFormat="1" ht="14">
      <c r="A171" s="578" t="s">
        <v>239</v>
      </c>
      <c r="B171" s="580"/>
      <c r="C171" s="89">
        <v>2022.8</v>
      </c>
      <c r="D171" s="89">
        <v>3.3</v>
      </c>
      <c r="E171" s="89">
        <v>50.2</v>
      </c>
      <c r="F171" s="89">
        <v>30.4</v>
      </c>
      <c r="G171" s="89">
        <v>68.2</v>
      </c>
    </row>
    <row r="172" spans="1:7" s="88" customFormat="1" ht="14">
      <c r="A172" s="578" t="s">
        <v>240</v>
      </c>
      <c r="B172" s="580"/>
      <c r="C172" s="89">
        <v>2026.9</v>
      </c>
      <c r="D172" s="89">
        <v>3.3</v>
      </c>
      <c r="E172" s="89">
        <v>50.8</v>
      </c>
      <c r="F172" s="89">
        <v>31</v>
      </c>
      <c r="G172" s="89">
        <v>68.900000000000006</v>
      </c>
    </row>
    <row r="173" spans="1:7" s="88" customFormat="1" ht="14">
      <c r="A173" s="578" t="s">
        <v>241</v>
      </c>
      <c r="B173" s="580"/>
      <c r="C173" s="89">
        <v>2031.5</v>
      </c>
      <c r="D173" s="89">
        <v>3.3</v>
      </c>
      <c r="E173" s="89">
        <v>51</v>
      </c>
      <c r="F173" s="89">
        <v>31.3</v>
      </c>
      <c r="G173" s="89">
        <v>69</v>
      </c>
    </row>
    <row r="174" spans="1:7" s="88" customFormat="1" ht="14">
      <c r="A174" s="578" t="s">
        <v>242</v>
      </c>
      <c r="B174" s="580"/>
      <c r="C174" s="89">
        <v>2037.3</v>
      </c>
      <c r="D174" s="89">
        <v>3.3</v>
      </c>
      <c r="E174" s="89">
        <v>51.8</v>
      </c>
      <c r="F174" s="89">
        <v>32.200000000000003</v>
      </c>
      <c r="G174" s="89">
        <v>69.8</v>
      </c>
    </row>
    <row r="175" spans="1:7" s="88" customFormat="1" ht="14">
      <c r="A175" s="578" t="s">
        <v>243</v>
      </c>
      <c r="B175" s="580"/>
      <c r="C175" s="89">
        <v>2044.8</v>
      </c>
      <c r="D175" s="89">
        <v>3.2</v>
      </c>
      <c r="E175" s="89">
        <v>52.3</v>
      </c>
      <c r="F175" s="89">
        <v>32.700000000000003</v>
      </c>
      <c r="G175" s="89">
        <v>70.2</v>
      </c>
    </row>
    <row r="176" spans="1:7" s="88" customFormat="1" ht="14">
      <c r="A176" s="578" t="s">
        <v>244</v>
      </c>
      <c r="B176" s="580"/>
      <c r="C176" s="89">
        <v>2051.3000000000002</v>
      </c>
      <c r="D176" s="89">
        <v>3.3</v>
      </c>
      <c r="E176" s="89">
        <v>52.1</v>
      </c>
      <c r="F176" s="89">
        <v>32.700000000000003</v>
      </c>
      <c r="G176" s="89">
        <v>69.5</v>
      </c>
    </row>
    <row r="177" spans="1:7" s="88" customFormat="1" ht="14">
      <c r="A177" s="578" t="s">
        <v>245</v>
      </c>
      <c r="B177" s="580"/>
      <c r="C177" s="89">
        <v>2057.1999999999998</v>
      </c>
      <c r="D177" s="89">
        <v>3.2</v>
      </c>
      <c r="E177" s="89">
        <v>52.1</v>
      </c>
      <c r="F177" s="89">
        <v>32.6</v>
      </c>
      <c r="G177" s="89">
        <v>69.400000000000006</v>
      </c>
    </row>
    <row r="178" spans="1:7" s="88" customFormat="1" ht="14">
      <c r="A178" s="578" t="s">
        <v>246</v>
      </c>
      <c r="B178" s="580"/>
      <c r="C178" s="89">
        <v>2062.1</v>
      </c>
      <c r="D178" s="89">
        <v>3.2</v>
      </c>
      <c r="E178" s="89">
        <v>52.3</v>
      </c>
      <c r="F178" s="89">
        <v>33.200000000000003</v>
      </c>
      <c r="G178" s="89">
        <v>69.400000000000006</v>
      </c>
    </row>
    <row r="179" spans="1:7" s="88" customFormat="1" ht="14">
      <c r="A179" s="578" t="s">
        <v>247</v>
      </c>
      <c r="B179" s="580"/>
      <c r="C179" s="89">
        <v>2061.9</v>
      </c>
      <c r="D179" s="89">
        <v>3.3</v>
      </c>
      <c r="E179" s="89">
        <v>52</v>
      </c>
      <c r="F179" s="89">
        <v>33.299999999999997</v>
      </c>
      <c r="G179" s="89">
        <v>69</v>
      </c>
    </row>
    <row r="180" spans="1:7" s="88" customFormat="1" ht="14">
      <c r="A180" s="578" t="s">
        <v>248</v>
      </c>
      <c r="B180" s="580"/>
      <c r="C180" s="89">
        <v>2059.4</v>
      </c>
      <c r="D180" s="89">
        <v>3.3</v>
      </c>
      <c r="E180" s="89">
        <v>52</v>
      </c>
      <c r="F180" s="89">
        <v>33.6</v>
      </c>
      <c r="G180" s="89">
        <v>68.8</v>
      </c>
    </row>
    <row r="181" spans="1:7" s="88" customFormat="1" ht="14">
      <c r="A181" s="578" t="s">
        <v>249</v>
      </c>
      <c r="B181" s="580"/>
      <c r="C181" s="89">
        <v>2049.1999999999998</v>
      </c>
      <c r="D181" s="89">
        <v>3.2</v>
      </c>
      <c r="E181" s="89">
        <v>51.3</v>
      </c>
      <c r="F181" s="89">
        <v>34</v>
      </c>
      <c r="G181" s="89">
        <v>66.7</v>
      </c>
    </row>
    <row r="182" spans="1:7" s="88" customFormat="1" ht="14">
      <c r="A182" s="578" t="s">
        <v>250</v>
      </c>
      <c r="B182" s="580"/>
      <c r="C182" s="89">
        <v>2050</v>
      </c>
      <c r="D182" s="89">
        <v>3.2</v>
      </c>
      <c r="E182" s="89">
        <v>51.8</v>
      </c>
      <c r="F182" s="89">
        <v>34.6</v>
      </c>
      <c r="G182" s="89">
        <v>67</v>
      </c>
    </row>
    <row r="183" spans="1:7" s="88" customFormat="1" ht="14">
      <c r="A183" s="578" t="s">
        <v>251</v>
      </c>
      <c r="B183" s="580"/>
      <c r="C183" s="89">
        <v>2052.1999999999998</v>
      </c>
      <c r="D183" s="89">
        <v>3.2</v>
      </c>
      <c r="E183" s="89">
        <v>51.7</v>
      </c>
      <c r="F183" s="89">
        <v>35.1</v>
      </c>
      <c r="G183" s="89">
        <v>66.400000000000006</v>
      </c>
    </row>
    <row r="184" spans="1:7" s="88" customFormat="1" ht="14">
      <c r="A184" s="578" t="s">
        <v>252</v>
      </c>
      <c r="B184" s="580"/>
      <c r="C184" s="89">
        <v>2055.9</v>
      </c>
      <c r="D184" s="89">
        <v>3.2</v>
      </c>
      <c r="E184" s="89">
        <v>52</v>
      </c>
      <c r="F184" s="89">
        <v>35.5</v>
      </c>
      <c r="G184" s="89">
        <v>66.7</v>
      </c>
    </row>
    <row r="185" spans="1:7" s="88" customFormat="1" ht="14">
      <c r="A185" s="578" t="s">
        <v>253</v>
      </c>
      <c r="B185" s="580"/>
      <c r="C185" s="89">
        <v>2061</v>
      </c>
      <c r="D185" s="89">
        <v>3.2</v>
      </c>
      <c r="E185" s="89">
        <v>52.4</v>
      </c>
      <c r="F185" s="89">
        <v>36.200000000000003</v>
      </c>
      <c r="G185" s="89">
        <v>66.7</v>
      </c>
    </row>
    <row r="186" spans="1:7" s="88" customFormat="1" ht="14">
      <c r="A186" s="578" t="s">
        <v>254</v>
      </c>
      <c r="B186" s="580"/>
      <c r="C186" s="89">
        <v>2067.1</v>
      </c>
      <c r="D186" s="89">
        <v>3.2</v>
      </c>
      <c r="E186" s="89">
        <v>52.4</v>
      </c>
      <c r="F186" s="89">
        <v>36</v>
      </c>
      <c r="G186" s="89">
        <v>67</v>
      </c>
    </row>
    <row r="187" spans="1:7" s="88" customFormat="1" ht="14">
      <c r="A187" s="578" t="s">
        <v>255</v>
      </c>
      <c r="B187" s="580"/>
      <c r="C187" s="89">
        <v>2072.4</v>
      </c>
      <c r="D187" s="89">
        <v>3.2</v>
      </c>
      <c r="E187" s="89">
        <v>52.5</v>
      </c>
      <c r="F187" s="89">
        <v>36.700000000000003</v>
      </c>
      <c r="G187" s="89">
        <v>66.900000000000006</v>
      </c>
    </row>
    <row r="188" spans="1:7" s="88" customFormat="1" ht="14">
      <c r="A188" s="578" t="s">
        <v>256</v>
      </c>
      <c r="B188" s="580"/>
      <c r="C188" s="89">
        <v>2077.1</v>
      </c>
      <c r="D188" s="89">
        <v>3.2</v>
      </c>
      <c r="E188" s="89">
        <v>52.7</v>
      </c>
      <c r="F188" s="89">
        <v>36.700000000000003</v>
      </c>
      <c r="G188" s="89">
        <v>67.099999999999994</v>
      </c>
    </row>
    <row r="189" spans="1:7" s="88" customFormat="1" ht="14">
      <c r="A189" s="578" t="s">
        <v>257</v>
      </c>
      <c r="B189" s="580"/>
      <c r="C189" s="89">
        <v>2076.4</v>
      </c>
      <c r="D189" s="89">
        <v>3.2</v>
      </c>
      <c r="E189" s="89">
        <v>52.6</v>
      </c>
      <c r="F189" s="89">
        <v>36.700000000000003</v>
      </c>
      <c r="G189" s="89">
        <v>67.099999999999994</v>
      </c>
    </row>
    <row r="190" spans="1:7" s="88" customFormat="1" ht="14">
      <c r="A190" s="578" t="s">
        <v>258</v>
      </c>
      <c r="B190" s="580"/>
      <c r="C190" s="89">
        <v>2078.6</v>
      </c>
      <c r="D190" s="89">
        <v>3.2</v>
      </c>
      <c r="E190" s="89">
        <v>52.5</v>
      </c>
      <c r="F190" s="89">
        <v>36.299999999999997</v>
      </c>
      <c r="G190" s="89">
        <v>67.400000000000006</v>
      </c>
    </row>
    <row r="191" spans="1:7" s="88" customFormat="1" ht="14">
      <c r="A191" s="578" t="s">
        <v>259</v>
      </c>
      <c r="B191" s="580"/>
      <c r="C191" s="89">
        <v>2079.5</v>
      </c>
      <c r="D191" s="89">
        <v>3.2</v>
      </c>
      <c r="E191" s="89">
        <v>52.1</v>
      </c>
      <c r="F191" s="89">
        <v>36</v>
      </c>
      <c r="G191" s="89">
        <v>67.2</v>
      </c>
    </row>
    <row r="192" spans="1:7" s="88" customFormat="1" ht="14">
      <c r="A192" s="578" t="s">
        <v>260</v>
      </c>
      <c r="B192" s="580"/>
      <c r="C192" s="89">
        <v>2083.8000000000002</v>
      </c>
      <c r="D192" s="89">
        <v>3.2</v>
      </c>
      <c r="E192" s="89">
        <v>52.3</v>
      </c>
      <c r="F192" s="89">
        <v>36.299999999999997</v>
      </c>
      <c r="G192" s="89">
        <v>67.3</v>
      </c>
    </row>
    <row r="193" spans="1:7" s="88" customFormat="1" ht="14">
      <c r="A193" s="578" t="s">
        <v>261</v>
      </c>
      <c r="B193" s="580"/>
      <c r="C193" s="89">
        <v>2087.1999999999998</v>
      </c>
      <c r="D193" s="89">
        <v>3.1</v>
      </c>
      <c r="E193" s="89">
        <v>52.4</v>
      </c>
      <c r="F193" s="89">
        <v>34.5</v>
      </c>
      <c r="G193" s="89">
        <v>68.3</v>
      </c>
    </row>
    <row r="194" spans="1:7" s="88" customFormat="1" ht="14">
      <c r="A194" s="578" t="s">
        <v>262</v>
      </c>
      <c r="B194" s="580"/>
      <c r="C194" s="89">
        <v>2091.6999999999998</v>
      </c>
      <c r="D194" s="89">
        <v>3.1</v>
      </c>
      <c r="E194" s="89">
        <v>52.7</v>
      </c>
      <c r="F194" s="89">
        <v>34.700000000000003</v>
      </c>
      <c r="G194" s="89">
        <v>68.599999999999994</v>
      </c>
    </row>
    <row r="195" spans="1:7" s="88" customFormat="1" ht="14">
      <c r="A195" s="578" t="s">
        <v>263</v>
      </c>
      <c r="B195" s="580"/>
      <c r="C195" s="89">
        <v>2097.1</v>
      </c>
      <c r="D195" s="89">
        <v>3.1</v>
      </c>
      <c r="E195" s="89">
        <v>52.8</v>
      </c>
      <c r="F195" s="89">
        <v>34.700000000000003</v>
      </c>
      <c r="G195" s="89">
        <v>68.900000000000006</v>
      </c>
    </row>
    <row r="196" spans="1:7" s="88" customFormat="1" ht="14">
      <c r="A196" s="578" t="s">
        <v>264</v>
      </c>
      <c r="B196" s="580"/>
      <c r="C196" s="89">
        <v>2101.6999999999998</v>
      </c>
      <c r="D196" s="89">
        <v>3.1</v>
      </c>
      <c r="E196" s="89">
        <v>52.8</v>
      </c>
      <c r="F196" s="89">
        <v>34.700000000000003</v>
      </c>
      <c r="G196" s="89">
        <v>68.900000000000006</v>
      </c>
    </row>
    <row r="197" spans="1:7" s="88" customFormat="1" ht="14">
      <c r="A197" s="578" t="s">
        <v>265</v>
      </c>
      <c r="B197" s="580"/>
      <c r="C197" s="89">
        <v>2106.5</v>
      </c>
      <c r="D197" s="89">
        <v>3.1</v>
      </c>
      <c r="E197" s="89">
        <v>52.8</v>
      </c>
      <c r="F197" s="89">
        <v>34.9</v>
      </c>
      <c r="G197" s="89">
        <v>68.900000000000006</v>
      </c>
    </row>
    <row r="198" spans="1:7" s="88" customFormat="1" ht="14">
      <c r="A198" s="578" t="s">
        <v>266</v>
      </c>
      <c r="B198" s="580"/>
      <c r="C198" s="89">
        <v>2111</v>
      </c>
      <c r="D198" s="89">
        <v>3.1</v>
      </c>
      <c r="E198" s="89">
        <v>52.8</v>
      </c>
      <c r="F198" s="89">
        <v>34.9</v>
      </c>
      <c r="G198" s="89">
        <v>68.8</v>
      </c>
    </row>
    <row r="199" spans="1:7" s="88" customFormat="1" ht="14">
      <c r="A199" s="578" t="s">
        <v>267</v>
      </c>
      <c r="B199" s="580"/>
      <c r="C199" s="89">
        <v>2111.8000000000002</v>
      </c>
      <c r="D199" s="89">
        <v>3.1</v>
      </c>
      <c r="E199" s="89">
        <v>53.1</v>
      </c>
      <c r="F199" s="89">
        <v>35.200000000000003</v>
      </c>
      <c r="G199" s="89">
        <v>68.7</v>
      </c>
    </row>
    <row r="200" spans="1:7" s="88" customFormat="1" ht="14">
      <c r="A200" s="578" t="s">
        <v>268</v>
      </c>
      <c r="B200" s="580"/>
      <c r="C200" s="89">
        <v>2111.8000000000002</v>
      </c>
      <c r="D200" s="89">
        <v>3.1</v>
      </c>
      <c r="E200" s="89">
        <v>53</v>
      </c>
      <c r="F200" s="89">
        <v>35.200000000000003</v>
      </c>
      <c r="G200" s="89">
        <v>68.7</v>
      </c>
    </row>
    <row r="201" spans="1:7" s="88" customFormat="1" ht="14">
      <c r="A201" s="578" t="s">
        <v>269</v>
      </c>
      <c r="B201" s="580"/>
      <c r="C201" s="89">
        <v>2113.8000000000002</v>
      </c>
      <c r="D201" s="89">
        <v>3.1</v>
      </c>
      <c r="E201" s="89">
        <v>53.2</v>
      </c>
      <c r="F201" s="89">
        <v>35.299999999999997</v>
      </c>
      <c r="G201" s="89">
        <v>68.900000000000006</v>
      </c>
    </row>
    <row r="202" spans="1:7" s="88" customFormat="1" ht="14">
      <c r="A202" s="578" t="s">
        <v>270</v>
      </c>
      <c r="B202" s="580"/>
      <c r="C202" s="89">
        <v>2112.5</v>
      </c>
      <c r="D202" s="89">
        <v>3.1</v>
      </c>
      <c r="E202" s="89">
        <v>53.2</v>
      </c>
      <c r="F202" s="89">
        <v>35.200000000000003</v>
      </c>
      <c r="G202" s="89">
        <v>69.099999999999994</v>
      </c>
    </row>
    <row r="203" spans="1:7" s="88" customFormat="1" ht="14">
      <c r="A203" s="578" t="s">
        <v>271</v>
      </c>
      <c r="B203" s="580"/>
      <c r="C203" s="89">
        <v>2111.4</v>
      </c>
      <c r="D203" s="89">
        <v>3.1</v>
      </c>
      <c r="E203" s="89">
        <v>53.5</v>
      </c>
      <c r="F203" s="89">
        <v>35.299999999999997</v>
      </c>
      <c r="G203" s="89">
        <v>69.7</v>
      </c>
    </row>
    <row r="204" spans="1:7" s="88" customFormat="1" ht="14">
      <c r="A204" s="578" t="s">
        <v>272</v>
      </c>
      <c r="B204" s="580"/>
      <c r="C204" s="89">
        <v>2108.4</v>
      </c>
      <c r="D204" s="89">
        <v>3.1</v>
      </c>
      <c r="E204" s="89">
        <v>53.3</v>
      </c>
      <c r="F204" s="89">
        <v>35.200000000000003</v>
      </c>
      <c r="G204" s="89">
        <v>69.5</v>
      </c>
    </row>
    <row r="205" spans="1:7" s="88" customFormat="1" ht="14">
      <c r="A205" s="578" t="s">
        <v>273</v>
      </c>
      <c r="B205" s="580"/>
      <c r="C205" s="89">
        <v>2109.4</v>
      </c>
      <c r="D205" s="89">
        <v>3.1</v>
      </c>
      <c r="E205" s="89">
        <v>53.2</v>
      </c>
      <c r="F205" s="89">
        <v>35</v>
      </c>
      <c r="G205" s="89">
        <v>69.599999999999994</v>
      </c>
    </row>
    <row r="206" spans="1:7" s="88" customFormat="1" ht="14">
      <c r="A206" s="578" t="s">
        <v>274</v>
      </c>
      <c r="B206" s="580"/>
      <c r="C206" s="89">
        <v>2113.4</v>
      </c>
      <c r="D206" s="89">
        <v>3.1</v>
      </c>
      <c r="E206" s="89">
        <v>53.3</v>
      </c>
      <c r="F206" s="89">
        <v>35.200000000000003</v>
      </c>
      <c r="G206" s="89">
        <v>69.599999999999994</v>
      </c>
    </row>
    <row r="207" spans="1:7" s="88" customFormat="1" ht="14">
      <c r="A207" s="578" t="s">
        <v>275</v>
      </c>
      <c r="B207" s="580"/>
      <c r="C207" s="89">
        <v>2116.4</v>
      </c>
      <c r="D207" s="89">
        <v>3.1</v>
      </c>
      <c r="E207" s="89">
        <v>53.6</v>
      </c>
      <c r="F207" s="89">
        <v>35.4</v>
      </c>
      <c r="G207" s="89">
        <v>70</v>
      </c>
    </row>
    <row r="208" spans="1:7" s="88" customFormat="1" ht="14">
      <c r="A208" s="578" t="s">
        <v>276</v>
      </c>
      <c r="B208" s="580"/>
      <c r="C208" s="89">
        <v>2121.1999999999998</v>
      </c>
      <c r="D208" s="89">
        <v>3.1</v>
      </c>
      <c r="E208" s="89">
        <v>53.3</v>
      </c>
      <c r="F208" s="89">
        <v>35.299999999999997</v>
      </c>
      <c r="G208" s="89">
        <v>69.5</v>
      </c>
    </row>
    <row r="209" spans="1:7" s="88" customFormat="1" ht="14">
      <c r="A209" s="578" t="s">
        <v>277</v>
      </c>
      <c r="B209" s="580"/>
      <c r="C209" s="89">
        <v>2127.4</v>
      </c>
      <c r="D209" s="89">
        <v>3.1</v>
      </c>
      <c r="E209" s="89">
        <v>53.2</v>
      </c>
      <c r="F209" s="89">
        <v>35.200000000000003</v>
      </c>
      <c r="G209" s="89">
        <v>69.3</v>
      </c>
    </row>
    <row r="210" spans="1:7" s="88" customFormat="1" ht="14">
      <c r="A210" s="578" t="s">
        <v>278</v>
      </c>
      <c r="B210" s="580"/>
      <c r="C210" s="89">
        <v>2133.1</v>
      </c>
      <c r="D210" s="89">
        <v>3.1</v>
      </c>
      <c r="E210" s="89">
        <v>53</v>
      </c>
      <c r="F210" s="89">
        <v>34.799999999999997</v>
      </c>
      <c r="G210" s="89">
        <v>69.2</v>
      </c>
    </row>
    <row r="211" spans="1:7" s="88" customFormat="1" ht="14">
      <c r="A211" s="578" t="s">
        <v>279</v>
      </c>
      <c r="B211" s="580"/>
      <c r="C211" s="89">
        <v>2136.5</v>
      </c>
      <c r="D211" s="89">
        <v>3.1</v>
      </c>
      <c r="E211" s="89">
        <v>53.3</v>
      </c>
      <c r="F211" s="89">
        <v>34.9</v>
      </c>
      <c r="G211" s="89">
        <v>69.7</v>
      </c>
    </row>
    <row r="212" spans="1:7" s="88" customFormat="1" ht="14">
      <c r="A212" s="578" t="s">
        <v>280</v>
      </c>
      <c r="B212" s="580"/>
      <c r="C212" s="89">
        <v>2136.8000000000002</v>
      </c>
      <c r="D212" s="89">
        <v>3.1</v>
      </c>
      <c r="E212" s="89">
        <v>53.3</v>
      </c>
      <c r="F212" s="89">
        <v>34.700000000000003</v>
      </c>
      <c r="G212" s="89">
        <v>70</v>
      </c>
    </row>
    <row r="213" spans="1:7" s="88" customFormat="1" ht="14">
      <c r="A213" s="578" t="s">
        <v>281</v>
      </c>
      <c r="B213" s="580"/>
      <c r="C213" s="89">
        <v>2138.3000000000002</v>
      </c>
      <c r="D213" s="89">
        <v>3.1</v>
      </c>
      <c r="E213" s="89">
        <v>53.2</v>
      </c>
      <c r="F213" s="89">
        <v>34.700000000000003</v>
      </c>
      <c r="G213" s="89">
        <v>69.900000000000006</v>
      </c>
    </row>
    <row r="214" spans="1:7" s="88" customFormat="1" ht="14">
      <c r="A214" s="578" t="s">
        <v>282</v>
      </c>
      <c r="B214" s="580"/>
      <c r="C214" s="89">
        <v>2141.4</v>
      </c>
      <c r="D214" s="89">
        <v>3.1</v>
      </c>
      <c r="E214" s="89">
        <v>53.4</v>
      </c>
      <c r="F214" s="89">
        <v>34.6</v>
      </c>
      <c r="G214" s="89">
        <v>70.5</v>
      </c>
    </row>
    <row r="215" spans="1:7" s="88" customFormat="1" ht="14">
      <c r="A215" s="578" t="s">
        <v>283</v>
      </c>
      <c r="B215" s="580"/>
      <c r="C215" s="89">
        <v>2144.6999999999998</v>
      </c>
      <c r="D215" s="89">
        <v>3.1</v>
      </c>
      <c r="E215" s="89">
        <v>53.8</v>
      </c>
      <c r="F215" s="89">
        <v>34.700000000000003</v>
      </c>
      <c r="G215" s="89">
        <v>71.099999999999994</v>
      </c>
    </row>
    <row r="216" spans="1:7" s="88" customFormat="1" ht="14">
      <c r="A216" s="578" t="s">
        <v>284</v>
      </c>
      <c r="B216" s="580"/>
      <c r="C216" s="89">
        <v>2145.5</v>
      </c>
      <c r="D216" s="89">
        <v>3.1</v>
      </c>
      <c r="E216" s="89">
        <v>54.4</v>
      </c>
      <c r="F216" s="89">
        <v>35</v>
      </c>
      <c r="G216" s="89">
        <v>71.900000000000006</v>
      </c>
    </row>
    <row r="217" spans="1:7" s="88" customFormat="1" ht="14">
      <c r="A217" s="578" t="s">
        <v>285</v>
      </c>
      <c r="B217" s="580"/>
      <c r="C217" s="89">
        <v>2148.6</v>
      </c>
      <c r="D217" s="89">
        <v>3.1</v>
      </c>
      <c r="E217" s="89">
        <v>54.2</v>
      </c>
      <c r="F217" s="89">
        <v>35</v>
      </c>
      <c r="G217" s="89">
        <v>71.2</v>
      </c>
    </row>
    <row r="218" spans="1:7" s="88" customFormat="1" ht="14">
      <c r="A218" s="578" t="s">
        <v>286</v>
      </c>
      <c r="B218" s="580"/>
      <c r="C218" s="89">
        <v>2152.8000000000002</v>
      </c>
      <c r="D218" s="89">
        <v>3.1</v>
      </c>
      <c r="E218" s="89">
        <v>54.1</v>
      </c>
      <c r="F218" s="89">
        <v>35.1</v>
      </c>
      <c r="G218" s="89">
        <v>70.8</v>
      </c>
    </row>
    <row r="219" spans="1:7" s="88" customFormat="1" ht="14">
      <c r="A219" s="578" t="s">
        <v>287</v>
      </c>
      <c r="B219" s="580"/>
      <c r="C219" s="89">
        <v>2158.1999999999998</v>
      </c>
      <c r="D219" s="89">
        <v>3.1</v>
      </c>
      <c r="E219" s="89">
        <v>53.9</v>
      </c>
      <c r="F219" s="89">
        <v>34.9</v>
      </c>
      <c r="G219" s="89">
        <v>70.5</v>
      </c>
    </row>
    <row r="220" spans="1:7" s="88" customFormat="1" ht="14">
      <c r="A220" s="578" t="s">
        <v>288</v>
      </c>
      <c r="B220" s="580"/>
      <c r="C220" s="89">
        <v>2162</v>
      </c>
      <c r="D220" s="89">
        <v>3</v>
      </c>
      <c r="E220" s="89">
        <v>54.2</v>
      </c>
      <c r="F220" s="89">
        <v>35</v>
      </c>
      <c r="G220" s="89">
        <v>71.099999999999994</v>
      </c>
    </row>
    <row r="221" spans="1:7" s="88" customFormat="1" ht="14">
      <c r="A221" s="578" t="s">
        <v>289</v>
      </c>
      <c r="B221" s="580"/>
      <c r="C221" s="89">
        <v>2164.6</v>
      </c>
      <c r="D221" s="89">
        <v>3.1</v>
      </c>
      <c r="E221" s="89">
        <v>54.2</v>
      </c>
      <c r="F221" s="89">
        <v>34.799999999999997</v>
      </c>
      <c r="G221" s="89">
        <v>71.400000000000006</v>
      </c>
    </row>
    <row r="222" spans="1:7" s="88" customFormat="1" ht="14">
      <c r="A222" s="578" t="s">
        <v>290</v>
      </c>
      <c r="B222" s="580"/>
      <c r="C222" s="89">
        <v>2169.9</v>
      </c>
      <c r="D222" s="89">
        <v>3</v>
      </c>
      <c r="E222" s="89">
        <v>54.3</v>
      </c>
      <c r="F222" s="89">
        <v>34.9</v>
      </c>
      <c r="G222" s="89">
        <v>71.5</v>
      </c>
    </row>
    <row r="223" spans="1:7" s="88" customFormat="1" ht="14">
      <c r="A223" s="578" t="s">
        <v>291</v>
      </c>
      <c r="B223" s="580"/>
      <c r="C223" s="89">
        <v>2173.3000000000002</v>
      </c>
      <c r="D223" s="89">
        <v>3</v>
      </c>
      <c r="E223" s="89">
        <v>54</v>
      </c>
      <c r="F223" s="89">
        <v>34.700000000000003</v>
      </c>
      <c r="G223" s="89">
        <v>71.099999999999994</v>
      </c>
    </row>
    <row r="224" spans="1:7" s="88" customFormat="1" ht="14">
      <c r="A224" s="578" t="s">
        <v>292</v>
      </c>
      <c r="B224" s="580"/>
      <c r="C224" s="89">
        <v>2176</v>
      </c>
      <c r="D224" s="89">
        <v>3</v>
      </c>
      <c r="E224" s="89">
        <v>53.8</v>
      </c>
      <c r="F224" s="89">
        <v>34.6</v>
      </c>
      <c r="G224" s="89">
        <v>70.8</v>
      </c>
    </row>
    <row r="225" spans="1:7" s="88" customFormat="1" ht="14">
      <c r="A225" s="578" t="s">
        <v>293</v>
      </c>
      <c r="B225" s="580"/>
      <c r="C225" s="89">
        <v>2177</v>
      </c>
      <c r="D225" s="89">
        <v>3</v>
      </c>
      <c r="E225" s="89">
        <v>53.8</v>
      </c>
      <c r="F225" s="89">
        <v>34.700000000000003</v>
      </c>
      <c r="G225" s="89">
        <v>70.599999999999994</v>
      </c>
    </row>
    <row r="226" spans="1:7" s="88" customFormat="1" ht="14">
      <c r="A226" s="578" t="s">
        <v>294</v>
      </c>
      <c r="B226" s="580"/>
      <c r="C226" s="89">
        <v>2179.8000000000002</v>
      </c>
      <c r="D226" s="89">
        <v>3</v>
      </c>
      <c r="E226" s="89">
        <v>53.8</v>
      </c>
      <c r="F226" s="89">
        <v>34.4</v>
      </c>
      <c r="G226" s="89">
        <v>70.599999999999994</v>
      </c>
    </row>
    <row r="227" spans="1:7" s="88" customFormat="1" ht="14">
      <c r="A227" s="578" t="s">
        <v>295</v>
      </c>
      <c r="B227" s="580"/>
      <c r="C227" s="89">
        <v>2182.8000000000002</v>
      </c>
      <c r="D227" s="89">
        <v>3</v>
      </c>
      <c r="E227" s="89">
        <v>53.6</v>
      </c>
      <c r="F227" s="89">
        <v>34.4</v>
      </c>
      <c r="G227" s="89">
        <v>70.2</v>
      </c>
    </row>
    <row r="228" spans="1:7" s="88" customFormat="1" ht="14">
      <c r="A228" s="578" t="s">
        <v>296</v>
      </c>
      <c r="B228" s="580"/>
      <c r="C228" s="89">
        <v>2186.4</v>
      </c>
      <c r="D228" s="89">
        <v>3</v>
      </c>
      <c r="E228" s="89">
        <v>53.8</v>
      </c>
      <c r="F228" s="89">
        <v>34.5</v>
      </c>
      <c r="G228" s="89">
        <v>70.3</v>
      </c>
    </row>
    <row r="229" spans="1:7" s="88" customFormat="1" ht="14">
      <c r="A229" s="578" t="s">
        <v>297</v>
      </c>
      <c r="B229" s="580"/>
      <c r="C229" s="89">
        <v>2191.1999999999998</v>
      </c>
      <c r="D229" s="89">
        <v>3</v>
      </c>
      <c r="E229" s="89">
        <v>53.7</v>
      </c>
      <c r="F229" s="89">
        <v>34.700000000000003</v>
      </c>
      <c r="G229" s="89">
        <v>70.099999999999994</v>
      </c>
    </row>
    <row r="230" spans="1:7" s="88" customFormat="1" ht="14">
      <c r="A230" s="578" t="s">
        <v>298</v>
      </c>
      <c r="B230" s="580"/>
      <c r="C230" s="89">
        <v>2190.1</v>
      </c>
      <c r="D230" s="89">
        <v>3</v>
      </c>
      <c r="E230" s="89">
        <v>53.4</v>
      </c>
      <c r="F230" s="89">
        <v>34.6</v>
      </c>
      <c r="G230" s="89">
        <v>69.900000000000006</v>
      </c>
    </row>
    <row r="231" spans="1:7" s="88" customFormat="1" ht="14">
      <c r="A231" s="578" t="s">
        <v>299</v>
      </c>
      <c r="B231" s="580"/>
      <c r="C231" s="89">
        <v>2193.6</v>
      </c>
      <c r="D231" s="89">
        <v>3</v>
      </c>
      <c r="E231" s="89">
        <v>53.3</v>
      </c>
      <c r="F231" s="89">
        <v>34.5</v>
      </c>
      <c r="G231" s="89">
        <v>69.8</v>
      </c>
    </row>
    <row r="232" spans="1:7" s="88" customFormat="1" ht="14">
      <c r="A232" s="578" t="s">
        <v>300</v>
      </c>
      <c r="B232" s="580"/>
      <c r="C232" s="89">
        <v>2196.4</v>
      </c>
      <c r="D232" s="89">
        <v>3</v>
      </c>
      <c r="E232" s="89">
        <v>53.9</v>
      </c>
      <c r="F232" s="89">
        <v>34.6</v>
      </c>
      <c r="G232" s="89">
        <v>70.599999999999994</v>
      </c>
    </row>
    <row r="233" spans="1:7" s="88" customFormat="1" ht="14">
      <c r="A233" s="578" t="s">
        <v>301</v>
      </c>
      <c r="B233" s="580"/>
      <c r="C233" s="89">
        <v>2200.1999999999998</v>
      </c>
      <c r="D233" s="89">
        <v>3</v>
      </c>
      <c r="E233" s="89">
        <v>53.8</v>
      </c>
      <c r="F233" s="89">
        <v>34.6</v>
      </c>
      <c r="G233" s="89">
        <v>70.5</v>
      </c>
    </row>
    <row r="234" spans="1:7" s="88" customFormat="1" ht="14">
      <c r="A234" s="578" t="s">
        <v>302</v>
      </c>
      <c r="B234" s="580"/>
      <c r="C234" s="89">
        <v>2198.4</v>
      </c>
      <c r="D234" s="89">
        <v>3</v>
      </c>
      <c r="E234" s="89">
        <v>53.7</v>
      </c>
      <c r="F234" s="89">
        <v>34.1</v>
      </c>
      <c r="G234" s="89">
        <v>70.7</v>
      </c>
    </row>
    <row r="235" spans="1:7" s="88" customFormat="1" ht="14">
      <c r="A235" s="578" t="s">
        <v>303</v>
      </c>
      <c r="B235" s="580"/>
      <c r="C235" s="89">
        <v>2195.4</v>
      </c>
      <c r="D235" s="89">
        <v>3</v>
      </c>
      <c r="E235" s="89">
        <v>53.4</v>
      </c>
      <c r="F235" s="89">
        <v>33.9</v>
      </c>
      <c r="G235" s="89">
        <v>70.5</v>
      </c>
    </row>
    <row r="236" spans="1:7" s="88" customFormat="1" ht="14">
      <c r="A236" s="578" t="s">
        <v>304</v>
      </c>
      <c r="B236" s="580"/>
      <c r="C236" s="89">
        <v>2194.9</v>
      </c>
      <c r="D236" s="89">
        <v>3</v>
      </c>
      <c r="E236" s="89">
        <v>53.5</v>
      </c>
      <c r="F236" s="89">
        <v>33.799999999999997</v>
      </c>
      <c r="G236" s="89">
        <v>71</v>
      </c>
    </row>
    <row r="237" spans="1:7" s="88" customFormat="1" ht="14">
      <c r="A237" s="578" t="s">
        <v>305</v>
      </c>
      <c r="B237" s="580"/>
      <c r="C237" s="89">
        <v>2196.4</v>
      </c>
      <c r="D237" s="89">
        <v>3</v>
      </c>
      <c r="E237" s="89">
        <v>53.4</v>
      </c>
      <c r="F237" s="89">
        <v>34.1</v>
      </c>
      <c r="G237" s="89">
        <v>70.5</v>
      </c>
    </row>
    <row r="238" spans="1:7" s="88" customFormat="1" ht="14">
      <c r="A238" s="578" t="s">
        <v>306</v>
      </c>
      <c r="B238" s="580"/>
      <c r="C238" s="89">
        <v>2197.6999999999998</v>
      </c>
      <c r="D238" s="89">
        <v>3</v>
      </c>
      <c r="E238" s="89">
        <v>53.3</v>
      </c>
      <c r="F238" s="89">
        <v>34.299999999999997</v>
      </c>
      <c r="G238" s="89">
        <v>70.3</v>
      </c>
    </row>
    <row r="239" spans="1:7" s="88" customFormat="1" ht="14">
      <c r="A239" s="578" t="s">
        <v>307</v>
      </c>
      <c r="B239" s="580"/>
      <c r="C239" s="89">
        <v>2199.1999999999998</v>
      </c>
      <c r="D239" s="89">
        <v>3</v>
      </c>
      <c r="E239" s="89">
        <v>53.6</v>
      </c>
      <c r="F239" s="89">
        <v>34.5</v>
      </c>
      <c r="G239" s="89">
        <v>70.400000000000006</v>
      </c>
    </row>
    <row r="240" spans="1:7" s="88" customFormat="1" ht="14">
      <c r="A240" s="578" t="s">
        <v>308</v>
      </c>
      <c r="B240" s="580"/>
      <c r="C240" s="89">
        <v>2199.1999999999998</v>
      </c>
      <c r="D240" s="89">
        <v>3</v>
      </c>
      <c r="E240" s="89">
        <v>53.8</v>
      </c>
      <c r="F240" s="89">
        <v>34.4</v>
      </c>
      <c r="G240" s="89">
        <v>70.8</v>
      </c>
    </row>
    <row r="241" spans="1:7" s="88" customFormat="1" ht="14">
      <c r="A241" s="578" t="s">
        <v>309</v>
      </c>
      <c r="B241" s="580"/>
      <c r="C241" s="89">
        <v>2201.1</v>
      </c>
      <c r="D241" s="89">
        <v>3</v>
      </c>
      <c r="E241" s="89">
        <v>53.8</v>
      </c>
      <c r="F241" s="89">
        <v>34.6</v>
      </c>
      <c r="G241" s="89">
        <v>70.8</v>
      </c>
    </row>
    <row r="242" spans="1:7" s="88" customFormat="1" ht="14">
      <c r="A242" s="578" t="s">
        <v>310</v>
      </c>
      <c r="B242" s="580"/>
      <c r="C242" s="89">
        <v>2204</v>
      </c>
      <c r="D242" s="89">
        <v>3</v>
      </c>
      <c r="E242" s="89">
        <v>53.8</v>
      </c>
      <c r="F242" s="89">
        <v>35</v>
      </c>
      <c r="G242" s="89">
        <v>70.400000000000006</v>
      </c>
    </row>
    <row r="243" spans="1:7" s="88" customFormat="1" ht="14">
      <c r="A243" s="578" t="s">
        <v>311</v>
      </c>
      <c r="B243" s="580"/>
      <c r="C243" s="89">
        <v>2209</v>
      </c>
      <c r="D243" s="89">
        <v>3</v>
      </c>
      <c r="E243" s="89">
        <v>53.9</v>
      </c>
      <c r="F243" s="89">
        <v>34.799999999999997</v>
      </c>
      <c r="G243" s="89">
        <v>70.599999999999994</v>
      </c>
    </row>
    <row r="244" spans="1:7" s="88" customFormat="1" ht="14">
      <c r="A244" s="578" t="s">
        <v>312</v>
      </c>
      <c r="B244" s="580"/>
      <c r="C244" s="89">
        <v>2216.5</v>
      </c>
      <c r="D244" s="89">
        <v>3</v>
      </c>
      <c r="E244" s="89">
        <v>53.8</v>
      </c>
      <c r="F244" s="89">
        <v>34.6</v>
      </c>
      <c r="G244" s="89">
        <v>70.599999999999994</v>
      </c>
    </row>
    <row r="245" spans="1:7" s="88" customFormat="1" ht="14">
      <c r="A245" s="578" t="s">
        <v>313</v>
      </c>
      <c r="B245" s="580"/>
      <c r="C245" s="89">
        <v>2221.3000000000002</v>
      </c>
      <c r="D245" s="89">
        <v>3</v>
      </c>
      <c r="E245" s="89">
        <v>53.7</v>
      </c>
      <c r="F245" s="89">
        <v>34.299999999999997</v>
      </c>
      <c r="G245" s="89">
        <v>70.7</v>
      </c>
    </row>
    <row r="246" spans="1:7" s="88" customFormat="1" ht="14">
      <c r="A246" s="578" t="s">
        <v>314</v>
      </c>
      <c r="B246" s="580"/>
      <c r="C246" s="89">
        <v>2229.4</v>
      </c>
      <c r="D246" s="89">
        <v>3</v>
      </c>
      <c r="E246" s="89">
        <v>53.6</v>
      </c>
      <c r="F246" s="89">
        <v>34.1</v>
      </c>
      <c r="G246" s="89">
        <v>70.7</v>
      </c>
    </row>
    <row r="247" spans="1:7" s="88" customFormat="1" ht="14">
      <c r="A247" s="578" t="s">
        <v>315</v>
      </c>
      <c r="B247" s="580"/>
      <c r="C247" s="89">
        <v>2229.9</v>
      </c>
      <c r="D247" s="89">
        <v>3</v>
      </c>
      <c r="E247" s="89">
        <v>53.6</v>
      </c>
      <c r="F247" s="89">
        <v>34.1</v>
      </c>
      <c r="G247" s="89">
        <v>70.400000000000006</v>
      </c>
    </row>
    <row r="248" spans="1:7" s="88" customFormat="1" ht="14">
      <c r="A248" s="578" t="s">
        <v>316</v>
      </c>
      <c r="B248" s="580"/>
      <c r="C248" s="89">
        <v>2232.4</v>
      </c>
      <c r="D248" s="89">
        <v>3</v>
      </c>
      <c r="E248" s="89">
        <v>53.6</v>
      </c>
      <c r="F248" s="89">
        <v>34.200000000000003</v>
      </c>
      <c r="G248" s="89">
        <v>70.3</v>
      </c>
    </row>
    <row r="249" spans="1:7" s="88" customFormat="1" ht="14">
      <c r="A249" s="578" t="s">
        <v>317</v>
      </c>
      <c r="B249" s="580"/>
      <c r="C249" s="89">
        <v>2232.1</v>
      </c>
      <c r="D249" s="89">
        <v>3</v>
      </c>
      <c r="E249" s="89">
        <v>53.6</v>
      </c>
      <c r="F249" s="89">
        <v>34.200000000000003</v>
      </c>
      <c r="G249" s="89">
        <v>70.2</v>
      </c>
    </row>
    <row r="250" spans="1:7" s="88" customFormat="1" ht="14">
      <c r="A250" s="578" t="s">
        <v>318</v>
      </c>
      <c r="B250" s="580"/>
      <c r="C250" s="89">
        <v>2236.1999999999998</v>
      </c>
      <c r="D250" s="89">
        <v>3</v>
      </c>
      <c r="E250" s="89">
        <v>53.5</v>
      </c>
      <c r="F250" s="89">
        <v>34.1</v>
      </c>
      <c r="G250" s="89">
        <v>70.3</v>
      </c>
    </row>
    <row r="251" spans="1:7" s="88" customFormat="1" ht="14">
      <c r="A251" s="578" t="s">
        <v>319</v>
      </c>
      <c r="B251" s="580"/>
      <c r="C251" s="89">
        <v>2238.1</v>
      </c>
      <c r="D251" s="89">
        <v>3</v>
      </c>
      <c r="E251" s="89">
        <v>53.5</v>
      </c>
      <c r="F251" s="89">
        <v>34.1</v>
      </c>
      <c r="G251" s="89">
        <v>70.3</v>
      </c>
    </row>
    <row r="252" spans="1:7" s="88" customFormat="1" ht="14">
      <c r="A252" s="578" t="s">
        <v>320</v>
      </c>
      <c r="B252" s="580"/>
      <c r="C252" s="89">
        <v>2237.6999999999998</v>
      </c>
      <c r="D252" s="89">
        <v>3</v>
      </c>
      <c r="E252" s="89">
        <v>53.2</v>
      </c>
      <c r="F252" s="89">
        <v>34.1</v>
      </c>
      <c r="G252" s="89">
        <v>69.8</v>
      </c>
    </row>
    <row r="253" spans="1:7" s="88" customFormat="1" ht="14">
      <c r="A253" s="578" t="s">
        <v>321</v>
      </c>
      <c r="B253" s="580"/>
      <c r="C253" s="89">
        <v>2239.9</v>
      </c>
      <c r="D253" s="89">
        <v>3</v>
      </c>
      <c r="E253" s="89">
        <v>53</v>
      </c>
      <c r="F253" s="89">
        <v>34.200000000000003</v>
      </c>
      <c r="G253" s="89">
        <v>69.599999999999994</v>
      </c>
    </row>
    <row r="254" spans="1:7" s="88" customFormat="1" ht="14">
      <c r="A254" s="578" t="s">
        <v>322</v>
      </c>
      <c r="B254" s="580"/>
      <c r="C254" s="89">
        <v>2239.5</v>
      </c>
      <c r="D254" s="89">
        <v>3</v>
      </c>
      <c r="E254" s="89">
        <v>53.1</v>
      </c>
      <c r="F254" s="89">
        <v>34.200000000000003</v>
      </c>
      <c r="G254" s="89">
        <v>69.8</v>
      </c>
    </row>
    <row r="255" spans="1:7" s="88" customFormat="1" ht="14">
      <c r="A255" s="578" t="s">
        <v>323</v>
      </c>
      <c r="B255" s="580"/>
      <c r="C255" s="89">
        <v>2243</v>
      </c>
      <c r="D255" s="89">
        <v>3</v>
      </c>
      <c r="E255" s="89">
        <v>52.9</v>
      </c>
      <c r="F255" s="89">
        <v>34.299999999999997</v>
      </c>
      <c r="G255" s="89">
        <v>69.3</v>
      </c>
    </row>
    <row r="256" spans="1:7" s="88" customFormat="1" ht="14">
      <c r="A256" s="578" t="s">
        <v>324</v>
      </c>
      <c r="B256" s="580"/>
      <c r="C256" s="89">
        <v>2244.6999999999998</v>
      </c>
      <c r="D256" s="89">
        <v>3</v>
      </c>
      <c r="E256" s="89">
        <v>52.9</v>
      </c>
      <c r="F256" s="89">
        <v>34.4</v>
      </c>
      <c r="G256" s="89">
        <v>69.2</v>
      </c>
    </row>
    <row r="257" spans="1:7" s="88" customFormat="1" ht="14">
      <c r="A257" s="578" t="s">
        <v>325</v>
      </c>
      <c r="B257" s="580"/>
      <c r="C257" s="89">
        <v>2251</v>
      </c>
      <c r="D257" s="89">
        <v>3</v>
      </c>
      <c r="E257" s="89">
        <v>52.8</v>
      </c>
      <c r="F257" s="89">
        <v>34.4</v>
      </c>
      <c r="G257" s="89">
        <v>68.8</v>
      </c>
    </row>
    <row r="258" spans="1:7" s="88" customFormat="1" ht="14">
      <c r="A258" s="578" t="s">
        <v>326</v>
      </c>
      <c r="B258" s="580"/>
      <c r="C258" s="89">
        <v>2257.6</v>
      </c>
      <c r="D258" s="89">
        <v>3</v>
      </c>
      <c r="E258" s="89">
        <v>53.1</v>
      </c>
      <c r="F258" s="89">
        <v>34.5</v>
      </c>
      <c r="G258" s="89">
        <v>69.2</v>
      </c>
    </row>
    <row r="259" spans="1:7" s="88" customFormat="1" ht="14">
      <c r="A259" s="578" t="s">
        <v>327</v>
      </c>
      <c r="B259" s="580"/>
      <c r="C259" s="89">
        <v>2258.6999999999998</v>
      </c>
      <c r="D259" s="89">
        <v>3</v>
      </c>
      <c r="E259" s="89">
        <v>53.2</v>
      </c>
      <c r="F259" s="89">
        <v>34.5</v>
      </c>
      <c r="G259" s="89">
        <v>69.400000000000006</v>
      </c>
    </row>
    <row r="260" spans="1:7" s="88" customFormat="1" ht="14">
      <c r="A260" s="578" t="s">
        <v>328</v>
      </c>
      <c r="B260" s="580"/>
      <c r="C260" s="89">
        <v>2258.1999999999998</v>
      </c>
      <c r="D260" s="89">
        <v>3</v>
      </c>
      <c r="E260" s="89">
        <v>53</v>
      </c>
      <c r="F260" s="89">
        <v>34.6</v>
      </c>
      <c r="G260" s="89">
        <v>69.2</v>
      </c>
    </row>
    <row r="261" spans="1:7" s="88" customFormat="1" ht="14">
      <c r="A261" s="578" t="s">
        <v>329</v>
      </c>
      <c r="B261" s="580"/>
      <c r="C261" s="89">
        <v>2258.1999999999998</v>
      </c>
      <c r="D261" s="89">
        <v>3</v>
      </c>
      <c r="E261" s="89">
        <v>53.2</v>
      </c>
      <c r="F261" s="89">
        <v>34.700000000000003</v>
      </c>
      <c r="G261" s="89">
        <v>69.3</v>
      </c>
    </row>
    <row r="262" spans="1:7" s="88" customFormat="1" ht="14">
      <c r="A262" s="578" t="s">
        <v>330</v>
      </c>
      <c r="B262" s="580"/>
      <c r="C262" s="89">
        <v>2261.8000000000002</v>
      </c>
      <c r="D262" s="89">
        <v>3</v>
      </c>
      <c r="E262" s="89">
        <v>53.3</v>
      </c>
      <c r="F262" s="89">
        <v>34.799999999999997</v>
      </c>
      <c r="G262" s="89">
        <v>69.5</v>
      </c>
    </row>
    <row r="263" spans="1:7" s="88" customFormat="1" ht="14">
      <c r="A263" s="578" t="s">
        <v>331</v>
      </c>
      <c r="B263" s="580"/>
      <c r="C263" s="89">
        <v>2265.3000000000002</v>
      </c>
      <c r="D263" s="89">
        <v>3</v>
      </c>
      <c r="E263" s="89">
        <v>53.6</v>
      </c>
      <c r="F263" s="89">
        <v>34.799999999999997</v>
      </c>
      <c r="G263" s="89">
        <v>69.900000000000006</v>
      </c>
    </row>
    <row r="264" spans="1:7" s="88" customFormat="1" ht="14">
      <c r="A264" s="578" t="s">
        <v>332</v>
      </c>
      <c r="B264" s="580"/>
      <c r="C264" s="89">
        <v>2264</v>
      </c>
      <c r="D264" s="89">
        <v>3</v>
      </c>
      <c r="E264" s="89">
        <v>53.8</v>
      </c>
      <c r="F264" s="89">
        <v>35</v>
      </c>
      <c r="G264" s="89">
        <v>70.099999999999994</v>
      </c>
    </row>
    <row r="265" spans="1:7" s="88" customFormat="1" ht="14">
      <c r="A265" s="578" t="s">
        <v>333</v>
      </c>
      <c r="B265" s="580"/>
      <c r="C265" s="89">
        <v>2264.4</v>
      </c>
      <c r="D265" s="89">
        <v>3</v>
      </c>
      <c r="E265" s="89">
        <v>53.7</v>
      </c>
      <c r="F265" s="89">
        <v>35.200000000000003</v>
      </c>
      <c r="G265" s="89">
        <v>69.8</v>
      </c>
    </row>
    <row r="266" spans="1:7" s="88" customFormat="1" ht="14">
      <c r="A266" s="578" t="s">
        <v>334</v>
      </c>
      <c r="B266" s="580"/>
      <c r="C266" s="89">
        <v>2268.4</v>
      </c>
      <c r="D266" s="89">
        <v>3</v>
      </c>
      <c r="E266" s="89">
        <v>53.7</v>
      </c>
      <c r="F266" s="89">
        <v>35</v>
      </c>
      <c r="G266" s="89">
        <v>69.900000000000006</v>
      </c>
    </row>
    <row r="267" spans="1:7" s="88" customFormat="1" ht="14">
      <c r="A267" s="578" t="s">
        <v>335</v>
      </c>
      <c r="B267" s="580"/>
      <c r="C267" s="89">
        <v>2272.6999999999998</v>
      </c>
      <c r="D267" s="89">
        <v>3</v>
      </c>
      <c r="E267" s="89">
        <v>53.9</v>
      </c>
      <c r="F267" s="89">
        <v>34.9</v>
      </c>
      <c r="G267" s="89">
        <v>70.099999999999994</v>
      </c>
    </row>
    <row r="268" spans="1:7" s="88" customFormat="1" ht="14">
      <c r="A268" s="578" t="s">
        <v>336</v>
      </c>
      <c r="B268" s="580"/>
      <c r="C268" s="89">
        <v>2276.8000000000002</v>
      </c>
      <c r="D268" s="89">
        <v>3</v>
      </c>
      <c r="E268" s="89">
        <v>53.8</v>
      </c>
      <c r="F268" s="89">
        <v>34.799999999999997</v>
      </c>
      <c r="G268" s="89">
        <v>70.3</v>
      </c>
    </row>
    <row r="269" spans="1:7" s="88" customFormat="1" ht="14">
      <c r="A269" s="578" t="s">
        <v>337</v>
      </c>
      <c r="B269" s="580"/>
      <c r="C269" s="89">
        <v>2279.9</v>
      </c>
      <c r="D269" s="89">
        <v>3</v>
      </c>
      <c r="E269" s="89">
        <v>53.8</v>
      </c>
      <c r="F269" s="89">
        <v>34.9</v>
      </c>
      <c r="G269" s="89">
        <v>70.099999999999994</v>
      </c>
    </row>
    <row r="270" spans="1:7" s="88" customFormat="1" ht="14">
      <c r="A270" s="578" t="s">
        <v>338</v>
      </c>
      <c r="B270" s="580"/>
      <c r="C270" s="89">
        <v>2286.3000000000002</v>
      </c>
      <c r="D270" s="89">
        <v>3</v>
      </c>
      <c r="E270" s="89">
        <v>53.5</v>
      </c>
      <c r="F270" s="89">
        <v>34.6</v>
      </c>
      <c r="G270" s="89">
        <v>69.8</v>
      </c>
    </row>
    <row r="271" spans="1:7" s="88" customFormat="1" ht="14">
      <c r="A271" s="578" t="s">
        <v>339</v>
      </c>
      <c r="B271" s="580"/>
      <c r="C271" s="89">
        <v>2288.5</v>
      </c>
      <c r="D271" s="89">
        <v>3</v>
      </c>
      <c r="E271" s="89">
        <v>53.5</v>
      </c>
      <c r="F271" s="89">
        <v>34.5</v>
      </c>
      <c r="G271" s="89">
        <v>69.900000000000006</v>
      </c>
    </row>
    <row r="272" spans="1:7" s="88" customFormat="1" ht="14">
      <c r="A272" s="578" t="s">
        <v>340</v>
      </c>
      <c r="B272" s="580"/>
      <c r="C272" s="89">
        <v>2287.6999999999998</v>
      </c>
      <c r="D272" s="89">
        <v>3</v>
      </c>
      <c r="E272" s="89">
        <v>53.6</v>
      </c>
      <c r="F272" s="89">
        <v>34.6</v>
      </c>
      <c r="G272" s="89">
        <v>69.900000000000006</v>
      </c>
    </row>
    <row r="273" spans="1:7" s="88" customFormat="1" ht="14">
      <c r="A273" s="578" t="s">
        <v>341</v>
      </c>
      <c r="B273" s="580"/>
      <c r="C273" s="89">
        <v>2283.9</v>
      </c>
      <c r="D273" s="89">
        <v>3</v>
      </c>
      <c r="E273" s="89">
        <v>53.6</v>
      </c>
      <c r="F273" s="89">
        <v>34.700000000000003</v>
      </c>
      <c r="G273" s="89">
        <v>69.8</v>
      </c>
    </row>
    <row r="274" spans="1:7" s="88" customFormat="1" ht="14">
      <c r="A274" s="578" t="s">
        <v>342</v>
      </c>
      <c r="B274" s="580"/>
      <c r="C274" s="89">
        <v>2285.9</v>
      </c>
      <c r="D274" s="89">
        <v>3</v>
      </c>
      <c r="E274" s="89">
        <v>53.5</v>
      </c>
      <c r="F274" s="89">
        <v>34.799999999999997</v>
      </c>
      <c r="G274" s="89">
        <v>69.400000000000006</v>
      </c>
    </row>
    <row r="275" spans="1:7" s="88" customFormat="1" ht="14">
      <c r="A275" s="578" t="s">
        <v>343</v>
      </c>
      <c r="B275" s="580"/>
      <c r="C275" s="89">
        <v>2286.1999999999998</v>
      </c>
      <c r="D275" s="89">
        <v>3</v>
      </c>
      <c r="E275" s="89">
        <v>53.6</v>
      </c>
      <c r="F275" s="89">
        <v>35</v>
      </c>
      <c r="G275" s="89">
        <v>69.3</v>
      </c>
    </row>
    <row r="276" spans="1:7" s="88" customFormat="1" ht="14">
      <c r="A276" s="578" t="s">
        <v>344</v>
      </c>
      <c r="B276" s="580"/>
      <c r="C276" s="89">
        <v>2287</v>
      </c>
      <c r="D276" s="89">
        <v>3</v>
      </c>
      <c r="E276" s="89">
        <v>53.7</v>
      </c>
      <c r="F276" s="89">
        <v>34.9</v>
      </c>
      <c r="G276" s="89">
        <v>69.599999999999994</v>
      </c>
    </row>
    <row r="277" spans="1:7" s="88" customFormat="1" ht="14">
      <c r="A277" s="578" t="s">
        <v>345</v>
      </c>
      <c r="B277" s="580"/>
      <c r="C277" s="89">
        <v>2286.1999999999998</v>
      </c>
      <c r="D277" s="89">
        <v>3</v>
      </c>
      <c r="E277" s="89">
        <v>53.7</v>
      </c>
      <c r="F277" s="89">
        <v>34.799999999999997</v>
      </c>
      <c r="G277" s="89">
        <v>69.7</v>
      </c>
    </row>
    <row r="278" spans="1:7" s="88" customFormat="1" ht="14">
      <c r="A278" s="578" t="s">
        <v>346</v>
      </c>
      <c r="B278" s="580"/>
      <c r="C278" s="89">
        <v>2286.9</v>
      </c>
      <c r="D278" s="89">
        <v>3</v>
      </c>
      <c r="E278" s="89">
        <v>53.9</v>
      </c>
      <c r="F278" s="89">
        <v>34.700000000000003</v>
      </c>
      <c r="G278" s="89">
        <v>70.099999999999994</v>
      </c>
    </row>
    <row r="279" spans="1:7" s="88" customFormat="1" ht="14">
      <c r="A279" s="578" t="s">
        <v>347</v>
      </c>
      <c r="B279" s="580"/>
      <c r="C279" s="89">
        <v>2289.8000000000002</v>
      </c>
      <c r="D279" s="89">
        <v>2.9</v>
      </c>
      <c r="E279" s="89">
        <v>54</v>
      </c>
      <c r="F279" s="89">
        <v>35</v>
      </c>
      <c r="G279" s="89">
        <v>70.099999999999994</v>
      </c>
    </row>
    <row r="280" spans="1:7" s="88" customFormat="1" ht="14">
      <c r="A280" s="578" t="s">
        <v>348</v>
      </c>
      <c r="B280" s="580"/>
      <c r="C280" s="89">
        <v>2293.3000000000002</v>
      </c>
      <c r="D280" s="89">
        <v>2.9</v>
      </c>
      <c r="E280" s="89">
        <v>53.9</v>
      </c>
      <c r="F280" s="89">
        <v>34.9</v>
      </c>
      <c r="G280" s="89">
        <v>70.099999999999994</v>
      </c>
    </row>
    <row r="281" spans="1:7" s="88" customFormat="1" ht="14">
      <c r="A281" s="578" t="s">
        <v>349</v>
      </c>
      <c r="B281" s="580"/>
      <c r="C281" s="89">
        <v>2300</v>
      </c>
      <c r="D281" s="89">
        <v>2.9</v>
      </c>
      <c r="E281" s="89">
        <v>53.4</v>
      </c>
      <c r="F281" s="89">
        <v>34.5</v>
      </c>
      <c r="G281" s="89">
        <v>69.599999999999994</v>
      </c>
    </row>
    <row r="282" spans="1:7" s="88" customFormat="1" ht="14">
      <c r="A282" s="578" t="s">
        <v>350</v>
      </c>
      <c r="B282" s="580"/>
      <c r="C282" s="89">
        <v>2305.6999999999998</v>
      </c>
      <c r="D282" s="89">
        <v>2.9</v>
      </c>
      <c r="E282" s="89">
        <v>53.2</v>
      </c>
      <c r="F282" s="89">
        <v>34.200000000000003</v>
      </c>
      <c r="G282" s="89">
        <v>69.599999999999994</v>
      </c>
    </row>
    <row r="283" spans="1:7" s="88" customFormat="1" ht="14">
      <c r="A283" s="578" t="s">
        <v>351</v>
      </c>
      <c r="B283" s="580"/>
      <c r="C283" s="89">
        <v>2308.6</v>
      </c>
      <c r="D283" s="89">
        <v>2.9</v>
      </c>
      <c r="E283" s="89">
        <v>53.2</v>
      </c>
      <c r="F283" s="89">
        <v>34.1</v>
      </c>
      <c r="G283" s="89">
        <v>69.8</v>
      </c>
    </row>
    <row r="284" spans="1:7" s="88" customFormat="1" ht="14">
      <c r="A284" s="578" t="s">
        <v>352</v>
      </c>
      <c r="B284" s="580"/>
      <c r="C284" s="89">
        <v>2307.6999999999998</v>
      </c>
      <c r="D284" s="89">
        <v>2.9</v>
      </c>
      <c r="E284" s="89">
        <v>53</v>
      </c>
      <c r="F284" s="89">
        <v>34.200000000000003</v>
      </c>
      <c r="G284" s="89">
        <v>69.400000000000006</v>
      </c>
    </row>
    <row r="285" spans="1:7" s="88" customFormat="1" ht="14">
      <c r="A285" s="578" t="s">
        <v>353</v>
      </c>
      <c r="B285" s="580"/>
      <c r="C285" s="89">
        <v>2309.6999999999998</v>
      </c>
      <c r="D285" s="89">
        <v>2.9</v>
      </c>
      <c r="E285" s="89">
        <v>53</v>
      </c>
      <c r="F285" s="89">
        <v>34.200000000000003</v>
      </c>
      <c r="G285" s="89">
        <v>69.400000000000006</v>
      </c>
    </row>
    <row r="286" spans="1:7" s="88" customFormat="1" ht="14">
      <c r="A286" s="578" t="s">
        <v>354</v>
      </c>
      <c r="B286" s="580"/>
      <c r="C286" s="89">
        <v>2309.6</v>
      </c>
      <c r="D286" s="89">
        <v>2.9</v>
      </c>
      <c r="E286" s="89">
        <v>53.2</v>
      </c>
      <c r="F286" s="89">
        <v>34.4</v>
      </c>
      <c r="G286" s="89">
        <v>69.5</v>
      </c>
    </row>
    <row r="287" spans="1:7" s="88" customFormat="1" ht="14">
      <c r="A287" s="578" t="s">
        <v>355</v>
      </c>
      <c r="B287" s="580"/>
      <c r="C287" s="89">
        <v>2312.4</v>
      </c>
      <c r="D287" s="89">
        <v>2.9</v>
      </c>
      <c r="E287" s="89">
        <v>53.2</v>
      </c>
      <c r="F287" s="89">
        <v>34.200000000000003</v>
      </c>
      <c r="G287" s="89">
        <v>69.7</v>
      </c>
    </row>
    <row r="288" spans="1:7" s="88" customFormat="1" ht="14">
      <c r="A288" s="578" t="s">
        <v>356</v>
      </c>
      <c r="B288" s="580"/>
      <c r="C288" s="89">
        <v>2313.6999999999998</v>
      </c>
      <c r="D288" s="89">
        <v>2.9</v>
      </c>
      <c r="E288" s="89">
        <v>53.3</v>
      </c>
      <c r="F288" s="89">
        <v>34.4</v>
      </c>
      <c r="G288" s="89">
        <v>69.7</v>
      </c>
    </row>
    <row r="289" spans="1:7" s="88" customFormat="1" ht="14">
      <c r="A289" s="578" t="s">
        <v>357</v>
      </c>
      <c r="B289" s="580"/>
      <c r="C289" s="89">
        <v>2315.6</v>
      </c>
      <c r="D289" s="89">
        <v>2.9</v>
      </c>
      <c r="E289" s="89">
        <v>53.2</v>
      </c>
      <c r="F289" s="89">
        <v>34.5</v>
      </c>
      <c r="G289" s="89">
        <v>69.5</v>
      </c>
    </row>
    <row r="290" spans="1:7" s="88" customFormat="1" ht="14">
      <c r="A290" s="578" t="s">
        <v>358</v>
      </c>
      <c r="B290" s="580"/>
      <c r="C290" s="89">
        <v>2316.4</v>
      </c>
      <c r="D290" s="89">
        <v>2.9</v>
      </c>
      <c r="E290" s="89">
        <v>53.2</v>
      </c>
      <c r="F290" s="89">
        <v>34.6</v>
      </c>
      <c r="G290" s="89">
        <v>69.3</v>
      </c>
    </row>
    <row r="291" spans="1:7" s="88" customFormat="1" ht="14">
      <c r="A291" s="578" t="s">
        <v>359</v>
      </c>
      <c r="B291" s="580"/>
      <c r="C291" s="89">
        <v>2317.5</v>
      </c>
      <c r="D291" s="89">
        <v>2.9</v>
      </c>
      <c r="E291" s="89">
        <v>52.9</v>
      </c>
      <c r="F291" s="89">
        <v>34.4</v>
      </c>
      <c r="G291" s="89">
        <v>68.900000000000006</v>
      </c>
    </row>
    <row r="292" spans="1:7" s="88" customFormat="1" ht="14">
      <c r="A292" s="578" t="s">
        <v>360</v>
      </c>
      <c r="B292" s="580"/>
      <c r="C292" s="89">
        <v>2321.4</v>
      </c>
      <c r="D292" s="89">
        <v>2.9</v>
      </c>
      <c r="E292" s="89">
        <v>52.7</v>
      </c>
      <c r="F292" s="89">
        <v>34.200000000000003</v>
      </c>
      <c r="G292" s="89">
        <v>68.8</v>
      </c>
    </row>
    <row r="293" spans="1:7" s="88" customFormat="1" ht="14">
      <c r="A293" s="578" t="s">
        <v>361</v>
      </c>
      <c r="B293" s="580"/>
      <c r="C293" s="89">
        <v>2326.3000000000002</v>
      </c>
      <c r="D293" s="89">
        <v>2.9</v>
      </c>
      <c r="E293" s="89">
        <v>52.9</v>
      </c>
      <c r="F293" s="89">
        <v>34.4</v>
      </c>
      <c r="G293" s="89">
        <v>69.099999999999994</v>
      </c>
    </row>
    <row r="294" spans="1:7" s="88" customFormat="1" ht="14">
      <c r="A294" s="578" t="s">
        <v>362</v>
      </c>
      <c r="B294" s="580"/>
      <c r="C294" s="89">
        <v>2331.1999999999998</v>
      </c>
      <c r="D294" s="89">
        <v>2.9</v>
      </c>
      <c r="E294" s="89">
        <v>53</v>
      </c>
      <c r="F294" s="89">
        <v>34.1</v>
      </c>
      <c r="G294" s="89">
        <v>69.400000000000006</v>
      </c>
    </row>
    <row r="295" spans="1:7" s="88" customFormat="1" ht="14">
      <c r="A295" s="578" t="s">
        <v>363</v>
      </c>
      <c r="B295" s="580"/>
      <c r="C295" s="89">
        <v>2333.6</v>
      </c>
      <c r="D295" s="89">
        <v>2.9</v>
      </c>
      <c r="E295" s="89">
        <v>53.2</v>
      </c>
      <c r="F295" s="89">
        <v>33.9</v>
      </c>
      <c r="G295" s="89">
        <v>70</v>
      </c>
    </row>
    <row r="296" spans="1:7" s="88" customFormat="1" ht="14">
      <c r="A296" s="578" t="s">
        <v>364</v>
      </c>
      <c r="B296" s="580"/>
      <c r="C296" s="89">
        <v>2331.8000000000002</v>
      </c>
      <c r="D296" s="89">
        <v>2.9</v>
      </c>
      <c r="E296" s="89">
        <v>53</v>
      </c>
      <c r="F296" s="89">
        <v>33.5</v>
      </c>
      <c r="G296" s="89">
        <v>70</v>
      </c>
    </row>
    <row r="297" spans="1:7" s="88" customFormat="1" ht="14">
      <c r="A297" s="578" t="s">
        <v>365</v>
      </c>
      <c r="B297" s="580"/>
      <c r="C297" s="89">
        <v>2329.6</v>
      </c>
      <c r="D297" s="89">
        <v>2.9</v>
      </c>
      <c r="E297" s="89">
        <v>53.1</v>
      </c>
      <c r="F297" s="89">
        <v>33.5</v>
      </c>
      <c r="G297" s="89">
        <v>70.099999999999994</v>
      </c>
    </row>
    <row r="298" spans="1:7" s="88" customFormat="1" ht="14">
      <c r="A298" s="578" t="s">
        <v>366</v>
      </c>
      <c r="B298" s="580"/>
      <c r="C298" s="89">
        <v>2332.9</v>
      </c>
      <c r="D298" s="89">
        <v>2.9</v>
      </c>
      <c r="E298" s="89">
        <v>52.8</v>
      </c>
      <c r="F298" s="89">
        <v>33.6</v>
      </c>
      <c r="G298" s="89">
        <v>69.599999999999994</v>
      </c>
    </row>
    <row r="299" spans="1:7" s="88" customFormat="1" ht="14">
      <c r="A299" s="578" t="s">
        <v>367</v>
      </c>
      <c r="B299" s="580"/>
      <c r="C299" s="89">
        <v>2338.4</v>
      </c>
      <c r="D299" s="89">
        <v>2.9</v>
      </c>
      <c r="E299" s="89">
        <v>53</v>
      </c>
      <c r="F299" s="89">
        <v>33.299999999999997</v>
      </c>
      <c r="G299" s="89">
        <v>70.2</v>
      </c>
    </row>
    <row r="300" spans="1:7" s="88" customFormat="1" ht="14">
      <c r="A300" s="578" t="s">
        <v>368</v>
      </c>
      <c r="B300" s="580"/>
      <c r="C300" s="89">
        <v>2340.6</v>
      </c>
      <c r="D300" s="89">
        <v>2.9</v>
      </c>
      <c r="E300" s="89">
        <v>53</v>
      </c>
      <c r="F300" s="89">
        <v>33.299999999999997</v>
      </c>
      <c r="G300" s="89">
        <v>70.3</v>
      </c>
    </row>
    <row r="301" spans="1:7" s="88" customFormat="1" ht="14">
      <c r="A301" s="578" t="s">
        <v>369</v>
      </c>
      <c r="B301" s="580"/>
      <c r="C301" s="89">
        <v>2342.6999999999998</v>
      </c>
      <c r="D301" s="89">
        <v>2.9</v>
      </c>
      <c r="E301" s="89">
        <v>53</v>
      </c>
      <c r="F301" s="89">
        <v>33.4</v>
      </c>
      <c r="G301" s="89">
        <v>70.3</v>
      </c>
    </row>
    <row r="302" spans="1:7" s="88" customFormat="1" ht="14">
      <c r="A302" s="578" t="s">
        <v>370</v>
      </c>
      <c r="B302" s="580"/>
      <c r="C302" s="89">
        <v>2343.4</v>
      </c>
      <c r="D302" s="89">
        <v>2.9</v>
      </c>
      <c r="E302" s="89">
        <v>53</v>
      </c>
      <c r="F302" s="89">
        <v>33.700000000000003</v>
      </c>
      <c r="G302" s="89">
        <v>69.900000000000006</v>
      </c>
    </row>
    <row r="303" spans="1:7" s="88" customFormat="1" ht="14">
      <c r="A303" s="578" t="s">
        <v>371</v>
      </c>
      <c r="B303" s="580"/>
      <c r="C303" s="89">
        <v>2348.4</v>
      </c>
      <c r="D303" s="89">
        <v>2.9</v>
      </c>
      <c r="E303" s="89">
        <v>52.8</v>
      </c>
      <c r="F303" s="89">
        <v>33.700000000000003</v>
      </c>
      <c r="G303" s="89">
        <v>69.7</v>
      </c>
    </row>
    <row r="304" spans="1:7" s="88" customFormat="1" ht="14">
      <c r="A304" s="578" t="s">
        <v>372</v>
      </c>
      <c r="B304" s="580"/>
      <c r="C304" s="89">
        <v>2352.6999999999998</v>
      </c>
      <c r="D304" s="89">
        <v>2.9</v>
      </c>
      <c r="E304" s="89">
        <v>52.8</v>
      </c>
      <c r="F304" s="89">
        <v>33.5</v>
      </c>
      <c r="G304" s="89">
        <v>70</v>
      </c>
    </row>
    <row r="305" spans="1:7" s="88" customFormat="1" ht="14">
      <c r="A305" s="578" t="s">
        <v>373</v>
      </c>
      <c r="B305" s="580"/>
      <c r="C305" s="89">
        <v>2359.8000000000002</v>
      </c>
      <c r="D305" s="89">
        <v>2.9</v>
      </c>
      <c r="E305" s="89">
        <v>52.8</v>
      </c>
      <c r="F305" s="89">
        <v>33.700000000000003</v>
      </c>
      <c r="G305" s="89">
        <v>69.900000000000006</v>
      </c>
    </row>
    <row r="306" spans="1:7" s="88" customFormat="1" ht="14">
      <c r="A306" s="578" t="s">
        <v>374</v>
      </c>
      <c r="B306" s="580"/>
      <c r="C306" s="89">
        <v>2366.5</v>
      </c>
      <c r="D306" s="89">
        <v>2.9</v>
      </c>
      <c r="E306" s="89">
        <v>53</v>
      </c>
      <c r="F306" s="89">
        <v>33.700000000000003</v>
      </c>
      <c r="G306" s="89">
        <v>70.099999999999994</v>
      </c>
    </row>
    <row r="307" spans="1:7" s="88" customFormat="1" ht="14">
      <c r="A307" s="578" t="s">
        <v>375</v>
      </c>
      <c r="B307" s="580"/>
      <c r="C307" s="89">
        <v>2366.4</v>
      </c>
      <c r="D307" s="89">
        <v>2.9</v>
      </c>
      <c r="E307" s="89">
        <v>52.8</v>
      </c>
      <c r="F307" s="89">
        <v>33.700000000000003</v>
      </c>
      <c r="G307" s="89">
        <v>69.900000000000006</v>
      </c>
    </row>
    <row r="308" spans="1:7" s="88" customFormat="1" ht="14">
      <c r="A308" s="578" t="s">
        <v>376</v>
      </c>
      <c r="B308" s="580"/>
      <c r="C308" s="89">
        <v>2366.6</v>
      </c>
      <c r="D308" s="89">
        <v>2.9</v>
      </c>
      <c r="E308" s="89">
        <v>53.1</v>
      </c>
      <c r="F308" s="89">
        <v>33.700000000000003</v>
      </c>
      <c r="G308" s="89">
        <v>70.400000000000006</v>
      </c>
    </row>
    <row r="309" spans="1:7" s="88" customFormat="1" ht="14">
      <c r="A309" s="578" t="s">
        <v>377</v>
      </c>
      <c r="B309" s="580"/>
      <c r="C309" s="89">
        <v>2364.1</v>
      </c>
      <c r="D309" s="89">
        <v>2.9</v>
      </c>
      <c r="E309" s="89">
        <v>52.9</v>
      </c>
      <c r="F309" s="89">
        <v>33.700000000000003</v>
      </c>
      <c r="G309" s="89">
        <v>70.099999999999994</v>
      </c>
    </row>
    <row r="310" spans="1:7" s="88" customFormat="1" ht="14">
      <c r="A310" s="578" t="s">
        <v>378</v>
      </c>
      <c r="B310" s="580"/>
      <c r="C310" s="89">
        <v>2362.6999999999998</v>
      </c>
      <c r="D310" s="89">
        <v>2.9</v>
      </c>
      <c r="E310" s="89">
        <v>53.1</v>
      </c>
      <c r="F310" s="89">
        <v>34</v>
      </c>
      <c r="G310" s="89">
        <v>70.3</v>
      </c>
    </row>
    <row r="311" spans="1:7" s="88" customFormat="1" ht="14">
      <c r="A311" s="578" t="s">
        <v>379</v>
      </c>
      <c r="B311" s="580"/>
      <c r="C311" s="89">
        <v>2364.6999999999998</v>
      </c>
      <c r="D311" s="89">
        <v>2.9</v>
      </c>
      <c r="E311" s="89">
        <v>52.8</v>
      </c>
      <c r="F311" s="89">
        <v>34</v>
      </c>
      <c r="G311" s="89">
        <v>69.7</v>
      </c>
    </row>
    <row r="312" spans="1:7" s="88" customFormat="1" ht="14">
      <c r="A312" s="578" t="s">
        <v>380</v>
      </c>
      <c r="B312" s="580"/>
      <c r="C312" s="89">
        <v>2368.1</v>
      </c>
      <c r="D312" s="89">
        <v>2.9</v>
      </c>
      <c r="E312" s="89">
        <v>52.6</v>
      </c>
      <c r="F312" s="89">
        <v>33.799999999999997</v>
      </c>
      <c r="G312" s="89">
        <v>69.599999999999994</v>
      </c>
    </row>
    <row r="313" spans="1:7" s="88" customFormat="1" ht="14">
      <c r="A313" s="578" t="s">
        <v>381</v>
      </c>
      <c r="B313" s="580"/>
      <c r="C313" s="89">
        <v>2369.5</v>
      </c>
      <c r="D313" s="89">
        <v>2.9</v>
      </c>
      <c r="E313" s="89">
        <v>52.5</v>
      </c>
      <c r="F313" s="89">
        <v>33.6</v>
      </c>
      <c r="G313" s="89">
        <v>69.400000000000006</v>
      </c>
    </row>
    <row r="314" spans="1:7" s="88" customFormat="1" ht="14">
      <c r="A314" s="578" t="s">
        <v>382</v>
      </c>
      <c r="B314" s="580"/>
      <c r="C314" s="89">
        <v>2371.6</v>
      </c>
      <c r="D314" s="89">
        <v>2.9</v>
      </c>
      <c r="E314" s="89">
        <v>52.5</v>
      </c>
      <c r="F314" s="89">
        <v>33.799999999999997</v>
      </c>
      <c r="G314" s="89">
        <v>69.2</v>
      </c>
    </row>
    <row r="315" spans="1:7" s="88" customFormat="1" ht="14">
      <c r="A315" s="578" t="s">
        <v>383</v>
      </c>
      <c r="B315" s="580"/>
      <c r="C315" s="89">
        <v>2373.5</v>
      </c>
      <c r="D315" s="89">
        <v>2.9</v>
      </c>
      <c r="E315" s="89">
        <v>52.5</v>
      </c>
      <c r="F315" s="89">
        <v>33.799999999999997</v>
      </c>
      <c r="G315" s="89">
        <v>69.2</v>
      </c>
    </row>
    <row r="316" spans="1:7" s="88" customFormat="1" ht="14">
      <c r="A316" s="578" t="s">
        <v>384</v>
      </c>
      <c r="B316" s="580"/>
      <c r="C316" s="89">
        <v>2381.6</v>
      </c>
      <c r="D316" s="89">
        <v>2.9</v>
      </c>
      <c r="E316" s="89">
        <v>52.1</v>
      </c>
      <c r="F316" s="89">
        <v>33.700000000000003</v>
      </c>
      <c r="G316" s="89">
        <v>68.400000000000006</v>
      </c>
    </row>
    <row r="317" spans="1:7" s="88" customFormat="1" ht="14">
      <c r="A317" s="578" t="s">
        <v>385</v>
      </c>
      <c r="B317" s="580"/>
      <c r="C317" s="89">
        <v>2387.4</v>
      </c>
      <c r="D317" s="89">
        <v>2.9</v>
      </c>
      <c r="E317" s="89">
        <v>51.9</v>
      </c>
      <c r="F317" s="89">
        <v>33.4</v>
      </c>
      <c r="G317" s="89">
        <v>68.099999999999994</v>
      </c>
    </row>
    <row r="318" spans="1:7" s="88" customFormat="1" ht="14">
      <c r="A318" s="578" t="s">
        <v>386</v>
      </c>
      <c r="B318" s="580"/>
      <c r="C318" s="89">
        <v>2393.1999999999998</v>
      </c>
      <c r="D318" s="89">
        <v>2.9</v>
      </c>
      <c r="E318" s="89">
        <v>51.7</v>
      </c>
      <c r="F318" s="89">
        <v>33.4</v>
      </c>
      <c r="G318" s="89">
        <v>67.7</v>
      </c>
    </row>
    <row r="319" spans="1:7" s="88" customFormat="1" ht="14">
      <c r="A319" s="578" t="s">
        <v>387</v>
      </c>
      <c r="B319" s="580"/>
      <c r="C319" s="89">
        <v>2393.4</v>
      </c>
      <c r="D319" s="89">
        <v>2.9</v>
      </c>
      <c r="E319" s="89">
        <v>51.6</v>
      </c>
      <c r="F319" s="89">
        <v>33.200000000000003</v>
      </c>
      <c r="G319" s="89">
        <v>67.7</v>
      </c>
    </row>
    <row r="320" spans="1:7" s="88" customFormat="1" ht="14">
      <c r="A320" s="578" t="s">
        <v>388</v>
      </c>
      <c r="B320" s="580"/>
      <c r="C320" s="89">
        <v>2390.6</v>
      </c>
      <c r="D320" s="89">
        <v>2.9</v>
      </c>
      <c r="E320" s="89">
        <v>51.4</v>
      </c>
      <c r="F320" s="89">
        <v>33.1</v>
      </c>
      <c r="G320" s="89">
        <v>67.599999999999994</v>
      </c>
    </row>
    <row r="321" spans="1:7" s="88" customFormat="1" ht="14">
      <c r="A321" s="578" t="s">
        <v>389</v>
      </c>
      <c r="B321" s="580"/>
      <c r="C321" s="89">
        <v>2388.1999999999998</v>
      </c>
      <c r="D321" s="89">
        <v>2.9</v>
      </c>
      <c r="E321" s="89">
        <v>51.5</v>
      </c>
      <c r="F321" s="89">
        <v>33.299999999999997</v>
      </c>
      <c r="G321" s="89">
        <v>67.599999999999994</v>
      </c>
    </row>
    <row r="322" spans="1:7" s="88" customFormat="1" ht="14">
      <c r="A322" s="578" t="s">
        <v>390</v>
      </c>
      <c r="B322" s="580"/>
      <c r="C322" s="89">
        <v>2387.6999999999998</v>
      </c>
      <c r="D322" s="89">
        <v>2.9</v>
      </c>
      <c r="E322" s="89">
        <v>51.9</v>
      </c>
      <c r="F322" s="89">
        <v>33.5</v>
      </c>
      <c r="G322" s="89">
        <v>68</v>
      </c>
    </row>
    <row r="323" spans="1:7" s="88" customFormat="1" ht="14">
      <c r="A323" s="578" t="s">
        <v>391</v>
      </c>
      <c r="B323" s="580"/>
      <c r="C323" s="89">
        <v>2386.5</v>
      </c>
      <c r="D323" s="89">
        <v>2.9</v>
      </c>
      <c r="E323" s="89">
        <v>51.7</v>
      </c>
      <c r="F323" s="89">
        <v>33.5</v>
      </c>
      <c r="G323" s="89">
        <v>67.5</v>
      </c>
    </row>
    <row r="324" spans="1:7" s="88" customFormat="1" ht="14">
      <c r="A324" s="578" t="s">
        <v>392</v>
      </c>
      <c r="B324" s="580"/>
      <c r="C324" s="89">
        <v>2388</v>
      </c>
      <c r="D324" s="89">
        <v>2.9</v>
      </c>
      <c r="E324" s="89">
        <v>51.6</v>
      </c>
      <c r="F324" s="89">
        <v>33.5</v>
      </c>
      <c r="G324" s="89">
        <v>67</v>
      </c>
    </row>
    <row r="325" spans="1:7" s="88" customFormat="1" ht="14">
      <c r="A325" s="578" t="s">
        <v>393</v>
      </c>
      <c r="B325" s="580"/>
      <c r="C325" s="89">
        <v>2389.4</v>
      </c>
      <c r="D325" s="89">
        <v>2.9</v>
      </c>
      <c r="E325" s="89">
        <v>51.5</v>
      </c>
      <c r="F325" s="89">
        <v>33.6</v>
      </c>
      <c r="G325" s="89">
        <v>66.7</v>
      </c>
    </row>
    <row r="326" spans="1:7" s="88" customFormat="1" ht="14">
      <c r="A326" s="578" t="s">
        <v>394</v>
      </c>
      <c r="B326" s="580"/>
      <c r="C326" s="89">
        <v>2393.5</v>
      </c>
      <c r="D326" s="89">
        <v>2.9</v>
      </c>
      <c r="E326" s="89">
        <v>51.8</v>
      </c>
      <c r="F326" s="89">
        <v>33.6</v>
      </c>
      <c r="G326" s="89">
        <v>67.099999999999994</v>
      </c>
    </row>
    <row r="327" spans="1:7" s="88" customFormat="1" ht="14">
      <c r="A327" s="578" t="s">
        <v>395</v>
      </c>
      <c r="B327" s="580"/>
      <c r="C327" s="89">
        <v>2397.3000000000002</v>
      </c>
      <c r="D327" s="89">
        <v>2.9</v>
      </c>
      <c r="E327" s="89">
        <v>51.5</v>
      </c>
      <c r="F327" s="89">
        <v>33.6</v>
      </c>
      <c r="G327" s="89">
        <v>66.8</v>
      </c>
    </row>
    <row r="328" spans="1:7" s="88" customFormat="1" ht="14">
      <c r="A328" s="578" t="s">
        <v>396</v>
      </c>
      <c r="B328" s="580"/>
      <c r="C328" s="89">
        <v>2405</v>
      </c>
      <c r="D328" s="89">
        <v>2.9</v>
      </c>
      <c r="E328" s="89">
        <v>51.3</v>
      </c>
      <c r="F328" s="89">
        <v>33.4</v>
      </c>
      <c r="G328" s="89">
        <v>66.599999999999994</v>
      </c>
    </row>
    <row r="329" spans="1:7" s="88" customFormat="1" ht="14">
      <c r="A329" s="578" t="s">
        <v>397</v>
      </c>
      <c r="B329" s="580"/>
      <c r="C329" s="89">
        <v>2413.9</v>
      </c>
      <c r="D329" s="89">
        <v>2.9</v>
      </c>
      <c r="E329" s="89">
        <v>51.1</v>
      </c>
      <c r="F329" s="89">
        <v>33.1</v>
      </c>
      <c r="G329" s="89">
        <v>66.599999999999994</v>
      </c>
    </row>
    <row r="330" spans="1:7" s="88" customFormat="1" ht="14">
      <c r="A330" s="578" t="s">
        <v>398</v>
      </c>
      <c r="B330" s="580"/>
      <c r="C330" s="89">
        <v>2423.6</v>
      </c>
      <c r="D330" s="89">
        <v>2.9</v>
      </c>
      <c r="E330" s="89">
        <v>51.1</v>
      </c>
      <c r="F330" s="89">
        <v>32.9</v>
      </c>
      <c r="G330" s="89">
        <v>66.7</v>
      </c>
    </row>
    <row r="331" spans="1:7" s="88" customFormat="1" ht="14">
      <c r="A331" s="578" t="s">
        <v>399</v>
      </c>
      <c r="B331" s="580"/>
      <c r="C331" s="89">
        <v>2423.8000000000002</v>
      </c>
      <c r="D331" s="89">
        <v>2.9</v>
      </c>
      <c r="E331" s="89">
        <v>50.9</v>
      </c>
      <c r="F331" s="89">
        <v>32.9</v>
      </c>
      <c r="G331" s="89">
        <v>66.400000000000006</v>
      </c>
    </row>
    <row r="332" spans="1:7" s="88" customFormat="1" ht="14">
      <c r="A332" s="578" t="s">
        <v>400</v>
      </c>
      <c r="B332" s="580"/>
      <c r="C332" s="89">
        <v>2421.5</v>
      </c>
      <c r="D332" s="89">
        <v>2.9</v>
      </c>
      <c r="E332" s="89">
        <v>50.9</v>
      </c>
      <c r="F332" s="89">
        <v>33</v>
      </c>
      <c r="G332" s="89">
        <v>66.400000000000006</v>
      </c>
    </row>
    <row r="333" spans="1:7" s="88" customFormat="1" ht="14">
      <c r="A333" s="578" t="s">
        <v>401</v>
      </c>
      <c r="B333" s="580"/>
      <c r="C333" s="89">
        <v>2420.6999999999998</v>
      </c>
      <c r="D333" s="89">
        <v>2.9</v>
      </c>
      <c r="E333" s="89">
        <v>50.8</v>
      </c>
      <c r="F333" s="89">
        <v>32.9</v>
      </c>
      <c r="G333" s="89">
        <v>66.3</v>
      </c>
    </row>
    <row r="334" spans="1:7" s="88" customFormat="1" ht="14">
      <c r="A334" s="578" t="s">
        <v>402</v>
      </c>
      <c r="B334" s="580"/>
      <c r="C334" s="89">
        <v>2420.8000000000002</v>
      </c>
      <c r="D334" s="89">
        <v>2.9</v>
      </c>
      <c r="E334" s="89">
        <v>50.9</v>
      </c>
      <c r="F334" s="89">
        <v>33</v>
      </c>
      <c r="G334" s="89">
        <v>66.3</v>
      </c>
    </row>
    <row r="335" spans="1:7" s="88" customFormat="1" ht="14">
      <c r="A335" s="578" t="s">
        <v>403</v>
      </c>
      <c r="B335" s="580"/>
      <c r="C335" s="89">
        <v>2421.5</v>
      </c>
      <c r="D335" s="89">
        <v>2.9</v>
      </c>
      <c r="E335" s="89">
        <v>51.1</v>
      </c>
      <c r="F335" s="89">
        <v>33.1</v>
      </c>
      <c r="G335" s="89">
        <v>66.5</v>
      </c>
    </row>
    <row r="336" spans="1:7" s="88" customFormat="1" ht="14">
      <c r="A336" s="578" t="s">
        <v>404</v>
      </c>
      <c r="B336" s="580"/>
      <c r="C336" s="89">
        <v>2419</v>
      </c>
      <c r="D336" s="89">
        <v>2.9</v>
      </c>
      <c r="E336" s="89">
        <v>51.3</v>
      </c>
      <c r="F336" s="89">
        <v>33.4</v>
      </c>
      <c r="G336" s="89">
        <v>66.5</v>
      </c>
    </row>
    <row r="337" spans="1:7" s="88" customFormat="1" ht="14">
      <c r="A337" s="578" t="s">
        <v>405</v>
      </c>
      <c r="B337" s="580"/>
      <c r="C337" s="89">
        <v>2421</v>
      </c>
      <c r="D337" s="89">
        <v>2.9</v>
      </c>
      <c r="E337" s="89">
        <v>51.2</v>
      </c>
      <c r="F337" s="89">
        <v>33.4</v>
      </c>
      <c r="G337" s="89">
        <v>66.400000000000006</v>
      </c>
    </row>
    <row r="338" spans="1:7" s="88" customFormat="1" ht="14">
      <c r="A338" s="578" t="s">
        <v>406</v>
      </c>
      <c r="B338" s="580"/>
      <c r="C338" s="89">
        <v>2423.5</v>
      </c>
      <c r="D338" s="89">
        <v>2.9</v>
      </c>
      <c r="E338" s="89">
        <v>50.8</v>
      </c>
      <c r="F338" s="89">
        <v>33.1</v>
      </c>
      <c r="G338" s="89">
        <v>66</v>
      </c>
    </row>
    <row r="339" spans="1:7" s="88" customFormat="1" ht="14">
      <c r="A339" s="578" t="s">
        <v>407</v>
      </c>
      <c r="B339" s="580"/>
      <c r="C339" s="89">
        <v>2427.6999999999998</v>
      </c>
      <c r="D339" s="89">
        <v>2.9</v>
      </c>
      <c r="E339" s="89">
        <v>50.7</v>
      </c>
      <c r="F339" s="89">
        <v>33</v>
      </c>
      <c r="G339" s="89">
        <v>66</v>
      </c>
    </row>
    <row r="340" spans="1:7" s="88" customFormat="1" ht="14">
      <c r="A340" s="578" t="s">
        <v>408</v>
      </c>
      <c r="B340" s="580"/>
      <c r="C340" s="89">
        <v>2432.6999999999998</v>
      </c>
      <c r="D340" s="89">
        <v>2.9</v>
      </c>
      <c r="E340" s="89">
        <v>50.7</v>
      </c>
      <c r="F340" s="89">
        <v>32.6</v>
      </c>
      <c r="G340" s="89">
        <v>66.400000000000006</v>
      </c>
    </row>
    <row r="341" spans="1:7" s="88" customFormat="1" ht="14">
      <c r="A341" s="578" t="s">
        <v>409</v>
      </c>
      <c r="B341" s="580"/>
      <c r="C341" s="89">
        <v>2436.1</v>
      </c>
      <c r="D341" s="89">
        <v>2.9</v>
      </c>
      <c r="E341" s="89">
        <v>50.6</v>
      </c>
      <c r="F341" s="89">
        <v>32.299999999999997</v>
      </c>
      <c r="G341" s="89">
        <v>66.400000000000006</v>
      </c>
    </row>
    <row r="342" spans="1:7" s="88" customFormat="1" ht="14">
      <c r="A342" s="578" t="s">
        <v>410</v>
      </c>
      <c r="B342" s="580"/>
      <c r="C342" s="89">
        <v>2441.9</v>
      </c>
      <c r="D342" s="89">
        <v>2.9</v>
      </c>
      <c r="E342" s="89">
        <v>50.4</v>
      </c>
      <c r="F342" s="89">
        <v>32.1</v>
      </c>
      <c r="G342" s="89">
        <v>66.3</v>
      </c>
    </row>
    <row r="343" spans="1:7" s="88" customFormat="1" ht="14">
      <c r="A343" s="578" t="s">
        <v>411</v>
      </c>
      <c r="B343" s="580"/>
      <c r="C343" s="89">
        <v>2440.5</v>
      </c>
      <c r="D343" s="89">
        <v>2.9</v>
      </c>
      <c r="E343" s="89">
        <v>50.3</v>
      </c>
      <c r="F343" s="89">
        <v>32.200000000000003</v>
      </c>
      <c r="G343" s="89">
        <v>66.099999999999994</v>
      </c>
    </row>
    <row r="344" spans="1:7" s="88" customFormat="1" ht="14">
      <c r="A344" s="578" t="s">
        <v>412</v>
      </c>
      <c r="B344" s="580"/>
      <c r="C344" s="89">
        <v>2440.1999999999998</v>
      </c>
      <c r="D344" s="89">
        <v>2.9</v>
      </c>
      <c r="E344" s="89">
        <v>50.3</v>
      </c>
      <c r="F344" s="89">
        <v>32.299999999999997</v>
      </c>
      <c r="G344" s="89">
        <v>66.099999999999994</v>
      </c>
    </row>
    <row r="345" spans="1:7" s="88" customFormat="1" ht="14">
      <c r="A345" s="578" t="s">
        <v>413</v>
      </c>
      <c r="B345" s="580"/>
      <c r="C345" s="89">
        <v>2439.1</v>
      </c>
      <c r="D345" s="89">
        <v>2.9</v>
      </c>
      <c r="E345" s="89">
        <v>50.2</v>
      </c>
      <c r="F345" s="89">
        <v>32.4</v>
      </c>
      <c r="G345" s="89">
        <v>65.7</v>
      </c>
    </row>
    <row r="346" spans="1:7" s="88" customFormat="1" ht="14">
      <c r="A346" s="578" t="s">
        <v>414</v>
      </c>
      <c r="B346" s="580"/>
      <c r="C346" s="89">
        <v>2441.8000000000002</v>
      </c>
      <c r="D346" s="89">
        <v>2.9</v>
      </c>
      <c r="E346" s="89">
        <v>50.4</v>
      </c>
      <c r="F346" s="89">
        <v>32.4</v>
      </c>
      <c r="G346" s="89">
        <v>66.2</v>
      </c>
    </row>
    <row r="347" spans="1:7" s="88" customFormat="1" ht="14">
      <c r="A347" s="578" t="s">
        <v>415</v>
      </c>
      <c r="B347" s="580"/>
      <c r="C347" s="89">
        <v>2445.1</v>
      </c>
      <c r="D347" s="89">
        <v>2.9</v>
      </c>
      <c r="E347" s="89">
        <v>50</v>
      </c>
      <c r="F347" s="89">
        <v>32.4</v>
      </c>
      <c r="G347" s="89">
        <v>65.3</v>
      </c>
    </row>
    <row r="348" spans="1:7" s="88" customFormat="1" ht="14">
      <c r="A348" s="578" t="s">
        <v>416</v>
      </c>
      <c r="B348" s="580"/>
      <c r="C348" s="89">
        <v>2448.6</v>
      </c>
      <c r="D348" s="89">
        <v>2.9</v>
      </c>
      <c r="E348" s="89">
        <v>50</v>
      </c>
      <c r="F348" s="89">
        <v>32.5</v>
      </c>
      <c r="G348" s="89">
        <v>65.2</v>
      </c>
    </row>
    <row r="349" spans="1:7" s="88" customFormat="1" ht="14">
      <c r="A349" s="578" t="s">
        <v>417</v>
      </c>
      <c r="B349" s="580"/>
      <c r="C349" s="89">
        <v>2451.6999999999998</v>
      </c>
      <c r="D349" s="89">
        <v>2.9</v>
      </c>
      <c r="E349" s="89">
        <v>50</v>
      </c>
      <c r="F349" s="89">
        <v>32.200000000000003</v>
      </c>
      <c r="G349" s="89">
        <v>65.5</v>
      </c>
    </row>
    <row r="350" spans="1:7" s="88" customFormat="1" ht="14">
      <c r="A350" s="578" t="s">
        <v>418</v>
      </c>
      <c r="B350" s="580"/>
      <c r="C350" s="89">
        <v>2454.6999999999998</v>
      </c>
      <c r="D350" s="89">
        <v>2.9</v>
      </c>
      <c r="E350" s="89">
        <v>50.1</v>
      </c>
      <c r="F350" s="89">
        <v>32.200000000000003</v>
      </c>
      <c r="G350" s="89">
        <v>65.599999999999994</v>
      </c>
    </row>
    <row r="351" spans="1:7" s="88" customFormat="1" ht="14">
      <c r="A351" s="578" t="s">
        <v>419</v>
      </c>
      <c r="B351" s="580"/>
      <c r="C351" s="89">
        <v>2457.6999999999998</v>
      </c>
      <c r="D351" s="89">
        <v>2.9</v>
      </c>
      <c r="E351" s="89">
        <v>50.5</v>
      </c>
      <c r="F351" s="89">
        <v>32.200000000000003</v>
      </c>
      <c r="G351" s="89">
        <v>66.3</v>
      </c>
    </row>
    <row r="352" spans="1:7" s="88" customFormat="1" ht="14">
      <c r="A352" s="578" t="s">
        <v>420</v>
      </c>
      <c r="B352" s="580"/>
      <c r="C352" s="89">
        <v>2466</v>
      </c>
      <c r="D352" s="89">
        <v>2.9</v>
      </c>
      <c r="E352" s="89">
        <v>50</v>
      </c>
      <c r="F352" s="89">
        <v>32.200000000000003</v>
      </c>
      <c r="G352" s="89">
        <v>65.5</v>
      </c>
    </row>
    <row r="353" spans="1:7" s="88" customFormat="1" ht="14">
      <c r="A353" s="578" t="s">
        <v>421</v>
      </c>
      <c r="B353" s="580"/>
      <c r="C353" s="89">
        <v>2476.5</v>
      </c>
      <c r="D353" s="89">
        <v>2.9</v>
      </c>
      <c r="E353" s="89">
        <v>50.3</v>
      </c>
      <c r="F353" s="89">
        <v>32.1</v>
      </c>
      <c r="G353" s="89">
        <v>66.099999999999994</v>
      </c>
    </row>
    <row r="354" spans="1:7" s="88" customFormat="1" ht="14">
      <c r="A354" s="578" t="s">
        <v>422</v>
      </c>
      <c r="B354" s="580"/>
      <c r="C354" s="89">
        <v>2486.9</v>
      </c>
      <c r="D354" s="89">
        <v>2.8</v>
      </c>
      <c r="E354" s="89">
        <v>50.1</v>
      </c>
      <c r="F354" s="89">
        <v>31.8</v>
      </c>
      <c r="G354" s="89">
        <v>66.099999999999994</v>
      </c>
    </row>
    <row r="355" spans="1:7" s="88" customFormat="1" ht="14">
      <c r="A355" s="578" t="s">
        <v>423</v>
      </c>
      <c r="B355" s="580"/>
      <c r="C355" s="89">
        <v>2486.1999999999998</v>
      </c>
      <c r="D355" s="89">
        <v>2.8</v>
      </c>
      <c r="E355" s="89">
        <v>50</v>
      </c>
      <c r="F355" s="89">
        <v>32</v>
      </c>
      <c r="G355" s="89">
        <v>65.7</v>
      </c>
    </row>
    <row r="356" spans="1:7" s="88" customFormat="1" ht="14">
      <c r="A356" s="578" t="s">
        <v>424</v>
      </c>
      <c r="B356" s="580"/>
      <c r="C356" s="89">
        <v>2485.1999999999998</v>
      </c>
      <c r="D356" s="89">
        <v>2.8</v>
      </c>
      <c r="E356" s="89">
        <v>49.7</v>
      </c>
      <c r="F356" s="89">
        <v>32.1</v>
      </c>
      <c r="G356" s="89">
        <v>65.099999999999994</v>
      </c>
    </row>
    <row r="357" spans="1:7" s="88" customFormat="1" ht="14">
      <c r="A357" s="578" t="s">
        <v>425</v>
      </c>
      <c r="B357" s="580"/>
      <c r="C357" s="89">
        <v>2482.1999999999998</v>
      </c>
      <c r="D357" s="89">
        <v>2.8</v>
      </c>
      <c r="E357" s="89">
        <v>49.8</v>
      </c>
      <c r="F357" s="89">
        <v>32.4</v>
      </c>
      <c r="G357" s="89">
        <v>65</v>
      </c>
    </row>
    <row r="358" spans="1:7" s="88" customFormat="1" ht="14">
      <c r="A358" s="578" t="s">
        <v>426</v>
      </c>
      <c r="B358" s="580"/>
      <c r="C358" s="89">
        <v>2484.9</v>
      </c>
      <c r="D358" s="89">
        <v>2.8</v>
      </c>
      <c r="E358" s="89">
        <v>50.1</v>
      </c>
      <c r="F358" s="89">
        <v>32.200000000000003</v>
      </c>
      <c r="G358" s="89">
        <v>65.8</v>
      </c>
    </row>
    <row r="359" spans="1:7" s="88" customFormat="1" ht="14">
      <c r="A359" s="578" t="s">
        <v>427</v>
      </c>
      <c r="B359" s="580"/>
      <c r="C359" s="89">
        <v>2485.5</v>
      </c>
      <c r="D359" s="89">
        <v>2.8</v>
      </c>
      <c r="E359" s="89">
        <v>49.8</v>
      </c>
      <c r="F359" s="89">
        <v>32.200000000000003</v>
      </c>
      <c r="G359" s="89">
        <v>65.3</v>
      </c>
    </row>
    <row r="360" spans="1:7" s="88" customFormat="1" ht="14">
      <c r="A360" s="578" t="s">
        <v>428</v>
      </c>
      <c r="B360" s="580"/>
      <c r="C360" s="89">
        <v>2488</v>
      </c>
      <c r="D360" s="89">
        <v>2.8</v>
      </c>
      <c r="E360" s="89">
        <v>49.8</v>
      </c>
      <c r="F360" s="89">
        <v>32.1</v>
      </c>
      <c r="G360" s="89">
        <v>65.3</v>
      </c>
    </row>
    <row r="361" spans="1:7" s="88" customFormat="1" ht="14">
      <c r="A361" s="578" t="s">
        <v>429</v>
      </c>
      <c r="B361" s="580"/>
      <c r="C361" s="89">
        <v>2485.8000000000002</v>
      </c>
      <c r="D361" s="89">
        <v>2.8</v>
      </c>
      <c r="E361" s="89">
        <v>50.1</v>
      </c>
      <c r="F361" s="89">
        <v>32.299999999999997</v>
      </c>
      <c r="G361" s="89">
        <v>65.7</v>
      </c>
    </row>
    <row r="362" spans="1:7" s="88" customFormat="1" ht="14">
      <c r="A362" s="578" t="s">
        <v>430</v>
      </c>
      <c r="B362" s="580"/>
      <c r="C362" s="89">
        <v>2485.6</v>
      </c>
      <c r="D362" s="89">
        <v>2.8</v>
      </c>
      <c r="E362" s="89">
        <v>50.3</v>
      </c>
      <c r="F362" s="89">
        <v>32.200000000000003</v>
      </c>
      <c r="G362" s="89">
        <v>66.099999999999994</v>
      </c>
    </row>
    <row r="363" spans="1:7" s="88" customFormat="1" ht="14">
      <c r="A363" s="578" t="s">
        <v>431</v>
      </c>
      <c r="B363" s="580"/>
      <c r="C363" s="89">
        <v>2488.3000000000002</v>
      </c>
      <c r="D363" s="89">
        <v>2.8</v>
      </c>
      <c r="E363" s="89">
        <v>50.5</v>
      </c>
      <c r="F363" s="89">
        <v>32</v>
      </c>
      <c r="G363" s="89">
        <v>66.3</v>
      </c>
    </row>
    <row r="364" spans="1:7" s="88" customFormat="1" ht="14">
      <c r="A364" s="578" t="s">
        <v>432</v>
      </c>
      <c r="B364" s="580"/>
      <c r="C364" s="89">
        <v>2498.4</v>
      </c>
      <c r="D364" s="89">
        <v>2.8</v>
      </c>
      <c r="E364" s="89">
        <v>50.4</v>
      </c>
      <c r="F364" s="89">
        <v>31.9</v>
      </c>
      <c r="G364" s="89">
        <v>66.099999999999994</v>
      </c>
    </row>
    <row r="365" spans="1:7" s="88" customFormat="1" ht="14">
      <c r="A365" s="578" t="s">
        <v>433</v>
      </c>
      <c r="B365" s="580"/>
      <c r="C365" s="89">
        <v>2504.6</v>
      </c>
      <c r="D365" s="89">
        <v>2.8</v>
      </c>
      <c r="E365" s="89">
        <v>50.4</v>
      </c>
      <c r="F365" s="89">
        <v>32</v>
      </c>
      <c r="G365" s="89">
        <v>66</v>
      </c>
    </row>
    <row r="366" spans="1:7" s="88" customFormat="1" ht="14">
      <c r="A366" s="578" t="s">
        <v>434</v>
      </c>
      <c r="B366" s="580"/>
      <c r="C366" s="89">
        <v>2511.4</v>
      </c>
      <c r="D366" s="89">
        <v>2.8</v>
      </c>
      <c r="E366" s="89">
        <v>50.4</v>
      </c>
      <c r="F366" s="89">
        <v>32</v>
      </c>
      <c r="G366" s="89">
        <v>66</v>
      </c>
    </row>
    <row r="367" spans="1:7" s="88" customFormat="1" ht="14">
      <c r="A367" s="578" t="s">
        <v>435</v>
      </c>
      <c r="B367" s="580"/>
      <c r="C367" s="89">
        <v>2509.1</v>
      </c>
      <c r="D367" s="89">
        <v>2.8</v>
      </c>
      <c r="E367" s="89">
        <v>50.1</v>
      </c>
      <c r="F367" s="89">
        <v>31.9</v>
      </c>
      <c r="G367" s="89">
        <v>65.5</v>
      </c>
    </row>
    <row r="368" spans="1:7" s="88" customFormat="1" ht="14">
      <c r="A368" s="578" t="s">
        <v>436</v>
      </c>
      <c r="B368" s="580"/>
      <c r="C368" s="89">
        <v>2507</v>
      </c>
      <c r="D368" s="89">
        <v>2.8</v>
      </c>
      <c r="E368" s="89">
        <v>49.9</v>
      </c>
      <c r="F368" s="89">
        <v>31.8</v>
      </c>
      <c r="G368" s="89">
        <v>65.3</v>
      </c>
    </row>
    <row r="369" spans="1:7" s="88" customFormat="1" ht="14">
      <c r="A369" s="578" t="s">
        <v>437</v>
      </c>
      <c r="B369" s="580"/>
      <c r="C369" s="89">
        <v>2503.6999999999998</v>
      </c>
      <c r="D369" s="89">
        <v>2.8</v>
      </c>
      <c r="E369" s="89">
        <v>49.7</v>
      </c>
      <c r="F369" s="89">
        <v>31.9</v>
      </c>
      <c r="G369" s="89">
        <v>64.8</v>
      </c>
    </row>
    <row r="370" spans="1:7" s="88" customFormat="1" ht="14">
      <c r="A370" s="578" t="s">
        <v>438</v>
      </c>
      <c r="B370" s="580"/>
      <c r="C370" s="89">
        <v>2506.8000000000002</v>
      </c>
      <c r="D370" s="89">
        <v>2.8</v>
      </c>
      <c r="E370" s="89">
        <v>49.8</v>
      </c>
      <c r="F370" s="89">
        <v>31.7</v>
      </c>
      <c r="G370" s="89">
        <v>65.2</v>
      </c>
    </row>
    <row r="371" spans="1:7" s="88" customFormat="1" ht="14">
      <c r="A371" s="578" t="s">
        <v>439</v>
      </c>
      <c r="B371" s="580"/>
      <c r="C371" s="89">
        <v>2508.6</v>
      </c>
      <c r="D371" s="89">
        <v>2.8</v>
      </c>
      <c r="E371" s="89">
        <v>50</v>
      </c>
      <c r="F371" s="89">
        <v>31.9</v>
      </c>
      <c r="G371" s="89">
        <v>65.5</v>
      </c>
    </row>
    <row r="372" spans="1:7" s="88" customFormat="1" ht="14">
      <c r="A372" s="578" t="s">
        <v>440</v>
      </c>
      <c r="B372" s="580"/>
      <c r="C372" s="89">
        <v>2510</v>
      </c>
      <c r="D372" s="89">
        <v>2.8</v>
      </c>
      <c r="E372" s="89">
        <v>49.7</v>
      </c>
      <c r="F372" s="89">
        <v>31.9</v>
      </c>
      <c r="G372" s="89">
        <v>64.900000000000006</v>
      </c>
    </row>
    <row r="373" spans="1:7" s="88" customFormat="1" ht="14">
      <c r="A373" s="578" t="s">
        <v>441</v>
      </c>
      <c r="B373" s="580"/>
      <c r="C373" s="89">
        <v>2511.3000000000002</v>
      </c>
      <c r="D373" s="89">
        <v>2.8</v>
      </c>
      <c r="E373" s="89">
        <v>49.3</v>
      </c>
      <c r="F373" s="89">
        <v>32</v>
      </c>
      <c r="G373" s="89">
        <v>64.099999999999994</v>
      </c>
    </row>
    <row r="374" spans="1:7" s="88" customFormat="1" ht="14">
      <c r="A374" s="578" t="s">
        <v>442</v>
      </c>
      <c r="B374" s="580"/>
      <c r="C374" s="89">
        <v>2515.9</v>
      </c>
      <c r="D374" s="89">
        <v>2.8</v>
      </c>
      <c r="E374" s="89">
        <v>49.1</v>
      </c>
      <c r="F374" s="89">
        <v>31.9</v>
      </c>
      <c r="G374" s="89">
        <v>63.8</v>
      </c>
    </row>
    <row r="375" spans="1:7" s="88" customFormat="1" ht="14">
      <c r="A375" s="578" t="s">
        <v>443</v>
      </c>
      <c r="B375" s="580"/>
      <c r="C375" s="89">
        <v>2521.8000000000002</v>
      </c>
      <c r="D375" s="89">
        <v>2.8</v>
      </c>
      <c r="E375" s="89">
        <v>49</v>
      </c>
      <c r="F375" s="89">
        <v>31.9</v>
      </c>
      <c r="G375" s="89">
        <v>63.4</v>
      </c>
    </row>
    <row r="376" spans="1:7" s="88" customFormat="1" ht="14">
      <c r="A376" s="578" t="s">
        <v>444</v>
      </c>
      <c r="B376" s="580"/>
      <c r="C376" s="89">
        <v>2530.6</v>
      </c>
      <c r="D376" s="89">
        <v>2.8</v>
      </c>
      <c r="E376" s="89">
        <v>48.6</v>
      </c>
      <c r="F376" s="89">
        <v>32</v>
      </c>
      <c r="G376" s="89">
        <v>62.8</v>
      </c>
    </row>
    <row r="377" spans="1:7" s="88" customFormat="1" ht="14">
      <c r="A377" s="578" t="s">
        <v>445</v>
      </c>
      <c r="B377" s="580"/>
      <c r="C377" s="89">
        <v>2539.5</v>
      </c>
      <c r="D377" s="89">
        <v>2.8</v>
      </c>
      <c r="E377" s="89">
        <v>48.5</v>
      </c>
      <c r="F377" s="89">
        <v>31.8</v>
      </c>
      <c r="G377" s="89">
        <v>62.6</v>
      </c>
    </row>
    <row r="378" spans="1:7" s="88" customFormat="1" ht="14">
      <c r="A378" s="578" t="s">
        <v>446</v>
      </c>
      <c r="B378" s="580"/>
      <c r="C378" s="89">
        <v>2548.3000000000002</v>
      </c>
      <c r="D378" s="89">
        <v>2.8</v>
      </c>
      <c r="E378" s="89">
        <v>48.8</v>
      </c>
      <c r="F378" s="89">
        <v>31.7</v>
      </c>
      <c r="G378" s="89">
        <v>63.3</v>
      </c>
    </row>
    <row r="379" spans="1:7" s="88" customFormat="1" ht="14">
      <c r="A379" s="578" t="s">
        <v>447</v>
      </c>
      <c r="B379" s="580"/>
      <c r="C379" s="89">
        <v>2547.8000000000002</v>
      </c>
      <c r="D379" s="89">
        <v>2.8</v>
      </c>
      <c r="E379" s="89">
        <v>49.3</v>
      </c>
      <c r="F379" s="89">
        <v>31.6</v>
      </c>
      <c r="G379" s="89">
        <v>64.400000000000006</v>
      </c>
    </row>
    <row r="380" spans="1:7" s="88" customFormat="1" ht="14">
      <c r="A380" s="578" t="s">
        <v>448</v>
      </c>
      <c r="B380" s="580"/>
      <c r="C380" s="89">
        <v>2545.1</v>
      </c>
      <c r="D380" s="89">
        <v>2.8</v>
      </c>
      <c r="E380" s="89">
        <v>49.4</v>
      </c>
      <c r="F380" s="89">
        <v>31.7</v>
      </c>
      <c r="G380" s="89">
        <v>64.400000000000006</v>
      </c>
    </row>
    <row r="381" spans="1:7" s="88" customFormat="1" ht="14">
      <c r="A381" s="578" t="s">
        <v>449</v>
      </c>
      <c r="B381" s="580"/>
      <c r="C381" s="89">
        <v>2540.8000000000002</v>
      </c>
      <c r="D381" s="89">
        <v>2.8</v>
      </c>
      <c r="E381" s="89">
        <v>49.2</v>
      </c>
      <c r="F381" s="89">
        <v>31.8</v>
      </c>
      <c r="G381" s="89">
        <v>64.099999999999994</v>
      </c>
    </row>
    <row r="382" spans="1:7" s="88" customFormat="1" ht="14">
      <c r="A382" s="578" t="s">
        <v>450</v>
      </c>
      <c r="B382" s="580"/>
      <c r="C382" s="89">
        <v>2540.6</v>
      </c>
      <c r="D382" s="89">
        <v>2.8</v>
      </c>
      <c r="E382" s="89">
        <v>49.6</v>
      </c>
      <c r="F382" s="89">
        <v>31.8</v>
      </c>
      <c r="G382" s="89">
        <v>64.599999999999994</v>
      </c>
    </row>
    <row r="383" spans="1:7" s="88" customFormat="1" ht="14">
      <c r="A383" s="578" t="s">
        <v>451</v>
      </c>
      <c r="B383" s="580"/>
      <c r="C383" s="89">
        <v>2546.3000000000002</v>
      </c>
      <c r="D383" s="89">
        <v>2.8</v>
      </c>
      <c r="E383" s="89">
        <v>49.5</v>
      </c>
      <c r="F383" s="89">
        <v>31.8</v>
      </c>
      <c r="G383" s="89">
        <v>64.400000000000006</v>
      </c>
    </row>
    <row r="384" spans="1:7" s="88" customFormat="1" ht="14">
      <c r="A384" s="578" t="s">
        <v>452</v>
      </c>
      <c r="B384" s="580"/>
      <c r="C384" s="89">
        <v>2554.1</v>
      </c>
      <c r="D384" s="89">
        <v>2.8</v>
      </c>
      <c r="E384" s="89">
        <v>49.6</v>
      </c>
      <c r="F384" s="89">
        <v>31.8</v>
      </c>
      <c r="G384" s="89">
        <v>64.599999999999994</v>
      </c>
    </row>
    <row r="385" spans="1:7" s="88" customFormat="1" ht="14">
      <c r="A385" s="578" t="s">
        <v>453</v>
      </c>
      <c r="B385" s="580"/>
      <c r="C385" s="89">
        <v>2558.3000000000002</v>
      </c>
      <c r="D385" s="89">
        <v>2.8</v>
      </c>
      <c r="E385" s="89">
        <v>49.3</v>
      </c>
      <c r="F385" s="89">
        <v>31.7</v>
      </c>
      <c r="G385" s="89">
        <v>64.099999999999994</v>
      </c>
    </row>
    <row r="386" spans="1:7" s="88" customFormat="1" ht="14">
      <c r="A386" s="578" t="s">
        <v>454</v>
      </c>
      <c r="B386" s="580"/>
      <c r="C386" s="89">
        <v>2555.9</v>
      </c>
      <c r="D386" s="89">
        <v>2.8</v>
      </c>
      <c r="E386" s="89">
        <v>49.2</v>
      </c>
      <c r="F386" s="89">
        <v>31.6</v>
      </c>
      <c r="G386" s="89">
        <v>64</v>
      </c>
    </row>
    <row r="387" spans="1:7" s="88" customFormat="1" ht="14">
      <c r="A387" s="578" t="s">
        <v>455</v>
      </c>
      <c r="B387" s="580"/>
      <c r="C387" s="89">
        <v>2560.5</v>
      </c>
      <c r="D387" s="89">
        <v>2.8</v>
      </c>
      <c r="E387" s="89">
        <v>49.2</v>
      </c>
      <c r="F387" s="89">
        <v>31.6</v>
      </c>
      <c r="G387" s="89">
        <v>64</v>
      </c>
    </row>
    <row r="388" spans="1:7" s="88" customFormat="1" ht="14">
      <c r="A388" s="578" t="s">
        <v>456</v>
      </c>
      <c r="B388" s="580"/>
      <c r="C388" s="89">
        <v>2569.1999999999998</v>
      </c>
      <c r="D388" s="89">
        <v>2.8</v>
      </c>
      <c r="E388" s="89">
        <v>48.9</v>
      </c>
      <c r="F388" s="89">
        <v>31.4</v>
      </c>
      <c r="G388" s="89">
        <v>63.7</v>
      </c>
    </row>
    <row r="389" spans="1:7" s="88" customFormat="1" ht="14">
      <c r="A389" s="578" t="s">
        <v>457</v>
      </c>
      <c r="B389" s="580"/>
      <c r="C389" s="89">
        <v>2574.6999999999998</v>
      </c>
      <c r="D389" s="89">
        <v>2.8</v>
      </c>
      <c r="E389" s="89">
        <v>49</v>
      </c>
      <c r="F389" s="89">
        <v>31.4</v>
      </c>
      <c r="G389" s="89">
        <v>63.8</v>
      </c>
    </row>
    <row r="390" spans="1:7" s="88" customFormat="1" ht="14">
      <c r="A390" s="578" t="s">
        <v>458</v>
      </c>
      <c r="B390" s="580"/>
      <c r="C390" s="89">
        <v>2581.3000000000002</v>
      </c>
      <c r="D390" s="89">
        <v>2.8</v>
      </c>
      <c r="E390" s="89">
        <v>48.9</v>
      </c>
      <c r="F390" s="89">
        <v>31.5</v>
      </c>
      <c r="G390" s="89">
        <v>63.7</v>
      </c>
    </row>
    <row r="391" spans="1:7" s="88" customFormat="1" ht="14">
      <c r="A391" s="578" t="s">
        <v>459</v>
      </c>
      <c r="B391" s="580"/>
      <c r="C391" s="89">
        <v>2579.1</v>
      </c>
      <c r="D391" s="89">
        <v>2.8</v>
      </c>
      <c r="E391" s="89">
        <v>49.1</v>
      </c>
      <c r="F391" s="89">
        <v>31.7</v>
      </c>
      <c r="G391" s="89">
        <v>64</v>
      </c>
    </row>
    <row r="392" spans="1:7" s="88" customFormat="1" ht="14">
      <c r="A392" s="578" t="s">
        <v>460</v>
      </c>
      <c r="B392" s="580"/>
      <c r="C392" s="89">
        <v>2574.5</v>
      </c>
      <c r="D392" s="89">
        <v>2.8</v>
      </c>
      <c r="E392" s="89">
        <v>49.3</v>
      </c>
      <c r="F392" s="89">
        <v>31.8</v>
      </c>
      <c r="G392" s="89">
        <v>64.400000000000006</v>
      </c>
    </row>
    <row r="393" spans="1:7" s="88" customFormat="1" ht="14">
      <c r="A393" s="578" t="s">
        <v>461</v>
      </c>
      <c r="B393" s="580"/>
      <c r="C393" s="89">
        <v>2570.9</v>
      </c>
      <c r="D393" s="89">
        <v>2.8</v>
      </c>
      <c r="E393" s="89">
        <v>49.1</v>
      </c>
      <c r="F393" s="89">
        <v>31.8</v>
      </c>
      <c r="G393" s="89">
        <v>64</v>
      </c>
    </row>
    <row r="394" spans="1:7" s="88" customFormat="1" ht="14">
      <c r="A394" s="578" t="s">
        <v>462</v>
      </c>
      <c r="B394" s="580"/>
      <c r="C394" s="89">
        <v>2573.9</v>
      </c>
      <c r="D394" s="89">
        <v>2.8</v>
      </c>
      <c r="E394" s="89">
        <v>49.1</v>
      </c>
      <c r="F394" s="89">
        <v>32</v>
      </c>
      <c r="G394" s="89">
        <v>63.8</v>
      </c>
    </row>
    <row r="396" spans="1:7" s="88" customFormat="1" ht="12.75" customHeight="1">
      <c r="A396" s="93" t="s">
        <v>463</v>
      </c>
      <c r="B396" s="578" t="s">
        <v>464</v>
      </c>
      <c r="C396" s="579"/>
      <c r="D396" s="579"/>
      <c r="E396" s="579"/>
      <c r="F396" s="579"/>
      <c r="G396" s="579"/>
    </row>
    <row r="397" spans="1:7" s="88" customFormat="1" ht="12.75" customHeight="1">
      <c r="A397" s="93" t="s">
        <v>465</v>
      </c>
      <c r="B397" s="578" t="s">
        <v>466</v>
      </c>
      <c r="C397" s="579"/>
      <c r="D397" s="579"/>
      <c r="E397" s="579"/>
      <c r="F397" s="579"/>
      <c r="G397" s="579"/>
    </row>
    <row r="398" spans="1:7" s="88" customFormat="1" ht="63.75" customHeight="1">
      <c r="A398" s="93" t="s">
        <v>465</v>
      </c>
      <c r="B398" s="578" t="s">
        <v>467</v>
      </c>
      <c r="C398" s="579"/>
      <c r="D398" s="579"/>
      <c r="E398" s="579"/>
      <c r="F398" s="579"/>
      <c r="G398" s="579"/>
    </row>
    <row r="399" spans="1:7" s="88" customFormat="1" ht="25.5" customHeight="1">
      <c r="A399" s="93" t="s">
        <v>465</v>
      </c>
      <c r="B399" s="578" t="s">
        <v>468</v>
      </c>
      <c r="C399" s="579"/>
      <c r="D399" s="579"/>
      <c r="E399" s="579"/>
      <c r="F399" s="579"/>
      <c r="G399" s="579"/>
    </row>
    <row r="400" spans="1:7" s="88" customFormat="1" ht="12.75" customHeight="1">
      <c r="A400" s="93" t="s">
        <v>465</v>
      </c>
      <c r="B400" s="90" t="s">
        <v>107</v>
      </c>
      <c r="C400" s="578" t="s">
        <v>469</v>
      </c>
      <c r="D400" s="579"/>
      <c r="E400" s="579"/>
      <c r="F400" s="579"/>
      <c r="G400" s="579"/>
    </row>
    <row r="401" spans="1:10" s="88" customFormat="1" ht="51" customHeight="1">
      <c r="A401" s="93" t="s">
        <v>470</v>
      </c>
      <c r="B401" s="578" t="s">
        <v>471</v>
      </c>
      <c r="C401" s="579"/>
      <c r="D401" s="579"/>
      <c r="E401" s="579"/>
      <c r="F401" s="579"/>
      <c r="G401" s="579"/>
    </row>
    <row r="403" spans="1:10" s="88" customFormat="1" ht="12.75" customHeight="1">
      <c r="A403" s="578" t="s">
        <v>472</v>
      </c>
      <c r="B403" s="579"/>
      <c r="C403" s="579"/>
      <c r="D403" s="579"/>
      <c r="E403" s="579"/>
      <c r="F403" s="579"/>
      <c r="G403" s="579"/>
      <c r="H403" s="579"/>
      <c r="I403" s="579"/>
      <c r="J403" s="579"/>
    </row>
  </sheetData>
  <mergeCells count="400">
    <mergeCell ref="A1:O1"/>
    <mergeCell ref="A3:B3"/>
    <mergeCell ref="A4:B4"/>
    <mergeCell ref="A5:B5"/>
    <mergeCell ref="A6:B6"/>
    <mergeCell ref="A7:B7"/>
    <mergeCell ref="A14:B14"/>
    <mergeCell ref="A15:B15"/>
    <mergeCell ref="A16:B16"/>
    <mergeCell ref="A17:B17"/>
    <mergeCell ref="A18:B18"/>
    <mergeCell ref="A19:B19"/>
    <mergeCell ref="A8:B8"/>
    <mergeCell ref="A9:B9"/>
    <mergeCell ref="A10:B10"/>
    <mergeCell ref="A11:B11"/>
    <mergeCell ref="A12:B12"/>
    <mergeCell ref="A13:B13"/>
    <mergeCell ref="A26:B26"/>
    <mergeCell ref="A27:B27"/>
    <mergeCell ref="A28:B28"/>
    <mergeCell ref="A29:B29"/>
    <mergeCell ref="A30:B30"/>
    <mergeCell ref="A31:B31"/>
    <mergeCell ref="A20:B20"/>
    <mergeCell ref="A21:B21"/>
    <mergeCell ref="A22:B22"/>
    <mergeCell ref="A23:B23"/>
    <mergeCell ref="A24:B24"/>
    <mergeCell ref="A25:B25"/>
    <mergeCell ref="A38:B38"/>
    <mergeCell ref="A39:B39"/>
    <mergeCell ref="A40:B40"/>
    <mergeCell ref="A41:B41"/>
    <mergeCell ref="A42:B42"/>
    <mergeCell ref="A43:B43"/>
    <mergeCell ref="A32:B32"/>
    <mergeCell ref="A33:B33"/>
    <mergeCell ref="A34:B34"/>
    <mergeCell ref="A35:B35"/>
    <mergeCell ref="A36:B36"/>
    <mergeCell ref="A37:B37"/>
    <mergeCell ref="A50:B50"/>
    <mergeCell ref="A51:B51"/>
    <mergeCell ref="A52:B52"/>
    <mergeCell ref="A53:B53"/>
    <mergeCell ref="A54:B54"/>
    <mergeCell ref="A55:B55"/>
    <mergeCell ref="A44:B44"/>
    <mergeCell ref="A45:B45"/>
    <mergeCell ref="A46:B46"/>
    <mergeCell ref="A47:B47"/>
    <mergeCell ref="A48:B48"/>
    <mergeCell ref="A49:B49"/>
    <mergeCell ref="A62:B62"/>
    <mergeCell ref="A63:B63"/>
    <mergeCell ref="A64:B64"/>
    <mergeCell ref="A65:B65"/>
    <mergeCell ref="A66:B66"/>
    <mergeCell ref="A67:B67"/>
    <mergeCell ref="A56:B56"/>
    <mergeCell ref="A57:B57"/>
    <mergeCell ref="A58:B58"/>
    <mergeCell ref="A59:B59"/>
    <mergeCell ref="A60:B60"/>
    <mergeCell ref="A61:B61"/>
    <mergeCell ref="A74:B74"/>
    <mergeCell ref="A75:B75"/>
    <mergeCell ref="A76:B76"/>
    <mergeCell ref="A77:B77"/>
    <mergeCell ref="A78:B78"/>
    <mergeCell ref="A79:B79"/>
    <mergeCell ref="A68:B68"/>
    <mergeCell ref="A69:B69"/>
    <mergeCell ref="A70:B70"/>
    <mergeCell ref="A71:B71"/>
    <mergeCell ref="A72:B72"/>
    <mergeCell ref="A73:B73"/>
    <mergeCell ref="A86:B86"/>
    <mergeCell ref="A87:B87"/>
    <mergeCell ref="A88:B88"/>
    <mergeCell ref="A89:B89"/>
    <mergeCell ref="A90:B90"/>
    <mergeCell ref="A91:B91"/>
    <mergeCell ref="A80:B80"/>
    <mergeCell ref="A81:B81"/>
    <mergeCell ref="A82:B82"/>
    <mergeCell ref="A83:B83"/>
    <mergeCell ref="A84:B84"/>
    <mergeCell ref="A85:B85"/>
    <mergeCell ref="A98:B98"/>
    <mergeCell ref="A99:B99"/>
    <mergeCell ref="A100:B100"/>
    <mergeCell ref="A101:B101"/>
    <mergeCell ref="A102:B102"/>
    <mergeCell ref="A103:B103"/>
    <mergeCell ref="A92:B92"/>
    <mergeCell ref="A93:B93"/>
    <mergeCell ref="A94:B94"/>
    <mergeCell ref="A95:B95"/>
    <mergeCell ref="A96:B96"/>
    <mergeCell ref="A97:B97"/>
    <mergeCell ref="A110:B110"/>
    <mergeCell ref="A111:B111"/>
    <mergeCell ref="A112:B112"/>
    <mergeCell ref="A113:B113"/>
    <mergeCell ref="A114:B114"/>
    <mergeCell ref="A115:B115"/>
    <mergeCell ref="A104:B104"/>
    <mergeCell ref="A105:B105"/>
    <mergeCell ref="A106:B106"/>
    <mergeCell ref="A107:B107"/>
    <mergeCell ref="A108:B108"/>
    <mergeCell ref="A109:B109"/>
    <mergeCell ref="A122:B122"/>
    <mergeCell ref="A123:B123"/>
    <mergeCell ref="A124:B124"/>
    <mergeCell ref="A125:B125"/>
    <mergeCell ref="A126:B126"/>
    <mergeCell ref="A127:B127"/>
    <mergeCell ref="A116:B116"/>
    <mergeCell ref="A117:B117"/>
    <mergeCell ref="A118:B118"/>
    <mergeCell ref="A119:B119"/>
    <mergeCell ref="A120:B120"/>
    <mergeCell ref="A121:B121"/>
    <mergeCell ref="A134:B134"/>
    <mergeCell ref="A135:B135"/>
    <mergeCell ref="A136:B136"/>
    <mergeCell ref="A137:B137"/>
    <mergeCell ref="A138:B138"/>
    <mergeCell ref="A139:B139"/>
    <mergeCell ref="A128:B128"/>
    <mergeCell ref="A129:B129"/>
    <mergeCell ref="A130:B130"/>
    <mergeCell ref="A131:B131"/>
    <mergeCell ref="A132:B132"/>
    <mergeCell ref="A133:B133"/>
    <mergeCell ref="A146:B146"/>
    <mergeCell ref="A147:B147"/>
    <mergeCell ref="A148:B148"/>
    <mergeCell ref="A149:B149"/>
    <mergeCell ref="A150:B150"/>
    <mergeCell ref="A151:B151"/>
    <mergeCell ref="A140:B140"/>
    <mergeCell ref="A141:B141"/>
    <mergeCell ref="A142:B142"/>
    <mergeCell ref="A143:B143"/>
    <mergeCell ref="A144:B144"/>
    <mergeCell ref="A145:B145"/>
    <mergeCell ref="A158:B158"/>
    <mergeCell ref="A159:B159"/>
    <mergeCell ref="A160:B160"/>
    <mergeCell ref="A161:B161"/>
    <mergeCell ref="A162:B162"/>
    <mergeCell ref="A163:B163"/>
    <mergeCell ref="A152:B152"/>
    <mergeCell ref="A153:B153"/>
    <mergeCell ref="A154:B154"/>
    <mergeCell ref="A155:B155"/>
    <mergeCell ref="A156:B156"/>
    <mergeCell ref="A157:B157"/>
    <mergeCell ref="A170:B170"/>
    <mergeCell ref="A171:B171"/>
    <mergeCell ref="A172:B172"/>
    <mergeCell ref="A173:B173"/>
    <mergeCell ref="A174:B174"/>
    <mergeCell ref="A175:B175"/>
    <mergeCell ref="A164:B164"/>
    <mergeCell ref="A165:B165"/>
    <mergeCell ref="A166:B166"/>
    <mergeCell ref="A167:B167"/>
    <mergeCell ref="A168:B168"/>
    <mergeCell ref="A169:B169"/>
    <mergeCell ref="A182:B182"/>
    <mergeCell ref="A183:B183"/>
    <mergeCell ref="A184:B184"/>
    <mergeCell ref="A185:B185"/>
    <mergeCell ref="A186:B186"/>
    <mergeCell ref="A187:B187"/>
    <mergeCell ref="A176:B176"/>
    <mergeCell ref="A177:B177"/>
    <mergeCell ref="A178:B178"/>
    <mergeCell ref="A179:B179"/>
    <mergeCell ref="A180:B180"/>
    <mergeCell ref="A181:B181"/>
    <mergeCell ref="A194:B194"/>
    <mergeCell ref="A195:B195"/>
    <mergeCell ref="A196:B196"/>
    <mergeCell ref="A197:B197"/>
    <mergeCell ref="A198:B198"/>
    <mergeCell ref="A199:B199"/>
    <mergeCell ref="A188:B188"/>
    <mergeCell ref="A189:B189"/>
    <mergeCell ref="A190:B190"/>
    <mergeCell ref="A191:B191"/>
    <mergeCell ref="A192:B192"/>
    <mergeCell ref="A193:B193"/>
    <mergeCell ref="A206:B206"/>
    <mergeCell ref="A207:B207"/>
    <mergeCell ref="A208:B208"/>
    <mergeCell ref="A209:B209"/>
    <mergeCell ref="A210:B210"/>
    <mergeCell ref="A211:B211"/>
    <mergeCell ref="A200:B200"/>
    <mergeCell ref="A201:B201"/>
    <mergeCell ref="A202:B202"/>
    <mergeCell ref="A203:B203"/>
    <mergeCell ref="A204:B204"/>
    <mergeCell ref="A205:B205"/>
    <mergeCell ref="A218:B218"/>
    <mergeCell ref="A219:B219"/>
    <mergeCell ref="A220:B220"/>
    <mergeCell ref="A221:B221"/>
    <mergeCell ref="A222:B222"/>
    <mergeCell ref="A223:B223"/>
    <mergeCell ref="A212:B212"/>
    <mergeCell ref="A213:B213"/>
    <mergeCell ref="A214:B214"/>
    <mergeCell ref="A215:B215"/>
    <mergeCell ref="A216:B216"/>
    <mergeCell ref="A217:B217"/>
    <mergeCell ref="A230:B230"/>
    <mergeCell ref="A231:B231"/>
    <mergeCell ref="A232:B232"/>
    <mergeCell ref="A233:B233"/>
    <mergeCell ref="A234:B234"/>
    <mergeCell ref="A235:B235"/>
    <mergeCell ref="A224:B224"/>
    <mergeCell ref="A225:B225"/>
    <mergeCell ref="A226:B226"/>
    <mergeCell ref="A227:B227"/>
    <mergeCell ref="A228:B228"/>
    <mergeCell ref="A229:B229"/>
    <mergeCell ref="A242:B242"/>
    <mergeCell ref="A243:B243"/>
    <mergeCell ref="A244:B244"/>
    <mergeCell ref="A245:B245"/>
    <mergeCell ref="A246:B246"/>
    <mergeCell ref="A247:B247"/>
    <mergeCell ref="A236:B236"/>
    <mergeCell ref="A237:B237"/>
    <mergeCell ref="A238:B238"/>
    <mergeCell ref="A239:B239"/>
    <mergeCell ref="A240:B240"/>
    <mergeCell ref="A241:B241"/>
    <mergeCell ref="A254:B254"/>
    <mergeCell ref="A255:B255"/>
    <mergeCell ref="A256:B256"/>
    <mergeCell ref="A257:B257"/>
    <mergeCell ref="A258:B258"/>
    <mergeCell ref="A259:B259"/>
    <mergeCell ref="A248:B248"/>
    <mergeCell ref="A249:B249"/>
    <mergeCell ref="A250:B250"/>
    <mergeCell ref="A251:B251"/>
    <mergeCell ref="A252:B252"/>
    <mergeCell ref="A253:B253"/>
    <mergeCell ref="A266:B266"/>
    <mergeCell ref="A267:B267"/>
    <mergeCell ref="A268:B268"/>
    <mergeCell ref="A269:B269"/>
    <mergeCell ref="A270:B270"/>
    <mergeCell ref="A271:B271"/>
    <mergeCell ref="A260:B260"/>
    <mergeCell ref="A261:B261"/>
    <mergeCell ref="A262:B262"/>
    <mergeCell ref="A263:B263"/>
    <mergeCell ref="A264:B264"/>
    <mergeCell ref="A265:B265"/>
    <mergeCell ref="A278:B278"/>
    <mergeCell ref="A279:B279"/>
    <mergeCell ref="A280:B280"/>
    <mergeCell ref="A281:B281"/>
    <mergeCell ref="A282:B282"/>
    <mergeCell ref="A283:B283"/>
    <mergeCell ref="A272:B272"/>
    <mergeCell ref="A273:B273"/>
    <mergeCell ref="A274:B274"/>
    <mergeCell ref="A275:B275"/>
    <mergeCell ref="A276:B276"/>
    <mergeCell ref="A277:B277"/>
    <mergeCell ref="A290:B290"/>
    <mergeCell ref="A291:B291"/>
    <mergeCell ref="A292:B292"/>
    <mergeCell ref="A293:B293"/>
    <mergeCell ref="A294:B294"/>
    <mergeCell ref="A295:B295"/>
    <mergeCell ref="A284:B284"/>
    <mergeCell ref="A285:B285"/>
    <mergeCell ref="A286:B286"/>
    <mergeCell ref="A287:B287"/>
    <mergeCell ref="A288:B288"/>
    <mergeCell ref="A289:B289"/>
    <mergeCell ref="A302:B302"/>
    <mergeCell ref="A303:B303"/>
    <mergeCell ref="A304:B304"/>
    <mergeCell ref="A305:B305"/>
    <mergeCell ref="A306:B306"/>
    <mergeCell ref="A307:B307"/>
    <mergeCell ref="A296:B296"/>
    <mergeCell ref="A297:B297"/>
    <mergeCell ref="A298:B298"/>
    <mergeCell ref="A299:B299"/>
    <mergeCell ref="A300:B300"/>
    <mergeCell ref="A301:B301"/>
    <mergeCell ref="A314:B314"/>
    <mergeCell ref="A315:B315"/>
    <mergeCell ref="A316:B316"/>
    <mergeCell ref="A317:B317"/>
    <mergeCell ref="A318:B318"/>
    <mergeCell ref="A319:B319"/>
    <mergeCell ref="A308:B308"/>
    <mergeCell ref="A309:B309"/>
    <mergeCell ref="A310:B310"/>
    <mergeCell ref="A311:B311"/>
    <mergeCell ref="A312:B312"/>
    <mergeCell ref="A313:B313"/>
    <mergeCell ref="A326:B326"/>
    <mergeCell ref="A327:B327"/>
    <mergeCell ref="A328:B328"/>
    <mergeCell ref="A329:B329"/>
    <mergeCell ref="A330:B330"/>
    <mergeCell ref="A331:B331"/>
    <mergeCell ref="A320:B320"/>
    <mergeCell ref="A321:B321"/>
    <mergeCell ref="A322:B322"/>
    <mergeCell ref="A323:B323"/>
    <mergeCell ref="A324:B324"/>
    <mergeCell ref="A325:B325"/>
    <mergeCell ref="A338:B338"/>
    <mergeCell ref="A339:B339"/>
    <mergeCell ref="A340:B340"/>
    <mergeCell ref="A341:B341"/>
    <mergeCell ref="A342:B342"/>
    <mergeCell ref="A343:B343"/>
    <mergeCell ref="A332:B332"/>
    <mergeCell ref="A333:B333"/>
    <mergeCell ref="A334:B334"/>
    <mergeCell ref="A335:B335"/>
    <mergeCell ref="A336:B336"/>
    <mergeCell ref="A337:B337"/>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62:B362"/>
    <mergeCell ref="A363:B363"/>
    <mergeCell ref="A364:B364"/>
    <mergeCell ref="A365:B365"/>
    <mergeCell ref="A366:B366"/>
    <mergeCell ref="A367:B367"/>
    <mergeCell ref="A356:B356"/>
    <mergeCell ref="A357:B357"/>
    <mergeCell ref="A358:B358"/>
    <mergeCell ref="A359:B359"/>
    <mergeCell ref="A360:B360"/>
    <mergeCell ref="A361:B361"/>
    <mergeCell ref="A374:B374"/>
    <mergeCell ref="A375:B375"/>
    <mergeCell ref="A376:B376"/>
    <mergeCell ref="A377:B377"/>
    <mergeCell ref="A378:B378"/>
    <mergeCell ref="A379:B379"/>
    <mergeCell ref="A368:B368"/>
    <mergeCell ref="A369:B369"/>
    <mergeCell ref="A370:B370"/>
    <mergeCell ref="A371:B371"/>
    <mergeCell ref="A372:B372"/>
    <mergeCell ref="A373:B373"/>
    <mergeCell ref="A386:B386"/>
    <mergeCell ref="A387:B387"/>
    <mergeCell ref="A388:B388"/>
    <mergeCell ref="A389:B389"/>
    <mergeCell ref="A390:B390"/>
    <mergeCell ref="A391:B391"/>
    <mergeCell ref="A380:B380"/>
    <mergeCell ref="A381:B381"/>
    <mergeCell ref="A382:B382"/>
    <mergeCell ref="A383:B383"/>
    <mergeCell ref="A384:B384"/>
    <mergeCell ref="A385:B385"/>
    <mergeCell ref="B399:G399"/>
    <mergeCell ref="C400:G400"/>
    <mergeCell ref="B401:G401"/>
    <mergeCell ref="A403:J403"/>
    <mergeCell ref="A392:B392"/>
    <mergeCell ref="A393:B393"/>
    <mergeCell ref="A394:B394"/>
    <mergeCell ref="B396:G396"/>
    <mergeCell ref="B397:G397"/>
    <mergeCell ref="B398:G398"/>
  </mergeCells>
  <phoneticPr fontId="3" type="noConversion"/>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7"/>
  <sheetViews>
    <sheetView zoomScaleNormal="100" workbookViewId="0">
      <pane xSplit="1" ySplit="6" topLeftCell="B7" activePane="bottomRight" state="frozen"/>
      <selection pane="topRight" activeCell="F21" sqref="F21"/>
      <selection pane="bottomLeft" activeCell="F21" sqref="F21"/>
      <selection pane="bottomRight" activeCell="F21" sqref="F21"/>
    </sheetView>
  </sheetViews>
  <sheetFormatPr baseColWidth="10" defaultColWidth="9" defaultRowHeight="14"/>
  <cols>
    <col min="1" max="1" width="9" style="63"/>
    <col min="2" max="4" width="21.3984375" style="63" customWidth="1"/>
    <col min="5" max="5" width="11.3984375" style="63" customWidth="1"/>
    <col min="6" max="6" width="9.3984375" style="63" bestFit="1" customWidth="1"/>
    <col min="7" max="7" width="9.19921875" style="63" bestFit="1" customWidth="1"/>
    <col min="8" max="257" width="9" style="63"/>
    <col min="258" max="260" width="21.3984375" style="63" customWidth="1"/>
    <col min="261" max="261" width="11.3984375" style="63" customWidth="1"/>
    <col min="262" max="262" width="9.3984375" style="63" bestFit="1" customWidth="1"/>
    <col min="263" max="263" width="9.19921875" style="63" bestFit="1" customWidth="1"/>
    <col min="264" max="513" width="9" style="63"/>
    <col min="514" max="516" width="21.3984375" style="63" customWidth="1"/>
    <col min="517" max="517" width="11.3984375" style="63" customWidth="1"/>
    <col min="518" max="518" width="9.3984375" style="63" bestFit="1" customWidth="1"/>
    <col min="519" max="519" width="9.19921875" style="63" bestFit="1" customWidth="1"/>
    <col min="520" max="769" width="9" style="63"/>
    <col min="770" max="772" width="21.3984375" style="63" customWidth="1"/>
    <col min="773" max="773" width="11.3984375" style="63" customWidth="1"/>
    <col min="774" max="774" width="9.3984375" style="63" bestFit="1" customWidth="1"/>
    <col min="775" max="775" width="9.19921875" style="63" bestFit="1" customWidth="1"/>
    <col min="776" max="1025" width="9" style="63"/>
    <col min="1026" max="1028" width="21.3984375" style="63" customWidth="1"/>
    <col min="1029" max="1029" width="11.3984375" style="63" customWidth="1"/>
    <col min="1030" max="1030" width="9.3984375" style="63" bestFit="1" customWidth="1"/>
    <col min="1031" max="1031" width="9.19921875" style="63" bestFit="1" customWidth="1"/>
    <col min="1032" max="1281" width="9" style="63"/>
    <col min="1282" max="1284" width="21.3984375" style="63" customWidth="1"/>
    <col min="1285" max="1285" width="11.3984375" style="63" customWidth="1"/>
    <col min="1286" max="1286" width="9.3984375" style="63" bestFit="1" customWidth="1"/>
    <col min="1287" max="1287" width="9.19921875" style="63" bestFit="1" customWidth="1"/>
    <col min="1288" max="1537" width="9" style="63"/>
    <col min="1538" max="1540" width="21.3984375" style="63" customWidth="1"/>
    <col min="1541" max="1541" width="11.3984375" style="63" customWidth="1"/>
    <col min="1542" max="1542" width="9.3984375" style="63" bestFit="1" customWidth="1"/>
    <col min="1543" max="1543" width="9.19921875" style="63" bestFit="1" customWidth="1"/>
    <col min="1544" max="1793" width="9" style="63"/>
    <col min="1794" max="1796" width="21.3984375" style="63" customWidth="1"/>
    <col min="1797" max="1797" width="11.3984375" style="63" customWidth="1"/>
    <col min="1798" max="1798" width="9.3984375" style="63" bestFit="1" customWidth="1"/>
    <col min="1799" max="1799" width="9.19921875" style="63" bestFit="1" customWidth="1"/>
    <col min="1800" max="2049" width="9" style="63"/>
    <col min="2050" max="2052" width="21.3984375" style="63" customWidth="1"/>
    <col min="2053" max="2053" width="11.3984375" style="63" customWidth="1"/>
    <col min="2054" max="2054" width="9.3984375" style="63" bestFit="1" customWidth="1"/>
    <col min="2055" max="2055" width="9.19921875" style="63" bestFit="1" customWidth="1"/>
    <col min="2056" max="2305" width="9" style="63"/>
    <col min="2306" max="2308" width="21.3984375" style="63" customWidth="1"/>
    <col min="2309" max="2309" width="11.3984375" style="63" customWidth="1"/>
    <col min="2310" max="2310" width="9.3984375" style="63" bestFit="1" customWidth="1"/>
    <col min="2311" max="2311" width="9.19921875" style="63" bestFit="1" customWidth="1"/>
    <col min="2312" max="2561" width="9" style="63"/>
    <col min="2562" max="2564" width="21.3984375" style="63" customWidth="1"/>
    <col min="2565" max="2565" width="11.3984375" style="63" customWidth="1"/>
    <col min="2566" max="2566" width="9.3984375" style="63" bestFit="1" customWidth="1"/>
    <col min="2567" max="2567" width="9.19921875" style="63" bestFit="1" customWidth="1"/>
    <col min="2568" max="2817" width="9" style="63"/>
    <col min="2818" max="2820" width="21.3984375" style="63" customWidth="1"/>
    <col min="2821" max="2821" width="11.3984375" style="63" customWidth="1"/>
    <col min="2822" max="2822" width="9.3984375" style="63" bestFit="1" customWidth="1"/>
    <col min="2823" max="2823" width="9.19921875" style="63" bestFit="1" customWidth="1"/>
    <col min="2824" max="3073" width="9" style="63"/>
    <col min="3074" max="3076" width="21.3984375" style="63" customWidth="1"/>
    <col min="3077" max="3077" width="11.3984375" style="63" customWidth="1"/>
    <col min="3078" max="3078" width="9.3984375" style="63" bestFit="1" customWidth="1"/>
    <col min="3079" max="3079" width="9.19921875" style="63" bestFit="1" customWidth="1"/>
    <col min="3080" max="3329" width="9" style="63"/>
    <col min="3330" max="3332" width="21.3984375" style="63" customWidth="1"/>
    <col min="3333" max="3333" width="11.3984375" style="63" customWidth="1"/>
    <col min="3334" max="3334" width="9.3984375" style="63" bestFit="1" customWidth="1"/>
    <col min="3335" max="3335" width="9.19921875" style="63" bestFit="1" customWidth="1"/>
    <col min="3336" max="3585" width="9" style="63"/>
    <col min="3586" max="3588" width="21.3984375" style="63" customWidth="1"/>
    <col min="3589" max="3589" width="11.3984375" style="63" customWidth="1"/>
    <col min="3590" max="3590" width="9.3984375" style="63" bestFit="1" customWidth="1"/>
    <col min="3591" max="3591" width="9.19921875" style="63" bestFit="1" customWidth="1"/>
    <col min="3592" max="3841" width="9" style="63"/>
    <col min="3842" max="3844" width="21.3984375" style="63" customWidth="1"/>
    <col min="3845" max="3845" width="11.3984375" style="63" customWidth="1"/>
    <col min="3846" max="3846" width="9.3984375" style="63" bestFit="1" customWidth="1"/>
    <col min="3847" max="3847" width="9.19921875" style="63" bestFit="1" customWidth="1"/>
    <col min="3848" max="4097" width="9" style="63"/>
    <col min="4098" max="4100" width="21.3984375" style="63" customWidth="1"/>
    <col min="4101" max="4101" width="11.3984375" style="63" customWidth="1"/>
    <col min="4102" max="4102" width="9.3984375" style="63" bestFit="1" customWidth="1"/>
    <col min="4103" max="4103" width="9.19921875" style="63" bestFit="1" customWidth="1"/>
    <col min="4104" max="4353" width="9" style="63"/>
    <col min="4354" max="4356" width="21.3984375" style="63" customWidth="1"/>
    <col min="4357" max="4357" width="11.3984375" style="63" customWidth="1"/>
    <col min="4358" max="4358" width="9.3984375" style="63" bestFit="1" customWidth="1"/>
    <col min="4359" max="4359" width="9.19921875" style="63" bestFit="1" customWidth="1"/>
    <col min="4360" max="4609" width="9" style="63"/>
    <col min="4610" max="4612" width="21.3984375" style="63" customWidth="1"/>
    <col min="4613" max="4613" width="11.3984375" style="63" customWidth="1"/>
    <col min="4614" max="4614" width="9.3984375" style="63" bestFit="1" customWidth="1"/>
    <col min="4615" max="4615" width="9.19921875" style="63" bestFit="1" customWidth="1"/>
    <col min="4616" max="4865" width="9" style="63"/>
    <col min="4866" max="4868" width="21.3984375" style="63" customWidth="1"/>
    <col min="4869" max="4869" width="11.3984375" style="63" customWidth="1"/>
    <col min="4870" max="4870" width="9.3984375" style="63" bestFit="1" customWidth="1"/>
    <col min="4871" max="4871" width="9.19921875" style="63" bestFit="1" customWidth="1"/>
    <col min="4872" max="5121" width="9" style="63"/>
    <col min="5122" max="5124" width="21.3984375" style="63" customWidth="1"/>
    <col min="5125" max="5125" width="11.3984375" style="63" customWidth="1"/>
    <col min="5126" max="5126" width="9.3984375" style="63" bestFit="1" customWidth="1"/>
    <col min="5127" max="5127" width="9.19921875" style="63" bestFit="1" customWidth="1"/>
    <col min="5128" max="5377" width="9" style="63"/>
    <col min="5378" max="5380" width="21.3984375" style="63" customWidth="1"/>
    <col min="5381" max="5381" width="11.3984375" style="63" customWidth="1"/>
    <col min="5382" max="5382" width="9.3984375" style="63" bestFit="1" customWidth="1"/>
    <col min="5383" max="5383" width="9.19921875" style="63" bestFit="1" customWidth="1"/>
    <col min="5384" max="5633" width="9" style="63"/>
    <col min="5634" max="5636" width="21.3984375" style="63" customWidth="1"/>
    <col min="5637" max="5637" width="11.3984375" style="63" customWidth="1"/>
    <col min="5638" max="5638" width="9.3984375" style="63" bestFit="1" customWidth="1"/>
    <col min="5639" max="5639" width="9.19921875" style="63" bestFit="1" customWidth="1"/>
    <col min="5640" max="5889" width="9" style="63"/>
    <col min="5890" max="5892" width="21.3984375" style="63" customWidth="1"/>
    <col min="5893" max="5893" width="11.3984375" style="63" customWidth="1"/>
    <col min="5894" max="5894" width="9.3984375" style="63" bestFit="1" customWidth="1"/>
    <col min="5895" max="5895" width="9.19921875" style="63" bestFit="1" customWidth="1"/>
    <col min="5896" max="6145" width="9" style="63"/>
    <col min="6146" max="6148" width="21.3984375" style="63" customWidth="1"/>
    <col min="6149" max="6149" width="11.3984375" style="63" customWidth="1"/>
    <col min="6150" max="6150" width="9.3984375" style="63" bestFit="1" customWidth="1"/>
    <col min="6151" max="6151" width="9.19921875" style="63" bestFit="1" customWidth="1"/>
    <col min="6152" max="6401" width="9" style="63"/>
    <col min="6402" max="6404" width="21.3984375" style="63" customWidth="1"/>
    <col min="6405" max="6405" width="11.3984375" style="63" customWidth="1"/>
    <col min="6406" max="6406" width="9.3984375" style="63" bestFit="1" customWidth="1"/>
    <col min="6407" max="6407" width="9.19921875" style="63" bestFit="1" customWidth="1"/>
    <col min="6408" max="6657" width="9" style="63"/>
    <col min="6658" max="6660" width="21.3984375" style="63" customWidth="1"/>
    <col min="6661" max="6661" width="11.3984375" style="63" customWidth="1"/>
    <col min="6662" max="6662" width="9.3984375" style="63" bestFit="1" customWidth="1"/>
    <col min="6663" max="6663" width="9.19921875" style="63" bestFit="1" customWidth="1"/>
    <col min="6664" max="6913" width="9" style="63"/>
    <col min="6914" max="6916" width="21.3984375" style="63" customWidth="1"/>
    <col min="6917" max="6917" width="11.3984375" style="63" customWidth="1"/>
    <col min="6918" max="6918" width="9.3984375" style="63" bestFit="1" customWidth="1"/>
    <col min="6919" max="6919" width="9.19921875" style="63" bestFit="1" customWidth="1"/>
    <col min="6920" max="7169" width="9" style="63"/>
    <col min="7170" max="7172" width="21.3984375" style="63" customWidth="1"/>
    <col min="7173" max="7173" width="11.3984375" style="63" customWidth="1"/>
    <col min="7174" max="7174" width="9.3984375" style="63" bestFit="1" customWidth="1"/>
    <col min="7175" max="7175" width="9.19921875" style="63" bestFit="1" customWidth="1"/>
    <col min="7176" max="7425" width="9" style="63"/>
    <col min="7426" max="7428" width="21.3984375" style="63" customWidth="1"/>
    <col min="7429" max="7429" width="11.3984375" style="63" customWidth="1"/>
    <col min="7430" max="7430" width="9.3984375" style="63" bestFit="1" customWidth="1"/>
    <col min="7431" max="7431" width="9.19921875" style="63" bestFit="1" customWidth="1"/>
    <col min="7432" max="7681" width="9" style="63"/>
    <col min="7682" max="7684" width="21.3984375" style="63" customWidth="1"/>
    <col min="7685" max="7685" width="11.3984375" style="63" customWidth="1"/>
    <col min="7686" max="7686" width="9.3984375" style="63" bestFit="1" customWidth="1"/>
    <col min="7687" max="7687" width="9.19921875" style="63" bestFit="1" customWidth="1"/>
    <col min="7688" max="7937" width="9" style="63"/>
    <col min="7938" max="7940" width="21.3984375" style="63" customWidth="1"/>
    <col min="7941" max="7941" width="11.3984375" style="63" customWidth="1"/>
    <col min="7942" max="7942" width="9.3984375" style="63" bestFit="1" customWidth="1"/>
    <col min="7943" max="7943" width="9.19921875" style="63" bestFit="1" customWidth="1"/>
    <col min="7944" max="8193" width="9" style="63"/>
    <col min="8194" max="8196" width="21.3984375" style="63" customWidth="1"/>
    <col min="8197" max="8197" width="11.3984375" style="63" customWidth="1"/>
    <col min="8198" max="8198" width="9.3984375" style="63" bestFit="1" customWidth="1"/>
    <col min="8199" max="8199" width="9.19921875" style="63" bestFit="1" customWidth="1"/>
    <col min="8200" max="8449" width="9" style="63"/>
    <col min="8450" max="8452" width="21.3984375" style="63" customWidth="1"/>
    <col min="8453" max="8453" width="11.3984375" style="63" customWidth="1"/>
    <col min="8454" max="8454" width="9.3984375" style="63" bestFit="1" customWidth="1"/>
    <col min="8455" max="8455" width="9.19921875" style="63" bestFit="1" customWidth="1"/>
    <col min="8456" max="8705" width="9" style="63"/>
    <col min="8706" max="8708" width="21.3984375" style="63" customWidth="1"/>
    <col min="8709" max="8709" width="11.3984375" style="63" customWidth="1"/>
    <col min="8710" max="8710" width="9.3984375" style="63" bestFit="1" customWidth="1"/>
    <col min="8711" max="8711" width="9.19921875" style="63" bestFit="1" customWidth="1"/>
    <col min="8712" max="8961" width="9" style="63"/>
    <col min="8962" max="8964" width="21.3984375" style="63" customWidth="1"/>
    <col min="8965" max="8965" width="11.3984375" style="63" customWidth="1"/>
    <col min="8966" max="8966" width="9.3984375" style="63" bestFit="1" customWidth="1"/>
    <col min="8967" max="8967" width="9.19921875" style="63" bestFit="1" customWidth="1"/>
    <col min="8968" max="9217" width="9" style="63"/>
    <col min="9218" max="9220" width="21.3984375" style="63" customWidth="1"/>
    <col min="9221" max="9221" width="11.3984375" style="63" customWidth="1"/>
    <col min="9222" max="9222" width="9.3984375" style="63" bestFit="1" customWidth="1"/>
    <col min="9223" max="9223" width="9.19921875" style="63" bestFit="1" customWidth="1"/>
    <col min="9224" max="9473" width="9" style="63"/>
    <col min="9474" max="9476" width="21.3984375" style="63" customWidth="1"/>
    <col min="9477" max="9477" width="11.3984375" style="63" customWidth="1"/>
    <col min="9478" max="9478" width="9.3984375" style="63" bestFit="1" customWidth="1"/>
    <col min="9479" max="9479" width="9.19921875" style="63" bestFit="1" customWidth="1"/>
    <col min="9480" max="9729" width="9" style="63"/>
    <col min="9730" max="9732" width="21.3984375" style="63" customWidth="1"/>
    <col min="9733" max="9733" width="11.3984375" style="63" customWidth="1"/>
    <col min="9734" max="9734" width="9.3984375" style="63" bestFit="1" customWidth="1"/>
    <col min="9735" max="9735" width="9.19921875" style="63" bestFit="1" customWidth="1"/>
    <col min="9736" max="9985" width="9" style="63"/>
    <col min="9986" max="9988" width="21.3984375" style="63" customWidth="1"/>
    <col min="9989" max="9989" width="11.3984375" style="63" customWidth="1"/>
    <col min="9990" max="9990" width="9.3984375" style="63" bestFit="1" customWidth="1"/>
    <col min="9991" max="9991" width="9.19921875" style="63" bestFit="1" customWidth="1"/>
    <col min="9992" max="10241" width="9" style="63"/>
    <col min="10242" max="10244" width="21.3984375" style="63" customWidth="1"/>
    <col min="10245" max="10245" width="11.3984375" style="63" customWidth="1"/>
    <col min="10246" max="10246" width="9.3984375" style="63" bestFit="1" customWidth="1"/>
    <col min="10247" max="10247" width="9.19921875" style="63" bestFit="1" customWidth="1"/>
    <col min="10248" max="10497" width="9" style="63"/>
    <col min="10498" max="10500" width="21.3984375" style="63" customWidth="1"/>
    <col min="10501" max="10501" width="11.3984375" style="63" customWidth="1"/>
    <col min="10502" max="10502" width="9.3984375" style="63" bestFit="1" customWidth="1"/>
    <col min="10503" max="10503" width="9.19921875" style="63" bestFit="1" customWidth="1"/>
    <col min="10504" max="10753" width="9" style="63"/>
    <col min="10754" max="10756" width="21.3984375" style="63" customWidth="1"/>
    <col min="10757" max="10757" width="11.3984375" style="63" customWidth="1"/>
    <col min="10758" max="10758" width="9.3984375" style="63" bestFit="1" customWidth="1"/>
    <col min="10759" max="10759" width="9.19921875" style="63" bestFit="1" customWidth="1"/>
    <col min="10760" max="11009" width="9" style="63"/>
    <col min="11010" max="11012" width="21.3984375" style="63" customWidth="1"/>
    <col min="11013" max="11013" width="11.3984375" style="63" customWidth="1"/>
    <col min="11014" max="11014" width="9.3984375" style="63" bestFit="1" customWidth="1"/>
    <col min="11015" max="11015" width="9.19921875" style="63" bestFit="1" customWidth="1"/>
    <col min="11016" max="11265" width="9" style="63"/>
    <col min="11266" max="11268" width="21.3984375" style="63" customWidth="1"/>
    <col min="11269" max="11269" width="11.3984375" style="63" customWidth="1"/>
    <col min="11270" max="11270" width="9.3984375" style="63" bestFit="1" customWidth="1"/>
    <col min="11271" max="11271" width="9.19921875" style="63" bestFit="1" customWidth="1"/>
    <col min="11272" max="11521" width="9" style="63"/>
    <col min="11522" max="11524" width="21.3984375" style="63" customWidth="1"/>
    <col min="11525" max="11525" width="11.3984375" style="63" customWidth="1"/>
    <col min="11526" max="11526" width="9.3984375" style="63" bestFit="1" customWidth="1"/>
    <col min="11527" max="11527" width="9.19921875" style="63" bestFit="1" customWidth="1"/>
    <col min="11528" max="11777" width="9" style="63"/>
    <col min="11778" max="11780" width="21.3984375" style="63" customWidth="1"/>
    <col min="11781" max="11781" width="11.3984375" style="63" customWidth="1"/>
    <col min="11782" max="11782" width="9.3984375" style="63" bestFit="1" customWidth="1"/>
    <col min="11783" max="11783" width="9.19921875" style="63" bestFit="1" customWidth="1"/>
    <col min="11784" max="12033" width="9" style="63"/>
    <col min="12034" max="12036" width="21.3984375" style="63" customWidth="1"/>
    <col min="12037" max="12037" width="11.3984375" style="63" customWidth="1"/>
    <col min="12038" max="12038" width="9.3984375" style="63" bestFit="1" customWidth="1"/>
    <col min="12039" max="12039" width="9.19921875" style="63" bestFit="1" customWidth="1"/>
    <col min="12040" max="12289" width="9" style="63"/>
    <col min="12290" max="12292" width="21.3984375" style="63" customWidth="1"/>
    <col min="12293" max="12293" width="11.3984375" style="63" customWidth="1"/>
    <col min="12294" max="12294" width="9.3984375" style="63" bestFit="1" customWidth="1"/>
    <col min="12295" max="12295" width="9.19921875" style="63" bestFit="1" customWidth="1"/>
    <col min="12296" max="12545" width="9" style="63"/>
    <col min="12546" max="12548" width="21.3984375" style="63" customWidth="1"/>
    <col min="12549" max="12549" width="11.3984375" style="63" customWidth="1"/>
    <col min="12550" max="12550" width="9.3984375" style="63" bestFit="1" customWidth="1"/>
    <col min="12551" max="12551" width="9.19921875" style="63" bestFit="1" customWidth="1"/>
    <col min="12552" max="12801" width="9" style="63"/>
    <col min="12802" max="12804" width="21.3984375" style="63" customWidth="1"/>
    <col min="12805" max="12805" width="11.3984375" style="63" customWidth="1"/>
    <col min="12806" max="12806" width="9.3984375" style="63" bestFit="1" customWidth="1"/>
    <col min="12807" max="12807" width="9.19921875" style="63" bestFit="1" customWidth="1"/>
    <col min="12808" max="13057" width="9" style="63"/>
    <col min="13058" max="13060" width="21.3984375" style="63" customWidth="1"/>
    <col min="13061" max="13061" width="11.3984375" style="63" customWidth="1"/>
    <col min="13062" max="13062" width="9.3984375" style="63" bestFit="1" customWidth="1"/>
    <col min="13063" max="13063" width="9.19921875" style="63" bestFit="1" customWidth="1"/>
    <col min="13064" max="13313" width="9" style="63"/>
    <col min="13314" max="13316" width="21.3984375" style="63" customWidth="1"/>
    <col min="13317" max="13317" width="11.3984375" style="63" customWidth="1"/>
    <col min="13318" max="13318" width="9.3984375" style="63" bestFit="1" customWidth="1"/>
    <col min="13319" max="13319" width="9.19921875" style="63" bestFit="1" customWidth="1"/>
    <col min="13320" max="13569" width="9" style="63"/>
    <col min="13570" max="13572" width="21.3984375" style="63" customWidth="1"/>
    <col min="13573" max="13573" width="11.3984375" style="63" customWidth="1"/>
    <col min="13574" max="13574" width="9.3984375" style="63" bestFit="1" customWidth="1"/>
    <col min="13575" max="13575" width="9.19921875" style="63" bestFit="1" customWidth="1"/>
    <col min="13576" max="13825" width="9" style="63"/>
    <col min="13826" max="13828" width="21.3984375" style="63" customWidth="1"/>
    <col min="13829" max="13829" width="11.3984375" style="63" customWidth="1"/>
    <col min="13830" max="13830" width="9.3984375" style="63" bestFit="1" customWidth="1"/>
    <col min="13831" max="13831" width="9.19921875" style="63" bestFit="1" customWidth="1"/>
    <col min="13832" max="14081" width="9" style="63"/>
    <col min="14082" max="14084" width="21.3984375" style="63" customWidth="1"/>
    <col min="14085" max="14085" width="11.3984375" style="63" customWidth="1"/>
    <col min="14086" max="14086" width="9.3984375" style="63" bestFit="1" customWidth="1"/>
    <col min="14087" max="14087" width="9.19921875" style="63" bestFit="1" customWidth="1"/>
    <col min="14088" max="14337" width="9" style="63"/>
    <col min="14338" max="14340" width="21.3984375" style="63" customWidth="1"/>
    <col min="14341" max="14341" width="11.3984375" style="63" customWidth="1"/>
    <col min="14342" max="14342" width="9.3984375" style="63" bestFit="1" customWidth="1"/>
    <col min="14343" max="14343" width="9.19921875" style="63" bestFit="1" customWidth="1"/>
    <col min="14344" max="14593" width="9" style="63"/>
    <col min="14594" max="14596" width="21.3984375" style="63" customWidth="1"/>
    <col min="14597" max="14597" width="11.3984375" style="63" customWidth="1"/>
    <col min="14598" max="14598" width="9.3984375" style="63" bestFit="1" customWidth="1"/>
    <col min="14599" max="14599" width="9.19921875" style="63" bestFit="1" customWidth="1"/>
    <col min="14600" max="14849" width="9" style="63"/>
    <col min="14850" max="14852" width="21.3984375" style="63" customWidth="1"/>
    <col min="14853" max="14853" width="11.3984375" style="63" customWidth="1"/>
    <col min="14854" max="14854" width="9.3984375" style="63" bestFit="1" customWidth="1"/>
    <col min="14855" max="14855" width="9.19921875" style="63" bestFit="1" customWidth="1"/>
    <col min="14856" max="15105" width="9" style="63"/>
    <col min="15106" max="15108" width="21.3984375" style="63" customWidth="1"/>
    <col min="15109" max="15109" width="11.3984375" style="63" customWidth="1"/>
    <col min="15110" max="15110" width="9.3984375" style="63" bestFit="1" customWidth="1"/>
    <col min="15111" max="15111" width="9.19921875" style="63" bestFit="1" customWidth="1"/>
    <col min="15112" max="15361" width="9" style="63"/>
    <col min="15362" max="15364" width="21.3984375" style="63" customWidth="1"/>
    <col min="15365" max="15365" width="11.3984375" style="63" customWidth="1"/>
    <col min="15366" max="15366" width="9.3984375" style="63" bestFit="1" customWidth="1"/>
    <col min="15367" max="15367" width="9.19921875" style="63" bestFit="1" customWidth="1"/>
    <col min="15368" max="15617" width="9" style="63"/>
    <col min="15618" max="15620" width="21.3984375" style="63" customWidth="1"/>
    <col min="15621" max="15621" width="11.3984375" style="63" customWidth="1"/>
    <col min="15622" max="15622" width="9.3984375" style="63" bestFit="1" customWidth="1"/>
    <col min="15623" max="15623" width="9.19921875" style="63" bestFit="1" customWidth="1"/>
    <col min="15624" max="15873" width="9" style="63"/>
    <col min="15874" max="15876" width="21.3984375" style="63" customWidth="1"/>
    <col min="15877" max="15877" width="11.3984375" style="63" customWidth="1"/>
    <col min="15878" max="15878" width="9.3984375" style="63" bestFit="1" customWidth="1"/>
    <col min="15879" max="15879" width="9.19921875" style="63" bestFit="1" customWidth="1"/>
    <col min="15880" max="16129" width="9" style="63"/>
    <col min="16130" max="16132" width="21.3984375" style="63" customWidth="1"/>
    <col min="16133" max="16133" width="11.3984375" style="63" customWidth="1"/>
    <col min="16134" max="16134" width="9.3984375" style="63" bestFit="1" customWidth="1"/>
    <col min="16135" max="16135" width="9.19921875" style="63" bestFit="1" customWidth="1"/>
    <col min="16136" max="16384" width="9" style="63"/>
  </cols>
  <sheetData>
    <row r="1" spans="1:7" ht="20">
      <c r="A1" s="61" t="s">
        <v>473</v>
      </c>
      <c r="B1" s="62" t="s">
        <v>474</v>
      </c>
      <c r="E1"/>
    </row>
    <row r="2" spans="1:7" ht="18">
      <c r="A2" s="62" t="s">
        <v>475</v>
      </c>
      <c r="B2" s="62" t="s">
        <v>476</v>
      </c>
    </row>
    <row r="3" spans="1:7" ht="15" thickBot="1">
      <c r="A3" s="64"/>
    </row>
    <row r="4" spans="1:7" ht="17.25" customHeight="1">
      <c r="A4" s="65" t="s">
        <v>477</v>
      </c>
      <c r="B4" s="66" t="s">
        <v>478</v>
      </c>
      <c r="C4" s="66" t="s">
        <v>479</v>
      </c>
      <c r="D4" s="66" t="s">
        <v>480</v>
      </c>
    </row>
    <row r="5" spans="1:7" ht="45">
      <c r="A5" s="67" t="s">
        <v>481</v>
      </c>
      <c r="B5" s="68" t="s">
        <v>482</v>
      </c>
      <c r="C5" s="68" t="s">
        <v>483</v>
      </c>
      <c r="D5" s="68" t="s">
        <v>484</v>
      </c>
    </row>
    <row r="6" spans="1:7" ht="15" thickBot="1">
      <c r="A6" s="69"/>
      <c r="B6" s="70"/>
      <c r="C6" s="71"/>
      <c r="D6" s="70"/>
    </row>
    <row r="7" spans="1:7">
      <c r="A7" s="72">
        <v>1981</v>
      </c>
      <c r="B7" s="73">
        <v>1244700</v>
      </c>
      <c r="C7" s="73" t="s">
        <v>485</v>
      </c>
      <c r="D7" s="74">
        <v>3.9</v>
      </c>
      <c r="E7" s="75"/>
      <c r="F7" s="75"/>
      <c r="G7" s="75"/>
    </row>
    <row r="8" spans="1:7">
      <c r="A8" s="72">
        <v>1986</v>
      </c>
      <c r="B8" s="73">
        <v>1452600</v>
      </c>
      <c r="C8" s="73">
        <v>41600</v>
      </c>
      <c r="D8" s="74">
        <v>3.7</v>
      </c>
      <c r="E8" s="75"/>
      <c r="F8" s="75"/>
      <c r="G8" s="75"/>
    </row>
    <row r="9" spans="1:7">
      <c r="A9" s="72">
        <v>1991</v>
      </c>
      <c r="B9" s="73">
        <v>1582200</v>
      </c>
      <c r="C9" s="73">
        <v>25900</v>
      </c>
      <c r="D9" s="74">
        <v>3.4</v>
      </c>
      <c r="E9" s="75"/>
      <c r="F9" s="75"/>
      <c r="G9" s="75"/>
    </row>
    <row r="10" spans="1:7">
      <c r="A10" s="72">
        <v>1996</v>
      </c>
      <c r="B10" s="73">
        <v>1855600</v>
      </c>
      <c r="C10" s="73">
        <v>54700</v>
      </c>
      <c r="D10" s="74">
        <v>3.3</v>
      </c>
      <c r="E10" s="75"/>
      <c r="F10" s="75"/>
      <c r="G10" s="75"/>
    </row>
    <row r="11" spans="1:7">
      <c r="A11" s="72">
        <v>2001</v>
      </c>
      <c r="B11" s="73">
        <v>2053400</v>
      </c>
      <c r="C11" s="73">
        <v>39600</v>
      </c>
      <c r="D11" s="74">
        <v>3.1</v>
      </c>
      <c r="E11" s="75"/>
      <c r="F11" s="75"/>
      <c r="G11" s="75"/>
    </row>
    <row r="12" spans="1:7">
      <c r="A12" s="72">
        <v>2006</v>
      </c>
      <c r="B12" s="73">
        <v>2226500</v>
      </c>
      <c r="C12" s="73">
        <v>34600</v>
      </c>
      <c r="D12" s="74">
        <v>3</v>
      </c>
      <c r="E12" s="75"/>
      <c r="F12" s="75"/>
      <c r="G12" s="75"/>
    </row>
    <row r="13" spans="1:7">
      <c r="A13" s="72">
        <v>2011</v>
      </c>
      <c r="B13" s="73">
        <v>2368800</v>
      </c>
      <c r="C13" s="73">
        <v>28500</v>
      </c>
      <c r="D13" s="74">
        <v>2.9</v>
      </c>
      <c r="E13" s="75"/>
      <c r="F13" s="75"/>
      <c r="G13" s="75"/>
    </row>
    <row r="14" spans="1:7" ht="15" thickBot="1">
      <c r="A14" s="76">
        <v>2016</v>
      </c>
      <c r="B14" s="77">
        <v>2509700</v>
      </c>
      <c r="C14" s="78">
        <v>28200</v>
      </c>
      <c r="D14" s="79">
        <v>2.8</v>
      </c>
    </row>
    <row r="15" spans="1:7">
      <c r="A15" s="72">
        <v>2021</v>
      </c>
      <c r="B15" s="73">
        <v>2657000</v>
      </c>
      <c r="C15" s="73">
        <v>29400</v>
      </c>
      <c r="D15" s="74">
        <v>2.8</v>
      </c>
      <c r="E15" s="75"/>
      <c r="F15" s="75"/>
      <c r="G15" s="75"/>
    </row>
    <row r="16" spans="1:7">
      <c r="A16" s="72">
        <v>2026</v>
      </c>
      <c r="B16" s="73">
        <v>2768900</v>
      </c>
      <c r="C16" s="73">
        <v>22400</v>
      </c>
      <c r="D16" s="74">
        <v>2.7</v>
      </c>
      <c r="E16" s="75"/>
      <c r="F16" s="75"/>
      <c r="G16" s="75"/>
    </row>
    <row r="17" spans="1:7">
      <c r="A17" s="72">
        <v>2031</v>
      </c>
      <c r="B17" s="73">
        <v>2854500</v>
      </c>
      <c r="C17" s="73">
        <v>17100</v>
      </c>
      <c r="D17" s="74">
        <v>2.7</v>
      </c>
      <c r="E17" s="75"/>
      <c r="F17" s="75"/>
      <c r="G17" s="75"/>
    </row>
    <row r="18" spans="1:7">
      <c r="A18" s="72">
        <v>2036</v>
      </c>
      <c r="B18" s="73">
        <v>2920200</v>
      </c>
      <c r="C18" s="73">
        <v>13100</v>
      </c>
      <c r="D18" s="74">
        <v>2.7</v>
      </c>
      <c r="E18" s="75"/>
      <c r="F18" s="75"/>
      <c r="G18" s="75"/>
    </row>
    <row r="19" spans="1:7">
      <c r="A19" s="72">
        <v>2041</v>
      </c>
      <c r="B19" s="73">
        <v>2961400</v>
      </c>
      <c r="C19" s="73">
        <v>8200</v>
      </c>
      <c r="D19" s="74">
        <v>2.7</v>
      </c>
      <c r="E19" s="75"/>
      <c r="F19" s="75"/>
      <c r="G19" s="75"/>
    </row>
    <row r="20" spans="1:7">
      <c r="A20" s="72">
        <v>2046</v>
      </c>
      <c r="B20" s="73">
        <v>2972300</v>
      </c>
      <c r="C20" s="73">
        <v>2200</v>
      </c>
      <c r="D20" s="74">
        <v>2.7</v>
      </c>
      <c r="E20" s="75"/>
      <c r="F20" s="75"/>
      <c r="G20" s="75"/>
    </row>
    <row r="21" spans="1:7" ht="15" thickBot="1">
      <c r="A21" s="80">
        <v>2051</v>
      </c>
      <c r="B21" s="81">
        <v>2949500</v>
      </c>
      <c r="C21" s="81">
        <v>-4500</v>
      </c>
      <c r="D21" s="82">
        <v>2.7</v>
      </c>
      <c r="E21" s="75"/>
      <c r="F21" s="75"/>
      <c r="G21" s="75"/>
    </row>
    <row r="22" spans="1:7">
      <c r="A22" s="72"/>
      <c r="B22" s="73"/>
      <c r="C22" s="73"/>
      <c r="D22" s="74"/>
      <c r="E22" s="75"/>
      <c r="F22" s="75"/>
      <c r="G22" s="75"/>
    </row>
    <row r="23" spans="1:7" ht="23.5" customHeight="1">
      <c r="A23" s="83" t="s">
        <v>486</v>
      </c>
      <c r="B23" s="84" t="s">
        <v>487</v>
      </c>
      <c r="C23" s="85"/>
      <c r="D23" s="85"/>
    </row>
    <row r="24" spans="1:7" ht="83.25" customHeight="1">
      <c r="A24" s="85"/>
      <c r="B24" s="584" t="s">
        <v>488</v>
      </c>
      <c r="C24" s="585"/>
      <c r="D24" s="585"/>
    </row>
    <row r="25" spans="1:7">
      <c r="A25" s="85"/>
      <c r="B25" s="85"/>
      <c r="C25" s="85"/>
      <c r="D25" s="85"/>
    </row>
    <row r="26" spans="1:7" ht="23.5" customHeight="1">
      <c r="A26" s="85" t="s">
        <v>489</v>
      </c>
      <c r="B26" s="85" t="s">
        <v>490</v>
      </c>
      <c r="C26" s="85"/>
      <c r="D26" s="85"/>
    </row>
    <row r="27" spans="1:7" ht="78.75" customHeight="1">
      <c r="A27" s="85"/>
      <c r="B27" s="585" t="s">
        <v>491</v>
      </c>
      <c r="C27" s="585"/>
      <c r="D27" s="585"/>
    </row>
  </sheetData>
  <mergeCells count="2">
    <mergeCell ref="B24:D24"/>
    <mergeCell ref="B27:D27"/>
  </mergeCells>
  <phoneticPr fontId="3" type="noConversion"/>
  <pageMargins left="0.70866141732283472" right="0.70866141732283472"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A1:H42"/>
  <sheetViews>
    <sheetView topLeftCell="A12" zoomScale="142" zoomScaleNormal="100" workbookViewId="0">
      <selection activeCell="L30" sqref="L30"/>
    </sheetView>
  </sheetViews>
  <sheetFormatPr baseColWidth="10" defaultColWidth="8.796875" defaultRowHeight="14"/>
  <sheetData>
    <row r="1" spans="1:8" ht="22">
      <c r="A1" s="100" t="s">
        <v>492</v>
      </c>
    </row>
    <row r="2" spans="1:8">
      <c r="A2" t="s">
        <v>493</v>
      </c>
      <c r="B2" t="s">
        <v>494</v>
      </c>
    </row>
    <row r="3" spans="1:8">
      <c r="A3" t="s">
        <v>495</v>
      </c>
    </row>
    <row r="4" spans="1:8" ht="20.25" customHeight="1">
      <c r="A4" s="2" t="s">
        <v>496</v>
      </c>
      <c r="B4" s="588" t="s">
        <v>497</v>
      </c>
      <c r="C4" s="589"/>
      <c r="D4" s="590" t="s">
        <v>498</v>
      </c>
      <c r="E4" s="591"/>
      <c r="F4" s="586" t="s">
        <v>499</v>
      </c>
      <c r="G4" s="587"/>
      <c r="H4" s="7" t="s">
        <v>500</v>
      </c>
    </row>
    <row r="5" spans="1:8">
      <c r="A5" s="12">
        <v>2006</v>
      </c>
      <c r="B5" s="8">
        <v>18476</v>
      </c>
      <c r="C5" s="13">
        <v>0.34</v>
      </c>
      <c r="D5" s="16">
        <v>79</v>
      </c>
      <c r="E5" s="5">
        <v>0</v>
      </c>
      <c r="F5" s="14">
        <v>35428</v>
      </c>
      <c r="G5" s="15">
        <v>0.66</v>
      </c>
      <c r="H5" s="11">
        <v>53982</v>
      </c>
    </row>
    <row r="6" spans="1:8">
      <c r="A6" s="12">
        <v>2007</v>
      </c>
      <c r="B6" s="8">
        <v>18238</v>
      </c>
      <c r="C6" s="13">
        <v>0.33</v>
      </c>
      <c r="D6" s="16">
        <v>57</v>
      </c>
      <c r="E6" s="5">
        <v>0</v>
      </c>
      <c r="F6" s="14">
        <v>36422</v>
      </c>
      <c r="G6" s="15">
        <v>0.67</v>
      </c>
      <c r="H6" s="11">
        <v>54717</v>
      </c>
    </row>
    <row r="7" spans="1:8">
      <c r="A7" s="12">
        <v>2008</v>
      </c>
      <c r="B7" s="8">
        <v>18708</v>
      </c>
      <c r="C7" s="13">
        <v>0.33</v>
      </c>
      <c r="D7" s="16">
        <v>41</v>
      </c>
      <c r="E7" s="5">
        <v>0</v>
      </c>
      <c r="F7" s="14">
        <v>37100</v>
      </c>
      <c r="G7" s="15">
        <v>0.66</v>
      </c>
      <c r="H7" s="11">
        <v>55849</v>
      </c>
    </row>
    <row r="8" spans="1:8">
      <c r="A8" s="12">
        <v>2009</v>
      </c>
      <c r="B8" s="8">
        <v>18736</v>
      </c>
      <c r="C8" s="13">
        <v>0.32</v>
      </c>
      <c r="D8" s="16">
        <v>23</v>
      </c>
      <c r="E8" s="5">
        <v>0</v>
      </c>
      <c r="F8" s="14">
        <v>38972</v>
      </c>
      <c r="G8" s="15">
        <v>0.68</v>
      </c>
      <c r="H8" s="11">
        <v>57731</v>
      </c>
    </row>
    <row r="9" spans="1:8">
      <c r="A9" s="12">
        <v>2010</v>
      </c>
      <c r="B9" s="8">
        <v>19038</v>
      </c>
      <c r="C9" s="13">
        <v>0.33</v>
      </c>
      <c r="D9" s="16">
        <v>13</v>
      </c>
      <c r="E9" s="5">
        <v>0</v>
      </c>
      <c r="F9" s="14">
        <v>39344</v>
      </c>
      <c r="G9" s="15">
        <v>0.67</v>
      </c>
      <c r="H9" s="11">
        <v>58396</v>
      </c>
    </row>
    <row r="10" spans="1:8">
      <c r="A10" s="12">
        <v>2011</v>
      </c>
      <c r="B10" s="8">
        <v>18977</v>
      </c>
      <c r="C10" s="13">
        <v>0.32</v>
      </c>
      <c r="D10" s="16">
        <v>8</v>
      </c>
      <c r="E10" s="5">
        <v>0</v>
      </c>
      <c r="F10" s="495">
        <v>39872</v>
      </c>
      <c r="G10" s="523">
        <v>0.68</v>
      </c>
      <c r="H10" s="11">
        <v>58857</v>
      </c>
    </row>
    <row r="11" spans="1:8">
      <c r="A11" s="12">
        <v>2012</v>
      </c>
      <c r="B11" s="8">
        <v>18841</v>
      </c>
      <c r="C11" s="13">
        <v>0.31</v>
      </c>
      <c r="D11" s="16">
        <v>8</v>
      </c>
      <c r="E11" s="5">
        <v>0</v>
      </c>
      <c r="F11" s="495">
        <v>41189</v>
      </c>
      <c r="G11" s="523">
        <v>0.69</v>
      </c>
      <c r="H11" s="11">
        <v>60037</v>
      </c>
    </row>
    <row r="12" spans="1:8">
      <c r="A12" s="12">
        <v>2013</v>
      </c>
      <c r="B12" s="8">
        <v>18635</v>
      </c>
      <c r="C12" s="13">
        <v>0.32</v>
      </c>
      <c r="D12" s="16">
        <v>7</v>
      </c>
      <c r="E12" s="5">
        <v>0</v>
      </c>
      <c r="F12" s="495">
        <v>39941</v>
      </c>
      <c r="G12" s="523">
        <v>0.68</v>
      </c>
      <c r="H12" s="11">
        <v>58582</v>
      </c>
    </row>
    <row r="13" spans="1:8">
      <c r="A13" s="12">
        <v>2014</v>
      </c>
      <c r="B13" s="8">
        <v>18681</v>
      </c>
      <c r="C13" s="13">
        <v>0.3</v>
      </c>
      <c r="D13" s="16">
        <v>7</v>
      </c>
      <c r="E13" s="5">
        <v>0</v>
      </c>
      <c r="F13" s="496">
        <v>43415</v>
      </c>
      <c r="G13" s="523">
        <v>0.7</v>
      </c>
      <c r="H13" s="11">
        <v>62103</v>
      </c>
    </row>
    <row r="14" spans="1:8">
      <c r="A14" s="12">
        <v>2015</v>
      </c>
      <c r="B14" s="8">
        <v>18063</v>
      </c>
      <c r="C14" s="13">
        <v>0.3</v>
      </c>
      <c r="D14" s="16">
        <v>8</v>
      </c>
      <c r="E14" s="5">
        <v>0</v>
      </c>
      <c r="F14" s="496">
        <v>42368</v>
      </c>
      <c r="G14" s="523">
        <v>0.7</v>
      </c>
      <c r="H14" s="11">
        <v>60439</v>
      </c>
    </row>
    <row r="15" spans="1:8">
      <c r="A15" s="12">
        <v>2016</v>
      </c>
      <c r="B15" s="8">
        <v>18574</v>
      </c>
      <c r="C15" s="13">
        <v>0.3</v>
      </c>
      <c r="D15" s="16">
        <v>10</v>
      </c>
      <c r="E15" s="5">
        <v>0</v>
      </c>
      <c r="F15" s="496">
        <v>43120</v>
      </c>
      <c r="G15" s="523">
        <v>0.7</v>
      </c>
      <c r="H15" s="11">
        <v>61704</v>
      </c>
    </row>
    <row r="16" spans="1:8">
      <c r="A16" s="12">
        <v>2017</v>
      </c>
      <c r="B16" s="8">
        <v>18335</v>
      </c>
      <c r="C16" s="13">
        <v>0.3</v>
      </c>
      <c r="D16" s="494">
        <v>14</v>
      </c>
      <c r="E16" s="5">
        <v>0</v>
      </c>
      <c r="F16" s="496">
        <v>42127</v>
      </c>
      <c r="G16" s="523">
        <v>0.7</v>
      </c>
      <c r="H16" s="11">
        <v>60476</v>
      </c>
    </row>
    <row r="17" spans="1:8">
      <c r="A17" s="12">
        <v>2018</v>
      </c>
      <c r="B17" s="8">
        <v>19577</v>
      </c>
      <c r="C17" s="13">
        <v>0.32</v>
      </c>
      <c r="D17" s="494">
        <v>14</v>
      </c>
      <c r="E17" s="5">
        <v>0</v>
      </c>
      <c r="F17" s="496">
        <v>41965</v>
      </c>
      <c r="G17" s="523">
        <v>0.68</v>
      </c>
      <c r="H17" s="11">
        <v>61557</v>
      </c>
    </row>
    <row r="18" spans="1:8">
      <c r="A18" s="12">
        <v>2019</v>
      </c>
      <c r="B18" s="8">
        <v>18070</v>
      </c>
      <c r="C18" s="13">
        <v>0.3</v>
      </c>
      <c r="D18" s="494">
        <v>15</v>
      </c>
      <c r="E18" s="5">
        <v>0</v>
      </c>
      <c r="F18" s="496">
        <v>42937</v>
      </c>
      <c r="G18" s="523">
        <v>0.7</v>
      </c>
      <c r="H18" s="11">
        <v>61022</v>
      </c>
    </row>
    <row r="19" spans="1:8">
      <c r="A19" s="12">
        <v>2020</v>
      </c>
      <c r="B19" s="8">
        <v>19726</v>
      </c>
      <c r="C19" s="13">
        <v>0.3</v>
      </c>
      <c r="D19" s="494">
        <v>15</v>
      </c>
      <c r="E19" s="5">
        <v>0</v>
      </c>
      <c r="F19" s="496">
        <v>46675</v>
      </c>
      <c r="G19" s="523">
        <v>0.7</v>
      </c>
      <c r="H19" s="11">
        <v>66416</v>
      </c>
    </row>
    <row r="20" spans="1:8">
      <c r="A20" s="12">
        <v>2021</v>
      </c>
      <c r="B20" s="8">
        <v>19242</v>
      </c>
      <c r="C20" s="13">
        <v>0.28999999999999998</v>
      </c>
      <c r="D20" s="494">
        <v>15</v>
      </c>
      <c r="E20" s="5">
        <v>0</v>
      </c>
      <c r="F20" s="496">
        <v>47464</v>
      </c>
      <c r="G20" s="523">
        <v>0.7</v>
      </c>
      <c r="H20" s="11">
        <v>66721</v>
      </c>
    </row>
    <row r="23" spans="1:8" ht="22">
      <c r="A23" s="100" t="s">
        <v>501</v>
      </c>
    </row>
    <row r="24" spans="1:8">
      <c r="A24" t="s">
        <v>493</v>
      </c>
      <c r="B24" t="s">
        <v>502</v>
      </c>
    </row>
    <row r="25" spans="1:8">
      <c r="A25" t="s">
        <v>503</v>
      </c>
    </row>
    <row r="26" spans="1:8" ht="24">
      <c r="A26" s="2" t="s">
        <v>496</v>
      </c>
      <c r="B26" s="588" t="s">
        <v>497</v>
      </c>
      <c r="C26" s="589"/>
      <c r="D26" s="590" t="s">
        <v>498</v>
      </c>
      <c r="E26" s="591"/>
      <c r="F26" s="592" t="s">
        <v>499</v>
      </c>
      <c r="G26" s="593"/>
      <c r="H26" s="7" t="s">
        <v>500</v>
      </c>
    </row>
    <row r="27" spans="1:8">
      <c r="A27" s="3">
        <v>2006</v>
      </c>
      <c r="B27" s="8">
        <v>13631</v>
      </c>
      <c r="C27" s="4">
        <v>0.12</v>
      </c>
      <c r="D27" s="9">
        <v>4936</v>
      </c>
      <c r="E27" s="5">
        <v>0.04</v>
      </c>
      <c r="F27" s="6">
        <v>93317</v>
      </c>
      <c r="G27" s="10">
        <v>0.83</v>
      </c>
      <c r="H27" s="11">
        <v>111884</v>
      </c>
    </row>
    <row r="28" spans="1:8">
      <c r="A28" s="3">
        <v>2007</v>
      </c>
      <c r="B28" s="8">
        <v>13888</v>
      </c>
      <c r="C28" s="4">
        <v>0.12</v>
      </c>
      <c r="D28" s="9">
        <v>4975</v>
      </c>
      <c r="E28" s="5">
        <v>0.04</v>
      </c>
      <c r="F28" s="6">
        <v>95051</v>
      </c>
      <c r="G28" s="10">
        <v>0.83</v>
      </c>
      <c r="H28" s="11">
        <v>113914</v>
      </c>
    </row>
    <row r="29" spans="1:8">
      <c r="A29" s="3">
        <v>2008</v>
      </c>
      <c r="B29" s="8">
        <v>13471</v>
      </c>
      <c r="C29" s="4">
        <v>0.12</v>
      </c>
      <c r="D29" s="9">
        <v>4739</v>
      </c>
      <c r="E29" s="5">
        <v>0.04</v>
      </c>
      <c r="F29" s="6">
        <v>95543</v>
      </c>
      <c r="G29" s="10">
        <v>0.84</v>
      </c>
      <c r="H29" s="11">
        <v>113753</v>
      </c>
    </row>
    <row r="30" spans="1:8">
      <c r="A30" s="3">
        <v>2009</v>
      </c>
      <c r="B30" s="8">
        <v>12815</v>
      </c>
      <c r="C30" s="4">
        <v>0.11</v>
      </c>
      <c r="D30" s="9">
        <v>4753</v>
      </c>
      <c r="E30" s="5">
        <v>0.04</v>
      </c>
      <c r="F30" s="6">
        <v>96728</v>
      </c>
      <c r="G30" s="10">
        <v>0.85</v>
      </c>
      <c r="H30" s="11">
        <v>114297</v>
      </c>
    </row>
    <row r="31" spans="1:8">
      <c r="A31" s="3">
        <v>2010</v>
      </c>
      <c r="B31" s="8">
        <v>13971</v>
      </c>
      <c r="C31" s="4">
        <v>0.12</v>
      </c>
      <c r="D31" s="9">
        <v>4526</v>
      </c>
      <c r="E31" s="5">
        <v>0.04</v>
      </c>
      <c r="F31" s="6">
        <v>97894</v>
      </c>
      <c r="G31" s="10">
        <v>0.84</v>
      </c>
      <c r="H31" s="11">
        <v>116391</v>
      </c>
    </row>
    <row r="32" spans="1:8">
      <c r="A32" s="3">
        <v>2011</v>
      </c>
      <c r="B32" s="8">
        <v>14129</v>
      </c>
      <c r="C32" s="4">
        <v>0.12</v>
      </c>
      <c r="D32" s="9">
        <v>1979</v>
      </c>
      <c r="E32" s="5">
        <v>0.02</v>
      </c>
      <c r="F32" s="6">
        <v>99905</v>
      </c>
      <c r="G32" s="10">
        <v>0.86</v>
      </c>
      <c r="H32" s="11">
        <v>116013</v>
      </c>
    </row>
    <row r="33" spans="1:8">
      <c r="A33" s="3">
        <v>2012</v>
      </c>
      <c r="B33" s="8">
        <v>14280</v>
      </c>
      <c r="C33" s="4">
        <v>0.12</v>
      </c>
      <c r="D33" s="9">
        <v>1696</v>
      </c>
      <c r="E33" s="5">
        <v>0.01</v>
      </c>
      <c r="F33" s="6">
        <v>102353</v>
      </c>
      <c r="G33" s="10">
        <v>0.86</v>
      </c>
      <c r="H33" s="11">
        <v>118330</v>
      </c>
    </row>
    <row r="34" spans="1:8">
      <c r="A34" s="3">
        <v>2013</v>
      </c>
      <c r="B34" s="8">
        <v>14512</v>
      </c>
      <c r="C34" s="4">
        <v>0.12</v>
      </c>
      <c r="D34" s="9">
        <v>1477</v>
      </c>
      <c r="E34" s="5">
        <v>0.01</v>
      </c>
      <c r="F34" s="6">
        <v>102221</v>
      </c>
      <c r="G34" s="10">
        <v>0.86</v>
      </c>
      <c r="H34" s="11">
        <v>118209</v>
      </c>
    </row>
    <row r="35" spans="1:8">
      <c r="A35" s="3">
        <v>2014</v>
      </c>
      <c r="B35" s="8">
        <v>14713</v>
      </c>
      <c r="C35" s="4">
        <v>0.12</v>
      </c>
      <c r="D35" s="9">
        <v>1431</v>
      </c>
      <c r="E35" s="5">
        <v>0.01</v>
      </c>
      <c r="F35" s="6">
        <v>103471</v>
      </c>
      <c r="G35" s="10">
        <v>0.87</v>
      </c>
      <c r="H35" s="11">
        <v>119615</v>
      </c>
    </row>
    <row r="36" spans="1:8">
      <c r="A36" s="3">
        <v>2015</v>
      </c>
      <c r="B36" s="8">
        <v>14535</v>
      </c>
      <c r="C36" s="4">
        <v>0.12</v>
      </c>
      <c r="D36" s="9">
        <v>1235</v>
      </c>
      <c r="E36" s="5">
        <v>0.01</v>
      </c>
      <c r="F36" s="6">
        <v>104647</v>
      </c>
      <c r="G36" s="10">
        <v>0.87</v>
      </c>
      <c r="H36" s="11">
        <v>120417</v>
      </c>
    </row>
    <row r="37" spans="1:8">
      <c r="A37" s="3">
        <v>2016</v>
      </c>
      <c r="B37" s="8">
        <v>14601</v>
      </c>
      <c r="C37" s="4">
        <v>0.12</v>
      </c>
      <c r="D37" s="9">
        <v>1019</v>
      </c>
      <c r="E37" s="5">
        <v>0.01</v>
      </c>
      <c r="F37" s="6">
        <v>104839</v>
      </c>
      <c r="G37" s="10">
        <v>0.87</v>
      </c>
      <c r="H37" s="11">
        <v>120458</v>
      </c>
    </row>
    <row r="38" spans="1:8">
      <c r="A38" s="3">
        <v>2017</v>
      </c>
      <c r="B38" s="8">
        <v>14908</v>
      </c>
      <c r="C38" s="4">
        <v>0.12</v>
      </c>
      <c r="D38" s="9">
        <v>830</v>
      </c>
      <c r="E38" s="5">
        <v>0.01</v>
      </c>
      <c r="F38" s="6">
        <v>104669</v>
      </c>
      <c r="G38" s="10">
        <v>0.87</v>
      </c>
      <c r="H38" s="11">
        <v>120408</v>
      </c>
    </row>
    <row r="39" spans="1:8">
      <c r="A39" s="3">
        <v>2018</v>
      </c>
      <c r="B39" s="8">
        <v>15253</v>
      </c>
      <c r="C39" s="4">
        <v>0.12</v>
      </c>
      <c r="D39" s="9">
        <v>675</v>
      </c>
      <c r="E39" s="5">
        <v>0.01</v>
      </c>
      <c r="F39" s="6">
        <v>106294</v>
      </c>
      <c r="G39" s="10">
        <v>0.87</v>
      </c>
      <c r="H39" s="11">
        <v>122222</v>
      </c>
    </row>
    <row r="40" spans="1:8">
      <c r="A40" s="3">
        <v>2019</v>
      </c>
      <c r="B40" s="8">
        <v>14440</v>
      </c>
      <c r="C40" s="4">
        <v>0.12</v>
      </c>
      <c r="D40" s="9">
        <v>574</v>
      </c>
      <c r="E40" s="5">
        <v>0</v>
      </c>
      <c r="F40" s="6">
        <v>107988</v>
      </c>
      <c r="G40" s="10">
        <v>0.88</v>
      </c>
      <c r="H40" s="11">
        <v>123001</v>
      </c>
    </row>
    <row r="41" spans="1:8">
      <c r="A41" s="3">
        <v>2020</v>
      </c>
      <c r="B41" s="8">
        <v>11847</v>
      </c>
      <c r="C41" s="4">
        <v>0.1</v>
      </c>
      <c r="D41" s="9">
        <v>498</v>
      </c>
      <c r="E41" s="5">
        <v>0</v>
      </c>
      <c r="F41" s="6">
        <v>102167</v>
      </c>
      <c r="G41" s="10">
        <v>0.89</v>
      </c>
      <c r="H41" s="11">
        <v>114512</v>
      </c>
    </row>
    <row r="42" spans="1:8">
      <c r="A42" s="3">
        <v>2021</v>
      </c>
      <c r="B42" s="8">
        <v>12353</v>
      </c>
      <c r="C42" s="4">
        <v>0.1</v>
      </c>
      <c r="D42" s="9">
        <v>490</v>
      </c>
      <c r="E42" s="5">
        <v>0</v>
      </c>
      <c r="F42" s="6">
        <v>107240</v>
      </c>
      <c r="G42" s="10">
        <v>0.89</v>
      </c>
      <c r="H42" s="11">
        <v>120083</v>
      </c>
    </row>
  </sheetData>
  <mergeCells count="6">
    <mergeCell ref="F4:G4"/>
    <mergeCell ref="B4:C4"/>
    <mergeCell ref="D4:E4"/>
    <mergeCell ref="B26:C26"/>
    <mergeCell ref="D26:E26"/>
    <mergeCell ref="F26:G26"/>
  </mergeCells>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0"/>
  <sheetViews>
    <sheetView zoomScale="125" workbookViewId="0">
      <selection activeCell="F11" sqref="F11"/>
    </sheetView>
  </sheetViews>
  <sheetFormatPr baseColWidth="10" defaultColWidth="8.796875" defaultRowHeight="14"/>
  <sheetData>
    <row r="1" spans="1:8" ht="22">
      <c r="A1" s="100" t="s">
        <v>501</v>
      </c>
    </row>
    <row r="2" spans="1:8">
      <c r="A2" t="s">
        <v>493</v>
      </c>
      <c r="B2" t="s">
        <v>494</v>
      </c>
    </row>
    <row r="3" spans="1:8">
      <c r="A3" t="s">
        <v>503</v>
      </c>
    </row>
    <row r="4" spans="1:8" ht="24">
      <c r="A4" s="2" t="s">
        <v>496</v>
      </c>
      <c r="B4" s="588" t="s">
        <v>497</v>
      </c>
      <c r="C4" s="589"/>
      <c r="D4" s="590" t="s">
        <v>498</v>
      </c>
      <c r="E4" s="591"/>
      <c r="F4" s="592" t="s">
        <v>499</v>
      </c>
      <c r="G4" s="593"/>
      <c r="H4" s="7" t="s">
        <v>500</v>
      </c>
    </row>
    <row r="5" spans="1:8">
      <c r="A5" s="3">
        <v>2006</v>
      </c>
      <c r="B5" s="8">
        <v>13631</v>
      </c>
      <c r="C5" s="4">
        <v>0.12</v>
      </c>
      <c r="D5" s="9">
        <v>4936</v>
      </c>
      <c r="E5" s="5">
        <v>0.04</v>
      </c>
      <c r="F5" s="6">
        <v>93317</v>
      </c>
      <c r="G5" s="10">
        <v>0.86</v>
      </c>
      <c r="H5" s="11">
        <v>111884</v>
      </c>
    </row>
    <row r="6" spans="1:8">
      <c r="A6" s="3">
        <v>2007</v>
      </c>
      <c r="B6" s="8">
        <v>13888</v>
      </c>
      <c r="C6" s="4">
        <v>0.12</v>
      </c>
      <c r="D6" s="9">
        <v>4975</v>
      </c>
      <c r="E6" s="5">
        <v>0.04</v>
      </c>
      <c r="F6" s="6">
        <v>95051</v>
      </c>
      <c r="G6" s="10">
        <v>0.86</v>
      </c>
      <c r="H6" s="11">
        <v>113914</v>
      </c>
    </row>
    <row r="7" spans="1:8">
      <c r="A7" s="3">
        <v>2008</v>
      </c>
      <c r="B7" s="8">
        <v>13471</v>
      </c>
      <c r="C7" s="4">
        <v>0.12</v>
      </c>
      <c r="D7" s="9">
        <v>4739</v>
      </c>
      <c r="E7" s="5">
        <v>0.04</v>
      </c>
      <c r="F7" s="6">
        <v>95543</v>
      </c>
      <c r="G7" s="10">
        <v>0.86</v>
      </c>
      <c r="H7" s="11">
        <v>113753</v>
      </c>
    </row>
    <row r="8" spans="1:8">
      <c r="A8" s="3">
        <v>2009</v>
      </c>
      <c r="B8" s="8">
        <v>12815</v>
      </c>
      <c r="C8" s="4">
        <v>0.11</v>
      </c>
      <c r="D8" s="9">
        <v>4753</v>
      </c>
      <c r="E8" s="5">
        <v>0.04</v>
      </c>
      <c r="F8" s="6">
        <v>96728</v>
      </c>
      <c r="G8" s="10">
        <v>0.87</v>
      </c>
      <c r="H8" s="11">
        <v>114297</v>
      </c>
    </row>
    <row r="9" spans="1:8">
      <c r="A9" s="3">
        <v>2010</v>
      </c>
      <c r="B9" s="8">
        <v>13971</v>
      </c>
      <c r="C9" s="4">
        <v>0.12</v>
      </c>
      <c r="D9" s="9">
        <v>4526</v>
      </c>
      <c r="E9" s="5">
        <v>0.04</v>
      </c>
      <c r="F9" s="6">
        <v>97894</v>
      </c>
      <c r="G9" s="10">
        <v>0.87</v>
      </c>
      <c r="H9" s="11">
        <v>116391</v>
      </c>
    </row>
    <row r="10" spans="1:8">
      <c r="A10" s="3">
        <v>2011</v>
      </c>
      <c r="B10" s="8">
        <v>14129</v>
      </c>
      <c r="C10" s="4">
        <v>0.12</v>
      </c>
      <c r="D10" s="9">
        <v>1979</v>
      </c>
      <c r="E10" s="5">
        <v>0.02</v>
      </c>
      <c r="F10" s="6">
        <v>99905</v>
      </c>
      <c r="G10" s="10">
        <v>0.87</v>
      </c>
      <c r="H10" s="11">
        <v>116013</v>
      </c>
    </row>
    <row r="11" spans="1:8">
      <c r="A11" s="3">
        <v>2012</v>
      </c>
      <c r="B11" s="8">
        <v>14280</v>
      </c>
      <c r="C11" s="4">
        <v>0.12</v>
      </c>
      <c r="D11" s="9">
        <v>1696</v>
      </c>
      <c r="E11" s="5">
        <v>0.01</v>
      </c>
      <c r="F11" s="6">
        <v>102353</v>
      </c>
      <c r="G11" s="10">
        <v>0.87</v>
      </c>
      <c r="H11" s="11">
        <v>118330</v>
      </c>
    </row>
    <row r="12" spans="1:8">
      <c r="A12" s="3">
        <v>2013</v>
      </c>
      <c r="B12" s="8">
        <v>14512</v>
      </c>
      <c r="C12" s="4">
        <v>0.12</v>
      </c>
      <c r="D12" s="9">
        <v>1477</v>
      </c>
      <c r="E12" s="5">
        <v>0.01</v>
      </c>
      <c r="F12" s="6">
        <v>102221</v>
      </c>
      <c r="G12" s="10">
        <v>0.87</v>
      </c>
      <c r="H12" s="11">
        <v>118209</v>
      </c>
    </row>
    <row r="13" spans="1:8">
      <c r="A13" s="3">
        <v>2014</v>
      </c>
      <c r="B13" s="8">
        <v>14713</v>
      </c>
      <c r="C13" s="4">
        <v>0.12</v>
      </c>
      <c r="D13" s="9">
        <v>1431</v>
      </c>
      <c r="E13" s="5">
        <v>0.01</v>
      </c>
      <c r="F13" s="6">
        <v>103471</v>
      </c>
      <c r="G13" s="10">
        <v>0.87</v>
      </c>
      <c r="H13" s="11">
        <v>119615</v>
      </c>
    </row>
    <row r="14" spans="1:8">
      <c r="A14" s="3">
        <v>2015</v>
      </c>
      <c r="B14" s="8">
        <v>14535</v>
      </c>
      <c r="C14" s="4">
        <v>0.12</v>
      </c>
      <c r="D14" s="9">
        <v>1235</v>
      </c>
      <c r="E14" s="5">
        <v>0.01</v>
      </c>
      <c r="F14" s="6">
        <v>104647</v>
      </c>
      <c r="G14" s="10">
        <v>0.87</v>
      </c>
      <c r="H14" s="11">
        <v>120417</v>
      </c>
    </row>
    <row r="15" spans="1:8">
      <c r="A15" s="3">
        <v>2016</v>
      </c>
      <c r="B15" s="8">
        <v>14601</v>
      </c>
      <c r="C15" s="4">
        <v>0.12</v>
      </c>
      <c r="D15" s="9">
        <v>1019</v>
      </c>
      <c r="E15" s="5">
        <v>0.01</v>
      </c>
      <c r="F15" s="6">
        <v>104839</v>
      </c>
      <c r="G15" s="10">
        <v>0.87</v>
      </c>
      <c r="H15" s="11">
        <v>120458</v>
      </c>
    </row>
    <row r="16" spans="1:8">
      <c r="A16" s="3">
        <v>2017</v>
      </c>
      <c r="B16" s="8">
        <v>14908</v>
      </c>
      <c r="C16" s="4">
        <v>0.12</v>
      </c>
      <c r="D16" s="520">
        <v>830</v>
      </c>
      <c r="E16" s="5">
        <v>0.01</v>
      </c>
      <c r="F16" s="521">
        <v>104669</v>
      </c>
      <c r="G16" s="522">
        <v>0.87</v>
      </c>
      <c r="H16" s="519">
        <v>120408</v>
      </c>
    </row>
    <row r="17" spans="1:8">
      <c r="A17" s="3">
        <v>2018</v>
      </c>
      <c r="B17" s="8">
        <v>15254</v>
      </c>
      <c r="C17" s="4">
        <v>0.12</v>
      </c>
      <c r="D17" s="520">
        <v>675</v>
      </c>
      <c r="E17" s="5">
        <v>0.01</v>
      </c>
      <c r="F17" s="521">
        <v>106291</v>
      </c>
      <c r="G17" s="522">
        <v>0.87</v>
      </c>
      <c r="H17" s="519">
        <v>122220</v>
      </c>
    </row>
    <row r="18" spans="1:8">
      <c r="A18" s="3">
        <v>2019</v>
      </c>
      <c r="B18" s="8">
        <v>14440</v>
      </c>
      <c r="C18" s="4">
        <v>0.12</v>
      </c>
      <c r="D18" s="520">
        <v>574</v>
      </c>
      <c r="E18" s="5">
        <v>0</v>
      </c>
      <c r="F18" s="521">
        <v>107988</v>
      </c>
      <c r="G18" s="522">
        <v>0.88</v>
      </c>
      <c r="H18" s="519">
        <v>123001</v>
      </c>
    </row>
    <row r="19" spans="1:8">
      <c r="A19" s="3">
        <v>2020</v>
      </c>
      <c r="B19" s="8">
        <v>11847</v>
      </c>
      <c r="C19" s="4">
        <v>0.1</v>
      </c>
      <c r="D19" s="520">
        <v>498</v>
      </c>
      <c r="E19" s="5">
        <v>0</v>
      </c>
      <c r="F19" s="521">
        <v>102167</v>
      </c>
      <c r="G19" s="522">
        <v>0.89</v>
      </c>
      <c r="H19" s="519">
        <v>114512</v>
      </c>
    </row>
    <row r="20" spans="1:8">
      <c r="A20" s="3">
        <v>2021</v>
      </c>
      <c r="B20" s="8">
        <v>12353</v>
      </c>
      <c r="C20" s="4">
        <v>0.1</v>
      </c>
      <c r="D20" s="520">
        <v>490</v>
      </c>
      <c r="E20" s="5">
        <v>0</v>
      </c>
      <c r="F20" s="521">
        <v>107240</v>
      </c>
      <c r="G20" s="522">
        <v>0.89</v>
      </c>
      <c r="H20" s="519">
        <v>120083</v>
      </c>
    </row>
  </sheetData>
  <mergeCells count="3">
    <mergeCell ref="F4:G4"/>
    <mergeCell ref="B4:C4"/>
    <mergeCell ref="D4:E4"/>
  </mergeCells>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5"/>
  <sheetViews>
    <sheetView zoomScale="84" workbookViewId="0">
      <selection activeCell="K63" sqref="K63"/>
    </sheetView>
  </sheetViews>
  <sheetFormatPr baseColWidth="10" defaultColWidth="8.796875" defaultRowHeight="14"/>
  <cols>
    <col min="6" max="6" width="10.19921875" bestFit="1" customWidth="1"/>
    <col min="15" max="15" width="9.19921875" bestFit="1" customWidth="1"/>
  </cols>
  <sheetData>
    <row r="1" spans="1:13" ht="25">
      <c r="A1" s="103" t="s">
        <v>548</v>
      </c>
    </row>
    <row r="2" spans="1:13">
      <c r="A2" t="s">
        <v>493</v>
      </c>
      <c r="B2" t="s">
        <v>549</v>
      </c>
    </row>
    <row r="3" spans="1:13">
      <c r="A3" t="s">
        <v>550</v>
      </c>
    </row>
    <row r="5" spans="1:13">
      <c r="A5" s="52" t="s">
        <v>551</v>
      </c>
      <c r="B5" s="52"/>
      <c r="C5" s="52"/>
      <c r="D5" s="52"/>
      <c r="E5" s="52"/>
      <c r="F5" s="52" t="s">
        <v>552</v>
      </c>
      <c r="H5" s="52" t="s">
        <v>553</v>
      </c>
      <c r="I5" s="52"/>
      <c r="J5" s="52"/>
      <c r="K5" s="52"/>
      <c r="L5" s="52"/>
      <c r="M5" s="52"/>
    </row>
    <row r="6" spans="1:13">
      <c r="A6" t="s">
        <v>554</v>
      </c>
      <c r="B6" t="s">
        <v>495</v>
      </c>
      <c r="C6" t="s">
        <v>503</v>
      </c>
      <c r="D6" t="s">
        <v>555</v>
      </c>
      <c r="E6" t="s">
        <v>556</v>
      </c>
      <c r="F6" t="s">
        <v>557</v>
      </c>
      <c r="H6" t="s">
        <v>554</v>
      </c>
      <c r="I6" t="s">
        <v>495</v>
      </c>
      <c r="J6" t="s">
        <v>503</v>
      </c>
      <c r="K6" t="s">
        <v>555</v>
      </c>
      <c r="L6" t="s">
        <v>556</v>
      </c>
      <c r="M6" t="s">
        <v>557</v>
      </c>
    </row>
    <row r="7" spans="1:13">
      <c r="A7">
        <v>2006</v>
      </c>
      <c r="B7">
        <v>53982</v>
      </c>
      <c r="C7">
        <v>111884</v>
      </c>
      <c r="D7">
        <v>18934</v>
      </c>
      <c r="E7">
        <v>96404</v>
      </c>
      <c r="F7">
        <f>SUM(B7:E7)</f>
        <v>281204</v>
      </c>
      <c r="H7">
        <v>2006</v>
      </c>
      <c r="I7" s="1">
        <f>B7/$F7</f>
        <v>0.19196739733431956</v>
      </c>
      <c r="J7" s="1">
        <f>C7/$F7</f>
        <v>0.39787485242030696</v>
      </c>
      <c r="K7" s="1">
        <f>D7/$F7</f>
        <v>6.7331901395428231E-2</v>
      </c>
      <c r="L7" s="1">
        <f>E7/$F7</f>
        <v>0.34282584884994521</v>
      </c>
      <c r="M7" s="1">
        <f>F7/$F7</f>
        <v>1</v>
      </c>
    </row>
    <row r="8" spans="1:13">
      <c r="A8">
        <v>2007</v>
      </c>
      <c r="B8">
        <v>54717</v>
      </c>
      <c r="C8">
        <v>113914</v>
      </c>
      <c r="D8">
        <v>17645</v>
      </c>
      <c r="E8">
        <v>96165</v>
      </c>
      <c r="F8">
        <f t="shared" ref="F8:F17" si="0">SUM(B8:E8)</f>
        <v>282441</v>
      </c>
      <c r="H8">
        <v>2007</v>
      </c>
      <c r="I8" s="1">
        <f t="shared" ref="I8:I18" si="1">B8/$F8</f>
        <v>0.19372895578191551</v>
      </c>
      <c r="J8" s="1">
        <f t="shared" ref="J8:J22" si="2">C8/$F8</f>
        <v>0.40331963135663734</v>
      </c>
      <c r="K8" s="1">
        <f t="shared" ref="K8:K22" si="3">D8/$F8</f>
        <v>6.2473224496443505E-2</v>
      </c>
      <c r="L8" s="1">
        <f t="shared" ref="L8:M22" si="4">E8/$F8</f>
        <v>0.34047818836500365</v>
      </c>
      <c r="M8" s="1">
        <f t="shared" si="4"/>
        <v>1</v>
      </c>
    </row>
    <row r="9" spans="1:13">
      <c r="A9">
        <v>2008</v>
      </c>
      <c r="B9">
        <v>55849</v>
      </c>
      <c r="C9">
        <v>113753</v>
      </c>
      <c r="D9">
        <v>17332</v>
      </c>
      <c r="E9">
        <v>94504</v>
      </c>
      <c r="F9">
        <f t="shared" si="0"/>
        <v>281438</v>
      </c>
      <c r="H9">
        <v>2008</v>
      </c>
      <c r="I9" s="1">
        <f t="shared" si="1"/>
        <v>0.19844157505383067</v>
      </c>
      <c r="J9" s="1">
        <f t="shared" si="2"/>
        <v>0.40418493593615645</v>
      </c>
      <c r="K9" s="1">
        <f t="shared" si="3"/>
        <v>6.1583723590986295E-2</v>
      </c>
      <c r="L9" s="1">
        <f t="shared" si="4"/>
        <v>0.33578976541902655</v>
      </c>
      <c r="M9" s="1">
        <f t="shared" si="4"/>
        <v>1</v>
      </c>
    </row>
    <row r="10" spans="1:13">
      <c r="A10">
        <v>2009</v>
      </c>
      <c r="B10">
        <v>57731</v>
      </c>
      <c r="C10">
        <v>114297</v>
      </c>
      <c r="D10">
        <v>16129</v>
      </c>
      <c r="E10">
        <v>90643</v>
      </c>
      <c r="F10">
        <f t="shared" si="0"/>
        <v>278800</v>
      </c>
      <c r="H10">
        <v>2009</v>
      </c>
      <c r="I10" s="1">
        <f t="shared" si="1"/>
        <v>0.20706958393113342</v>
      </c>
      <c r="J10" s="1">
        <f t="shared" si="2"/>
        <v>0.40996054519368724</v>
      </c>
      <c r="K10" s="1">
        <f t="shared" si="3"/>
        <v>5.7851506456241035E-2</v>
      </c>
      <c r="L10" s="1">
        <f t="shared" si="4"/>
        <v>0.32511836441893832</v>
      </c>
      <c r="M10" s="1">
        <f t="shared" si="4"/>
        <v>1</v>
      </c>
    </row>
    <row r="11" spans="1:13">
      <c r="A11">
        <v>2010</v>
      </c>
      <c r="B11">
        <v>58396</v>
      </c>
      <c r="C11">
        <v>116391</v>
      </c>
      <c r="D11">
        <v>16053</v>
      </c>
      <c r="E11">
        <v>90889</v>
      </c>
      <c r="F11">
        <f t="shared" si="0"/>
        <v>281729</v>
      </c>
      <c r="H11">
        <v>2010</v>
      </c>
      <c r="I11" s="1">
        <f t="shared" si="1"/>
        <v>0.20727720610941722</v>
      </c>
      <c r="J11" s="1">
        <f t="shared" si="2"/>
        <v>0.41313105857047022</v>
      </c>
      <c r="K11" s="1">
        <f t="shared" si="3"/>
        <v>5.6980289569053946E-2</v>
      </c>
      <c r="L11" s="1">
        <f t="shared" si="4"/>
        <v>0.32261144575105866</v>
      </c>
      <c r="M11" s="1">
        <f t="shared" si="4"/>
        <v>1</v>
      </c>
    </row>
    <row r="12" spans="1:13">
      <c r="A12">
        <v>2011</v>
      </c>
      <c r="B12">
        <v>58826</v>
      </c>
      <c r="C12">
        <v>118558</v>
      </c>
      <c r="D12">
        <v>14732</v>
      </c>
      <c r="E12">
        <v>90774</v>
      </c>
      <c r="F12">
        <f t="shared" si="0"/>
        <v>282890</v>
      </c>
      <c r="H12">
        <v>2011</v>
      </c>
      <c r="I12" s="1">
        <f t="shared" si="1"/>
        <v>0.20794655166319065</v>
      </c>
      <c r="J12" s="1">
        <f t="shared" si="2"/>
        <v>0.41909576160345008</v>
      </c>
      <c r="K12" s="1">
        <f t="shared" si="3"/>
        <v>5.2076778960019797E-2</v>
      </c>
      <c r="L12" s="1">
        <f t="shared" si="4"/>
        <v>0.32088090777333944</v>
      </c>
      <c r="M12" s="1">
        <f t="shared" si="4"/>
        <v>1</v>
      </c>
    </row>
    <row r="13" spans="1:13">
      <c r="A13">
        <v>2012</v>
      </c>
      <c r="B13">
        <v>59932</v>
      </c>
      <c r="C13">
        <v>120970</v>
      </c>
      <c r="D13">
        <v>14723</v>
      </c>
      <c r="E13">
        <v>90423</v>
      </c>
      <c r="F13">
        <f t="shared" si="0"/>
        <v>286048</v>
      </c>
      <c r="H13">
        <v>2012</v>
      </c>
      <c r="I13" s="1">
        <f t="shared" si="1"/>
        <v>0.209517283812507</v>
      </c>
      <c r="J13" s="1">
        <f t="shared" si="2"/>
        <v>0.42290105157176416</v>
      </c>
      <c r="K13" s="1">
        <f t="shared" si="3"/>
        <v>5.147038259313122E-2</v>
      </c>
      <c r="L13" s="1">
        <f t="shared" si="4"/>
        <v>0.31611128202259758</v>
      </c>
      <c r="M13" s="1">
        <f t="shared" si="4"/>
        <v>1</v>
      </c>
    </row>
    <row r="14" spans="1:13">
      <c r="A14">
        <v>2013</v>
      </c>
      <c r="B14">
        <v>58394</v>
      </c>
      <c r="C14">
        <v>121215</v>
      </c>
      <c r="D14">
        <v>14583</v>
      </c>
      <c r="E14">
        <v>90198</v>
      </c>
      <c r="F14">
        <f t="shared" si="0"/>
        <v>284390</v>
      </c>
      <c r="H14">
        <v>2013</v>
      </c>
      <c r="I14" s="1">
        <f t="shared" si="1"/>
        <v>0.20533070783079574</v>
      </c>
      <c r="J14" s="1">
        <f t="shared" si="2"/>
        <v>0.42622806709096661</v>
      </c>
      <c r="K14" s="1">
        <f t="shared" si="3"/>
        <v>5.1278174338056891E-2</v>
      </c>
      <c r="L14" s="1">
        <f t="shared" si="4"/>
        <v>0.31716305074018075</v>
      </c>
      <c r="M14" s="1">
        <f t="shared" si="4"/>
        <v>1</v>
      </c>
    </row>
    <row r="15" spans="1:13">
      <c r="A15">
        <v>2014</v>
      </c>
      <c r="B15">
        <v>61910</v>
      </c>
      <c r="C15">
        <v>122711</v>
      </c>
      <c r="D15">
        <v>14718</v>
      </c>
      <c r="E15">
        <v>89999</v>
      </c>
      <c r="F15">
        <f t="shared" si="0"/>
        <v>289338</v>
      </c>
      <c r="H15">
        <v>2014</v>
      </c>
      <c r="I15" s="1">
        <f t="shared" si="1"/>
        <v>0.21397120322944099</v>
      </c>
      <c r="J15" s="1">
        <f t="shared" si="2"/>
        <v>0.42410951897089216</v>
      </c>
      <c r="K15" s="1">
        <f t="shared" si="3"/>
        <v>5.0867843145387059E-2</v>
      </c>
      <c r="L15" s="1">
        <f t="shared" si="4"/>
        <v>0.31105143465427976</v>
      </c>
      <c r="M15" s="1">
        <f t="shared" si="4"/>
        <v>1</v>
      </c>
    </row>
    <row r="16" spans="1:13">
      <c r="A16">
        <v>2015</v>
      </c>
      <c r="B16">
        <v>60214</v>
      </c>
      <c r="C16">
        <v>123674</v>
      </c>
      <c r="D16">
        <v>14853</v>
      </c>
      <c r="E16">
        <v>89245</v>
      </c>
      <c r="F16">
        <f t="shared" si="0"/>
        <v>287986</v>
      </c>
      <c r="H16">
        <v>2015</v>
      </c>
      <c r="I16" s="1">
        <f t="shared" si="1"/>
        <v>0.2090865528185398</v>
      </c>
      <c r="J16" s="1">
        <f t="shared" si="2"/>
        <v>0.4294444868847791</v>
      </c>
      <c r="K16" s="1">
        <f t="shared" si="3"/>
        <v>5.1575423805323872E-2</v>
      </c>
      <c r="L16" s="1">
        <f t="shared" si="4"/>
        <v>0.3098935364913572</v>
      </c>
      <c r="M16" s="1">
        <f t="shared" si="4"/>
        <v>1</v>
      </c>
    </row>
    <row r="17" spans="1:15">
      <c r="A17">
        <v>2016</v>
      </c>
      <c r="B17">
        <v>61439</v>
      </c>
      <c r="C17">
        <v>123969</v>
      </c>
      <c r="D17">
        <v>13992</v>
      </c>
      <c r="E17">
        <v>89819</v>
      </c>
      <c r="F17">
        <f t="shared" si="0"/>
        <v>289219</v>
      </c>
      <c r="H17">
        <v>2016</v>
      </c>
      <c r="I17" s="1">
        <f t="shared" si="1"/>
        <v>0.21243071859041074</v>
      </c>
      <c r="J17" s="1">
        <f t="shared" si="2"/>
        <v>0.42863366514648071</v>
      </c>
      <c r="K17" s="1">
        <f t="shared" si="3"/>
        <v>4.8378564340517051E-2</v>
      </c>
      <c r="L17" s="1">
        <f t="shared" si="4"/>
        <v>0.31055705192259153</v>
      </c>
      <c r="M17" s="1">
        <f t="shared" si="4"/>
        <v>1</v>
      </c>
    </row>
    <row r="18" spans="1:15">
      <c r="A18">
        <v>2017</v>
      </c>
      <c r="B18">
        <v>60476</v>
      </c>
      <c r="C18">
        <v>120408</v>
      </c>
      <c r="D18">
        <v>12722</v>
      </c>
      <c r="E18">
        <v>86557</v>
      </c>
      <c r="F18">
        <v>280162</v>
      </c>
      <c r="H18">
        <v>2017</v>
      </c>
      <c r="I18" s="1">
        <f t="shared" si="1"/>
        <v>0.21586082338075827</v>
      </c>
      <c r="J18" s="1">
        <f t="shared" si="2"/>
        <v>0.42977991305030661</v>
      </c>
      <c r="K18" s="1">
        <f t="shared" si="3"/>
        <v>4.5409441680170762E-2</v>
      </c>
      <c r="L18" s="1">
        <f t="shared" si="4"/>
        <v>0.30895339125220406</v>
      </c>
      <c r="M18" s="1">
        <f t="shared" si="4"/>
        <v>1</v>
      </c>
    </row>
    <row r="19" spans="1:15">
      <c r="A19">
        <v>2018</v>
      </c>
      <c r="B19">
        <v>61556</v>
      </c>
      <c r="C19">
        <v>122220</v>
      </c>
      <c r="D19">
        <v>12829</v>
      </c>
      <c r="E19">
        <v>85054</v>
      </c>
      <c r="F19">
        <v>281659</v>
      </c>
      <c r="H19">
        <v>2018</v>
      </c>
      <c r="I19" s="1">
        <f>B19/$F19</f>
        <v>0.21854796047703073</v>
      </c>
      <c r="J19" s="1">
        <f t="shared" si="2"/>
        <v>0.43392897084772719</v>
      </c>
      <c r="K19" s="1">
        <f t="shared" si="3"/>
        <v>4.5547985329778204E-2</v>
      </c>
      <c r="L19" s="1">
        <f>E19/$F19</f>
        <v>0.30197508334546386</v>
      </c>
      <c r="M19" s="1">
        <f t="shared" si="4"/>
        <v>1</v>
      </c>
    </row>
    <row r="20" spans="1:15">
      <c r="A20">
        <v>2019</v>
      </c>
      <c r="B20">
        <v>61021</v>
      </c>
      <c r="C20">
        <v>123001</v>
      </c>
      <c r="D20">
        <v>12274</v>
      </c>
      <c r="E20">
        <v>85877</v>
      </c>
      <c r="F20">
        <v>282174</v>
      </c>
      <c r="H20">
        <v>2019</v>
      </c>
      <c r="I20" s="1">
        <f t="shared" ref="I20:I22" si="5">B20/$F20</f>
        <v>0.21625309206376209</v>
      </c>
      <c r="J20" s="1">
        <f t="shared" si="2"/>
        <v>0.43590479633134166</v>
      </c>
      <c r="K20" s="1">
        <f t="shared" si="3"/>
        <v>4.3497983513718488E-2</v>
      </c>
      <c r="L20" s="1">
        <f t="shared" ref="L20:L22" si="6">E20/$F20</f>
        <v>0.30434058417855647</v>
      </c>
      <c r="M20" s="1">
        <f t="shared" si="4"/>
        <v>1</v>
      </c>
    </row>
    <row r="21" spans="1:15">
      <c r="A21">
        <v>2020</v>
      </c>
      <c r="B21">
        <v>66413</v>
      </c>
      <c r="C21">
        <v>114512</v>
      </c>
      <c r="D21">
        <v>12161</v>
      </c>
      <c r="E21">
        <v>78514</v>
      </c>
      <c r="F21">
        <v>271600</v>
      </c>
      <c r="H21">
        <v>2020</v>
      </c>
      <c r="I21" s="1">
        <f t="shared" si="5"/>
        <v>0.24452503681885124</v>
      </c>
      <c r="J21" s="1">
        <f t="shared" si="2"/>
        <v>0.42162002945508098</v>
      </c>
      <c r="K21" s="1">
        <f t="shared" si="3"/>
        <v>4.4775405007363774E-2</v>
      </c>
      <c r="L21" s="1">
        <f t="shared" si="6"/>
        <v>0.28907952871870396</v>
      </c>
      <c r="M21" s="1">
        <f t="shared" si="4"/>
        <v>1</v>
      </c>
    </row>
    <row r="22" spans="1:15">
      <c r="A22">
        <v>2021</v>
      </c>
      <c r="B22">
        <v>66721</v>
      </c>
      <c r="C22">
        <v>120083</v>
      </c>
      <c r="D22">
        <v>11945</v>
      </c>
      <c r="E22">
        <v>81158</v>
      </c>
      <c r="F22">
        <v>279907</v>
      </c>
      <c r="H22">
        <v>2021</v>
      </c>
      <c r="I22" s="1">
        <f t="shared" si="5"/>
        <v>0.23836845809501012</v>
      </c>
      <c r="J22" s="1">
        <f t="shared" si="2"/>
        <v>0.42901034986620556</v>
      </c>
      <c r="K22" s="1">
        <f t="shared" si="3"/>
        <v>4.2674888445090688E-2</v>
      </c>
      <c r="L22" s="1">
        <f t="shared" si="6"/>
        <v>0.28994630359369361</v>
      </c>
      <c r="M22" s="1">
        <f t="shared" si="4"/>
        <v>1</v>
      </c>
    </row>
    <row r="25" spans="1:15">
      <c r="A25" s="52" t="s">
        <v>558</v>
      </c>
      <c r="B25" s="52"/>
      <c r="C25" s="52"/>
      <c r="D25" s="52"/>
      <c r="E25" s="52"/>
      <c r="F25" s="52"/>
      <c r="H25" s="52" t="s">
        <v>559</v>
      </c>
      <c r="I25" s="52"/>
      <c r="J25" s="52"/>
      <c r="K25" s="52"/>
      <c r="L25" s="52"/>
      <c r="M25" s="52"/>
    </row>
    <row r="26" spans="1:15">
      <c r="A26" t="s">
        <v>554</v>
      </c>
      <c r="B26" t="s">
        <v>495</v>
      </c>
      <c r="C26" t="s">
        <v>503</v>
      </c>
      <c r="D26" t="s">
        <v>555</v>
      </c>
      <c r="E26" t="s">
        <v>556</v>
      </c>
      <c r="F26" t="s">
        <v>557</v>
      </c>
      <c r="H26" t="s">
        <v>554</v>
      </c>
      <c r="I26" t="s">
        <v>495</v>
      </c>
      <c r="J26" t="s">
        <v>503</v>
      </c>
      <c r="K26" t="s">
        <v>555</v>
      </c>
      <c r="L26" t="s">
        <v>556</v>
      </c>
      <c r="M26" t="s">
        <v>557</v>
      </c>
      <c r="O26" s="138" t="s">
        <v>560</v>
      </c>
    </row>
    <row r="27" spans="1:15">
      <c r="A27">
        <v>2006</v>
      </c>
      <c r="B27">
        <v>35428</v>
      </c>
      <c r="C27">
        <v>93317</v>
      </c>
      <c r="D27">
        <v>14015</v>
      </c>
      <c r="E27">
        <v>2444</v>
      </c>
      <c r="F27">
        <f>SUM(B27:E27)</f>
        <v>145204</v>
      </c>
      <c r="H27">
        <v>2006</v>
      </c>
      <c r="I27" s="1">
        <f>B27/$F27</f>
        <v>0.24398776893198534</v>
      </c>
      <c r="J27" s="1">
        <f t="shared" ref="J27:J42" si="7">C27/$F27</f>
        <v>0.64266135919120682</v>
      </c>
      <c r="K27" s="1">
        <f t="shared" ref="K27:K42" si="8">D27/$F27</f>
        <v>9.6519379631415117E-2</v>
      </c>
      <c r="L27" s="1">
        <f t="shared" ref="L27:L42" si="9">E27/$F27</f>
        <v>1.6831492245392689E-2</v>
      </c>
      <c r="M27" s="1">
        <f>F27/$F27</f>
        <v>1</v>
      </c>
      <c r="O27" s="139">
        <f>B7*'History Type Share'!G5</f>
        <v>35628.120000000003</v>
      </c>
    </row>
    <row r="28" spans="1:15">
      <c r="A28">
        <v>2007</v>
      </c>
      <c r="B28">
        <v>36422</v>
      </c>
      <c r="C28">
        <v>95051</v>
      </c>
      <c r="D28">
        <v>13104</v>
      </c>
      <c r="E28">
        <v>2495</v>
      </c>
      <c r="F28">
        <f t="shared" ref="F28:F42" si="10">SUM(B28:E28)</f>
        <v>147072</v>
      </c>
      <c r="H28">
        <v>2007</v>
      </c>
      <c r="I28" s="1">
        <f t="shared" ref="I28:I42" si="11">B28/$F28</f>
        <v>0.24764741079199304</v>
      </c>
      <c r="J28" s="1">
        <f t="shared" si="7"/>
        <v>0.64628889251523058</v>
      </c>
      <c r="K28" s="1">
        <f t="shared" si="8"/>
        <v>8.9099216710182769E-2</v>
      </c>
      <c r="L28" s="1">
        <f t="shared" si="9"/>
        <v>1.696447998259356E-2</v>
      </c>
      <c r="M28" s="1">
        <f t="shared" ref="M28:M42" si="12">F28/$F28</f>
        <v>1</v>
      </c>
      <c r="O28" s="139">
        <f>B8*'History Type Share'!G6</f>
        <v>36660.39</v>
      </c>
    </row>
    <row r="29" spans="1:15">
      <c r="A29">
        <v>2008</v>
      </c>
      <c r="B29">
        <v>37100</v>
      </c>
      <c r="C29">
        <v>95543</v>
      </c>
      <c r="D29">
        <v>12182</v>
      </c>
      <c r="E29">
        <v>2520</v>
      </c>
      <c r="F29">
        <f t="shared" si="10"/>
        <v>147345</v>
      </c>
      <c r="H29">
        <v>2008</v>
      </c>
      <c r="I29" s="1">
        <f t="shared" si="11"/>
        <v>0.25179001662764261</v>
      </c>
      <c r="J29" s="1">
        <f t="shared" si="7"/>
        <v>0.64843055414164041</v>
      </c>
      <c r="K29" s="1">
        <f t="shared" si="8"/>
        <v>8.2676711120160173E-2</v>
      </c>
      <c r="L29" s="1">
        <f t="shared" si="9"/>
        <v>1.7102718110556855E-2</v>
      </c>
      <c r="M29" s="1">
        <f t="shared" si="12"/>
        <v>1</v>
      </c>
      <c r="O29" s="139">
        <f>B9*'History Type Share'!G7</f>
        <v>36860.340000000004</v>
      </c>
    </row>
    <row r="30" spans="1:15">
      <c r="A30">
        <v>2009</v>
      </c>
      <c r="B30">
        <v>38972</v>
      </c>
      <c r="C30">
        <v>96728</v>
      </c>
      <c r="D30">
        <v>11143</v>
      </c>
      <c r="E30">
        <v>2523</v>
      </c>
      <c r="F30">
        <f t="shared" si="10"/>
        <v>149366</v>
      </c>
      <c r="H30">
        <v>2009</v>
      </c>
      <c r="I30" s="1">
        <f t="shared" si="11"/>
        <v>0.26091613888033421</v>
      </c>
      <c r="J30" s="1">
        <f t="shared" si="7"/>
        <v>0.64759048243910933</v>
      </c>
      <c r="K30" s="1">
        <f t="shared" si="8"/>
        <v>7.4601984387343834E-2</v>
      </c>
      <c r="L30" s="1">
        <f t="shared" si="9"/>
        <v>1.6891394293212646E-2</v>
      </c>
      <c r="M30" s="1">
        <f t="shared" si="12"/>
        <v>1</v>
      </c>
      <c r="O30" s="139">
        <f>B10*'History Type Share'!G8</f>
        <v>39257.08</v>
      </c>
    </row>
    <row r="31" spans="1:15">
      <c r="A31">
        <v>2010</v>
      </c>
      <c r="B31">
        <v>39344</v>
      </c>
      <c r="C31">
        <v>97894</v>
      </c>
      <c r="D31">
        <v>11082</v>
      </c>
      <c r="E31">
        <v>2540</v>
      </c>
      <c r="F31">
        <f t="shared" si="10"/>
        <v>150860</v>
      </c>
      <c r="H31">
        <v>2010</v>
      </c>
      <c r="I31" s="1">
        <f t="shared" si="11"/>
        <v>0.26079809094524725</v>
      </c>
      <c r="J31" s="1">
        <f t="shared" si="7"/>
        <v>0.64890627071456985</v>
      </c>
      <c r="K31" s="1">
        <f t="shared" si="8"/>
        <v>7.3458836006893805E-2</v>
      </c>
      <c r="L31" s="1">
        <f t="shared" si="9"/>
        <v>1.6836802333289141E-2</v>
      </c>
      <c r="M31" s="1">
        <f t="shared" si="12"/>
        <v>1</v>
      </c>
      <c r="O31" s="139">
        <f>B11*'History Type Share'!G9</f>
        <v>39125.32</v>
      </c>
    </row>
    <row r="32" spans="1:15">
      <c r="A32">
        <v>2011</v>
      </c>
      <c r="B32">
        <v>39872</v>
      </c>
      <c r="C32">
        <v>99594</v>
      </c>
      <c r="D32">
        <v>9530</v>
      </c>
      <c r="E32">
        <v>2609</v>
      </c>
      <c r="F32">
        <f t="shared" si="10"/>
        <v>151605</v>
      </c>
      <c r="H32">
        <v>2011</v>
      </c>
      <c r="I32" s="1">
        <f t="shared" si="11"/>
        <v>0.26299924144982023</v>
      </c>
      <c r="J32" s="1">
        <f t="shared" si="7"/>
        <v>0.65693084001187296</v>
      </c>
      <c r="K32" s="1">
        <f t="shared" si="8"/>
        <v>6.2860723590910592E-2</v>
      </c>
      <c r="L32" s="1">
        <f t="shared" si="9"/>
        <v>1.7209194947396193E-2</v>
      </c>
      <c r="M32" s="1">
        <f t="shared" si="12"/>
        <v>1</v>
      </c>
      <c r="O32" s="139">
        <f>B12*'History Type Share'!G10</f>
        <v>40001.68</v>
      </c>
    </row>
    <row r="33" spans="1:15">
      <c r="A33">
        <v>2012</v>
      </c>
      <c r="B33">
        <v>41189</v>
      </c>
      <c r="C33">
        <v>101813</v>
      </c>
      <c r="D33">
        <v>9356</v>
      </c>
      <c r="E33">
        <v>2722</v>
      </c>
      <c r="F33">
        <f t="shared" si="10"/>
        <v>155080</v>
      </c>
      <c r="H33">
        <v>2012</v>
      </c>
      <c r="I33" s="1">
        <f t="shared" si="11"/>
        <v>0.26559840082538044</v>
      </c>
      <c r="J33" s="1">
        <f t="shared" si="7"/>
        <v>0.65651921588857365</v>
      </c>
      <c r="K33" s="1">
        <f t="shared" si="8"/>
        <v>6.0330152179520251E-2</v>
      </c>
      <c r="L33" s="1">
        <f t="shared" si="9"/>
        <v>1.7552231106525665E-2</v>
      </c>
      <c r="M33" s="1">
        <f t="shared" si="12"/>
        <v>1</v>
      </c>
      <c r="O33" s="139">
        <f>B13*'History Type Share'!G11</f>
        <v>41353.079999999994</v>
      </c>
    </row>
    <row r="34" spans="1:15">
      <c r="A34">
        <v>2013</v>
      </c>
      <c r="B34">
        <v>39941</v>
      </c>
      <c r="C34">
        <v>101480</v>
      </c>
      <c r="D34">
        <v>9144</v>
      </c>
      <c r="E34">
        <v>2796</v>
      </c>
      <c r="F34">
        <f t="shared" si="10"/>
        <v>153361</v>
      </c>
      <c r="H34">
        <v>2013</v>
      </c>
      <c r="I34" s="1">
        <f t="shared" si="11"/>
        <v>0.2604377905725706</v>
      </c>
      <c r="J34" s="1">
        <f t="shared" si="7"/>
        <v>0.66170669205339039</v>
      </c>
      <c r="K34" s="1">
        <f t="shared" si="8"/>
        <v>5.9624024360821849E-2</v>
      </c>
      <c r="L34" s="1">
        <f t="shared" si="9"/>
        <v>1.8231493013217179E-2</v>
      </c>
      <c r="M34" s="1">
        <f t="shared" si="12"/>
        <v>1</v>
      </c>
      <c r="O34" s="139">
        <f>B14*'History Type Share'!G12</f>
        <v>39707.920000000006</v>
      </c>
    </row>
    <row r="35" spans="1:15">
      <c r="A35">
        <v>2014</v>
      </c>
      <c r="B35">
        <v>43415</v>
      </c>
      <c r="C35">
        <v>102627</v>
      </c>
      <c r="D35">
        <v>9230</v>
      </c>
      <c r="E35">
        <v>2875</v>
      </c>
      <c r="F35">
        <f t="shared" si="10"/>
        <v>158147</v>
      </c>
      <c r="H35">
        <v>2014</v>
      </c>
      <c r="I35" s="1">
        <f t="shared" si="11"/>
        <v>0.2745230703080046</v>
      </c>
      <c r="J35" s="1">
        <f t="shared" si="7"/>
        <v>0.64893421942875928</v>
      </c>
      <c r="K35" s="1">
        <f t="shared" si="8"/>
        <v>5.8363421373785147E-2</v>
      </c>
      <c r="L35" s="1">
        <f t="shared" si="9"/>
        <v>1.8179288889450952E-2</v>
      </c>
      <c r="M35" s="1">
        <f t="shared" si="12"/>
        <v>1</v>
      </c>
      <c r="O35" s="139">
        <f>B15*'History Type Share'!G13</f>
        <v>43337</v>
      </c>
    </row>
    <row r="36" spans="1:15">
      <c r="A36">
        <v>2015</v>
      </c>
      <c r="B36">
        <v>42368</v>
      </c>
      <c r="C36">
        <v>103693</v>
      </c>
      <c r="D36">
        <v>9242</v>
      </c>
      <c r="E36">
        <v>2972</v>
      </c>
      <c r="F36">
        <f t="shared" si="10"/>
        <v>158275</v>
      </c>
      <c r="H36">
        <v>2015</v>
      </c>
      <c r="I36" s="1">
        <f t="shared" si="11"/>
        <v>0.26768598957510664</v>
      </c>
      <c r="J36" s="1">
        <f t="shared" si="7"/>
        <v>0.65514452693097458</v>
      </c>
      <c r="K36" s="1">
        <f t="shared" si="8"/>
        <v>5.8392039172326646E-2</v>
      </c>
      <c r="L36" s="1">
        <f t="shared" si="9"/>
        <v>1.8777444321592167E-2</v>
      </c>
      <c r="M36" s="1">
        <f t="shared" si="12"/>
        <v>1</v>
      </c>
      <c r="O36" s="139">
        <f>B16*'History Type Share'!G14</f>
        <v>42149.799999999996</v>
      </c>
    </row>
    <row r="37" spans="1:15">
      <c r="A37">
        <v>2016</v>
      </c>
      <c r="B37">
        <v>43120</v>
      </c>
      <c r="C37">
        <v>103881</v>
      </c>
      <c r="D37">
        <v>8709</v>
      </c>
      <c r="E37">
        <v>2951</v>
      </c>
      <c r="F37">
        <f t="shared" si="10"/>
        <v>158661</v>
      </c>
      <c r="H37">
        <v>2016</v>
      </c>
      <c r="I37" s="1">
        <f t="shared" si="11"/>
        <v>0.27177441211135694</v>
      </c>
      <c r="J37" s="1">
        <f t="shared" si="7"/>
        <v>0.65473556828710266</v>
      </c>
      <c r="K37" s="1">
        <f t="shared" si="8"/>
        <v>5.4890615841322064E-2</v>
      </c>
      <c r="L37" s="1">
        <f t="shared" si="9"/>
        <v>1.8599403760218326E-2</v>
      </c>
      <c r="M37" s="1">
        <f t="shared" si="12"/>
        <v>1</v>
      </c>
      <c r="O37" s="139">
        <f>B17*'History Type Share'!G15</f>
        <v>43007.299999999996</v>
      </c>
    </row>
    <row r="38" spans="1:15">
      <c r="A38">
        <v>2017</v>
      </c>
      <c r="B38">
        <v>42127</v>
      </c>
      <c r="C38">
        <v>104669</v>
      </c>
      <c r="D38">
        <v>7963</v>
      </c>
      <c r="E38">
        <v>3218</v>
      </c>
      <c r="F38">
        <f t="shared" si="10"/>
        <v>157977</v>
      </c>
      <c r="H38">
        <v>2017</v>
      </c>
      <c r="I38" s="1">
        <f t="shared" si="11"/>
        <v>0.26666540065958971</v>
      </c>
      <c r="J38" s="1">
        <f t="shared" si="7"/>
        <v>0.66255847370186804</v>
      </c>
      <c r="K38" s="1">
        <f t="shared" si="8"/>
        <v>5.0406071769941191E-2</v>
      </c>
      <c r="L38" s="1">
        <f t="shared" si="9"/>
        <v>2.0370053868601124E-2</v>
      </c>
      <c r="M38" s="1">
        <f t="shared" si="12"/>
        <v>1</v>
      </c>
      <c r="O38" s="139">
        <f>B18*'History Type Share'!G16</f>
        <v>42333.2</v>
      </c>
    </row>
    <row r="39" spans="1:15">
      <c r="A39">
        <v>2018</v>
      </c>
      <c r="B39">
        <v>41965</v>
      </c>
      <c r="C39">
        <v>106291</v>
      </c>
      <c r="D39">
        <v>7938</v>
      </c>
      <c r="E39">
        <v>3300</v>
      </c>
      <c r="F39">
        <f t="shared" si="10"/>
        <v>159494</v>
      </c>
      <c r="H39">
        <v>2018</v>
      </c>
      <c r="I39" s="1">
        <f t="shared" si="11"/>
        <v>0.2631133459565877</v>
      </c>
      <c r="J39" s="1">
        <f t="shared" si="7"/>
        <v>0.66642632324726947</v>
      </c>
      <c r="K39" s="1">
        <f t="shared" si="8"/>
        <v>4.9769897300211918E-2</v>
      </c>
      <c r="L39" s="1">
        <f t="shared" si="9"/>
        <v>2.0690433495930881E-2</v>
      </c>
      <c r="M39" s="1">
        <f t="shared" si="12"/>
        <v>1</v>
      </c>
      <c r="O39" s="139">
        <f>B19*'History Type Share'!G17</f>
        <v>41858.080000000002</v>
      </c>
    </row>
    <row r="40" spans="1:15">
      <c r="A40">
        <v>2019</v>
      </c>
      <c r="B40">
        <v>42937</v>
      </c>
      <c r="C40">
        <v>107988</v>
      </c>
      <c r="D40">
        <v>7501</v>
      </c>
      <c r="E40">
        <v>3244</v>
      </c>
      <c r="F40">
        <f t="shared" si="10"/>
        <v>161670</v>
      </c>
      <c r="H40">
        <v>2019</v>
      </c>
      <c r="I40" s="1">
        <f t="shared" si="11"/>
        <v>0.26558421475845861</v>
      </c>
      <c r="J40" s="1">
        <f t="shared" si="7"/>
        <v>0.66795323807756546</v>
      </c>
      <c r="K40" s="1">
        <f t="shared" si="8"/>
        <v>4.6396981505535971E-2</v>
      </c>
      <c r="L40" s="1">
        <f t="shared" si="9"/>
        <v>2.0065565658440032E-2</v>
      </c>
      <c r="M40" s="1">
        <f t="shared" si="12"/>
        <v>1</v>
      </c>
      <c r="O40" s="139">
        <f>B20*'History Type Share'!G18</f>
        <v>42714.7</v>
      </c>
    </row>
    <row r="41" spans="1:15">
      <c r="A41">
        <v>2020</v>
      </c>
      <c r="B41">
        <v>46675</v>
      </c>
      <c r="C41">
        <v>102167</v>
      </c>
      <c r="D41">
        <v>7383</v>
      </c>
      <c r="E41">
        <v>2876</v>
      </c>
      <c r="F41">
        <f t="shared" si="10"/>
        <v>159101</v>
      </c>
      <c r="H41">
        <v>2020</v>
      </c>
      <c r="I41" s="1">
        <f t="shared" si="11"/>
        <v>0.29336710642924935</v>
      </c>
      <c r="J41" s="1">
        <f t="shared" si="7"/>
        <v>0.64215184065467845</v>
      </c>
      <c r="K41" s="1">
        <f t="shared" si="8"/>
        <v>4.640448520122438E-2</v>
      </c>
      <c r="L41" s="1">
        <f t="shared" si="9"/>
        <v>1.8076567714847801E-2</v>
      </c>
      <c r="M41" s="1">
        <f t="shared" si="12"/>
        <v>1</v>
      </c>
      <c r="O41" s="139">
        <f>B21*'History Type Share'!G19</f>
        <v>46489.1</v>
      </c>
    </row>
    <row r="42" spans="1:15">
      <c r="A42">
        <v>2021</v>
      </c>
      <c r="B42">
        <v>47464</v>
      </c>
      <c r="C42">
        <v>107240</v>
      </c>
      <c r="D42">
        <v>7222</v>
      </c>
      <c r="E42">
        <v>3002</v>
      </c>
      <c r="F42">
        <f t="shared" si="10"/>
        <v>164928</v>
      </c>
      <c r="H42">
        <v>2021</v>
      </c>
      <c r="I42" s="1">
        <f t="shared" si="11"/>
        <v>0.28778618548700041</v>
      </c>
      <c r="J42" s="1">
        <f t="shared" si="7"/>
        <v>0.65022312766783086</v>
      </c>
      <c r="K42" s="1">
        <f t="shared" si="8"/>
        <v>4.3788804811796665E-2</v>
      </c>
      <c r="L42" s="1">
        <f t="shared" si="9"/>
        <v>1.8201882033372137E-2</v>
      </c>
      <c r="M42" s="1">
        <f t="shared" si="12"/>
        <v>1</v>
      </c>
      <c r="O42" s="139">
        <f>B22*'History Type Share'!G20</f>
        <v>46704.7</v>
      </c>
    </row>
    <row r="44" spans="1:15">
      <c r="A44" s="544" t="s">
        <v>481</v>
      </c>
      <c r="B44" s="544" t="s">
        <v>979</v>
      </c>
      <c r="C44" s="544" t="s">
        <v>981</v>
      </c>
      <c r="D44" s="544" t="s">
        <v>983</v>
      </c>
      <c r="E44" s="544" t="s">
        <v>985</v>
      </c>
      <c r="F44" t="s">
        <v>557</v>
      </c>
      <c r="H44" t="s">
        <v>554</v>
      </c>
      <c r="I44" s="544" t="s">
        <v>980</v>
      </c>
      <c r="J44" s="544" t="s">
        <v>982</v>
      </c>
      <c r="K44" s="544" t="s">
        <v>984</v>
      </c>
      <c r="L44" s="544" t="s">
        <v>986</v>
      </c>
      <c r="M44" t="s">
        <v>557</v>
      </c>
    </row>
    <row r="45" spans="1:15">
      <c r="A45" s="544">
        <v>2011</v>
      </c>
      <c r="B45" s="544">
        <v>8</v>
      </c>
      <c r="C45" s="544">
        <v>1979</v>
      </c>
      <c r="D45" s="544">
        <v>3978</v>
      </c>
      <c r="E45" s="544">
        <v>72383</v>
      </c>
      <c r="F45">
        <f>SUM(B45:E45)</f>
        <v>78348</v>
      </c>
      <c r="H45" s="544">
        <v>2011</v>
      </c>
      <c r="I45" s="545">
        <v>0</v>
      </c>
      <c r="J45" s="545">
        <v>0.03</v>
      </c>
      <c r="K45" s="545">
        <v>0.05</v>
      </c>
      <c r="L45" s="545">
        <v>0.92</v>
      </c>
      <c r="M45">
        <f>SUM(I45:L45)</f>
        <v>1</v>
      </c>
    </row>
    <row r="46" spans="1:15">
      <c r="A46" s="544">
        <v>2012</v>
      </c>
      <c r="B46" s="544">
        <v>8</v>
      </c>
      <c r="C46" s="544">
        <v>1696</v>
      </c>
      <c r="D46" s="544">
        <v>3728</v>
      </c>
      <c r="E46" s="544">
        <v>71927</v>
      </c>
      <c r="F46">
        <f t="shared" ref="F46:F55" si="13">SUM(B46:E46)</f>
        <v>77359</v>
      </c>
      <c r="H46" s="544">
        <v>2012</v>
      </c>
      <c r="I46" s="545">
        <v>0</v>
      </c>
      <c r="J46" s="545">
        <v>0.02</v>
      </c>
      <c r="K46" s="545">
        <v>0.05</v>
      </c>
      <c r="L46" s="545">
        <v>0.93</v>
      </c>
      <c r="M46">
        <f t="shared" ref="M46:M55" si="14">SUM(I46:L46)</f>
        <v>1</v>
      </c>
    </row>
    <row r="47" spans="1:15">
      <c r="A47" s="544">
        <v>2013</v>
      </c>
      <c r="B47" s="544">
        <v>7</v>
      </c>
      <c r="C47" s="544">
        <v>1477</v>
      </c>
      <c r="D47" s="544">
        <v>3571</v>
      </c>
      <c r="E47" s="544">
        <v>71449</v>
      </c>
      <c r="F47">
        <f t="shared" si="13"/>
        <v>76504</v>
      </c>
      <c r="H47" s="544">
        <v>2013</v>
      </c>
      <c r="I47" s="545">
        <v>0</v>
      </c>
      <c r="J47" s="545">
        <v>0.02</v>
      </c>
      <c r="K47" s="545">
        <v>0.05</v>
      </c>
      <c r="L47" s="545">
        <v>0.93</v>
      </c>
      <c r="M47">
        <f t="shared" si="14"/>
        <v>1</v>
      </c>
    </row>
    <row r="48" spans="1:15">
      <c r="A48" s="544">
        <v>2014</v>
      </c>
      <c r="B48" s="544">
        <v>7</v>
      </c>
      <c r="C48" s="544">
        <v>1431</v>
      </c>
      <c r="D48" s="544">
        <v>3389</v>
      </c>
      <c r="E48" s="544">
        <v>69206</v>
      </c>
      <c r="F48">
        <f t="shared" si="13"/>
        <v>74033</v>
      </c>
      <c r="H48" s="544">
        <v>2014</v>
      </c>
      <c r="I48" s="545">
        <v>0</v>
      </c>
      <c r="J48" s="545">
        <v>0.02</v>
      </c>
      <c r="K48" s="545">
        <v>0.05</v>
      </c>
      <c r="L48" s="545">
        <v>0.93</v>
      </c>
      <c r="M48">
        <f t="shared" si="14"/>
        <v>1</v>
      </c>
    </row>
    <row r="49" spans="1:13">
      <c r="A49" s="544">
        <v>2015</v>
      </c>
      <c r="B49" s="544">
        <v>8</v>
      </c>
      <c r="C49" s="544">
        <v>1235</v>
      </c>
      <c r="D49" s="544">
        <v>3386</v>
      </c>
      <c r="E49" s="544">
        <v>70251</v>
      </c>
      <c r="F49">
        <f t="shared" si="13"/>
        <v>74880</v>
      </c>
      <c r="H49" s="544">
        <v>2015</v>
      </c>
      <c r="I49" s="545">
        <v>0</v>
      </c>
      <c r="J49" s="545">
        <v>0.02</v>
      </c>
      <c r="K49" s="545">
        <v>0.05</v>
      </c>
      <c r="L49" s="545">
        <v>0.94</v>
      </c>
      <c r="M49">
        <f t="shared" si="14"/>
        <v>1.01</v>
      </c>
    </row>
    <row r="50" spans="1:13">
      <c r="A50" s="544">
        <v>2016</v>
      </c>
      <c r="B50" s="544">
        <v>10</v>
      </c>
      <c r="C50" s="544">
        <v>1019</v>
      </c>
      <c r="D50" s="544">
        <v>3190</v>
      </c>
      <c r="E50" s="544">
        <v>70374</v>
      </c>
      <c r="F50">
        <f t="shared" si="13"/>
        <v>74593</v>
      </c>
      <c r="H50" s="544">
        <v>2016</v>
      </c>
      <c r="I50" s="545">
        <v>0</v>
      </c>
      <c r="J50" s="545">
        <v>0.01</v>
      </c>
      <c r="K50" s="545">
        <v>0.04</v>
      </c>
      <c r="L50" s="545">
        <v>0.94</v>
      </c>
      <c r="M50">
        <f t="shared" si="14"/>
        <v>0.99</v>
      </c>
    </row>
    <row r="51" spans="1:13">
      <c r="A51" s="544">
        <v>2017</v>
      </c>
      <c r="B51" s="544">
        <v>14</v>
      </c>
      <c r="C51" s="544">
        <v>830</v>
      </c>
      <c r="D51" s="544">
        <v>3442</v>
      </c>
      <c r="E51" s="544">
        <v>69991</v>
      </c>
      <c r="F51">
        <f t="shared" si="13"/>
        <v>74277</v>
      </c>
      <c r="H51" s="544">
        <v>2017</v>
      </c>
      <c r="I51" s="545">
        <v>0</v>
      </c>
      <c r="J51" s="545">
        <v>0.01</v>
      </c>
      <c r="K51" s="545">
        <v>0.05</v>
      </c>
      <c r="L51" s="545">
        <v>0.94</v>
      </c>
      <c r="M51">
        <f t="shared" si="14"/>
        <v>1</v>
      </c>
    </row>
    <row r="52" spans="1:13">
      <c r="A52" s="544">
        <v>2018</v>
      </c>
      <c r="B52" s="544">
        <v>14</v>
      </c>
      <c r="C52" s="544">
        <v>675</v>
      </c>
      <c r="D52" s="544">
        <v>3443</v>
      </c>
      <c r="E52" s="544">
        <v>69492</v>
      </c>
      <c r="F52">
        <f t="shared" si="13"/>
        <v>73624</v>
      </c>
      <c r="H52" s="544">
        <v>2018</v>
      </c>
      <c r="I52" s="545">
        <v>0</v>
      </c>
      <c r="J52" s="545">
        <v>0.01</v>
      </c>
      <c r="K52" s="545">
        <v>0.05</v>
      </c>
      <c r="L52" s="545">
        <v>0.94</v>
      </c>
      <c r="M52">
        <f t="shared" si="14"/>
        <v>1</v>
      </c>
    </row>
    <row r="53" spans="1:13">
      <c r="A53" s="544">
        <v>2019</v>
      </c>
      <c r="B53" s="544">
        <v>15</v>
      </c>
      <c r="C53" s="544">
        <v>574</v>
      </c>
      <c r="D53" s="544">
        <v>3177</v>
      </c>
      <c r="E53" s="544">
        <v>69401</v>
      </c>
      <c r="F53">
        <f t="shared" si="13"/>
        <v>73167</v>
      </c>
      <c r="H53" s="544">
        <v>2019</v>
      </c>
      <c r="I53" s="545">
        <v>0</v>
      </c>
      <c r="J53" s="545">
        <v>0.01</v>
      </c>
      <c r="K53" s="545">
        <v>0.04</v>
      </c>
      <c r="L53" s="545">
        <v>0.95</v>
      </c>
      <c r="M53">
        <f t="shared" si="14"/>
        <v>1</v>
      </c>
    </row>
    <row r="54" spans="1:13">
      <c r="A54" s="544">
        <v>2020</v>
      </c>
      <c r="B54" s="544">
        <v>15</v>
      </c>
      <c r="C54" s="544">
        <v>498</v>
      </c>
      <c r="D54" s="544">
        <v>3309</v>
      </c>
      <c r="E54" s="544">
        <v>64484</v>
      </c>
      <c r="F54">
        <f t="shared" si="13"/>
        <v>68306</v>
      </c>
      <c r="H54" s="544">
        <v>2020</v>
      </c>
      <c r="I54" s="545">
        <v>0</v>
      </c>
      <c r="J54" s="545">
        <v>0.01</v>
      </c>
      <c r="K54" s="545">
        <v>0.05</v>
      </c>
      <c r="L54" s="545">
        <v>0.94</v>
      </c>
      <c r="M54">
        <f t="shared" si="14"/>
        <v>1</v>
      </c>
    </row>
    <row r="55" spans="1:13">
      <c r="A55" s="544">
        <v>2021</v>
      </c>
      <c r="B55" s="544">
        <v>15</v>
      </c>
      <c r="C55" s="544">
        <v>490</v>
      </c>
      <c r="D55" s="544">
        <v>3237</v>
      </c>
      <c r="E55" s="544">
        <v>67145</v>
      </c>
      <c r="F55">
        <f t="shared" si="13"/>
        <v>70887</v>
      </c>
      <c r="H55" s="544">
        <v>2021</v>
      </c>
      <c r="I55" s="545">
        <v>0</v>
      </c>
      <c r="J55" s="545">
        <v>0.01</v>
      </c>
      <c r="K55" s="545">
        <v>0.05</v>
      </c>
      <c r="L55" s="545">
        <v>0.95</v>
      </c>
      <c r="M55">
        <f t="shared" si="14"/>
        <v>1.01</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A1:CE174"/>
  <sheetViews>
    <sheetView topLeftCell="A32" zoomScale="115" zoomScaleNormal="125" workbookViewId="0">
      <selection activeCell="K25" sqref="K25:T25"/>
    </sheetView>
  </sheetViews>
  <sheetFormatPr baseColWidth="10" defaultColWidth="8.796875" defaultRowHeight="14"/>
  <cols>
    <col min="1" max="1" width="13.3984375" customWidth="1"/>
    <col min="13" max="13" width="9.796875" customWidth="1"/>
    <col min="34" max="34" width="8.796875" customWidth="1"/>
    <col min="43" max="43" width="9.19921875" bestFit="1" customWidth="1"/>
  </cols>
  <sheetData>
    <row r="1" spans="1:83" ht="20">
      <c r="A1" s="99" t="s">
        <v>561</v>
      </c>
      <c r="K1" t="s">
        <v>510</v>
      </c>
      <c r="L1" t="s">
        <v>511</v>
      </c>
      <c r="M1" t="s">
        <v>512</v>
      </c>
      <c r="N1" t="s">
        <v>513</v>
      </c>
      <c r="O1" t="s">
        <v>514</v>
      </c>
      <c r="P1" t="s">
        <v>515</v>
      </c>
      <c r="Q1" t="s">
        <v>516</v>
      </c>
      <c r="R1" s="24" t="s">
        <v>517</v>
      </c>
    </row>
    <row r="2" spans="1:83">
      <c r="A2" t="s">
        <v>493</v>
      </c>
      <c r="C2" t="s">
        <v>506</v>
      </c>
      <c r="G2" t="s">
        <v>505</v>
      </c>
    </row>
    <row r="3" spans="1:83" s="92" customFormat="1">
      <c r="A3" s="176" t="s">
        <v>509</v>
      </c>
    </row>
    <row r="4" spans="1:83">
      <c r="A4" s="48" t="s">
        <v>562</v>
      </c>
      <c r="I4" s="24"/>
      <c r="K4" s="48" t="s">
        <v>563</v>
      </c>
      <c r="V4" s="48" t="s">
        <v>564</v>
      </c>
      <c r="AG4" s="48" t="s">
        <v>585</v>
      </c>
      <c r="AR4" s="564" t="s">
        <v>1004</v>
      </c>
      <c r="BC4" s="48" t="s">
        <v>565</v>
      </c>
      <c r="BM4" s="564" t="s">
        <v>1006</v>
      </c>
      <c r="BW4" s="564" t="s">
        <v>1007</v>
      </c>
    </row>
    <row r="5" spans="1:83" s="557" customFormat="1" ht="26" customHeight="1">
      <c r="A5" s="554" t="s">
        <v>496</v>
      </c>
      <c r="B5" s="550" t="s">
        <v>998</v>
      </c>
      <c r="C5" s="551" t="s">
        <v>999</v>
      </c>
      <c r="D5" s="555" t="s">
        <v>1000</v>
      </c>
      <c r="E5" s="552" t="s">
        <v>1001</v>
      </c>
      <c r="F5" s="553" t="s">
        <v>1002</v>
      </c>
      <c r="G5" s="549" t="s">
        <v>997</v>
      </c>
      <c r="H5" s="556" t="s">
        <v>1003</v>
      </c>
      <c r="I5" s="554" t="s">
        <v>500</v>
      </c>
      <c r="K5" s="554" t="s">
        <v>995</v>
      </c>
      <c r="L5" s="549" t="s">
        <v>988</v>
      </c>
      <c r="M5" s="550" t="s">
        <v>989</v>
      </c>
      <c r="N5" s="551" t="s">
        <v>990</v>
      </c>
      <c r="O5" s="555" t="s">
        <v>991</v>
      </c>
      <c r="P5" s="552" t="s">
        <v>992</v>
      </c>
      <c r="Q5" s="553" t="s">
        <v>993</v>
      </c>
      <c r="R5" s="553" t="s">
        <v>987</v>
      </c>
      <c r="S5" s="558" t="s">
        <v>994</v>
      </c>
      <c r="T5" s="560" t="s">
        <v>996</v>
      </c>
      <c r="V5" s="554" t="s">
        <v>995</v>
      </c>
      <c r="W5" s="549" t="s">
        <v>988</v>
      </c>
      <c r="X5" s="550" t="s">
        <v>989</v>
      </c>
      <c r="Y5" s="551" t="s">
        <v>990</v>
      </c>
      <c r="Z5" s="555" t="s">
        <v>991</v>
      </c>
      <c r="AA5" s="552" t="s">
        <v>992</v>
      </c>
      <c r="AB5" s="553" t="s">
        <v>993</v>
      </c>
      <c r="AC5" s="553" t="s">
        <v>987</v>
      </c>
      <c r="AD5" s="558" t="s">
        <v>994</v>
      </c>
      <c r="AE5" s="560" t="s">
        <v>996</v>
      </c>
      <c r="AG5" s="554" t="s">
        <v>995</v>
      </c>
      <c r="AH5" s="549" t="s">
        <v>988</v>
      </c>
      <c r="AI5" s="550" t="s">
        <v>989</v>
      </c>
      <c r="AJ5" s="551" t="s">
        <v>990</v>
      </c>
      <c r="AK5" s="555" t="s">
        <v>991</v>
      </c>
      <c r="AL5" s="552" t="s">
        <v>992</v>
      </c>
      <c r="AM5" s="553" t="s">
        <v>993</v>
      </c>
      <c r="AN5" s="553" t="s">
        <v>987</v>
      </c>
      <c r="AO5" s="558" t="s">
        <v>994</v>
      </c>
      <c r="AP5" s="560" t="s">
        <v>996</v>
      </c>
      <c r="AR5" s="554" t="s">
        <v>481</v>
      </c>
      <c r="AS5" s="549" t="s">
        <v>988</v>
      </c>
      <c r="AT5" s="550" t="s">
        <v>989</v>
      </c>
      <c r="AU5" s="551" t="s">
        <v>990</v>
      </c>
      <c r="AV5" s="555" t="s">
        <v>991</v>
      </c>
      <c r="AW5" s="552" t="s">
        <v>992</v>
      </c>
      <c r="AX5" s="553" t="s">
        <v>993</v>
      </c>
      <c r="AY5" s="553" t="s">
        <v>987</v>
      </c>
      <c r="AZ5" s="556" t="s">
        <v>994</v>
      </c>
      <c r="BA5" s="554" t="s">
        <v>500</v>
      </c>
      <c r="BC5" s="554" t="s">
        <v>496</v>
      </c>
      <c r="BD5" s="549" t="s">
        <v>997</v>
      </c>
      <c r="BE5" s="550" t="s">
        <v>998</v>
      </c>
      <c r="BF5" s="551" t="s">
        <v>999</v>
      </c>
      <c r="BG5" s="555" t="s">
        <v>1000</v>
      </c>
      <c r="BH5" s="552" t="s">
        <v>1001</v>
      </c>
      <c r="BI5" s="553" t="s">
        <v>1002</v>
      </c>
      <c r="BJ5" s="556" t="s">
        <v>1003</v>
      </c>
      <c r="BK5" s="554" t="s">
        <v>500</v>
      </c>
      <c r="BM5" s="554" t="s">
        <v>496</v>
      </c>
      <c r="BN5" s="549" t="s">
        <v>997</v>
      </c>
      <c r="BO5" s="550" t="s">
        <v>998</v>
      </c>
      <c r="BP5" s="551" t="s">
        <v>999</v>
      </c>
      <c r="BQ5" s="555" t="s">
        <v>1000</v>
      </c>
      <c r="BR5" s="552" t="s">
        <v>1001</v>
      </c>
      <c r="BS5" s="553" t="s">
        <v>1002</v>
      </c>
      <c r="BT5" s="553" t="s">
        <v>1003</v>
      </c>
      <c r="BU5" s="554" t="s">
        <v>500</v>
      </c>
      <c r="BW5" s="554" t="s">
        <v>496</v>
      </c>
      <c r="BX5" s="549" t="s">
        <v>997</v>
      </c>
      <c r="BY5" s="550" t="s">
        <v>998</v>
      </c>
      <c r="BZ5" s="551" t="s">
        <v>999</v>
      </c>
      <c r="CA5" s="555" t="s">
        <v>1000</v>
      </c>
      <c r="CB5" s="552" t="s">
        <v>1001</v>
      </c>
      <c r="CC5" s="553" t="s">
        <v>1002</v>
      </c>
      <c r="CD5" s="553" t="s">
        <v>1003</v>
      </c>
      <c r="CE5" s="554" t="s">
        <v>500</v>
      </c>
    </row>
    <row r="6" spans="1:83">
      <c r="A6" s="12">
        <v>2006</v>
      </c>
      <c r="B6" s="550">
        <f>BE6</f>
        <v>13285</v>
      </c>
      <c r="C6" s="551">
        <f>BF6</f>
        <v>12535</v>
      </c>
      <c r="D6" s="555">
        <f>BG6</f>
        <v>4633</v>
      </c>
      <c r="E6" s="552">
        <f>BH6</f>
        <v>6372</v>
      </c>
      <c r="F6" s="553">
        <f>BI6</f>
        <v>5366</v>
      </c>
      <c r="G6" s="549">
        <f>BD6</f>
        <v>16232</v>
      </c>
      <c r="H6" s="556">
        <f t="shared" ref="H6" si="0">BJ6</f>
        <v>2231</v>
      </c>
      <c r="I6" s="554">
        <f t="shared" ref="I6:I21" si="1">BK6</f>
        <v>60654</v>
      </c>
      <c r="K6" s="3">
        <v>2006</v>
      </c>
      <c r="L6" s="169">
        <v>6828</v>
      </c>
      <c r="M6" s="170">
        <v>6122</v>
      </c>
      <c r="N6" s="161">
        <v>5074</v>
      </c>
      <c r="O6" s="171">
        <v>2148</v>
      </c>
      <c r="P6" s="172">
        <v>2830</v>
      </c>
      <c r="Q6" s="173">
        <v>2311</v>
      </c>
      <c r="R6" s="173">
        <v>0</v>
      </c>
      <c r="S6" s="559">
        <v>898</v>
      </c>
      <c r="T6" s="561">
        <v>26211</v>
      </c>
      <c r="V6" s="3">
        <v>2006</v>
      </c>
      <c r="W6" s="169">
        <f>G139+AH6</f>
        <v>6900</v>
      </c>
      <c r="X6" s="170">
        <f>B139+AI6</f>
        <v>5006</v>
      </c>
      <c r="Y6" s="161">
        <f>C139+AJ6</f>
        <v>5485</v>
      </c>
      <c r="Z6" s="171">
        <f>D139+AK6</f>
        <v>1760</v>
      </c>
      <c r="AA6" s="172">
        <f>E139+AL6</f>
        <v>2656</v>
      </c>
      <c r="AB6" s="173">
        <f>F139+AM6</f>
        <v>2211</v>
      </c>
      <c r="AC6" s="173"/>
      <c r="AD6" s="559">
        <f t="shared" ref="AD6:AE9" si="2">H139+AO6</f>
        <v>948</v>
      </c>
      <c r="AE6" s="561">
        <f t="shared" si="2"/>
        <v>24967</v>
      </c>
      <c r="AG6" s="3">
        <v>2006</v>
      </c>
      <c r="AH6" s="169">
        <v>2504</v>
      </c>
      <c r="AI6" s="170">
        <v>2157</v>
      </c>
      <c r="AJ6" s="161">
        <v>1976</v>
      </c>
      <c r="AK6" s="171">
        <v>725</v>
      </c>
      <c r="AL6" s="172">
        <v>886</v>
      </c>
      <c r="AM6" s="173">
        <v>844</v>
      </c>
      <c r="AN6" s="173">
        <v>0</v>
      </c>
      <c r="AO6" s="559">
        <v>385</v>
      </c>
      <c r="AP6" s="562">
        <v>9478</v>
      </c>
      <c r="AR6" s="3">
        <v>2006</v>
      </c>
      <c r="AS6" s="169"/>
      <c r="AT6" s="170"/>
      <c r="AU6" s="161"/>
      <c r="AV6" s="171"/>
      <c r="AW6" s="172"/>
      <c r="AX6" s="173"/>
      <c r="AY6" s="173"/>
      <c r="AZ6" s="165"/>
      <c r="BA6" s="562">
        <v>0</v>
      </c>
      <c r="BC6" s="12">
        <v>2006</v>
      </c>
      <c r="BD6" s="573">
        <f t="shared" ref="BD6:BD21" si="3">L6+W6+AH6+AS6</f>
        <v>16232</v>
      </c>
      <c r="BE6" s="550">
        <f t="shared" ref="BE6:BE21" si="4">M6+X6+AI6+AT6</f>
        <v>13285</v>
      </c>
      <c r="BF6" s="551">
        <f t="shared" ref="BF6:BF21" si="5">N6+Y6+AJ6+AU6</f>
        <v>12535</v>
      </c>
      <c r="BG6" s="555">
        <f t="shared" ref="BG6:BG21" si="6">O6+Z6+AK6+AV6</f>
        <v>4633</v>
      </c>
      <c r="BH6" s="552">
        <f t="shared" ref="BH6:BH21" si="7">P6+AA6+AL6+AW6</f>
        <v>6372</v>
      </c>
      <c r="BI6" s="553">
        <f t="shared" ref="BI6:BI21" si="8">Q6+AB6+AM6+AX6</f>
        <v>5366</v>
      </c>
      <c r="BJ6" s="556">
        <f t="shared" ref="BJ6:BJ21" si="9">R6+AC6+AN6+AY6+S6+AD6+AO6+AZ6</f>
        <v>2231</v>
      </c>
      <c r="BK6" s="563">
        <f>SUM(BD6:BJ6)</f>
        <v>60654</v>
      </c>
      <c r="BL6" s="563"/>
      <c r="BM6" s="12">
        <v>2006</v>
      </c>
      <c r="BN6" s="573">
        <f>L6+AH6+AS6</f>
        <v>9332</v>
      </c>
      <c r="BO6" s="550">
        <f t="shared" ref="BO6:BS21" si="10">M6+AI6+AT6</f>
        <v>8279</v>
      </c>
      <c r="BP6" s="551">
        <f t="shared" si="10"/>
        <v>7050</v>
      </c>
      <c r="BQ6" s="555">
        <f t="shared" si="10"/>
        <v>2873</v>
      </c>
      <c r="BR6" s="552">
        <f t="shared" si="10"/>
        <v>3716</v>
      </c>
      <c r="BS6" s="553">
        <f t="shared" si="10"/>
        <v>3155</v>
      </c>
      <c r="BT6" s="553">
        <f>R6+AY6+AN6+S6+AZ6+AO6</f>
        <v>1283</v>
      </c>
      <c r="BU6" s="554">
        <f t="shared" ref="BU6:BU21" si="11">SUM(BN6:BT6)</f>
        <v>35688</v>
      </c>
      <c r="BV6" s="563"/>
      <c r="BW6" s="12">
        <v>2006</v>
      </c>
      <c r="BX6" s="549">
        <f>W6</f>
        <v>6900</v>
      </c>
      <c r="BY6" s="550">
        <f t="shared" ref="BY6:CC21" si="12">X6</f>
        <v>5006</v>
      </c>
      <c r="BZ6" s="551">
        <f t="shared" si="12"/>
        <v>5485</v>
      </c>
      <c r="CA6" s="555">
        <f t="shared" si="12"/>
        <v>1760</v>
      </c>
      <c r="CB6" s="552">
        <f t="shared" si="12"/>
        <v>2656</v>
      </c>
      <c r="CC6" s="553">
        <f t="shared" si="12"/>
        <v>2211</v>
      </c>
      <c r="CD6" s="553">
        <f>AC6+AD6</f>
        <v>948</v>
      </c>
      <c r="CE6" s="563">
        <f t="shared" ref="CE6:CE21" si="13">SUM(BX6:CD6)</f>
        <v>24966</v>
      </c>
    </row>
    <row r="7" spans="1:83">
      <c r="A7" s="12">
        <v>2007</v>
      </c>
      <c r="B7" s="550">
        <f>BE7</f>
        <v>13329</v>
      </c>
      <c r="C7" s="551">
        <f t="shared" ref="C7:C21" si="14">BF7</f>
        <v>12467</v>
      </c>
      <c r="D7" s="555">
        <f t="shared" ref="D7:D21" si="15">BG7</f>
        <v>4509</v>
      </c>
      <c r="E7" s="552">
        <f t="shared" ref="E7:E21" si="16">BH7</f>
        <v>6618</v>
      </c>
      <c r="F7" s="553">
        <f t="shared" ref="F7:F21" si="17">BI7</f>
        <v>5701</v>
      </c>
      <c r="G7" s="549">
        <f>BD7</f>
        <v>16618</v>
      </c>
      <c r="H7" s="556">
        <f t="shared" ref="H7:H21" si="18">BJ7</f>
        <v>2339</v>
      </c>
      <c r="I7" s="554">
        <f t="shared" si="1"/>
        <v>61581</v>
      </c>
      <c r="K7" s="3">
        <v>2007</v>
      </c>
      <c r="L7" s="169">
        <v>6974</v>
      </c>
      <c r="M7" s="170">
        <v>6176</v>
      </c>
      <c r="N7" s="161">
        <v>5104</v>
      </c>
      <c r="O7" s="171">
        <v>2100</v>
      </c>
      <c r="P7" s="172">
        <v>2962</v>
      </c>
      <c r="Q7" s="173">
        <v>2469</v>
      </c>
      <c r="R7" s="173">
        <v>0</v>
      </c>
      <c r="S7" s="559">
        <v>948</v>
      </c>
      <c r="T7" s="561">
        <v>26733</v>
      </c>
      <c r="V7" s="3">
        <v>2007</v>
      </c>
      <c r="W7" s="169">
        <f>G140+AH7</f>
        <v>7023</v>
      </c>
      <c r="X7" s="170">
        <f>B140+AI7</f>
        <v>4963</v>
      </c>
      <c r="Y7" s="161">
        <f>C140+AJ7</f>
        <v>5436</v>
      </c>
      <c r="Z7" s="171">
        <f>D140+AK7</f>
        <v>1709</v>
      </c>
      <c r="AA7" s="172">
        <f>E140+AL7</f>
        <v>2741</v>
      </c>
      <c r="AB7" s="173">
        <f>F140+AM7</f>
        <v>2323</v>
      </c>
      <c r="AC7" s="173"/>
      <c r="AD7" s="559">
        <f t="shared" si="2"/>
        <v>990</v>
      </c>
      <c r="AE7" s="561">
        <f t="shared" si="2"/>
        <v>25185</v>
      </c>
      <c r="AG7" s="3">
        <v>2007</v>
      </c>
      <c r="AH7" s="169">
        <v>2621</v>
      </c>
      <c r="AI7" s="170">
        <v>2190</v>
      </c>
      <c r="AJ7" s="161">
        <v>1927</v>
      </c>
      <c r="AK7" s="171">
        <v>700</v>
      </c>
      <c r="AL7" s="172">
        <v>915</v>
      </c>
      <c r="AM7" s="173">
        <v>909</v>
      </c>
      <c r="AN7" s="173">
        <v>0</v>
      </c>
      <c r="AO7" s="559">
        <v>401</v>
      </c>
      <c r="AP7" s="562">
        <v>9664</v>
      </c>
      <c r="AR7" s="3">
        <v>2007</v>
      </c>
      <c r="AS7" s="169"/>
      <c r="AT7" s="170"/>
      <c r="AU7" s="161"/>
      <c r="AV7" s="171"/>
      <c r="AW7" s="172"/>
      <c r="AX7" s="173"/>
      <c r="AY7" s="173"/>
      <c r="AZ7" s="165"/>
      <c r="BA7" s="562">
        <v>0</v>
      </c>
      <c r="BC7" s="12">
        <v>2007</v>
      </c>
      <c r="BD7" s="573">
        <f t="shared" si="3"/>
        <v>16618</v>
      </c>
      <c r="BE7" s="550">
        <f t="shared" si="4"/>
        <v>13329</v>
      </c>
      <c r="BF7" s="551">
        <f t="shared" si="5"/>
        <v>12467</v>
      </c>
      <c r="BG7" s="555">
        <f t="shared" si="6"/>
        <v>4509</v>
      </c>
      <c r="BH7" s="552">
        <f t="shared" si="7"/>
        <v>6618</v>
      </c>
      <c r="BI7" s="553">
        <f t="shared" si="8"/>
        <v>5701</v>
      </c>
      <c r="BJ7" s="556">
        <f t="shared" si="9"/>
        <v>2339</v>
      </c>
      <c r="BK7" s="563">
        <f t="shared" ref="BK7:BK21" si="19">SUM(BD7:BJ7)</f>
        <v>61581</v>
      </c>
      <c r="BL7" s="563"/>
      <c r="BM7" s="12">
        <v>2007</v>
      </c>
      <c r="BN7" s="549">
        <f t="shared" ref="BN7:BN21" si="20">L7+AH7+AS7</f>
        <v>9595</v>
      </c>
      <c r="BO7" s="550">
        <f t="shared" si="10"/>
        <v>8366</v>
      </c>
      <c r="BP7" s="551">
        <f t="shared" si="10"/>
        <v>7031</v>
      </c>
      <c r="BQ7" s="555">
        <f t="shared" si="10"/>
        <v>2800</v>
      </c>
      <c r="BR7" s="552">
        <f t="shared" si="10"/>
        <v>3877</v>
      </c>
      <c r="BS7" s="553">
        <f t="shared" si="10"/>
        <v>3378</v>
      </c>
      <c r="BT7" s="553">
        <f t="shared" ref="BT7:BT21" si="21">R7+AY7+AN7+S7+AZ7+AO7</f>
        <v>1349</v>
      </c>
      <c r="BU7" s="554">
        <f t="shared" si="11"/>
        <v>36396</v>
      </c>
      <c r="BW7" s="12">
        <v>2007</v>
      </c>
      <c r="BX7" s="549">
        <f t="shared" ref="BX7:BX21" si="22">W7</f>
        <v>7023</v>
      </c>
      <c r="BY7" s="550">
        <f t="shared" si="12"/>
        <v>4963</v>
      </c>
      <c r="BZ7" s="551">
        <f t="shared" si="12"/>
        <v>5436</v>
      </c>
      <c r="CA7" s="555">
        <f t="shared" si="12"/>
        <v>1709</v>
      </c>
      <c r="CB7" s="552">
        <f t="shared" si="12"/>
        <v>2741</v>
      </c>
      <c r="CC7" s="553">
        <f t="shared" si="12"/>
        <v>2323</v>
      </c>
      <c r="CD7" s="553">
        <f t="shared" ref="CD7:CD21" si="23">AC7+AD7</f>
        <v>990</v>
      </c>
      <c r="CE7" s="563">
        <f t="shared" si="13"/>
        <v>25185</v>
      </c>
    </row>
    <row r="8" spans="1:83">
      <c r="A8" s="12">
        <v>2008</v>
      </c>
      <c r="B8" s="550">
        <f>BE8</f>
        <v>13292</v>
      </c>
      <c r="C8" s="551">
        <f t="shared" si="14"/>
        <v>12874</v>
      </c>
      <c r="D8" s="555">
        <f t="shared" si="15"/>
        <v>4353</v>
      </c>
      <c r="E8" s="552">
        <f t="shared" si="16"/>
        <v>6806</v>
      </c>
      <c r="F8" s="553">
        <f t="shared" si="17"/>
        <v>6021</v>
      </c>
      <c r="G8" s="549">
        <f>BD8</f>
        <v>17535</v>
      </c>
      <c r="H8" s="556">
        <f t="shared" si="18"/>
        <v>2437</v>
      </c>
      <c r="I8" s="554">
        <f t="shared" si="1"/>
        <v>63318</v>
      </c>
      <c r="K8" s="3">
        <v>2008</v>
      </c>
      <c r="L8" s="169">
        <v>7334</v>
      </c>
      <c r="M8" s="170">
        <v>6240</v>
      </c>
      <c r="N8" s="161">
        <v>5323</v>
      </c>
      <c r="O8" s="171">
        <v>2055</v>
      </c>
      <c r="P8" s="172">
        <v>3101</v>
      </c>
      <c r="Q8" s="173">
        <v>2646</v>
      </c>
      <c r="R8" s="173">
        <v>0</v>
      </c>
      <c r="S8" s="559">
        <v>1002</v>
      </c>
      <c r="T8" s="561">
        <v>27701</v>
      </c>
      <c r="V8" s="3">
        <v>2008</v>
      </c>
      <c r="W8" s="169">
        <f>G141+AH8</f>
        <v>7334</v>
      </c>
      <c r="X8" s="170">
        <f>B141+AI8</f>
        <v>4836</v>
      </c>
      <c r="Y8" s="161">
        <f>C141+AJ8</f>
        <v>5559</v>
      </c>
      <c r="Z8" s="171">
        <f>D141+AK8</f>
        <v>1625</v>
      </c>
      <c r="AA8" s="172">
        <f>E141+AL8</f>
        <v>2765</v>
      </c>
      <c r="AB8" s="173">
        <f>F141+AM8</f>
        <v>2398</v>
      </c>
      <c r="AC8" s="173"/>
      <c r="AD8" s="559">
        <f t="shared" si="2"/>
        <v>1017</v>
      </c>
      <c r="AE8" s="561">
        <f t="shared" si="2"/>
        <v>25533</v>
      </c>
      <c r="AG8" s="3">
        <v>2008</v>
      </c>
      <c r="AH8" s="169">
        <v>2867</v>
      </c>
      <c r="AI8" s="170">
        <v>2216</v>
      </c>
      <c r="AJ8" s="161">
        <v>1992</v>
      </c>
      <c r="AK8" s="171">
        <v>673</v>
      </c>
      <c r="AL8" s="172">
        <v>940</v>
      </c>
      <c r="AM8" s="173">
        <v>977</v>
      </c>
      <c r="AN8" s="173">
        <v>0</v>
      </c>
      <c r="AO8" s="559">
        <v>418</v>
      </c>
      <c r="AP8" s="562">
        <v>10082</v>
      </c>
      <c r="AR8" s="3">
        <v>2008</v>
      </c>
      <c r="AS8" s="169"/>
      <c r="AT8" s="170"/>
      <c r="AU8" s="161"/>
      <c r="AV8" s="171"/>
      <c r="AW8" s="172"/>
      <c r="AX8" s="173"/>
      <c r="AY8" s="173"/>
      <c r="AZ8" s="165"/>
      <c r="BA8" s="562">
        <v>0</v>
      </c>
      <c r="BC8" s="12">
        <v>2008</v>
      </c>
      <c r="BD8" s="549">
        <f t="shared" si="3"/>
        <v>17535</v>
      </c>
      <c r="BE8" s="550">
        <f t="shared" si="4"/>
        <v>13292</v>
      </c>
      <c r="BF8" s="551">
        <f t="shared" si="5"/>
        <v>12874</v>
      </c>
      <c r="BG8" s="555">
        <f t="shared" si="6"/>
        <v>4353</v>
      </c>
      <c r="BH8" s="552">
        <f t="shared" si="7"/>
        <v>6806</v>
      </c>
      <c r="BI8" s="553">
        <f t="shared" si="8"/>
        <v>6021</v>
      </c>
      <c r="BJ8" s="556">
        <f t="shared" si="9"/>
        <v>2437</v>
      </c>
      <c r="BK8" s="563">
        <f t="shared" si="19"/>
        <v>63318</v>
      </c>
      <c r="BL8" s="563"/>
      <c r="BM8" s="12">
        <v>2008</v>
      </c>
      <c r="BN8" s="549">
        <f t="shared" si="20"/>
        <v>10201</v>
      </c>
      <c r="BO8" s="550">
        <f t="shared" si="10"/>
        <v>8456</v>
      </c>
      <c r="BP8" s="551">
        <f t="shared" si="10"/>
        <v>7315</v>
      </c>
      <c r="BQ8" s="555">
        <f t="shared" si="10"/>
        <v>2728</v>
      </c>
      <c r="BR8" s="552">
        <f t="shared" si="10"/>
        <v>4041</v>
      </c>
      <c r="BS8" s="553">
        <f t="shared" si="10"/>
        <v>3623</v>
      </c>
      <c r="BT8" s="553">
        <f t="shared" si="21"/>
        <v>1420</v>
      </c>
      <c r="BU8" s="554">
        <f t="shared" si="11"/>
        <v>37784</v>
      </c>
      <c r="BW8" s="12">
        <v>2008</v>
      </c>
      <c r="BX8" s="549">
        <f t="shared" si="22"/>
        <v>7334</v>
      </c>
      <c r="BY8" s="550">
        <f t="shared" si="12"/>
        <v>4836</v>
      </c>
      <c r="BZ8" s="551">
        <f t="shared" si="12"/>
        <v>5559</v>
      </c>
      <c r="CA8" s="555">
        <f t="shared" si="12"/>
        <v>1625</v>
      </c>
      <c r="CB8" s="552">
        <f t="shared" si="12"/>
        <v>2765</v>
      </c>
      <c r="CC8" s="553">
        <f t="shared" si="12"/>
        <v>2398</v>
      </c>
      <c r="CD8" s="553">
        <f t="shared" si="23"/>
        <v>1017</v>
      </c>
      <c r="CE8" s="563">
        <f t="shared" si="13"/>
        <v>25534</v>
      </c>
    </row>
    <row r="9" spans="1:83">
      <c r="A9" s="12">
        <v>2009</v>
      </c>
      <c r="B9" s="550">
        <f>BE9</f>
        <v>14145</v>
      </c>
      <c r="C9" s="551">
        <f t="shared" si="14"/>
        <v>12864</v>
      </c>
      <c r="D9" s="555">
        <f t="shared" si="15"/>
        <v>4482</v>
      </c>
      <c r="E9" s="552">
        <f t="shared" si="16"/>
        <v>6907</v>
      </c>
      <c r="F9" s="553">
        <f t="shared" si="17"/>
        <v>6297</v>
      </c>
      <c r="G9" s="549">
        <f>BD9</f>
        <v>17300</v>
      </c>
      <c r="H9" s="556">
        <f t="shared" si="18"/>
        <v>2771</v>
      </c>
      <c r="I9" s="554">
        <f t="shared" si="1"/>
        <v>64766</v>
      </c>
      <c r="K9" s="3">
        <v>2009</v>
      </c>
      <c r="L9" s="169">
        <v>7232</v>
      </c>
      <c r="M9" s="170">
        <v>6740</v>
      </c>
      <c r="N9" s="161">
        <v>5344</v>
      </c>
      <c r="O9" s="171">
        <v>2167</v>
      </c>
      <c r="P9" s="172">
        <v>3134</v>
      </c>
      <c r="Q9" s="174">
        <v>2764</v>
      </c>
      <c r="R9" s="174">
        <v>0</v>
      </c>
      <c r="S9" s="559">
        <v>1164</v>
      </c>
      <c r="T9" s="561">
        <v>28544</v>
      </c>
      <c r="V9" s="3">
        <v>2009</v>
      </c>
      <c r="W9" s="169">
        <f>G142+AH9</f>
        <v>7307</v>
      </c>
      <c r="X9" s="170">
        <f>B142+AI9</f>
        <v>5103</v>
      </c>
      <c r="Y9" s="161">
        <f>C142+AJ9</f>
        <v>5543</v>
      </c>
      <c r="Z9" s="171">
        <f>D142+AK9</f>
        <v>1639</v>
      </c>
      <c r="AA9" s="172">
        <f>E142+AL9</f>
        <v>2818</v>
      </c>
      <c r="AB9" s="174">
        <f>F142+AM9</f>
        <v>2519</v>
      </c>
      <c r="AC9" s="174"/>
      <c r="AD9" s="559">
        <f t="shared" si="2"/>
        <v>1139</v>
      </c>
      <c r="AE9" s="561">
        <f t="shared" si="2"/>
        <v>26068</v>
      </c>
      <c r="AG9" s="3">
        <v>2009</v>
      </c>
      <c r="AH9" s="169">
        <v>2761</v>
      </c>
      <c r="AI9" s="170">
        <v>2302</v>
      </c>
      <c r="AJ9" s="161">
        <v>1977</v>
      </c>
      <c r="AK9" s="171">
        <v>676</v>
      </c>
      <c r="AL9" s="172">
        <v>955</v>
      </c>
      <c r="AM9" s="174">
        <v>1014</v>
      </c>
      <c r="AN9" s="174">
        <v>0</v>
      </c>
      <c r="AO9" s="559">
        <v>468</v>
      </c>
      <c r="AP9" s="562">
        <v>10153</v>
      </c>
      <c r="AR9" s="3">
        <v>2009</v>
      </c>
      <c r="AS9" s="169"/>
      <c r="AT9" s="170"/>
      <c r="AU9" s="161"/>
      <c r="AV9" s="171"/>
      <c r="AW9" s="172"/>
      <c r="AX9" s="174"/>
      <c r="AY9" s="174"/>
      <c r="AZ9" s="165"/>
      <c r="BA9" s="562">
        <v>0</v>
      </c>
      <c r="BC9" s="12">
        <v>2009</v>
      </c>
      <c r="BD9" s="549">
        <f t="shared" si="3"/>
        <v>17300</v>
      </c>
      <c r="BE9" s="550">
        <f t="shared" si="4"/>
        <v>14145</v>
      </c>
      <c r="BF9" s="551">
        <f t="shared" si="5"/>
        <v>12864</v>
      </c>
      <c r="BG9" s="555">
        <f t="shared" si="6"/>
        <v>4482</v>
      </c>
      <c r="BH9" s="552">
        <f t="shared" si="7"/>
        <v>6907</v>
      </c>
      <c r="BI9" s="553">
        <f t="shared" si="8"/>
        <v>6297</v>
      </c>
      <c r="BJ9" s="556">
        <f t="shared" si="9"/>
        <v>2771</v>
      </c>
      <c r="BK9" s="563">
        <f t="shared" si="19"/>
        <v>64766</v>
      </c>
      <c r="BL9" s="563"/>
      <c r="BM9" s="12">
        <v>2009</v>
      </c>
      <c r="BN9" s="549">
        <f t="shared" si="20"/>
        <v>9993</v>
      </c>
      <c r="BO9" s="550">
        <f t="shared" si="10"/>
        <v>9042</v>
      </c>
      <c r="BP9" s="551">
        <f t="shared" si="10"/>
        <v>7321</v>
      </c>
      <c r="BQ9" s="555">
        <f t="shared" si="10"/>
        <v>2843</v>
      </c>
      <c r="BR9" s="552">
        <f t="shared" si="10"/>
        <v>4089</v>
      </c>
      <c r="BS9" s="553">
        <f t="shared" si="10"/>
        <v>3778</v>
      </c>
      <c r="BT9" s="553">
        <f t="shared" si="21"/>
        <v>1632</v>
      </c>
      <c r="BU9" s="554">
        <f t="shared" si="11"/>
        <v>38698</v>
      </c>
      <c r="BW9" s="12">
        <v>2009</v>
      </c>
      <c r="BX9" s="549">
        <f t="shared" si="22"/>
        <v>7307</v>
      </c>
      <c r="BY9" s="550">
        <f t="shared" si="12"/>
        <v>5103</v>
      </c>
      <c r="BZ9" s="551">
        <f t="shared" si="12"/>
        <v>5543</v>
      </c>
      <c r="CA9" s="555">
        <f t="shared" si="12"/>
        <v>1639</v>
      </c>
      <c r="CB9" s="552">
        <f t="shared" si="12"/>
        <v>2818</v>
      </c>
      <c r="CC9" s="553">
        <f t="shared" si="12"/>
        <v>2519</v>
      </c>
      <c r="CD9" s="553">
        <f t="shared" si="23"/>
        <v>1139</v>
      </c>
      <c r="CE9" s="563">
        <f t="shared" si="13"/>
        <v>26068</v>
      </c>
    </row>
    <row r="10" spans="1:83">
      <c r="A10" s="12">
        <v>2010</v>
      </c>
      <c r="B10" s="550">
        <f>BE10</f>
        <v>12104</v>
      </c>
      <c r="C10" s="551">
        <f t="shared" si="14"/>
        <v>10831</v>
      </c>
      <c r="D10" s="555">
        <f t="shared" si="15"/>
        <v>3770</v>
      </c>
      <c r="E10" s="552">
        <f t="shared" si="16"/>
        <v>5747</v>
      </c>
      <c r="F10" s="553">
        <f t="shared" si="17"/>
        <v>5402</v>
      </c>
      <c r="G10" s="549">
        <f>BD10</f>
        <v>14518</v>
      </c>
      <c r="H10" s="556">
        <f t="shared" si="18"/>
        <v>2594</v>
      </c>
      <c r="I10" s="554">
        <f t="shared" si="1"/>
        <v>54966</v>
      </c>
      <c r="K10" s="3">
        <v>2010</v>
      </c>
      <c r="L10" s="169">
        <v>7172</v>
      </c>
      <c r="M10" s="170">
        <v>6949</v>
      </c>
      <c r="N10" s="161">
        <v>5279</v>
      </c>
      <c r="O10" s="171">
        <v>2178</v>
      </c>
      <c r="P10" s="172">
        <v>3003</v>
      </c>
      <c r="Q10" s="174">
        <v>2815</v>
      </c>
      <c r="R10" s="174">
        <v>0</v>
      </c>
      <c r="S10" s="559">
        <v>1333</v>
      </c>
      <c r="T10" s="561">
        <v>28730</v>
      </c>
      <c r="V10" s="3">
        <v>2010</v>
      </c>
      <c r="W10" s="169">
        <v>4661</v>
      </c>
      <c r="X10" s="170">
        <v>2870</v>
      </c>
      <c r="Y10" s="161">
        <v>3557</v>
      </c>
      <c r="Z10" s="171">
        <v>947</v>
      </c>
      <c r="AA10" s="172">
        <v>1818</v>
      </c>
      <c r="AB10" s="174">
        <v>1558</v>
      </c>
      <c r="AC10" s="174"/>
      <c r="AD10" s="559">
        <v>742</v>
      </c>
      <c r="AE10" s="561">
        <v>16152</v>
      </c>
      <c r="AG10" s="3">
        <v>2010</v>
      </c>
      <c r="AH10" s="169">
        <v>2685</v>
      </c>
      <c r="AI10" s="170">
        <v>2285</v>
      </c>
      <c r="AJ10" s="161">
        <v>1995</v>
      </c>
      <c r="AK10" s="171">
        <v>645</v>
      </c>
      <c r="AL10" s="172">
        <v>926</v>
      </c>
      <c r="AM10" s="174">
        <v>1029</v>
      </c>
      <c r="AN10" s="174">
        <v>0</v>
      </c>
      <c r="AO10" s="559">
        <v>519</v>
      </c>
      <c r="AP10" s="562">
        <v>10084</v>
      </c>
      <c r="AR10" s="3">
        <v>2010</v>
      </c>
      <c r="AS10" s="169"/>
      <c r="AT10" s="170"/>
      <c r="AU10" s="161"/>
      <c r="AV10" s="171"/>
      <c r="AW10" s="172"/>
      <c r="AX10" s="174"/>
      <c r="AY10" s="174"/>
      <c r="AZ10" s="165"/>
      <c r="BA10" s="562">
        <v>0</v>
      </c>
      <c r="BC10" s="12">
        <v>2010</v>
      </c>
      <c r="BD10" s="549">
        <f t="shared" si="3"/>
        <v>14518</v>
      </c>
      <c r="BE10" s="550">
        <f t="shared" si="4"/>
        <v>12104</v>
      </c>
      <c r="BF10" s="551">
        <f t="shared" si="5"/>
        <v>10831</v>
      </c>
      <c r="BG10" s="555">
        <f t="shared" si="6"/>
        <v>3770</v>
      </c>
      <c r="BH10" s="552">
        <f t="shared" si="7"/>
        <v>5747</v>
      </c>
      <c r="BI10" s="553">
        <f t="shared" si="8"/>
        <v>5402</v>
      </c>
      <c r="BJ10" s="556">
        <f t="shared" si="9"/>
        <v>2594</v>
      </c>
      <c r="BK10" s="563">
        <f t="shared" si="19"/>
        <v>54966</v>
      </c>
      <c r="BL10" s="563"/>
      <c r="BM10" s="12">
        <v>2010</v>
      </c>
      <c r="BN10" s="549">
        <f t="shared" si="20"/>
        <v>9857</v>
      </c>
      <c r="BO10" s="550">
        <f t="shared" si="10"/>
        <v>9234</v>
      </c>
      <c r="BP10" s="551">
        <f t="shared" si="10"/>
        <v>7274</v>
      </c>
      <c r="BQ10" s="555">
        <f t="shared" si="10"/>
        <v>2823</v>
      </c>
      <c r="BR10" s="552">
        <f t="shared" si="10"/>
        <v>3929</v>
      </c>
      <c r="BS10" s="553">
        <f t="shared" si="10"/>
        <v>3844</v>
      </c>
      <c r="BT10" s="553">
        <f t="shared" si="21"/>
        <v>1852</v>
      </c>
      <c r="BU10" s="554">
        <f t="shared" si="11"/>
        <v>38813</v>
      </c>
      <c r="BW10" s="12">
        <v>2010</v>
      </c>
      <c r="BX10" s="549">
        <f t="shared" si="22"/>
        <v>4661</v>
      </c>
      <c r="BY10" s="550">
        <f t="shared" si="12"/>
        <v>2870</v>
      </c>
      <c r="BZ10" s="551">
        <f t="shared" si="12"/>
        <v>3557</v>
      </c>
      <c r="CA10" s="555">
        <f t="shared" si="12"/>
        <v>947</v>
      </c>
      <c r="CB10" s="552">
        <f t="shared" si="12"/>
        <v>1818</v>
      </c>
      <c r="CC10" s="553">
        <f t="shared" si="12"/>
        <v>1558</v>
      </c>
      <c r="CD10" s="553">
        <f t="shared" si="23"/>
        <v>742</v>
      </c>
      <c r="CE10" s="563">
        <f t="shared" si="13"/>
        <v>16153</v>
      </c>
    </row>
    <row r="11" spans="1:83">
      <c r="A11" s="12">
        <v>2011</v>
      </c>
      <c r="B11" s="550">
        <f>BE11</f>
        <v>13423</v>
      </c>
      <c r="C11" s="551">
        <f t="shared" si="14"/>
        <v>11329</v>
      </c>
      <c r="D11" s="555">
        <f t="shared" si="15"/>
        <v>4042</v>
      </c>
      <c r="E11" s="552">
        <f t="shared" si="16"/>
        <v>5858</v>
      </c>
      <c r="F11" s="553">
        <f t="shared" si="17"/>
        <v>5908</v>
      </c>
      <c r="G11" s="549">
        <f>BD11</f>
        <v>15071</v>
      </c>
      <c r="H11" s="556">
        <f t="shared" si="18"/>
        <v>3224</v>
      </c>
      <c r="I11" s="554">
        <f t="shared" si="1"/>
        <v>58855</v>
      </c>
      <c r="K11" s="3">
        <v>2011</v>
      </c>
      <c r="L11" s="169">
        <v>7028</v>
      </c>
      <c r="M11" s="170">
        <v>7201</v>
      </c>
      <c r="N11" s="161">
        <v>5259</v>
      </c>
      <c r="O11" s="171">
        <v>2204</v>
      </c>
      <c r="P11" s="172">
        <v>2891</v>
      </c>
      <c r="Q11" s="174">
        <v>2945</v>
      </c>
      <c r="R11" s="174">
        <v>0</v>
      </c>
      <c r="S11" s="559">
        <v>1606</v>
      </c>
      <c r="T11" s="561">
        <f>SUM(L11:S11)</f>
        <v>29134</v>
      </c>
      <c r="V11" s="3">
        <v>2011</v>
      </c>
      <c r="W11" s="169">
        <v>4740</v>
      </c>
      <c r="X11" s="170">
        <v>2931</v>
      </c>
      <c r="Y11" s="161">
        <v>3565</v>
      </c>
      <c r="Z11" s="171">
        <v>942</v>
      </c>
      <c r="AA11" s="172">
        <v>1763</v>
      </c>
      <c r="AB11" s="174">
        <v>1642</v>
      </c>
      <c r="AC11" s="174"/>
      <c r="AD11" s="559">
        <v>841</v>
      </c>
      <c r="AE11" s="561">
        <f>SUM(W11:AD11)</f>
        <v>16424</v>
      </c>
      <c r="AG11" s="3">
        <v>2011</v>
      </c>
      <c r="AH11" s="169">
        <v>2517</v>
      </c>
      <c r="AI11" s="170">
        <v>2163</v>
      </c>
      <c r="AJ11" s="161">
        <v>1950</v>
      </c>
      <c r="AK11" s="171">
        <v>585</v>
      </c>
      <c r="AL11" s="172">
        <v>857</v>
      </c>
      <c r="AM11" s="174">
        <v>1025</v>
      </c>
      <c r="AN11" s="174">
        <v>0</v>
      </c>
      <c r="AO11" s="559">
        <v>567</v>
      </c>
      <c r="AP11" s="561">
        <f>SUM(AH11:AO11)</f>
        <v>9664</v>
      </c>
      <c r="AR11" s="3">
        <v>2011</v>
      </c>
      <c r="AS11" s="169">
        <v>786</v>
      </c>
      <c r="AT11" s="170">
        <v>1128</v>
      </c>
      <c r="AU11" s="161">
        <v>555</v>
      </c>
      <c r="AV11" s="171">
        <v>311</v>
      </c>
      <c r="AW11" s="172">
        <v>347</v>
      </c>
      <c r="AX11" s="174">
        <v>296</v>
      </c>
      <c r="AY11" s="174">
        <v>0</v>
      </c>
      <c r="AZ11" s="165">
        <v>210</v>
      </c>
      <c r="BA11" s="561">
        <f>SUM(AS11:AZ11)</f>
        <v>3633</v>
      </c>
      <c r="BC11" s="12">
        <v>2011</v>
      </c>
      <c r="BD11" s="549">
        <f t="shared" si="3"/>
        <v>15071</v>
      </c>
      <c r="BE11" s="550">
        <f t="shared" si="4"/>
        <v>13423</v>
      </c>
      <c r="BF11" s="551">
        <f t="shared" si="5"/>
        <v>11329</v>
      </c>
      <c r="BG11" s="555">
        <f t="shared" si="6"/>
        <v>4042</v>
      </c>
      <c r="BH11" s="552">
        <f t="shared" si="7"/>
        <v>5858</v>
      </c>
      <c r="BI11" s="553">
        <f t="shared" si="8"/>
        <v>5908</v>
      </c>
      <c r="BJ11" s="556">
        <f t="shared" si="9"/>
        <v>3224</v>
      </c>
      <c r="BK11" s="563">
        <f t="shared" si="19"/>
        <v>58855</v>
      </c>
      <c r="BL11" s="563"/>
      <c r="BM11" s="12">
        <v>2011</v>
      </c>
      <c r="BN11" s="549">
        <f t="shared" si="20"/>
        <v>10331</v>
      </c>
      <c r="BO11" s="550">
        <f t="shared" si="10"/>
        <v>10492</v>
      </c>
      <c r="BP11" s="551">
        <f t="shared" si="10"/>
        <v>7764</v>
      </c>
      <c r="BQ11" s="555">
        <f t="shared" si="10"/>
        <v>3100</v>
      </c>
      <c r="BR11" s="552">
        <f t="shared" si="10"/>
        <v>4095</v>
      </c>
      <c r="BS11" s="553">
        <f t="shared" si="10"/>
        <v>4266</v>
      </c>
      <c r="BT11" s="553">
        <f t="shared" si="21"/>
        <v>2383</v>
      </c>
      <c r="BU11" s="554">
        <f t="shared" si="11"/>
        <v>42431</v>
      </c>
      <c r="BW11" s="12">
        <v>2011</v>
      </c>
      <c r="BX11" s="549">
        <f t="shared" si="22"/>
        <v>4740</v>
      </c>
      <c r="BY11" s="550">
        <f t="shared" si="12"/>
        <v>2931</v>
      </c>
      <c r="BZ11" s="551">
        <f t="shared" si="12"/>
        <v>3565</v>
      </c>
      <c r="CA11" s="555">
        <f t="shared" si="12"/>
        <v>942</v>
      </c>
      <c r="CB11" s="552">
        <f t="shared" si="12"/>
        <v>1763</v>
      </c>
      <c r="CC11" s="553">
        <f t="shared" si="12"/>
        <v>1642</v>
      </c>
      <c r="CD11" s="553">
        <f t="shared" si="23"/>
        <v>841</v>
      </c>
      <c r="CE11" s="563">
        <f t="shared" si="13"/>
        <v>16424</v>
      </c>
    </row>
    <row r="12" spans="1:83">
      <c r="A12" s="12">
        <v>2012</v>
      </c>
      <c r="B12" s="550">
        <f>BE12</f>
        <v>13846</v>
      </c>
      <c r="C12" s="551">
        <f t="shared" si="14"/>
        <v>11214</v>
      </c>
      <c r="D12" s="555">
        <f t="shared" si="15"/>
        <v>4086</v>
      </c>
      <c r="E12" s="552">
        <f t="shared" si="16"/>
        <v>5665</v>
      </c>
      <c r="F12" s="553">
        <f t="shared" si="17"/>
        <v>6357</v>
      </c>
      <c r="G12" s="549">
        <f>BD12</f>
        <v>14920</v>
      </c>
      <c r="H12" s="556">
        <f t="shared" si="18"/>
        <v>3947</v>
      </c>
      <c r="I12" s="554">
        <f t="shared" si="1"/>
        <v>60035</v>
      </c>
      <c r="K12" s="3">
        <v>2012</v>
      </c>
      <c r="L12" s="169">
        <v>6788</v>
      </c>
      <c r="M12" s="170">
        <v>7364</v>
      </c>
      <c r="N12" s="161">
        <v>5113</v>
      </c>
      <c r="O12" s="171">
        <v>2208</v>
      </c>
      <c r="P12" s="172">
        <v>2743</v>
      </c>
      <c r="Q12" s="174">
        <v>3099</v>
      </c>
      <c r="R12" s="174">
        <v>0</v>
      </c>
      <c r="S12" s="559">
        <v>2008</v>
      </c>
      <c r="T12" s="561">
        <f t="shared" ref="T12:T21" si="24">SUM(L12:S12)</f>
        <v>29323</v>
      </c>
      <c r="V12" s="3">
        <v>2012</v>
      </c>
      <c r="W12" s="169">
        <v>4804</v>
      </c>
      <c r="X12" s="170">
        <v>3029</v>
      </c>
      <c r="Y12" s="161">
        <v>3549</v>
      </c>
      <c r="Z12" s="171">
        <v>970</v>
      </c>
      <c r="AA12" s="172">
        <v>1725</v>
      </c>
      <c r="AB12" s="174">
        <v>1794</v>
      </c>
      <c r="AC12" s="174"/>
      <c r="AD12" s="559">
        <v>995</v>
      </c>
      <c r="AE12" s="561">
        <f t="shared" ref="AE12:AE21" si="25">SUM(W12:AD12)</f>
        <v>16866</v>
      </c>
      <c r="AG12" s="3">
        <v>2012</v>
      </c>
      <c r="AH12" s="169">
        <v>2464</v>
      </c>
      <c r="AI12" s="170">
        <v>2162</v>
      </c>
      <c r="AJ12" s="161">
        <v>1982</v>
      </c>
      <c r="AK12" s="171">
        <v>561</v>
      </c>
      <c r="AL12" s="172">
        <v>838</v>
      </c>
      <c r="AM12" s="174">
        <v>1127</v>
      </c>
      <c r="AN12" s="174">
        <v>0</v>
      </c>
      <c r="AO12" s="559">
        <v>678</v>
      </c>
      <c r="AP12" s="561">
        <f t="shared" ref="AP12:AP20" si="26">SUM(AH12:AO12)</f>
        <v>9812</v>
      </c>
      <c r="AR12" s="3">
        <v>2012</v>
      </c>
      <c r="AS12" s="169">
        <v>864</v>
      </c>
      <c r="AT12" s="170">
        <v>1291</v>
      </c>
      <c r="AU12" s="161">
        <v>570</v>
      </c>
      <c r="AV12" s="171">
        <v>347</v>
      </c>
      <c r="AW12" s="172">
        <v>359</v>
      </c>
      <c r="AX12" s="174">
        <v>337</v>
      </c>
      <c r="AY12" s="174">
        <v>0</v>
      </c>
      <c r="AZ12" s="165">
        <v>266</v>
      </c>
      <c r="BA12" s="561">
        <f t="shared" ref="BA12:BA20" si="27">SUM(AS12:AZ12)</f>
        <v>4034</v>
      </c>
      <c r="BC12" s="12">
        <v>2012</v>
      </c>
      <c r="BD12" s="549">
        <f t="shared" si="3"/>
        <v>14920</v>
      </c>
      <c r="BE12" s="550">
        <f t="shared" si="4"/>
        <v>13846</v>
      </c>
      <c r="BF12" s="551">
        <f t="shared" si="5"/>
        <v>11214</v>
      </c>
      <c r="BG12" s="555">
        <f t="shared" si="6"/>
        <v>4086</v>
      </c>
      <c r="BH12" s="552">
        <f t="shared" si="7"/>
        <v>5665</v>
      </c>
      <c r="BI12" s="553">
        <f t="shared" si="8"/>
        <v>6357</v>
      </c>
      <c r="BJ12" s="556">
        <f t="shared" si="9"/>
        <v>3947</v>
      </c>
      <c r="BK12" s="563">
        <f t="shared" si="19"/>
        <v>60035</v>
      </c>
      <c r="BL12" s="563"/>
      <c r="BM12" s="12">
        <v>2012</v>
      </c>
      <c r="BN12" s="549">
        <f t="shared" si="20"/>
        <v>10116</v>
      </c>
      <c r="BO12" s="550">
        <f t="shared" si="10"/>
        <v>10817</v>
      </c>
      <c r="BP12" s="551">
        <f t="shared" si="10"/>
        <v>7665</v>
      </c>
      <c r="BQ12" s="555">
        <f t="shared" si="10"/>
        <v>3116</v>
      </c>
      <c r="BR12" s="552">
        <f t="shared" si="10"/>
        <v>3940</v>
      </c>
      <c r="BS12" s="553">
        <f t="shared" si="10"/>
        <v>4563</v>
      </c>
      <c r="BT12" s="553">
        <f t="shared" si="21"/>
        <v>2952</v>
      </c>
      <c r="BU12" s="554">
        <f t="shared" si="11"/>
        <v>43169</v>
      </c>
      <c r="BW12" s="12">
        <v>2012</v>
      </c>
      <c r="BX12" s="549">
        <f t="shared" si="22"/>
        <v>4804</v>
      </c>
      <c r="BY12" s="550">
        <f t="shared" si="12"/>
        <v>3029</v>
      </c>
      <c r="BZ12" s="551">
        <f t="shared" si="12"/>
        <v>3549</v>
      </c>
      <c r="CA12" s="555">
        <f t="shared" si="12"/>
        <v>970</v>
      </c>
      <c r="CB12" s="552">
        <f t="shared" si="12"/>
        <v>1725</v>
      </c>
      <c r="CC12" s="553">
        <f t="shared" si="12"/>
        <v>1794</v>
      </c>
      <c r="CD12" s="553">
        <f t="shared" si="23"/>
        <v>995</v>
      </c>
      <c r="CE12" s="563">
        <f t="shared" si="13"/>
        <v>16866</v>
      </c>
    </row>
    <row r="13" spans="1:83">
      <c r="A13" s="12">
        <v>2013</v>
      </c>
      <c r="B13" s="550">
        <f>BE13</f>
        <v>13078</v>
      </c>
      <c r="C13" s="551">
        <f t="shared" si="14"/>
        <v>11791</v>
      </c>
      <c r="D13" s="555">
        <f t="shared" si="15"/>
        <v>3469</v>
      </c>
      <c r="E13" s="552">
        <f t="shared" si="16"/>
        <v>5000</v>
      </c>
      <c r="F13" s="553">
        <f t="shared" si="17"/>
        <v>5319</v>
      </c>
      <c r="G13" s="549">
        <f>BD13</f>
        <v>15898</v>
      </c>
      <c r="H13" s="556">
        <f t="shared" si="18"/>
        <v>4030</v>
      </c>
      <c r="I13" s="554">
        <f t="shared" si="1"/>
        <v>58585</v>
      </c>
      <c r="K13" s="3">
        <v>2013</v>
      </c>
      <c r="L13" s="169">
        <v>7301</v>
      </c>
      <c r="M13" s="170">
        <v>6914</v>
      </c>
      <c r="N13" s="161">
        <v>5450</v>
      </c>
      <c r="O13" s="171">
        <v>1874</v>
      </c>
      <c r="P13" s="172">
        <v>2404</v>
      </c>
      <c r="Q13" s="174">
        <v>2505</v>
      </c>
      <c r="R13" s="174">
        <v>0</v>
      </c>
      <c r="S13" s="559">
        <v>2042</v>
      </c>
      <c r="T13" s="561">
        <f t="shared" si="24"/>
        <v>28490</v>
      </c>
      <c r="V13" s="3">
        <v>2013</v>
      </c>
      <c r="W13" s="169">
        <v>5085</v>
      </c>
      <c r="X13" s="170">
        <v>2883</v>
      </c>
      <c r="Y13" s="161">
        <v>3661</v>
      </c>
      <c r="Z13" s="171">
        <v>823</v>
      </c>
      <c r="AA13" s="172">
        <v>1544</v>
      </c>
      <c r="AB13" s="174">
        <v>1573</v>
      </c>
      <c r="AC13" s="174"/>
      <c r="AD13" s="559">
        <v>1035</v>
      </c>
      <c r="AE13" s="561">
        <f>SUM(W13:AD13)</f>
        <v>16604</v>
      </c>
      <c r="AG13" s="3">
        <v>2013</v>
      </c>
      <c r="AH13" s="169">
        <v>2515</v>
      </c>
      <c r="AI13" s="170">
        <v>2075</v>
      </c>
      <c r="AJ13" s="161">
        <v>2049</v>
      </c>
      <c r="AK13" s="171">
        <v>480</v>
      </c>
      <c r="AL13" s="172">
        <v>741</v>
      </c>
      <c r="AM13" s="174">
        <v>945</v>
      </c>
      <c r="AN13" s="174">
        <v>0</v>
      </c>
      <c r="AO13" s="559">
        <v>664</v>
      </c>
      <c r="AP13" s="561">
        <f>SUM(AH13:AO13)</f>
        <v>9469</v>
      </c>
      <c r="AR13" s="3">
        <v>2013</v>
      </c>
      <c r="AS13" s="169">
        <v>997</v>
      </c>
      <c r="AT13" s="170">
        <v>1206</v>
      </c>
      <c r="AU13" s="161">
        <v>631</v>
      </c>
      <c r="AV13" s="171">
        <v>292</v>
      </c>
      <c r="AW13" s="172">
        <v>311</v>
      </c>
      <c r="AX13" s="174">
        <v>296</v>
      </c>
      <c r="AY13" s="174">
        <v>0</v>
      </c>
      <c r="AZ13" s="165">
        <v>289</v>
      </c>
      <c r="BA13" s="561">
        <f>SUM(AS13:AZ13)</f>
        <v>4022</v>
      </c>
      <c r="BC13" s="12">
        <v>2013</v>
      </c>
      <c r="BD13" s="549">
        <f t="shared" si="3"/>
        <v>15898</v>
      </c>
      <c r="BE13" s="550">
        <f t="shared" si="4"/>
        <v>13078</v>
      </c>
      <c r="BF13" s="551">
        <f t="shared" si="5"/>
        <v>11791</v>
      </c>
      <c r="BG13" s="555">
        <f t="shared" si="6"/>
        <v>3469</v>
      </c>
      <c r="BH13" s="552">
        <f t="shared" si="7"/>
        <v>5000</v>
      </c>
      <c r="BI13" s="553">
        <f t="shared" si="8"/>
        <v>5319</v>
      </c>
      <c r="BJ13" s="556">
        <f t="shared" si="9"/>
        <v>4030</v>
      </c>
      <c r="BK13" s="563">
        <f t="shared" si="19"/>
        <v>58585</v>
      </c>
      <c r="BL13" s="563"/>
      <c r="BM13" s="12">
        <v>2013</v>
      </c>
      <c r="BN13" s="549">
        <f t="shared" si="20"/>
        <v>10813</v>
      </c>
      <c r="BO13" s="550">
        <f t="shared" si="10"/>
        <v>10195</v>
      </c>
      <c r="BP13" s="551">
        <f t="shared" si="10"/>
        <v>8130</v>
      </c>
      <c r="BQ13" s="555">
        <f t="shared" si="10"/>
        <v>2646</v>
      </c>
      <c r="BR13" s="552">
        <f t="shared" si="10"/>
        <v>3456</v>
      </c>
      <c r="BS13" s="553">
        <f t="shared" si="10"/>
        <v>3746</v>
      </c>
      <c r="BT13" s="553">
        <f t="shared" si="21"/>
        <v>2995</v>
      </c>
      <c r="BU13" s="554">
        <f t="shared" si="11"/>
        <v>41981</v>
      </c>
      <c r="BW13" s="12">
        <v>2013</v>
      </c>
      <c r="BX13" s="549">
        <f t="shared" si="22"/>
        <v>5085</v>
      </c>
      <c r="BY13" s="550">
        <f t="shared" si="12"/>
        <v>2883</v>
      </c>
      <c r="BZ13" s="551">
        <f t="shared" si="12"/>
        <v>3661</v>
      </c>
      <c r="CA13" s="555">
        <f t="shared" si="12"/>
        <v>823</v>
      </c>
      <c r="CB13" s="552">
        <f t="shared" si="12"/>
        <v>1544</v>
      </c>
      <c r="CC13" s="553">
        <f t="shared" si="12"/>
        <v>1573</v>
      </c>
      <c r="CD13" s="553">
        <f t="shared" si="23"/>
        <v>1035</v>
      </c>
      <c r="CE13" s="563">
        <f t="shared" si="13"/>
        <v>16604</v>
      </c>
    </row>
    <row r="14" spans="1:83">
      <c r="A14" s="12">
        <v>2014</v>
      </c>
      <c r="B14" s="550">
        <f>BE14</f>
        <v>15738</v>
      </c>
      <c r="C14" s="551">
        <f t="shared" si="14"/>
        <v>12772</v>
      </c>
      <c r="D14" s="555">
        <f t="shared" si="15"/>
        <v>3239</v>
      </c>
      <c r="E14" s="552">
        <f t="shared" si="16"/>
        <v>4778</v>
      </c>
      <c r="F14" s="553">
        <f t="shared" si="17"/>
        <v>4986</v>
      </c>
      <c r="G14" s="549">
        <f>BD14</f>
        <v>16114</v>
      </c>
      <c r="H14" s="556">
        <f t="shared" si="18"/>
        <v>4479</v>
      </c>
      <c r="I14" s="554">
        <f t="shared" si="1"/>
        <v>62106</v>
      </c>
      <c r="K14" s="3">
        <v>2014</v>
      </c>
      <c r="L14" s="169">
        <v>7499</v>
      </c>
      <c r="M14" s="170">
        <v>8322</v>
      </c>
      <c r="N14" s="161">
        <v>6055</v>
      </c>
      <c r="O14" s="171">
        <v>1752</v>
      </c>
      <c r="P14" s="172">
        <v>2292</v>
      </c>
      <c r="Q14" s="174">
        <v>2357</v>
      </c>
      <c r="R14" s="174">
        <v>0</v>
      </c>
      <c r="S14" s="559">
        <v>2271</v>
      </c>
      <c r="T14" s="561">
        <f t="shared" si="24"/>
        <v>30548</v>
      </c>
      <c r="V14" s="3">
        <v>2014</v>
      </c>
      <c r="W14" s="169">
        <v>5083</v>
      </c>
      <c r="X14" s="170">
        <v>3496</v>
      </c>
      <c r="Y14" s="161">
        <v>3866</v>
      </c>
      <c r="Z14" s="171">
        <v>775</v>
      </c>
      <c r="AA14" s="172">
        <v>1495</v>
      </c>
      <c r="AB14" s="174">
        <v>1489</v>
      </c>
      <c r="AC14" s="174"/>
      <c r="AD14" s="559">
        <v>1168</v>
      </c>
      <c r="AE14" s="561">
        <f t="shared" si="25"/>
        <v>17372</v>
      </c>
      <c r="AG14" s="3">
        <v>2014</v>
      </c>
      <c r="AH14" s="169">
        <v>2491</v>
      </c>
      <c r="AI14" s="170">
        <v>2565</v>
      </c>
      <c r="AJ14" s="161">
        <v>2167</v>
      </c>
      <c r="AK14" s="171">
        <v>454</v>
      </c>
      <c r="AL14" s="172">
        <v>715</v>
      </c>
      <c r="AM14" s="174">
        <v>873</v>
      </c>
      <c r="AN14" s="174">
        <v>0</v>
      </c>
      <c r="AO14" s="559">
        <v>718</v>
      </c>
      <c r="AP14" s="561">
        <f t="shared" si="26"/>
        <v>9983</v>
      </c>
      <c r="AR14" s="3">
        <v>2014</v>
      </c>
      <c r="AS14" s="169">
        <v>1041</v>
      </c>
      <c r="AT14" s="170">
        <v>1355</v>
      </c>
      <c r="AU14" s="161">
        <v>684</v>
      </c>
      <c r="AV14" s="171">
        <v>258</v>
      </c>
      <c r="AW14" s="172">
        <v>276</v>
      </c>
      <c r="AX14" s="174">
        <v>267</v>
      </c>
      <c r="AY14" s="174">
        <v>0</v>
      </c>
      <c r="AZ14" s="165">
        <v>322</v>
      </c>
      <c r="BA14" s="561">
        <f t="shared" si="27"/>
        <v>4203</v>
      </c>
      <c r="BC14" s="12">
        <v>2014</v>
      </c>
      <c r="BD14" s="549">
        <f t="shared" si="3"/>
        <v>16114</v>
      </c>
      <c r="BE14" s="550">
        <f t="shared" si="4"/>
        <v>15738</v>
      </c>
      <c r="BF14" s="551">
        <f t="shared" si="5"/>
        <v>12772</v>
      </c>
      <c r="BG14" s="555">
        <f t="shared" si="6"/>
        <v>3239</v>
      </c>
      <c r="BH14" s="552">
        <f t="shared" si="7"/>
        <v>4778</v>
      </c>
      <c r="BI14" s="553">
        <f t="shared" si="8"/>
        <v>4986</v>
      </c>
      <c r="BJ14" s="556">
        <f t="shared" si="9"/>
        <v>4479</v>
      </c>
      <c r="BK14" s="563">
        <f t="shared" si="19"/>
        <v>62106</v>
      </c>
      <c r="BL14" s="563"/>
      <c r="BM14" s="12">
        <v>2014</v>
      </c>
      <c r="BN14" s="549">
        <f t="shared" si="20"/>
        <v>11031</v>
      </c>
      <c r="BO14" s="550">
        <f t="shared" si="10"/>
        <v>12242</v>
      </c>
      <c r="BP14" s="551">
        <f t="shared" si="10"/>
        <v>8906</v>
      </c>
      <c r="BQ14" s="555">
        <f t="shared" si="10"/>
        <v>2464</v>
      </c>
      <c r="BR14" s="552">
        <f t="shared" si="10"/>
        <v>3283</v>
      </c>
      <c r="BS14" s="553">
        <f t="shared" si="10"/>
        <v>3497</v>
      </c>
      <c r="BT14" s="553">
        <f t="shared" si="21"/>
        <v>3311</v>
      </c>
      <c r="BU14" s="554">
        <f t="shared" si="11"/>
        <v>44734</v>
      </c>
      <c r="BW14" s="12">
        <v>2014</v>
      </c>
      <c r="BX14" s="549">
        <f t="shared" si="22"/>
        <v>5083</v>
      </c>
      <c r="BY14" s="550">
        <f t="shared" si="12"/>
        <v>3496</v>
      </c>
      <c r="BZ14" s="551">
        <f t="shared" si="12"/>
        <v>3866</v>
      </c>
      <c r="CA14" s="555">
        <f t="shared" si="12"/>
        <v>775</v>
      </c>
      <c r="CB14" s="552">
        <f t="shared" si="12"/>
        <v>1495</v>
      </c>
      <c r="CC14" s="553">
        <f t="shared" si="12"/>
        <v>1489</v>
      </c>
      <c r="CD14" s="553">
        <f t="shared" si="23"/>
        <v>1168</v>
      </c>
      <c r="CE14" s="563">
        <f t="shared" si="13"/>
        <v>17372</v>
      </c>
    </row>
    <row r="15" spans="1:83">
      <c r="A15" s="12">
        <v>2015</v>
      </c>
      <c r="B15" s="550">
        <f>BE15</f>
        <v>15662</v>
      </c>
      <c r="C15" s="551">
        <f t="shared" si="14"/>
        <v>12957</v>
      </c>
      <c r="D15" s="555">
        <f t="shared" si="15"/>
        <v>2840</v>
      </c>
      <c r="E15" s="552">
        <f t="shared" si="16"/>
        <v>4213</v>
      </c>
      <c r="F15" s="553">
        <f t="shared" si="17"/>
        <v>4404</v>
      </c>
      <c r="G15" s="549">
        <f>BD15</f>
        <v>15727</v>
      </c>
      <c r="H15" s="556">
        <f t="shared" si="18"/>
        <v>4636</v>
      </c>
      <c r="I15" s="554">
        <f t="shared" si="1"/>
        <v>60439</v>
      </c>
      <c r="K15" s="3">
        <v>2015</v>
      </c>
      <c r="L15" s="169">
        <v>7243</v>
      </c>
      <c r="M15" s="170">
        <v>8046</v>
      </c>
      <c r="N15" s="161">
        <v>6136</v>
      </c>
      <c r="O15" s="171">
        <v>1500</v>
      </c>
      <c r="P15" s="172">
        <v>1972</v>
      </c>
      <c r="Q15" s="174">
        <v>2047</v>
      </c>
      <c r="R15" s="174">
        <v>0</v>
      </c>
      <c r="S15" s="559">
        <v>2296</v>
      </c>
      <c r="T15" s="561">
        <f t="shared" si="24"/>
        <v>29240</v>
      </c>
      <c r="V15" s="3">
        <v>2015</v>
      </c>
      <c r="W15" s="169">
        <v>4912</v>
      </c>
      <c r="X15" s="170">
        <v>3580</v>
      </c>
      <c r="Y15" s="161">
        <v>3866</v>
      </c>
      <c r="Z15" s="171">
        <v>691</v>
      </c>
      <c r="AA15" s="172">
        <v>1349</v>
      </c>
      <c r="AB15" s="174">
        <v>1338</v>
      </c>
      <c r="AC15" s="174"/>
      <c r="AD15" s="559">
        <v>1235</v>
      </c>
      <c r="AE15" s="561">
        <f t="shared" si="25"/>
        <v>16971</v>
      </c>
      <c r="AG15" s="3">
        <v>2015</v>
      </c>
      <c r="AH15" s="169">
        <v>2350</v>
      </c>
      <c r="AI15" s="170">
        <v>2605</v>
      </c>
      <c r="AJ15" s="161">
        <v>2177</v>
      </c>
      <c r="AK15" s="171">
        <v>400</v>
      </c>
      <c r="AL15" s="172">
        <v>632</v>
      </c>
      <c r="AM15" s="174">
        <v>758</v>
      </c>
      <c r="AN15" s="174">
        <v>0</v>
      </c>
      <c r="AO15" s="559">
        <v>718</v>
      </c>
      <c r="AP15" s="561">
        <f t="shared" si="26"/>
        <v>9640</v>
      </c>
      <c r="AR15" s="3">
        <v>2015</v>
      </c>
      <c r="AS15" s="169">
        <v>1222</v>
      </c>
      <c r="AT15" s="170">
        <v>1431</v>
      </c>
      <c r="AU15" s="161">
        <v>778</v>
      </c>
      <c r="AV15" s="171">
        <v>249</v>
      </c>
      <c r="AW15" s="172">
        <v>260</v>
      </c>
      <c r="AX15" s="174">
        <v>261</v>
      </c>
      <c r="AY15" s="174">
        <v>0</v>
      </c>
      <c r="AZ15" s="165">
        <v>387</v>
      </c>
      <c r="BA15" s="561">
        <f t="shared" si="27"/>
        <v>4588</v>
      </c>
      <c r="BC15" s="12">
        <v>2015</v>
      </c>
      <c r="BD15" s="549">
        <f t="shared" si="3"/>
        <v>15727</v>
      </c>
      <c r="BE15" s="550">
        <f t="shared" si="4"/>
        <v>15662</v>
      </c>
      <c r="BF15" s="551">
        <f t="shared" si="5"/>
        <v>12957</v>
      </c>
      <c r="BG15" s="555">
        <f t="shared" si="6"/>
        <v>2840</v>
      </c>
      <c r="BH15" s="552">
        <f t="shared" si="7"/>
        <v>4213</v>
      </c>
      <c r="BI15" s="553">
        <f t="shared" si="8"/>
        <v>4404</v>
      </c>
      <c r="BJ15" s="556">
        <f t="shared" si="9"/>
        <v>4636</v>
      </c>
      <c r="BK15" s="563">
        <f t="shared" si="19"/>
        <v>60439</v>
      </c>
      <c r="BL15" s="563"/>
      <c r="BM15" s="12">
        <v>2015</v>
      </c>
      <c r="BN15" s="549">
        <f t="shared" si="20"/>
        <v>10815</v>
      </c>
      <c r="BO15" s="550">
        <f t="shared" si="10"/>
        <v>12082</v>
      </c>
      <c r="BP15" s="551">
        <f t="shared" si="10"/>
        <v>9091</v>
      </c>
      <c r="BQ15" s="555">
        <f t="shared" si="10"/>
        <v>2149</v>
      </c>
      <c r="BR15" s="552">
        <f t="shared" si="10"/>
        <v>2864</v>
      </c>
      <c r="BS15" s="553">
        <f t="shared" si="10"/>
        <v>3066</v>
      </c>
      <c r="BT15" s="553">
        <f t="shared" si="21"/>
        <v>3401</v>
      </c>
      <c r="BU15" s="554">
        <f t="shared" si="11"/>
        <v>43468</v>
      </c>
      <c r="BW15" s="12">
        <v>2015</v>
      </c>
      <c r="BX15" s="549">
        <f t="shared" si="22"/>
        <v>4912</v>
      </c>
      <c r="BY15" s="550">
        <f t="shared" si="12"/>
        <v>3580</v>
      </c>
      <c r="BZ15" s="551">
        <f t="shared" si="12"/>
        <v>3866</v>
      </c>
      <c r="CA15" s="555">
        <f t="shared" si="12"/>
        <v>691</v>
      </c>
      <c r="CB15" s="552">
        <f t="shared" si="12"/>
        <v>1349</v>
      </c>
      <c r="CC15" s="553">
        <f t="shared" si="12"/>
        <v>1338</v>
      </c>
      <c r="CD15" s="553">
        <f t="shared" si="23"/>
        <v>1235</v>
      </c>
      <c r="CE15" s="563">
        <f t="shared" si="13"/>
        <v>16971</v>
      </c>
    </row>
    <row r="16" spans="1:83">
      <c r="A16" s="12">
        <v>2016</v>
      </c>
      <c r="B16" s="550">
        <f>BE16</f>
        <v>16082</v>
      </c>
      <c r="C16" s="551">
        <f t="shared" si="14"/>
        <v>14095</v>
      </c>
      <c r="D16" s="555">
        <f t="shared" si="15"/>
        <v>2581</v>
      </c>
      <c r="E16" s="552">
        <f t="shared" si="16"/>
        <v>3783</v>
      </c>
      <c r="F16" s="553">
        <f t="shared" si="17"/>
        <v>4017</v>
      </c>
      <c r="G16" s="549">
        <f>BD16</f>
        <v>16236</v>
      </c>
      <c r="H16" s="556">
        <f t="shared" si="18"/>
        <v>4908</v>
      </c>
      <c r="I16" s="554">
        <f t="shared" si="1"/>
        <v>61702</v>
      </c>
      <c r="K16" s="3">
        <v>2016</v>
      </c>
      <c r="L16" s="169">
        <v>7706</v>
      </c>
      <c r="M16" s="170">
        <v>8323</v>
      </c>
      <c r="N16" s="161">
        <v>6933</v>
      </c>
      <c r="O16" s="171">
        <v>1379</v>
      </c>
      <c r="P16" s="172">
        <v>1789</v>
      </c>
      <c r="Q16" s="174">
        <v>1893</v>
      </c>
      <c r="R16" s="174">
        <v>0</v>
      </c>
      <c r="S16" s="559">
        <v>2465</v>
      </c>
      <c r="T16" s="561">
        <f t="shared" si="24"/>
        <v>30488</v>
      </c>
      <c r="V16" s="3">
        <v>2016</v>
      </c>
      <c r="W16" s="169">
        <v>4942</v>
      </c>
      <c r="X16" s="170">
        <v>3758</v>
      </c>
      <c r="Y16" s="161">
        <v>4079</v>
      </c>
      <c r="Z16" s="171">
        <v>633</v>
      </c>
      <c r="AA16" s="172">
        <v>1226</v>
      </c>
      <c r="AB16" s="174">
        <v>1231</v>
      </c>
      <c r="AC16" s="174"/>
      <c r="AD16" s="559">
        <v>1320</v>
      </c>
      <c r="AE16" s="561">
        <f t="shared" si="25"/>
        <v>17189</v>
      </c>
      <c r="AG16" s="3">
        <v>2016</v>
      </c>
      <c r="AH16" s="169">
        <v>2298</v>
      </c>
      <c r="AI16" s="170">
        <v>2676</v>
      </c>
      <c r="AJ16" s="161">
        <v>2278</v>
      </c>
      <c r="AK16" s="171">
        <v>359</v>
      </c>
      <c r="AL16" s="172">
        <v>560</v>
      </c>
      <c r="AM16" s="174">
        <v>674</v>
      </c>
      <c r="AN16" s="174">
        <v>0</v>
      </c>
      <c r="AO16" s="559">
        <v>726</v>
      </c>
      <c r="AP16" s="561">
        <f t="shared" si="26"/>
        <v>9571</v>
      </c>
      <c r="AR16" s="3">
        <v>2016</v>
      </c>
      <c r="AS16" s="169">
        <v>1290</v>
      </c>
      <c r="AT16" s="170">
        <v>1325</v>
      </c>
      <c r="AU16" s="161">
        <v>805</v>
      </c>
      <c r="AV16" s="171">
        <v>210</v>
      </c>
      <c r="AW16" s="172">
        <v>208</v>
      </c>
      <c r="AX16" s="174">
        <v>219</v>
      </c>
      <c r="AY16" s="174">
        <v>0</v>
      </c>
      <c r="AZ16" s="165">
        <v>397</v>
      </c>
      <c r="BA16" s="561">
        <f t="shared" si="27"/>
        <v>4454</v>
      </c>
      <c r="BC16" s="12">
        <v>2016</v>
      </c>
      <c r="BD16" s="549">
        <f t="shared" si="3"/>
        <v>16236</v>
      </c>
      <c r="BE16" s="550">
        <f t="shared" si="4"/>
        <v>16082</v>
      </c>
      <c r="BF16" s="551">
        <f t="shared" si="5"/>
        <v>14095</v>
      </c>
      <c r="BG16" s="555">
        <f t="shared" si="6"/>
        <v>2581</v>
      </c>
      <c r="BH16" s="552">
        <f t="shared" si="7"/>
        <v>3783</v>
      </c>
      <c r="BI16" s="553">
        <f t="shared" si="8"/>
        <v>4017</v>
      </c>
      <c r="BJ16" s="556">
        <f t="shared" si="9"/>
        <v>4908</v>
      </c>
      <c r="BK16" s="563">
        <f t="shared" si="19"/>
        <v>61702</v>
      </c>
      <c r="BL16" s="563"/>
      <c r="BM16" s="12">
        <v>2016</v>
      </c>
      <c r="BN16" s="549">
        <f t="shared" si="20"/>
        <v>11294</v>
      </c>
      <c r="BO16" s="550">
        <f t="shared" si="10"/>
        <v>12324</v>
      </c>
      <c r="BP16" s="551">
        <f t="shared" si="10"/>
        <v>10016</v>
      </c>
      <c r="BQ16" s="555">
        <f t="shared" si="10"/>
        <v>1948</v>
      </c>
      <c r="BR16" s="552">
        <f t="shared" si="10"/>
        <v>2557</v>
      </c>
      <c r="BS16" s="553">
        <f t="shared" si="10"/>
        <v>2786</v>
      </c>
      <c r="BT16" s="553">
        <f t="shared" si="21"/>
        <v>3588</v>
      </c>
      <c r="BU16" s="554">
        <f t="shared" si="11"/>
        <v>44513</v>
      </c>
      <c r="BW16" s="12">
        <v>2016</v>
      </c>
      <c r="BX16" s="549">
        <f t="shared" si="22"/>
        <v>4942</v>
      </c>
      <c r="BY16" s="550">
        <f t="shared" si="12"/>
        <v>3758</v>
      </c>
      <c r="BZ16" s="551">
        <f t="shared" si="12"/>
        <v>4079</v>
      </c>
      <c r="CA16" s="555">
        <f t="shared" si="12"/>
        <v>633</v>
      </c>
      <c r="CB16" s="552">
        <f t="shared" si="12"/>
        <v>1226</v>
      </c>
      <c r="CC16" s="553">
        <f t="shared" si="12"/>
        <v>1231</v>
      </c>
      <c r="CD16" s="553">
        <f t="shared" si="23"/>
        <v>1320</v>
      </c>
      <c r="CE16" s="563">
        <f t="shared" si="13"/>
        <v>17189</v>
      </c>
    </row>
    <row r="17" spans="1:83">
      <c r="A17" s="12">
        <v>2017</v>
      </c>
      <c r="B17" s="550">
        <f>BE17</f>
        <v>15926</v>
      </c>
      <c r="C17" s="551">
        <f t="shared" si="14"/>
        <v>14376</v>
      </c>
      <c r="D17" s="555">
        <f t="shared" si="15"/>
        <v>2286</v>
      </c>
      <c r="E17" s="552">
        <f t="shared" si="16"/>
        <v>3214</v>
      </c>
      <c r="F17" s="553">
        <f t="shared" si="17"/>
        <v>3495</v>
      </c>
      <c r="G17" s="549">
        <f>BD17</f>
        <v>16227</v>
      </c>
      <c r="H17" s="556">
        <f t="shared" si="18"/>
        <v>4949</v>
      </c>
      <c r="I17" s="554">
        <f t="shared" si="1"/>
        <v>60473</v>
      </c>
      <c r="K17" s="3">
        <v>2017</v>
      </c>
      <c r="L17" s="169">
        <v>7887</v>
      </c>
      <c r="M17" s="170">
        <v>8202</v>
      </c>
      <c r="N17" s="161">
        <v>7241</v>
      </c>
      <c r="O17" s="171">
        <v>1220</v>
      </c>
      <c r="P17" s="172">
        <v>1522</v>
      </c>
      <c r="Q17" s="174">
        <v>1652</v>
      </c>
      <c r="R17" s="174">
        <v>1465</v>
      </c>
      <c r="S17" s="559">
        <v>1036</v>
      </c>
      <c r="T17" s="561">
        <f t="shared" si="24"/>
        <v>30225</v>
      </c>
      <c r="V17" s="3">
        <v>2017</v>
      </c>
      <c r="W17" s="169">
        <v>4777</v>
      </c>
      <c r="X17" s="170">
        <v>3821</v>
      </c>
      <c r="Y17" s="161">
        <v>4041</v>
      </c>
      <c r="Z17" s="171">
        <v>570</v>
      </c>
      <c r="AA17" s="172">
        <v>1053</v>
      </c>
      <c r="AB17" s="174">
        <v>1080</v>
      </c>
      <c r="AC17" s="174">
        <v>790</v>
      </c>
      <c r="AD17" s="559">
        <v>549</v>
      </c>
      <c r="AE17" s="561">
        <f t="shared" si="25"/>
        <v>16681</v>
      </c>
      <c r="AG17" s="3">
        <v>2017</v>
      </c>
      <c r="AH17" s="169">
        <v>2190</v>
      </c>
      <c r="AI17" s="170">
        <v>2703</v>
      </c>
      <c r="AJ17" s="161">
        <v>2306</v>
      </c>
      <c r="AK17" s="171">
        <v>318</v>
      </c>
      <c r="AL17" s="172">
        <v>477</v>
      </c>
      <c r="AM17" s="174">
        <v>582</v>
      </c>
      <c r="AN17" s="174">
        <v>475</v>
      </c>
      <c r="AO17" s="559">
        <v>234</v>
      </c>
      <c r="AP17" s="561">
        <f t="shared" si="26"/>
        <v>9285</v>
      </c>
      <c r="AR17" s="3">
        <v>2017</v>
      </c>
      <c r="AS17" s="169">
        <v>1373</v>
      </c>
      <c r="AT17" s="170">
        <v>1200</v>
      </c>
      <c r="AU17" s="161">
        <v>788</v>
      </c>
      <c r="AV17" s="171">
        <v>178</v>
      </c>
      <c r="AW17" s="172">
        <v>162</v>
      </c>
      <c r="AX17" s="174">
        <v>181</v>
      </c>
      <c r="AY17" s="174">
        <v>144</v>
      </c>
      <c r="AZ17" s="165">
        <v>256</v>
      </c>
      <c r="BA17" s="561">
        <f t="shared" si="27"/>
        <v>4282</v>
      </c>
      <c r="BC17" s="12">
        <v>2017</v>
      </c>
      <c r="BD17" s="549">
        <f t="shared" si="3"/>
        <v>16227</v>
      </c>
      <c r="BE17" s="550">
        <f t="shared" si="4"/>
        <v>15926</v>
      </c>
      <c r="BF17" s="551">
        <f t="shared" si="5"/>
        <v>14376</v>
      </c>
      <c r="BG17" s="555">
        <f t="shared" si="6"/>
        <v>2286</v>
      </c>
      <c r="BH17" s="552">
        <f t="shared" si="7"/>
        <v>3214</v>
      </c>
      <c r="BI17" s="553">
        <f t="shared" si="8"/>
        <v>3495</v>
      </c>
      <c r="BJ17" s="556">
        <f t="shared" si="9"/>
        <v>4949</v>
      </c>
      <c r="BK17" s="563">
        <f t="shared" si="19"/>
        <v>60473</v>
      </c>
      <c r="BL17" s="563"/>
      <c r="BM17" s="12">
        <v>2017</v>
      </c>
      <c r="BN17" s="549">
        <f t="shared" si="20"/>
        <v>11450</v>
      </c>
      <c r="BO17" s="550">
        <f t="shared" si="10"/>
        <v>12105</v>
      </c>
      <c r="BP17" s="551">
        <f t="shared" si="10"/>
        <v>10335</v>
      </c>
      <c r="BQ17" s="555">
        <f t="shared" si="10"/>
        <v>1716</v>
      </c>
      <c r="BR17" s="552">
        <f t="shared" si="10"/>
        <v>2161</v>
      </c>
      <c r="BS17" s="553">
        <f t="shared" si="10"/>
        <v>2415</v>
      </c>
      <c r="BT17" s="553">
        <f t="shared" si="21"/>
        <v>3610</v>
      </c>
      <c r="BU17" s="554">
        <f t="shared" si="11"/>
        <v>43792</v>
      </c>
      <c r="BW17" s="12">
        <v>2017</v>
      </c>
      <c r="BX17" s="549">
        <f t="shared" si="22"/>
        <v>4777</v>
      </c>
      <c r="BY17" s="550">
        <f t="shared" si="12"/>
        <v>3821</v>
      </c>
      <c r="BZ17" s="551">
        <f t="shared" si="12"/>
        <v>4041</v>
      </c>
      <c r="CA17" s="555">
        <f t="shared" si="12"/>
        <v>570</v>
      </c>
      <c r="CB17" s="552">
        <f t="shared" si="12"/>
        <v>1053</v>
      </c>
      <c r="CC17" s="553">
        <f t="shared" si="12"/>
        <v>1080</v>
      </c>
      <c r="CD17" s="553">
        <f t="shared" si="23"/>
        <v>1339</v>
      </c>
      <c r="CE17" s="563">
        <f t="shared" si="13"/>
        <v>16681</v>
      </c>
    </row>
    <row r="18" spans="1:83">
      <c r="A18" s="12">
        <v>2018</v>
      </c>
      <c r="B18" s="550">
        <f>BE18</f>
        <v>15765</v>
      </c>
      <c r="C18" s="551">
        <f t="shared" si="14"/>
        <v>14692</v>
      </c>
      <c r="D18" s="555">
        <f t="shared" si="15"/>
        <v>2286</v>
      </c>
      <c r="E18" s="552">
        <f t="shared" si="16"/>
        <v>3211</v>
      </c>
      <c r="F18" s="553">
        <f t="shared" si="17"/>
        <v>3489</v>
      </c>
      <c r="G18" s="549">
        <f>BD18</f>
        <v>17159</v>
      </c>
      <c r="H18" s="556">
        <f t="shared" si="18"/>
        <v>4955</v>
      </c>
      <c r="I18" s="554">
        <f t="shared" si="1"/>
        <v>61557</v>
      </c>
      <c r="K18" s="3">
        <v>2018</v>
      </c>
      <c r="L18" s="169">
        <v>8210</v>
      </c>
      <c r="M18" s="170">
        <v>8000</v>
      </c>
      <c r="N18" s="161">
        <v>7212</v>
      </c>
      <c r="O18" s="171">
        <v>1202</v>
      </c>
      <c r="P18" s="172">
        <v>1502</v>
      </c>
      <c r="Q18" s="174">
        <v>1628</v>
      </c>
      <c r="R18" s="174">
        <v>1445</v>
      </c>
      <c r="S18" s="559">
        <v>1021</v>
      </c>
      <c r="T18" s="561">
        <f t="shared" si="24"/>
        <v>30220</v>
      </c>
      <c r="V18" s="3">
        <v>2018</v>
      </c>
      <c r="W18" s="169">
        <v>4941</v>
      </c>
      <c r="X18" s="170">
        <v>3767</v>
      </c>
      <c r="Y18" s="161">
        <v>4124</v>
      </c>
      <c r="Z18" s="171">
        <v>568</v>
      </c>
      <c r="AA18" s="172">
        <v>1050</v>
      </c>
      <c r="AB18" s="174">
        <v>1076</v>
      </c>
      <c r="AC18" s="174">
        <v>787</v>
      </c>
      <c r="AD18" s="559">
        <v>547</v>
      </c>
      <c r="AE18" s="561">
        <f t="shared" si="25"/>
        <v>16860</v>
      </c>
      <c r="AG18" s="3">
        <v>2018</v>
      </c>
      <c r="AH18" s="169">
        <v>2269</v>
      </c>
      <c r="AI18" s="170">
        <v>2678</v>
      </c>
      <c r="AJ18" s="161">
        <v>2431</v>
      </c>
      <c r="AK18" s="171">
        <v>318</v>
      </c>
      <c r="AL18" s="172">
        <v>478</v>
      </c>
      <c r="AM18" s="174">
        <v>583</v>
      </c>
      <c r="AN18" s="174">
        <v>475</v>
      </c>
      <c r="AO18" s="559">
        <v>234</v>
      </c>
      <c r="AP18" s="561">
        <f t="shared" si="26"/>
        <v>9466</v>
      </c>
      <c r="AR18" s="3">
        <v>2018</v>
      </c>
      <c r="AS18" s="169">
        <v>1739</v>
      </c>
      <c r="AT18" s="170">
        <v>1320</v>
      </c>
      <c r="AU18" s="161">
        <v>925</v>
      </c>
      <c r="AV18" s="171">
        <v>198</v>
      </c>
      <c r="AW18" s="172">
        <v>181</v>
      </c>
      <c r="AX18" s="174">
        <v>202</v>
      </c>
      <c r="AY18" s="174">
        <v>161</v>
      </c>
      <c r="AZ18" s="165">
        <v>285</v>
      </c>
      <c r="BA18" s="561">
        <f t="shared" si="27"/>
        <v>5011</v>
      </c>
      <c r="BC18" s="12">
        <v>2018</v>
      </c>
      <c r="BD18" s="549">
        <f t="shared" si="3"/>
        <v>17159</v>
      </c>
      <c r="BE18" s="550">
        <f t="shared" si="4"/>
        <v>15765</v>
      </c>
      <c r="BF18" s="551">
        <f t="shared" si="5"/>
        <v>14692</v>
      </c>
      <c r="BG18" s="555">
        <f t="shared" si="6"/>
        <v>2286</v>
      </c>
      <c r="BH18" s="552">
        <f t="shared" si="7"/>
        <v>3211</v>
      </c>
      <c r="BI18" s="553">
        <f t="shared" si="8"/>
        <v>3489</v>
      </c>
      <c r="BJ18" s="556">
        <f t="shared" si="9"/>
        <v>4955</v>
      </c>
      <c r="BK18" s="563">
        <f t="shared" si="19"/>
        <v>61557</v>
      </c>
      <c r="BL18" s="563"/>
      <c r="BM18" s="12">
        <v>2018</v>
      </c>
      <c r="BN18" s="549">
        <f t="shared" si="20"/>
        <v>12218</v>
      </c>
      <c r="BO18" s="550">
        <f t="shared" si="10"/>
        <v>11998</v>
      </c>
      <c r="BP18" s="551">
        <f t="shared" si="10"/>
        <v>10568</v>
      </c>
      <c r="BQ18" s="555">
        <f t="shared" si="10"/>
        <v>1718</v>
      </c>
      <c r="BR18" s="552">
        <f t="shared" si="10"/>
        <v>2161</v>
      </c>
      <c r="BS18" s="553">
        <f t="shared" si="10"/>
        <v>2413</v>
      </c>
      <c r="BT18" s="553">
        <f t="shared" si="21"/>
        <v>3621</v>
      </c>
      <c r="BU18" s="554">
        <f t="shared" si="11"/>
        <v>44697</v>
      </c>
      <c r="BW18" s="12">
        <v>2018</v>
      </c>
      <c r="BX18" s="549">
        <f t="shared" si="22"/>
        <v>4941</v>
      </c>
      <c r="BY18" s="550">
        <f t="shared" si="12"/>
        <v>3767</v>
      </c>
      <c r="BZ18" s="551">
        <f t="shared" si="12"/>
        <v>4124</v>
      </c>
      <c r="CA18" s="555">
        <f t="shared" si="12"/>
        <v>568</v>
      </c>
      <c r="CB18" s="552">
        <f t="shared" si="12"/>
        <v>1050</v>
      </c>
      <c r="CC18" s="553">
        <f t="shared" si="12"/>
        <v>1076</v>
      </c>
      <c r="CD18" s="553">
        <f t="shared" si="23"/>
        <v>1334</v>
      </c>
      <c r="CE18" s="563">
        <f t="shared" si="13"/>
        <v>16860</v>
      </c>
    </row>
    <row r="19" spans="1:83">
      <c r="A19" s="12">
        <v>2019</v>
      </c>
      <c r="B19" s="550">
        <f>BE19</f>
        <v>16113</v>
      </c>
      <c r="C19" s="551">
        <f t="shared" si="14"/>
        <v>14147</v>
      </c>
      <c r="D19" s="555">
        <f t="shared" si="15"/>
        <v>2354</v>
      </c>
      <c r="E19" s="552">
        <f t="shared" si="16"/>
        <v>3349</v>
      </c>
      <c r="F19" s="553">
        <f t="shared" si="17"/>
        <v>3594</v>
      </c>
      <c r="G19" s="549">
        <f>BD19</f>
        <v>16365</v>
      </c>
      <c r="H19" s="556">
        <f t="shared" si="18"/>
        <v>5099</v>
      </c>
      <c r="I19" s="554">
        <f t="shared" si="1"/>
        <v>61021</v>
      </c>
      <c r="K19" s="3">
        <v>2019</v>
      </c>
      <c r="L19" s="169">
        <v>7851</v>
      </c>
      <c r="M19" s="170">
        <v>8203</v>
      </c>
      <c r="N19" s="161">
        <v>7037</v>
      </c>
      <c r="O19" s="171">
        <v>1239</v>
      </c>
      <c r="P19" s="172">
        <v>1567</v>
      </c>
      <c r="Q19" s="174">
        <v>1678</v>
      </c>
      <c r="R19" s="174">
        <v>1487</v>
      </c>
      <c r="S19" s="559">
        <v>1053</v>
      </c>
      <c r="T19" s="561">
        <f t="shared" si="24"/>
        <v>30115</v>
      </c>
      <c r="V19" s="3">
        <v>2019</v>
      </c>
      <c r="W19" s="169">
        <v>4768</v>
      </c>
      <c r="X19" s="170">
        <v>3819</v>
      </c>
      <c r="Y19" s="161">
        <v>3961</v>
      </c>
      <c r="Z19" s="171">
        <v>584</v>
      </c>
      <c r="AA19" s="172">
        <v>1093</v>
      </c>
      <c r="AB19" s="174">
        <v>1106</v>
      </c>
      <c r="AC19" s="174">
        <v>808</v>
      </c>
      <c r="AD19" s="559">
        <v>563</v>
      </c>
      <c r="AE19" s="561">
        <f t="shared" si="25"/>
        <v>16702</v>
      </c>
      <c r="AG19" s="3">
        <v>2019</v>
      </c>
      <c r="AH19" s="169">
        <v>2225</v>
      </c>
      <c r="AI19" s="170">
        <v>2778</v>
      </c>
      <c r="AJ19" s="161">
        <v>2301</v>
      </c>
      <c r="AK19" s="171">
        <v>331</v>
      </c>
      <c r="AL19" s="172">
        <v>504</v>
      </c>
      <c r="AM19" s="174">
        <v>606</v>
      </c>
      <c r="AN19" s="174">
        <v>494</v>
      </c>
      <c r="AO19" s="559">
        <v>244</v>
      </c>
      <c r="AP19" s="561">
        <f t="shared" si="26"/>
        <v>9483</v>
      </c>
      <c r="AR19" s="3">
        <v>2019</v>
      </c>
      <c r="AS19" s="169">
        <v>1521</v>
      </c>
      <c r="AT19" s="170">
        <v>1313</v>
      </c>
      <c r="AU19" s="161">
        <v>848</v>
      </c>
      <c r="AV19" s="171">
        <v>200</v>
      </c>
      <c r="AW19" s="172">
        <v>185</v>
      </c>
      <c r="AX19" s="174">
        <v>204</v>
      </c>
      <c r="AY19" s="174">
        <v>162</v>
      </c>
      <c r="AZ19" s="165">
        <v>288</v>
      </c>
      <c r="BA19" s="561">
        <f t="shared" si="27"/>
        <v>4721</v>
      </c>
      <c r="BC19" s="12">
        <v>2019</v>
      </c>
      <c r="BD19" s="549">
        <f t="shared" si="3"/>
        <v>16365</v>
      </c>
      <c r="BE19" s="550">
        <f t="shared" si="4"/>
        <v>16113</v>
      </c>
      <c r="BF19" s="551">
        <f t="shared" si="5"/>
        <v>14147</v>
      </c>
      <c r="BG19" s="555">
        <f t="shared" si="6"/>
        <v>2354</v>
      </c>
      <c r="BH19" s="552">
        <f t="shared" si="7"/>
        <v>3349</v>
      </c>
      <c r="BI19" s="553">
        <f t="shared" si="8"/>
        <v>3594</v>
      </c>
      <c r="BJ19" s="556">
        <f t="shared" si="9"/>
        <v>5099</v>
      </c>
      <c r="BK19" s="563">
        <f t="shared" si="19"/>
        <v>61021</v>
      </c>
      <c r="BL19" s="563"/>
      <c r="BM19" s="12">
        <v>2019</v>
      </c>
      <c r="BN19" s="549">
        <f t="shared" si="20"/>
        <v>11597</v>
      </c>
      <c r="BO19" s="550">
        <f t="shared" si="10"/>
        <v>12294</v>
      </c>
      <c r="BP19" s="551">
        <f t="shared" si="10"/>
        <v>10186</v>
      </c>
      <c r="BQ19" s="555">
        <f t="shared" si="10"/>
        <v>1770</v>
      </c>
      <c r="BR19" s="552">
        <f t="shared" si="10"/>
        <v>2256</v>
      </c>
      <c r="BS19" s="553">
        <f t="shared" si="10"/>
        <v>2488</v>
      </c>
      <c r="BT19" s="553">
        <f t="shared" si="21"/>
        <v>3728</v>
      </c>
      <c r="BU19" s="554">
        <f t="shared" si="11"/>
        <v>44319</v>
      </c>
      <c r="BW19" s="12">
        <v>2019</v>
      </c>
      <c r="BX19" s="549">
        <f t="shared" si="22"/>
        <v>4768</v>
      </c>
      <c r="BY19" s="550">
        <f t="shared" si="12"/>
        <v>3819</v>
      </c>
      <c r="BZ19" s="551">
        <f t="shared" si="12"/>
        <v>3961</v>
      </c>
      <c r="CA19" s="555">
        <f t="shared" si="12"/>
        <v>584</v>
      </c>
      <c r="CB19" s="552">
        <f t="shared" si="12"/>
        <v>1093</v>
      </c>
      <c r="CC19" s="553">
        <f t="shared" si="12"/>
        <v>1106</v>
      </c>
      <c r="CD19" s="553">
        <f t="shared" si="23"/>
        <v>1371</v>
      </c>
      <c r="CE19" s="563">
        <f t="shared" si="13"/>
        <v>16702</v>
      </c>
    </row>
    <row r="20" spans="1:83">
      <c r="A20" s="12">
        <v>2020</v>
      </c>
      <c r="B20" s="550">
        <f>BE20</f>
        <v>18137</v>
      </c>
      <c r="C20" s="551">
        <f t="shared" si="14"/>
        <v>15449</v>
      </c>
      <c r="D20" s="555">
        <f t="shared" si="15"/>
        <v>2501</v>
      </c>
      <c r="E20" s="552">
        <f t="shared" si="16"/>
        <v>3550</v>
      </c>
      <c r="F20" s="553">
        <f t="shared" si="17"/>
        <v>3819</v>
      </c>
      <c r="G20" s="549">
        <f>BD20</f>
        <v>17535</v>
      </c>
      <c r="H20" s="556">
        <f t="shared" si="18"/>
        <v>5421</v>
      </c>
      <c r="I20" s="554">
        <f t="shared" si="1"/>
        <v>66412</v>
      </c>
      <c r="K20" s="3">
        <v>2020</v>
      </c>
      <c r="L20" s="169">
        <v>8417</v>
      </c>
      <c r="M20" s="170">
        <v>9247</v>
      </c>
      <c r="N20" s="161">
        <v>7710</v>
      </c>
      <c r="O20" s="171">
        <v>1320</v>
      </c>
      <c r="P20" s="172">
        <v>1666</v>
      </c>
      <c r="Q20" s="174">
        <v>1788</v>
      </c>
      <c r="R20" s="174">
        <v>1586</v>
      </c>
      <c r="S20" s="559">
        <v>1121</v>
      </c>
      <c r="T20" s="561">
        <f t="shared" si="24"/>
        <v>32855</v>
      </c>
      <c r="V20" s="3">
        <v>2020</v>
      </c>
      <c r="W20" s="169">
        <v>5131</v>
      </c>
      <c r="X20" s="170">
        <v>4280</v>
      </c>
      <c r="Y20" s="161">
        <v>4318</v>
      </c>
      <c r="Z20" s="171">
        <v>617</v>
      </c>
      <c r="AA20" s="172">
        <v>1153</v>
      </c>
      <c r="AB20" s="174">
        <v>1169</v>
      </c>
      <c r="AC20" s="174">
        <v>855</v>
      </c>
      <c r="AD20" s="559">
        <v>595</v>
      </c>
      <c r="AE20" s="561">
        <f t="shared" si="25"/>
        <v>18118</v>
      </c>
      <c r="AG20" s="3">
        <v>2020</v>
      </c>
      <c r="AH20" s="169">
        <v>2413</v>
      </c>
      <c r="AI20" s="170">
        <v>3131</v>
      </c>
      <c r="AJ20" s="161">
        <v>2524</v>
      </c>
      <c r="AK20" s="171">
        <v>352</v>
      </c>
      <c r="AL20" s="172">
        <v>535</v>
      </c>
      <c r="AM20" s="174">
        <v>646</v>
      </c>
      <c r="AN20" s="174">
        <v>526</v>
      </c>
      <c r="AO20" s="559">
        <v>260</v>
      </c>
      <c r="AP20" s="561">
        <f t="shared" si="26"/>
        <v>10387</v>
      </c>
      <c r="AR20" s="3">
        <v>2020</v>
      </c>
      <c r="AS20" s="169">
        <v>1574</v>
      </c>
      <c r="AT20" s="170">
        <v>1479</v>
      </c>
      <c r="AU20" s="161">
        <v>897</v>
      </c>
      <c r="AV20" s="171">
        <v>212</v>
      </c>
      <c r="AW20" s="172">
        <v>196</v>
      </c>
      <c r="AX20" s="174">
        <v>216</v>
      </c>
      <c r="AY20" s="174">
        <v>172</v>
      </c>
      <c r="AZ20" s="165">
        <v>306</v>
      </c>
      <c r="BA20" s="561">
        <f t="shared" si="27"/>
        <v>5052</v>
      </c>
      <c r="BC20" s="12">
        <v>2020</v>
      </c>
      <c r="BD20" s="549">
        <f t="shared" si="3"/>
        <v>17535</v>
      </c>
      <c r="BE20" s="550">
        <f t="shared" si="4"/>
        <v>18137</v>
      </c>
      <c r="BF20" s="551">
        <f t="shared" si="5"/>
        <v>15449</v>
      </c>
      <c r="BG20" s="555">
        <f t="shared" si="6"/>
        <v>2501</v>
      </c>
      <c r="BH20" s="552">
        <f t="shared" si="7"/>
        <v>3550</v>
      </c>
      <c r="BI20" s="553">
        <f t="shared" si="8"/>
        <v>3819</v>
      </c>
      <c r="BJ20" s="556">
        <f t="shared" si="9"/>
        <v>5421</v>
      </c>
      <c r="BK20" s="563">
        <f t="shared" si="19"/>
        <v>66412</v>
      </c>
      <c r="BL20" s="563"/>
      <c r="BM20" s="12">
        <v>2020</v>
      </c>
      <c r="BN20" s="549">
        <f t="shared" si="20"/>
        <v>12404</v>
      </c>
      <c r="BO20" s="550">
        <f t="shared" si="10"/>
        <v>13857</v>
      </c>
      <c r="BP20" s="551">
        <f t="shared" si="10"/>
        <v>11131</v>
      </c>
      <c r="BQ20" s="555">
        <f t="shared" si="10"/>
        <v>1884</v>
      </c>
      <c r="BR20" s="552">
        <f t="shared" si="10"/>
        <v>2397</v>
      </c>
      <c r="BS20" s="553">
        <f t="shared" si="10"/>
        <v>2650</v>
      </c>
      <c r="BT20" s="553">
        <f t="shared" si="21"/>
        <v>3971</v>
      </c>
      <c r="BU20" s="554">
        <f t="shared" si="11"/>
        <v>48294</v>
      </c>
      <c r="BW20" s="12">
        <v>2020</v>
      </c>
      <c r="BX20" s="549">
        <f t="shared" si="22"/>
        <v>5131</v>
      </c>
      <c r="BY20" s="550">
        <f t="shared" si="12"/>
        <v>4280</v>
      </c>
      <c r="BZ20" s="551">
        <f t="shared" si="12"/>
        <v>4318</v>
      </c>
      <c r="CA20" s="555">
        <f t="shared" si="12"/>
        <v>617</v>
      </c>
      <c r="CB20" s="552">
        <f t="shared" si="12"/>
        <v>1153</v>
      </c>
      <c r="CC20" s="553">
        <f t="shared" si="12"/>
        <v>1169</v>
      </c>
      <c r="CD20" s="553">
        <f t="shared" si="23"/>
        <v>1450</v>
      </c>
      <c r="CE20" s="563">
        <f t="shared" si="13"/>
        <v>18118</v>
      </c>
    </row>
    <row r="21" spans="1:83">
      <c r="A21" s="12">
        <v>2021</v>
      </c>
      <c r="B21" s="550">
        <f>BE21</f>
        <v>18697</v>
      </c>
      <c r="C21" s="551">
        <f t="shared" si="14"/>
        <v>15074</v>
      </c>
      <c r="D21" s="555">
        <f t="shared" si="15"/>
        <v>2526</v>
      </c>
      <c r="E21" s="552">
        <f t="shared" si="16"/>
        <v>3603</v>
      </c>
      <c r="F21" s="553">
        <f t="shared" si="17"/>
        <v>3855</v>
      </c>
      <c r="G21" s="549">
        <f>BD21</f>
        <v>17493</v>
      </c>
      <c r="H21" s="556">
        <f t="shared" si="18"/>
        <v>5475</v>
      </c>
      <c r="I21" s="554">
        <f t="shared" si="1"/>
        <v>66723</v>
      </c>
      <c r="K21" s="3">
        <v>2021</v>
      </c>
      <c r="L21" s="169">
        <v>8198</v>
      </c>
      <c r="M21" s="170">
        <v>9309</v>
      </c>
      <c r="N21" s="161">
        <v>7349</v>
      </c>
      <c r="O21" s="171">
        <v>1301</v>
      </c>
      <c r="P21" s="172">
        <v>1651</v>
      </c>
      <c r="Q21" s="174">
        <v>1762</v>
      </c>
      <c r="R21" s="174">
        <v>1561</v>
      </c>
      <c r="S21" s="559">
        <v>1105</v>
      </c>
      <c r="T21" s="561">
        <f t="shared" si="24"/>
        <v>32236</v>
      </c>
      <c r="V21" s="3">
        <v>2021</v>
      </c>
      <c r="W21" s="169">
        <v>5121</v>
      </c>
      <c r="X21" s="170">
        <v>4446</v>
      </c>
      <c r="Y21" s="161">
        <v>4249</v>
      </c>
      <c r="Z21" s="171">
        <v>630</v>
      </c>
      <c r="AA21" s="172">
        <v>1183</v>
      </c>
      <c r="AB21" s="174">
        <v>1193</v>
      </c>
      <c r="AC21" s="174">
        <v>871</v>
      </c>
      <c r="AD21" s="559">
        <v>607</v>
      </c>
      <c r="AE21" s="561">
        <f t="shared" si="25"/>
        <v>18300</v>
      </c>
      <c r="AG21" s="3">
        <v>2021</v>
      </c>
      <c r="AH21" s="169">
        <v>2426</v>
      </c>
      <c r="AI21" s="170">
        <v>3288</v>
      </c>
      <c r="AJ21" s="161">
        <v>2501</v>
      </c>
      <c r="AK21" s="171">
        <v>362</v>
      </c>
      <c r="AL21" s="172">
        <v>553</v>
      </c>
      <c r="AM21" s="174">
        <v>663</v>
      </c>
      <c r="AN21" s="174">
        <v>540</v>
      </c>
      <c r="AO21" s="559">
        <v>267</v>
      </c>
      <c r="AP21" s="561">
        <f>SUM(AH21:AO21)</f>
        <v>10600</v>
      </c>
      <c r="AR21" s="3">
        <v>2021</v>
      </c>
      <c r="AS21" s="169">
        <v>1748</v>
      </c>
      <c r="AT21" s="170">
        <v>1654</v>
      </c>
      <c r="AU21" s="161">
        <v>975</v>
      </c>
      <c r="AV21" s="171">
        <v>233</v>
      </c>
      <c r="AW21" s="172">
        <v>216</v>
      </c>
      <c r="AX21" s="174">
        <v>237</v>
      </c>
      <c r="AY21" s="174">
        <v>189</v>
      </c>
      <c r="AZ21" s="165">
        <v>335</v>
      </c>
      <c r="BA21" s="561">
        <f>SUM(AS21:AZ21)</f>
        <v>5587</v>
      </c>
      <c r="BC21" s="12">
        <v>2021</v>
      </c>
      <c r="BD21" s="573">
        <f t="shared" si="3"/>
        <v>17493</v>
      </c>
      <c r="BE21" s="550">
        <f t="shared" si="4"/>
        <v>18697</v>
      </c>
      <c r="BF21" s="551">
        <f t="shared" si="5"/>
        <v>15074</v>
      </c>
      <c r="BG21" s="555">
        <f t="shared" si="6"/>
        <v>2526</v>
      </c>
      <c r="BH21" s="552">
        <f t="shared" si="7"/>
        <v>3603</v>
      </c>
      <c r="BI21" s="553">
        <f t="shared" si="8"/>
        <v>3855</v>
      </c>
      <c r="BJ21" s="574">
        <f t="shared" si="9"/>
        <v>5475</v>
      </c>
      <c r="BK21" s="563">
        <f t="shared" si="19"/>
        <v>66723</v>
      </c>
      <c r="BL21" s="563"/>
      <c r="BM21" s="12">
        <v>2021</v>
      </c>
      <c r="BN21" s="549">
        <f t="shared" si="20"/>
        <v>12372</v>
      </c>
      <c r="BO21" s="550">
        <f t="shared" si="10"/>
        <v>14251</v>
      </c>
      <c r="BP21" s="551">
        <f t="shared" si="10"/>
        <v>10825</v>
      </c>
      <c r="BQ21" s="555">
        <f t="shared" si="10"/>
        <v>1896</v>
      </c>
      <c r="BR21" s="552">
        <f t="shared" si="10"/>
        <v>2420</v>
      </c>
      <c r="BS21" s="553">
        <f t="shared" si="10"/>
        <v>2662</v>
      </c>
      <c r="BT21" s="553">
        <f t="shared" si="21"/>
        <v>3997</v>
      </c>
      <c r="BU21" s="554">
        <f t="shared" si="11"/>
        <v>48423</v>
      </c>
      <c r="BW21" s="12">
        <v>2021</v>
      </c>
      <c r="BX21" s="549">
        <f t="shared" si="22"/>
        <v>5121</v>
      </c>
      <c r="BY21" s="550">
        <f t="shared" si="12"/>
        <v>4446</v>
      </c>
      <c r="BZ21" s="551">
        <f t="shared" si="12"/>
        <v>4249</v>
      </c>
      <c r="CA21" s="555">
        <f t="shared" si="12"/>
        <v>630</v>
      </c>
      <c r="CB21" s="552">
        <f t="shared" si="12"/>
        <v>1183</v>
      </c>
      <c r="CC21" s="553">
        <f t="shared" si="12"/>
        <v>1193</v>
      </c>
      <c r="CD21" s="553">
        <f t="shared" si="23"/>
        <v>1478</v>
      </c>
      <c r="CE21" s="563">
        <f t="shared" si="13"/>
        <v>18300</v>
      </c>
    </row>
    <row r="23" spans="1:83">
      <c r="A23" s="92" t="s">
        <v>573</v>
      </c>
      <c r="B23" s="17"/>
      <c r="C23" s="17"/>
      <c r="D23" s="17"/>
      <c r="E23" s="17"/>
      <c r="F23" s="17"/>
      <c r="G23" s="17"/>
      <c r="H23" s="17"/>
      <c r="I23" s="17"/>
    </row>
    <row r="24" spans="1:83">
      <c r="A24" s="23" t="s">
        <v>554</v>
      </c>
      <c r="B24" t="s">
        <v>511</v>
      </c>
      <c r="C24" t="s">
        <v>512</v>
      </c>
      <c r="D24" t="s">
        <v>513</v>
      </c>
      <c r="E24" t="s">
        <v>514</v>
      </c>
      <c r="F24" t="s">
        <v>515</v>
      </c>
      <c r="G24" t="s">
        <v>510</v>
      </c>
      <c r="H24" t="s">
        <v>516</v>
      </c>
      <c r="I24" s="24" t="s">
        <v>517</v>
      </c>
      <c r="K24" s="48" t="s">
        <v>563</v>
      </c>
      <c r="V24" s="48" t="s">
        <v>564</v>
      </c>
      <c r="AG24" s="48" t="s">
        <v>585</v>
      </c>
      <c r="AQ24" s="575"/>
      <c r="AR24" s="564" t="s">
        <v>1004</v>
      </c>
      <c r="BC24" s="48" t="s">
        <v>565</v>
      </c>
      <c r="BM24" s="564" t="s">
        <v>1006</v>
      </c>
      <c r="BW24" s="564" t="s">
        <v>1007</v>
      </c>
    </row>
    <row r="25" spans="1:83" ht="36">
      <c r="A25" s="554" t="s">
        <v>496</v>
      </c>
      <c r="B25" s="566" t="str">
        <f>BE25</f>
        <v>空氣調節
Air
Conditioning</v>
      </c>
      <c r="C25" s="567" t="str">
        <f t="shared" ref="C25:C26" si="28">BF25</f>
        <v>熱水
Hot
Water</v>
      </c>
      <c r="D25" s="568" t="str">
        <f t="shared" ref="D25:D26" si="29">BG25</f>
        <v>照明
Lighting</v>
      </c>
      <c r="E25" s="569" t="str">
        <f t="shared" ref="E25:E26" si="30">BH25</f>
        <v>冷凍
Refrigeration</v>
      </c>
      <c r="F25" s="570" t="str">
        <f t="shared" ref="F25:F26" si="31">BI25</f>
        <v>辦公室設備
Office
Equipment</v>
      </c>
      <c r="G25" s="565" t="str">
        <f>BD25</f>
        <v>煮食
Cooking</v>
      </c>
      <c r="H25" s="571" t="str">
        <f t="shared" ref="H25" si="32">BJ25</f>
        <v>其他 1
Others 1</v>
      </c>
      <c r="I25" s="572" t="str">
        <f t="shared" ref="I25:I41" si="33">BK25</f>
        <v>總計
Total</v>
      </c>
      <c r="K25" s="2" t="s">
        <v>496</v>
      </c>
      <c r="L25" s="151" t="s">
        <v>566</v>
      </c>
      <c r="M25" s="152" t="s">
        <v>567</v>
      </c>
      <c r="N25" s="153" t="s">
        <v>568</v>
      </c>
      <c r="O25" s="154" t="s">
        <v>569</v>
      </c>
      <c r="P25" s="155" t="s">
        <v>570</v>
      </c>
      <c r="Q25" s="156" t="s">
        <v>571</v>
      </c>
      <c r="R25" s="553" t="s">
        <v>987</v>
      </c>
      <c r="S25" s="157" t="s">
        <v>572</v>
      </c>
      <c r="T25" s="158" t="s">
        <v>500</v>
      </c>
      <c r="V25" s="2" t="s">
        <v>496</v>
      </c>
      <c r="W25" s="151" t="s">
        <v>566</v>
      </c>
      <c r="X25" s="152" t="s">
        <v>567</v>
      </c>
      <c r="Y25" s="153" t="s">
        <v>568</v>
      </c>
      <c r="Z25" s="154" t="s">
        <v>569</v>
      </c>
      <c r="AA25" s="155" t="s">
        <v>570</v>
      </c>
      <c r="AB25" s="156" t="s">
        <v>571</v>
      </c>
      <c r="AC25" s="553" t="s">
        <v>987</v>
      </c>
      <c r="AD25" s="157" t="s">
        <v>572</v>
      </c>
      <c r="AE25" s="158" t="s">
        <v>500</v>
      </c>
      <c r="AG25" s="2" t="s">
        <v>496</v>
      </c>
      <c r="AH25" s="151" t="s">
        <v>566</v>
      </c>
      <c r="AI25" s="152" t="s">
        <v>567</v>
      </c>
      <c r="AJ25" s="153" t="s">
        <v>568</v>
      </c>
      <c r="AK25" s="154" t="s">
        <v>569</v>
      </c>
      <c r="AL25" s="155" t="s">
        <v>570</v>
      </c>
      <c r="AM25" s="156" t="s">
        <v>571</v>
      </c>
      <c r="AN25" s="553" t="s">
        <v>987</v>
      </c>
      <c r="AO25" s="157" t="s">
        <v>572</v>
      </c>
      <c r="AP25" s="158" t="s">
        <v>500</v>
      </c>
      <c r="AR25" s="2" t="s">
        <v>496</v>
      </c>
      <c r="AS25" s="151" t="s">
        <v>566</v>
      </c>
      <c r="AT25" s="152" t="s">
        <v>567</v>
      </c>
      <c r="AU25" s="153" t="s">
        <v>568</v>
      </c>
      <c r="AV25" s="154" t="s">
        <v>569</v>
      </c>
      <c r="AW25" s="155" t="s">
        <v>570</v>
      </c>
      <c r="AX25" s="156" t="s">
        <v>571</v>
      </c>
      <c r="AY25" s="553" t="s">
        <v>987</v>
      </c>
      <c r="AZ25" s="157" t="s">
        <v>572</v>
      </c>
      <c r="BA25" s="158" t="s">
        <v>500</v>
      </c>
      <c r="BC25" s="2" t="s">
        <v>496</v>
      </c>
      <c r="BD25" s="565" t="s">
        <v>566</v>
      </c>
      <c r="BE25" s="566" t="s">
        <v>567</v>
      </c>
      <c r="BF25" s="567" t="s">
        <v>568</v>
      </c>
      <c r="BG25" s="568" t="s">
        <v>569</v>
      </c>
      <c r="BH25" s="569" t="s">
        <v>570</v>
      </c>
      <c r="BI25" s="570" t="s">
        <v>571</v>
      </c>
      <c r="BJ25" s="571" t="s">
        <v>572</v>
      </c>
      <c r="BK25" s="158" t="s">
        <v>500</v>
      </c>
      <c r="BM25" s="2" t="s">
        <v>496</v>
      </c>
      <c r="BN25" s="151" t="s">
        <v>566</v>
      </c>
      <c r="BO25" s="152" t="s">
        <v>567</v>
      </c>
      <c r="BP25" s="153" t="s">
        <v>568</v>
      </c>
      <c r="BQ25" s="154" t="s">
        <v>569</v>
      </c>
      <c r="BR25" s="155" t="s">
        <v>570</v>
      </c>
      <c r="BS25" s="156" t="s">
        <v>571</v>
      </c>
      <c r="BT25" s="157" t="s">
        <v>572</v>
      </c>
      <c r="BU25" s="158" t="s">
        <v>500</v>
      </c>
      <c r="BW25" s="2" t="s">
        <v>496</v>
      </c>
      <c r="BX25" s="151" t="s">
        <v>566</v>
      </c>
      <c r="BY25" s="152" t="s">
        <v>567</v>
      </c>
      <c r="BZ25" s="153" t="s">
        <v>568</v>
      </c>
      <c r="CA25" s="154" t="s">
        <v>569</v>
      </c>
      <c r="CB25" s="155" t="s">
        <v>570</v>
      </c>
      <c r="CC25" s="156" t="s">
        <v>571</v>
      </c>
      <c r="CD25" s="157" t="s">
        <v>572</v>
      </c>
      <c r="CE25" s="158" t="s">
        <v>500</v>
      </c>
    </row>
    <row r="26" spans="1:83">
      <c r="A26" s="23">
        <v>2006</v>
      </c>
      <c r="B26" s="566">
        <f>BE26</f>
        <v>0.21902924786493883</v>
      </c>
      <c r="C26" s="567">
        <f t="shared" si="28"/>
        <v>0.20666402875325618</v>
      </c>
      <c r="D26" s="568">
        <f t="shared" si="29"/>
        <v>7.6384080192567677E-2</v>
      </c>
      <c r="E26" s="569">
        <f t="shared" si="30"/>
        <v>0.10505490157285587</v>
      </c>
      <c r="F26" s="570">
        <f t="shared" si="31"/>
        <v>8.8469021004385529E-2</v>
      </c>
      <c r="G26" s="565">
        <f>BD26</f>
        <v>0.26761631549444387</v>
      </c>
      <c r="H26" s="571">
        <f>BJ26</f>
        <v>3.6782405117552021E-2</v>
      </c>
      <c r="I26" s="572">
        <f>BK26</f>
        <v>1</v>
      </c>
      <c r="K26" s="12">
        <v>2006</v>
      </c>
      <c r="L26" s="177">
        <f t="shared" ref="L26:T26" si="34">L6/$T6</f>
        <v>0.26050131624127276</v>
      </c>
      <c r="M26" s="178">
        <f t="shared" si="34"/>
        <v>0.23356606005112357</v>
      </c>
      <c r="N26" s="179">
        <f t="shared" si="34"/>
        <v>0.19358284689634123</v>
      </c>
      <c r="O26" s="180">
        <f t="shared" si="34"/>
        <v>8.1950326198924117E-2</v>
      </c>
      <c r="P26" s="181">
        <f t="shared" si="34"/>
        <v>0.10796993628629202</v>
      </c>
      <c r="Q26" s="182">
        <f t="shared" si="34"/>
        <v>8.8169089313646948E-2</v>
      </c>
      <c r="R26" s="182">
        <f t="shared" si="34"/>
        <v>0</v>
      </c>
      <c r="S26" s="183">
        <f t="shared" si="34"/>
        <v>3.4260425012399377E-2</v>
      </c>
      <c r="T26" s="184">
        <f t="shared" si="34"/>
        <v>1</v>
      </c>
      <c r="V26" s="12">
        <v>2006</v>
      </c>
      <c r="W26" s="177">
        <f>W6/$AE6</f>
        <v>0.27636480153803022</v>
      </c>
      <c r="X26" s="178">
        <f t="shared" ref="X26:AD26" si="35">X6/$AE6</f>
        <v>0.20050466615933032</v>
      </c>
      <c r="Y26" s="179">
        <f t="shared" si="35"/>
        <v>0.21968999078783996</v>
      </c>
      <c r="Z26" s="180">
        <f t="shared" si="35"/>
        <v>7.0493050827091758E-2</v>
      </c>
      <c r="AA26" s="181">
        <f t="shared" si="35"/>
        <v>0.10638042215724756</v>
      </c>
      <c r="AB26" s="182">
        <f t="shared" si="35"/>
        <v>8.8556895101534028E-2</v>
      </c>
      <c r="AC26" s="182">
        <f t="shared" si="35"/>
        <v>0</v>
      </c>
      <c r="AD26" s="183">
        <f t="shared" si="35"/>
        <v>3.7970120559138065E-2</v>
      </c>
      <c r="AE26" s="184">
        <f>AE6/$AE6</f>
        <v>1</v>
      </c>
      <c r="AG26" s="12">
        <v>2006</v>
      </c>
      <c r="AH26" s="546">
        <f>AH6/$AP6</f>
        <v>0.26419075754378563</v>
      </c>
      <c r="AI26" s="547">
        <f t="shared" ref="AI26:AO26" si="36">AI6/$AP6</f>
        <v>0.22757965815572906</v>
      </c>
      <c r="AJ26" s="179">
        <f t="shared" si="36"/>
        <v>0.20848280227896179</v>
      </c>
      <c r="AK26" s="180">
        <f t="shared" si="36"/>
        <v>7.6492930998100866E-2</v>
      </c>
      <c r="AL26" s="181">
        <f t="shared" si="36"/>
        <v>9.3479637054230846E-2</v>
      </c>
      <c r="AM26" s="548">
        <f t="shared" si="36"/>
        <v>8.9048322430892599E-2</v>
      </c>
      <c r="AN26" s="570">
        <f t="shared" si="36"/>
        <v>0</v>
      </c>
      <c r="AO26" s="183">
        <f t="shared" si="36"/>
        <v>4.0620384047267359E-2</v>
      </c>
      <c r="AP26" s="184">
        <f t="shared" ref="AP26:AP41" si="37">AP6/$AE6</f>
        <v>0.37962109985180437</v>
      </c>
      <c r="AR26" s="12">
        <v>2006</v>
      </c>
      <c r="AS26" s="546">
        <f t="shared" ref="AS26:AY30" si="38">IFERROR(AS6/$BA6,0)</f>
        <v>0</v>
      </c>
      <c r="AT26" s="547">
        <f t="shared" si="38"/>
        <v>0</v>
      </c>
      <c r="AU26" s="179">
        <f t="shared" si="38"/>
        <v>0</v>
      </c>
      <c r="AV26" s="180">
        <f t="shared" si="38"/>
        <v>0</v>
      </c>
      <c r="AW26" s="181">
        <f t="shared" si="38"/>
        <v>0</v>
      </c>
      <c r="AX26" s="548">
        <f t="shared" si="38"/>
        <v>0</v>
      </c>
      <c r="AY26" s="570">
        <f t="shared" si="38"/>
        <v>0</v>
      </c>
      <c r="AZ26" s="183">
        <f t="shared" ref="AZ26" si="39">AZ6/$AP6</f>
        <v>0</v>
      </c>
      <c r="BA26" s="184">
        <f t="shared" ref="BA26:BA41" si="40">BA6/$AE6</f>
        <v>0</v>
      </c>
      <c r="BC26" s="12">
        <v>2006</v>
      </c>
      <c r="BD26" s="565">
        <f>(L26*$T6+W26*$AE6+AH26*$AP6+AS26*$BA6)/$I6</f>
        <v>0.26761631549444387</v>
      </c>
      <c r="BE26" s="566">
        <f t="shared" ref="BE26:BI41" si="41">(M26*$T6+X26*$AE6+AI26*$AP6+AT26*$BA6)/$I6</f>
        <v>0.21902924786493883</v>
      </c>
      <c r="BF26" s="567">
        <f t="shared" si="41"/>
        <v>0.20666402875325618</v>
      </c>
      <c r="BG26" s="568">
        <f t="shared" si="41"/>
        <v>7.6384080192567677E-2</v>
      </c>
      <c r="BH26" s="569">
        <f t="shared" si="41"/>
        <v>0.10505490157285587</v>
      </c>
      <c r="BI26" s="570">
        <f t="shared" si="41"/>
        <v>8.8469021004385529E-2</v>
      </c>
      <c r="BJ26" s="571">
        <f t="shared" ref="BJ26:BJ41" si="42">((R26+S26)*$T6+(AC26+AD26)*$AE6+(AN26+AO26)*$AP6+(AZ26+AY26)*$BA6)/$I6</f>
        <v>3.6782405117552021E-2</v>
      </c>
      <c r="BK26" s="184">
        <f>SUM(BD26:BJ26)</f>
        <v>1</v>
      </c>
      <c r="BM26" s="12">
        <v>2006</v>
      </c>
      <c r="BN26" s="546">
        <f>BN6/$BU6</f>
        <v>0.26148845550325039</v>
      </c>
      <c r="BO26" s="546">
        <f t="shared" ref="BO26:BT26" si="43">BO6/$BU6</f>
        <v>0.23198273929612195</v>
      </c>
      <c r="BP26" s="546">
        <f t="shared" si="43"/>
        <v>0.19754539340954944</v>
      </c>
      <c r="BQ26" s="546">
        <f t="shared" si="43"/>
        <v>8.0503250392288728E-2</v>
      </c>
      <c r="BR26" s="546">
        <f t="shared" si="43"/>
        <v>0.10412463573189867</v>
      </c>
      <c r="BS26" s="546">
        <f t="shared" si="43"/>
        <v>8.8405066128670703E-2</v>
      </c>
      <c r="BT26" s="546">
        <f t="shared" si="43"/>
        <v>3.5950459538220132E-2</v>
      </c>
      <c r="BU26" s="184">
        <f>SUM(BN26:BT26)</f>
        <v>1</v>
      </c>
      <c r="BW26" s="12">
        <v>2006</v>
      </c>
      <c r="BX26" s="546">
        <f>IFERROR(BX6/$CE6,0)</f>
        <v>0.27637587118481133</v>
      </c>
      <c r="BY26" s="546">
        <f t="shared" ref="BY26:CD26" si="44">IFERROR(BY6/$CE6,0)</f>
        <v>0.20051269726828486</v>
      </c>
      <c r="BZ26" s="546">
        <f t="shared" si="44"/>
        <v>0.21969879035488263</v>
      </c>
      <c r="CA26" s="546">
        <f t="shared" si="44"/>
        <v>7.0495874389169266E-2</v>
      </c>
      <c r="CB26" s="546">
        <f t="shared" si="44"/>
        <v>0.10638468316910998</v>
      </c>
      <c r="CC26" s="546">
        <f t="shared" si="44"/>
        <v>8.8560442201393891E-2</v>
      </c>
      <c r="CD26" s="546">
        <f t="shared" si="44"/>
        <v>3.7971641432347991E-2</v>
      </c>
      <c r="CE26" s="184">
        <f>SUM(BX26:CD26)</f>
        <v>1</v>
      </c>
    </row>
    <row r="27" spans="1:83">
      <c r="A27" s="23">
        <v>2007</v>
      </c>
      <c r="B27" s="566">
        <f>BE27</f>
        <v>0.21644663126613728</v>
      </c>
      <c r="C27" s="567">
        <f t="shared" ref="C27:C41" si="45">BF27</f>
        <v>0.20244880726198017</v>
      </c>
      <c r="D27" s="568">
        <f t="shared" ref="D27:D41" si="46">BG27</f>
        <v>7.3220636235202419E-2</v>
      </c>
      <c r="E27" s="569">
        <f t="shared" ref="E27:E41" si="47">BH27</f>
        <v>0.10746821259804161</v>
      </c>
      <c r="F27" s="570">
        <f t="shared" ref="F27:F41" si="48">BI27</f>
        <v>9.2577255971809491E-2</v>
      </c>
      <c r="G27" s="565">
        <f>BD27</f>
        <v>0.2698559620662217</v>
      </c>
      <c r="H27" s="571">
        <f t="shared" ref="H27:H41" si="49">BJ27</f>
        <v>3.7982494600607333E-2</v>
      </c>
      <c r="I27" s="572">
        <f t="shared" si="33"/>
        <v>1</v>
      </c>
      <c r="K27" s="12">
        <v>2007</v>
      </c>
      <c r="L27" s="177">
        <f t="shared" ref="L27:T27" si="50">L7/$T7</f>
        <v>0.26087607077394981</v>
      </c>
      <c r="M27" s="178">
        <f t="shared" si="50"/>
        <v>0.23102532450529309</v>
      </c>
      <c r="N27" s="179">
        <f t="shared" si="50"/>
        <v>0.19092507387872668</v>
      </c>
      <c r="O27" s="180">
        <f t="shared" si="50"/>
        <v>7.8554595443833461E-2</v>
      </c>
      <c r="P27" s="181">
        <f t="shared" si="50"/>
        <v>0.11079938652601654</v>
      </c>
      <c r="Q27" s="182">
        <f t="shared" si="50"/>
        <v>9.2357760071821338E-2</v>
      </c>
      <c r="R27" s="182">
        <f t="shared" si="50"/>
        <v>0</v>
      </c>
      <c r="S27" s="183">
        <f t="shared" si="50"/>
        <v>3.5461788800359106E-2</v>
      </c>
      <c r="T27" s="184">
        <f t="shared" si="50"/>
        <v>1</v>
      </c>
      <c r="V27" s="12">
        <v>2007</v>
      </c>
      <c r="W27" s="177">
        <f t="shared" ref="W27:AD27" si="51">W7/$AE7</f>
        <v>0.27885646217986898</v>
      </c>
      <c r="X27" s="178">
        <f t="shared" si="51"/>
        <v>0.19706174310105221</v>
      </c>
      <c r="Y27" s="179">
        <f t="shared" si="51"/>
        <v>0.21584276354973198</v>
      </c>
      <c r="Z27" s="180">
        <f t="shared" si="51"/>
        <v>6.7857851895969823E-2</v>
      </c>
      <c r="AA27" s="181">
        <f t="shared" si="51"/>
        <v>0.10883462378399841</v>
      </c>
      <c r="AB27" s="182">
        <f t="shared" si="51"/>
        <v>9.223744292237443E-2</v>
      </c>
      <c r="AC27" s="182">
        <f t="shared" si="51"/>
        <v>0</v>
      </c>
      <c r="AD27" s="183">
        <f t="shared" si="51"/>
        <v>3.9309112567004166E-2</v>
      </c>
      <c r="AE27" s="184">
        <f>AE7/$AE7</f>
        <v>1</v>
      </c>
      <c r="AG27" s="12">
        <v>2007</v>
      </c>
      <c r="AH27" s="546">
        <f t="shared" ref="AH27:AO27" si="52">AH7/$AP7</f>
        <v>0.27121274834437087</v>
      </c>
      <c r="AI27" s="547">
        <f t="shared" si="52"/>
        <v>0.22661423841059603</v>
      </c>
      <c r="AJ27" s="179">
        <f t="shared" si="52"/>
        <v>0.19939983443708609</v>
      </c>
      <c r="AK27" s="180">
        <f t="shared" si="52"/>
        <v>7.2433774834437081E-2</v>
      </c>
      <c r="AL27" s="181">
        <f t="shared" si="52"/>
        <v>9.4681291390728478E-2</v>
      </c>
      <c r="AM27" s="548">
        <f t="shared" si="52"/>
        <v>9.4060430463576164E-2</v>
      </c>
      <c r="AN27" s="570">
        <f t="shared" si="52"/>
        <v>0</v>
      </c>
      <c r="AO27" s="183">
        <f t="shared" si="52"/>
        <v>4.1494205298013245E-2</v>
      </c>
      <c r="AP27" s="184">
        <f t="shared" si="37"/>
        <v>0.38372046853285685</v>
      </c>
      <c r="AR27" s="12">
        <v>2007</v>
      </c>
      <c r="AS27" s="546">
        <f t="shared" si="38"/>
        <v>0</v>
      </c>
      <c r="AT27" s="547">
        <f t="shared" si="38"/>
        <v>0</v>
      </c>
      <c r="AU27" s="179">
        <f t="shared" si="38"/>
        <v>0</v>
      </c>
      <c r="AV27" s="180">
        <f t="shared" si="38"/>
        <v>0</v>
      </c>
      <c r="AW27" s="181">
        <f t="shared" si="38"/>
        <v>0</v>
      </c>
      <c r="AX27" s="548">
        <f t="shared" si="38"/>
        <v>0</v>
      </c>
      <c r="AY27" s="570">
        <f t="shared" si="38"/>
        <v>0</v>
      </c>
      <c r="AZ27" s="183">
        <f t="shared" ref="AZ27" si="53">AZ7/$AP7</f>
        <v>0</v>
      </c>
      <c r="BA27" s="184">
        <f t="shared" si="40"/>
        <v>0</v>
      </c>
      <c r="BC27" s="12">
        <v>2007</v>
      </c>
      <c r="BD27" s="565">
        <f t="shared" ref="BD27:BD40" si="54">(L27*$T7+W27*$AE7+AH27*$AP7+AS27*$BA7)/$I7</f>
        <v>0.2698559620662217</v>
      </c>
      <c r="BE27" s="566">
        <f t="shared" si="41"/>
        <v>0.21644663126613728</v>
      </c>
      <c r="BF27" s="567">
        <f t="shared" si="41"/>
        <v>0.20244880726198017</v>
      </c>
      <c r="BG27" s="568">
        <f t="shared" si="41"/>
        <v>7.3220636235202419E-2</v>
      </c>
      <c r="BH27" s="569">
        <f t="shared" si="41"/>
        <v>0.10746821259804161</v>
      </c>
      <c r="BI27" s="570">
        <f t="shared" si="41"/>
        <v>9.2577255971809491E-2</v>
      </c>
      <c r="BJ27" s="571">
        <f t="shared" si="42"/>
        <v>3.7982494600607333E-2</v>
      </c>
      <c r="BK27" s="184">
        <f t="shared" ref="BK27:BK41" si="55">SUM(BD27:BJ27)</f>
        <v>1</v>
      </c>
      <c r="BM27" s="12">
        <v>2007</v>
      </c>
      <c r="BN27" s="546">
        <f t="shared" ref="BN27:BT27" si="56">BN7/$BU7</f>
        <v>0.26362787119463676</v>
      </c>
      <c r="BO27" s="546">
        <f t="shared" si="56"/>
        <v>0.22986042422244202</v>
      </c>
      <c r="BP27" s="546">
        <f t="shared" si="56"/>
        <v>0.19318056929332894</v>
      </c>
      <c r="BQ27" s="546">
        <f t="shared" si="56"/>
        <v>7.6931530937465659E-2</v>
      </c>
      <c r="BR27" s="546">
        <f t="shared" si="56"/>
        <v>0.10652269480162656</v>
      </c>
      <c r="BS27" s="546">
        <f t="shared" si="56"/>
        <v>9.2812396966699642E-2</v>
      </c>
      <c r="BT27" s="546">
        <f t="shared" si="56"/>
        <v>3.7064512583800419E-2</v>
      </c>
      <c r="BU27" s="184">
        <f t="shared" ref="BU27:BU41" si="57">SUM(BN27:BT27)</f>
        <v>1</v>
      </c>
      <c r="BW27" s="12">
        <v>2007</v>
      </c>
      <c r="BX27" s="546">
        <f t="shared" ref="BX27:CD27" si="58">IFERROR(BX7/$CE7,0)</f>
        <v>0.27885646217986898</v>
      </c>
      <c r="BY27" s="546">
        <f t="shared" si="58"/>
        <v>0.19706174310105221</v>
      </c>
      <c r="BZ27" s="546">
        <f t="shared" si="58"/>
        <v>0.21584276354973198</v>
      </c>
      <c r="CA27" s="546">
        <f t="shared" si="58"/>
        <v>6.7857851895969823E-2</v>
      </c>
      <c r="CB27" s="546">
        <f t="shared" si="58"/>
        <v>0.10883462378399841</v>
      </c>
      <c r="CC27" s="546">
        <f t="shared" si="58"/>
        <v>9.223744292237443E-2</v>
      </c>
      <c r="CD27" s="546">
        <f t="shared" si="58"/>
        <v>3.9309112567004166E-2</v>
      </c>
      <c r="CE27" s="184">
        <f t="shared" ref="CE27:CE41" si="59">SUM(BX27:CD27)</f>
        <v>1</v>
      </c>
    </row>
    <row r="28" spans="1:83">
      <c r="A28" s="23">
        <v>2008</v>
      </c>
      <c r="B28" s="566">
        <f>BE28</f>
        <v>0.20992450803878834</v>
      </c>
      <c r="C28" s="567">
        <f t="shared" si="45"/>
        <v>0.20332290975709907</v>
      </c>
      <c r="D28" s="568">
        <f t="shared" si="46"/>
        <v>6.8748223254050986E-2</v>
      </c>
      <c r="E28" s="569">
        <f t="shared" si="47"/>
        <v>0.10748918159133264</v>
      </c>
      <c r="F28" s="570">
        <f t="shared" si="48"/>
        <v>9.5091443191509528E-2</v>
      </c>
      <c r="G28" s="565">
        <f>BD28</f>
        <v>0.27693546858713164</v>
      </c>
      <c r="H28" s="571">
        <f t="shared" si="49"/>
        <v>3.8488265580087812E-2</v>
      </c>
      <c r="I28" s="572">
        <f t="shared" si="33"/>
        <v>1</v>
      </c>
      <c r="K28" s="12">
        <v>2008</v>
      </c>
      <c r="L28" s="177">
        <f t="shared" ref="L28:T28" si="60">L8/$T8</f>
        <v>0.26475578498971158</v>
      </c>
      <c r="M28" s="178">
        <f t="shared" si="60"/>
        <v>0.22526262589798202</v>
      </c>
      <c r="N28" s="179">
        <f t="shared" si="60"/>
        <v>0.19215912782932024</v>
      </c>
      <c r="O28" s="180">
        <f t="shared" si="60"/>
        <v>7.4185047471210422E-2</v>
      </c>
      <c r="P28" s="181">
        <f t="shared" si="60"/>
        <v>0.11194541713295549</v>
      </c>
      <c r="Q28" s="182">
        <f t="shared" si="60"/>
        <v>9.5520017327894294E-2</v>
      </c>
      <c r="R28" s="182">
        <f t="shared" si="60"/>
        <v>0</v>
      </c>
      <c r="S28" s="183">
        <f t="shared" si="60"/>
        <v>3.6171979350925962E-2</v>
      </c>
      <c r="T28" s="184">
        <f t="shared" si="60"/>
        <v>1</v>
      </c>
      <c r="V28" s="12">
        <v>2008</v>
      </c>
      <c r="W28" s="177">
        <f t="shared" ref="W28:AD28" si="61">W8/$AE8</f>
        <v>0.28723612579798691</v>
      </c>
      <c r="X28" s="178">
        <f t="shared" si="61"/>
        <v>0.18940195041710728</v>
      </c>
      <c r="Y28" s="179">
        <f t="shared" si="61"/>
        <v>0.21771824697450359</v>
      </c>
      <c r="Z28" s="180">
        <f t="shared" si="61"/>
        <v>6.364312850037207E-2</v>
      </c>
      <c r="AA28" s="181">
        <f t="shared" si="61"/>
        <v>0.1082912309560177</v>
      </c>
      <c r="AB28" s="182">
        <f t="shared" si="61"/>
        <v>9.3917675165472128E-2</v>
      </c>
      <c r="AC28" s="182">
        <f t="shared" si="61"/>
        <v>0</v>
      </c>
      <c r="AD28" s="183">
        <f t="shared" si="61"/>
        <v>3.9830807190694394E-2</v>
      </c>
      <c r="AE28" s="184">
        <f>AE8/$AE8</f>
        <v>1</v>
      </c>
      <c r="AG28" s="12">
        <v>2008</v>
      </c>
      <c r="AH28" s="546">
        <f t="shared" ref="AH28:AO28" si="62">AH8/$AP8</f>
        <v>0.2843681809164848</v>
      </c>
      <c r="AI28" s="547">
        <f t="shared" si="62"/>
        <v>0.21979765919460426</v>
      </c>
      <c r="AJ28" s="179">
        <f t="shared" si="62"/>
        <v>0.19757984526879588</v>
      </c>
      <c r="AK28" s="180">
        <f t="shared" si="62"/>
        <v>6.6752628446736753E-2</v>
      </c>
      <c r="AL28" s="181">
        <f t="shared" si="62"/>
        <v>9.3235469152945838E-2</v>
      </c>
      <c r="AM28" s="548">
        <f t="shared" si="62"/>
        <v>9.6905375917476694E-2</v>
      </c>
      <c r="AN28" s="570">
        <f t="shared" si="62"/>
        <v>0</v>
      </c>
      <c r="AO28" s="183">
        <f t="shared" si="62"/>
        <v>4.1460027772267406E-2</v>
      </c>
      <c r="AP28" s="184">
        <f t="shared" si="37"/>
        <v>0.39486155171738535</v>
      </c>
      <c r="AR28" s="12">
        <v>2008</v>
      </c>
      <c r="AS28" s="546">
        <f t="shared" si="38"/>
        <v>0</v>
      </c>
      <c r="AT28" s="547">
        <f t="shared" si="38"/>
        <v>0</v>
      </c>
      <c r="AU28" s="179">
        <f t="shared" si="38"/>
        <v>0</v>
      </c>
      <c r="AV28" s="180">
        <f t="shared" si="38"/>
        <v>0</v>
      </c>
      <c r="AW28" s="181">
        <f t="shared" si="38"/>
        <v>0</v>
      </c>
      <c r="AX28" s="548">
        <f t="shared" si="38"/>
        <v>0</v>
      </c>
      <c r="AY28" s="570">
        <f t="shared" si="38"/>
        <v>0</v>
      </c>
      <c r="AZ28" s="183">
        <f t="shared" ref="AZ28" si="63">AZ8/$AP8</f>
        <v>0</v>
      </c>
      <c r="BA28" s="184">
        <f t="shared" si="40"/>
        <v>0</v>
      </c>
      <c r="BC28" s="12">
        <v>2008</v>
      </c>
      <c r="BD28" s="565">
        <f t="shared" si="54"/>
        <v>0.27693546858713164</v>
      </c>
      <c r="BE28" s="566">
        <f t="shared" si="41"/>
        <v>0.20992450803878834</v>
      </c>
      <c r="BF28" s="567">
        <f t="shared" si="41"/>
        <v>0.20332290975709907</v>
      </c>
      <c r="BG28" s="568">
        <f t="shared" si="41"/>
        <v>6.8748223254050986E-2</v>
      </c>
      <c r="BH28" s="569">
        <f t="shared" si="41"/>
        <v>0.10748918159133264</v>
      </c>
      <c r="BI28" s="570">
        <f t="shared" si="41"/>
        <v>9.5091443191509528E-2</v>
      </c>
      <c r="BJ28" s="571">
        <f t="shared" si="42"/>
        <v>3.8488265580087812E-2</v>
      </c>
      <c r="BK28" s="184">
        <f t="shared" si="55"/>
        <v>1</v>
      </c>
      <c r="BM28" s="12">
        <v>2008</v>
      </c>
      <c r="BN28" s="546">
        <f t="shared" ref="BN28:BT28" si="64">BN8/$BU8</f>
        <v>0.26998200296421765</v>
      </c>
      <c r="BO28" s="546">
        <f t="shared" si="64"/>
        <v>0.22379843319923778</v>
      </c>
      <c r="BP28" s="546">
        <f t="shared" si="64"/>
        <v>0.193600465805632</v>
      </c>
      <c r="BQ28" s="546">
        <f t="shared" si="64"/>
        <v>7.2199872962100356E-2</v>
      </c>
      <c r="BR28" s="546">
        <f t="shared" si="64"/>
        <v>0.10695003175947491</v>
      </c>
      <c r="BS28" s="546">
        <f t="shared" si="64"/>
        <v>9.5887147999153086E-2</v>
      </c>
      <c r="BT28" s="546">
        <f t="shared" si="64"/>
        <v>3.7582045310184206E-2</v>
      </c>
      <c r="BU28" s="184">
        <f t="shared" si="57"/>
        <v>1.0000000000000002</v>
      </c>
      <c r="BW28" s="12">
        <v>2008</v>
      </c>
      <c r="BX28" s="546">
        <f t="shared" ref="BX28:CD28" si="65">IFERROR(BX8/$CE8,0)</f>
        <v>0.28722487663507479</v>
      </c>
      <c r="BY28" s="546">
        <f t="shared" si="65"/>
        <v>0.18939453277982299</v>
      </c>
      <c r="BZ28" s="546">
        <f t="shared" si="65"/>
        <v>0.21770972037283623</v>
      </c>
      <c r="CA28" s="546">
        <f t="shared" si="65"/>
        <v>6.3640636014725457E-2</v>
      </c>
      <c r="CB28" s="546">
        <f t="shared" si="65"/>
        <v>0.10828698989582518</v>
      </c>
      <c r="CC28" s="546">
        <f t="shared" si="65"/>
        <v>9.3913997023576404E-2</v>
      </c>
      <c r="CD28" s="546">
        <f t="shared" si="65"/>
        <v>3.9829247278138954E-2</v>
      </c>
      <c r="CE28" s="184">
        <f t="shared" si="59"/>
        <v>1</v>
      </c>
    </row>
    <row r="29" spans="1:83">
      <c r="A29" s="23">
        <v>2009</v>
      </c>
      <c r="B29" s="566">
        <f>BE29</f>
        <v>0.21840163048513109</v>
      </c>
      <c r="C29" s="567">
        <f t="shared" si="45"/>
        <v>0.19862273415063458</v>
      </c>
      <c r="D29" s="568">
        <f t="shared" si="46"/>
        <v>6.9202976870580246E-2</v>
      </c>
      <c r="E29" s="569">
        <f t="shared" si="47"/>
        <v>0.10664546212518915</v>
      </c>
      <c r="F29" s="570">
        <f t="shared" si="48"/>
        <v>9.7226940061143186E-2</v>
      </c>
      <c r="G29" s="565">
        <f>BD29</f>
        <v>0.26711546181638512</v>
      </c>
      <c r="H29" s="571">
        <f t="shared" si="49"/>
        <v>4.2784794490936605E-2</v>
      </c>
      <c r="I29" s="572">
        <f t="shared" si="33"/>
        <v>0.99999999999999989</v>
      </c>
      <c r="K29" s="12">
        <v>2009</v>
      </c>
      <c r="L29" s="177">
        <f t="shared" ref="L29:T29" si="66">L9/$T9</f>
        <v>0.25336322869955158</v>
      </c>
      <c r="M29" s="178">
        <f t="shared" si="66"/>
        <v>0.23612668161434977</v>
      </c>
      <c r="N29" s="179">
        <f t="shared" si="66"/>
        <v>0.18721973094170405</v>
      </c>
      <c r="O29" s="180">
        <f t="shared" si="66"/>
        <v>7.5917881165919285E-2</v>
      </c>
      <c r="P29" s="181">
        <f t="shared" si="66"/>
        <v>0.10979540358744394</v>
      </c>
      <c r="Q29" s="182">
        <f t="shared" si="66"/>
        <v>9.68329596412556E-2</v>
      </c>
      <c r="R29" s="182">
        <f t="shared" si="66"/>
        <v>0</v>
      </c>
      <c r="S29" s="183">
        <f t="shared" si="66"/>
        <v>4.077914798206278E-2</v>
      </c>
      <c r="T29" s="184">
        <f t="shared" si="66"/>
        <v>1</v>
      </c>
      <c r="V29" s="12">
        <v>2009</v>
      </c>
      <c r="W29" s="177">
        <f t="shared" ref="W29:AD29" si="67">W9/$AE9</f>
        <v>0.28030535522479666</v>
      </c>
      <c r="X29" s="178">
        <f t="shared" si="67"/>
        <v>0.19575725026852847</v>
      </c>
      <c r="Y29" s="179">
        <f t="shared" si="67"/>
        <v>0.21263618229246586</v>
      </c>
      <c r="Z29" s="180">
        <f t="shared" si="67"/>
        <v>6.287402178916679E-2</v>
      </c>
      <c r="AA29" s="181">
        <f t="shared" si="67"/>
        <v>0.10810188737148994</v>
      </c>
      <c r="AB29" s="182">
        <f t="shared" si="67"/>
        <v>9.663188583704159E-2</v>
      </c>
      <c r="AC29" s="182">
        <f t="shared" si="67"/>
        <v>0</v>
      </c>
      <c r="AD29" s="183">
        <f t="shared" si="67"/>
        <v>4.3693417216510662E-2</v>
      </c>
      <c r="AE29" s="184">
        <f>AE9/$AE9</f>
        <v>1</v>
      </c>
      <c r="AG29" s="12">
        <v>2009</v>
      </c>
      <c r="AH29" s="546">
        <f t="shared" ref="AH29:AO29" si="68">AH9/$AP9</f>
        <v>0.27193932827735645</v>
      </c>
      <c r="AI29" s="547">
        <f t="shared" si="68"/>
        <v>0.22673101546340982</v>
      </c>
      <c r="AJ29" s="179">
        <f t="shared" si="68"/>
        <v>0.19472077218556091</v>
      </c>
      <c r="AK29" s="180">
        <f t="shared" si="68"/>
        <v>6.6581306017925737E-2</v>
      </c>
      <c r="AL29" s="181">
        <f t="shared" si="68"/>
        <v>9.4060868708756032E-2</v>
      </c>
      <c r="AM29" s="548">
        <f t="shared" si="68"/>
        <v>9.9871959026888599E-2</v>
      </c>
      <c r="AN29" s="570">
        <f t="shared" si="68"/>
        <v>0</v>
      </c>
      <c r="AO29" s="183">
        <f t="shared" si="68"/>
        <v>4.6094750320102434E-2</v>
      </c>
      <c r="AP29" s="184">
        <f t="shared" si="37"/>
        <v>0.38948135645235538</v>
      </c>
      <c r="AR29" s="12">
        <v>2009</v>
      </c>
      <c r="AS29" s="546">
        <f t="shared" si="38"/>
        <v>0</v>
      </c>
      <c r="AT29" s="547">
        <f t="shared" si="38"/>
        <v>0</v>
      </c>
      <c r="AU29" s="179">
        <f t="shared" si="38"/>
        <v>0</v>
      </c>
      <c r="AV29" s="180">
        <f t="shared" si="38"/>
        <v>0</v>
      </c>
      <c r="AW29" s="181">
        <f t="shared" si="38"/>
        <v>0</v>
      </c>
      <c r="AX29" s="548">
        <f t="shared" si="38"/>
        <v>0</v>
      </c>
      <c r="AY29" s="570">
        <f t="shared" si="38"/>
        <v>0</v>
      </c>
      <c r="AZ29" s="183">
        <f t="shared" ref="AZ29" si="69">AZ9/$AP9</f>
        <v>0</v>
      </c>
      <c r="BA29" s="184">
        <f t="shared" si="40"/>
        <v>0</v>
      </c>
      <c r="BC29" s="12">
        <v>2009</v>
      </c>
      <c r="BD29" s="565">
        <f t="shared" si="54"/>
        <v>0.26711546181638512</v>
      </c>
      <c r="BE29" s="566">
        <f t="shared" si="41"/>
        <v>0.21840163048513109</v>
      </c>
      <c r="BF29" s="567">
        <f t="shared" si="41"/>
        <v>0.19862273415063458</v>
      </c>
      <c r="BG29" s="568">
        <f t="shared" si="41"/>
        <v>6.9202976870580246E-2</v>
      </c>
      <c r="BH29" s="569">
        <f t="shared" si="41"/>
        <v>0.10664546212518915</v>
      </c>
      <c r="BI29" s="570">
        <f t="shared" si="41"/>
        <v>9.7226940061143186E-2</v>
      </c>
      <c r="BJ29" s="571">
        <f t="shared" si="42"/>
        <v>4.2784794490936605E-2</v>
      </c>
      <c r="BK29" s="184">
        <f t="shared" si="55"/>
        <v>0.99999999999999989</v>
      </c>
      <c r="BM29" s="12">
        <v>2009</v>
      </c>
      <c r="BN29" s="546">
        <f t="shared" ref="BN29:BT29" si="70">BN9/$BU9</f>
        <v>0.25823039950385035</v>
      </c>
      <c r="BO29" s="546">
        <f t="shared" si="70"/>
        <v>0.23365548607163161</v>
      </c>
      <c r="BP29" s="546">
        <f t="shared" si="70"/>
        <v>0.18918290350922529</v>
      </c>
      <c r="BQ29" s="546">
        <f t="shared" si="70"/>
        <v>7.3466329009251125E-2</v>
      </c>
      <c r="BR29" s="546">
        <f t="shared" si="70"/>
        <v>0.10566437541991834</v>
      </c>
      <c r="BS29" s="546">
        <f t="shared" si="70"/>
        <v>9.7627784381621785E-2</v>
      </c>
      <c r="BT29" s="546">
        <f t="shared" si="70"/>
        <v>4.2172722104501521E-2</v>
      </c>
      <c r="BU29" s="184">
        <f t="shared" si="57"/>
        <v>1</v>
      </c>
      <c r="BW29" s="12">
        <v>2009</v>
      </c>
      <c r="BX29" s="546">
        <f t="shared" ref="BX29:CD29" si="71">IFERROR(BX9/$CE9,0)</f>
        <v>0.28030535522479666</v>
      </c>
      <c r="BY29" s="546">
        <f t="shared" si="71"/>
        <v>0.19575725026852847</v>
      </c>
      <c r="BZ29" s="546">
        <f t="shared" si="71"/>
        <v>0.21263618229246586</v>
      </c>
      <c r="CA29" s="546">
        <f t="shared" si="71"/>
        <v>6.287402178916679E-2</v>
      </c>
      <c r="CB29" s="546">
        <f t="shared" si="71"/>
        <v>0.10810188737148994</v>
      </c>
      <c r="CC29" s="546">
        <f t="shared" si="71"/>
        <v>9.663188583704159E-2</v>
      </c>
      <c r="CD29" s="546">
        <f t="shared" si="71"/>
        <v>4.3693417216510662E-2</v>
      </c>
      <c r="CE29" s="184">
        <f t="shared" si="59"/>
        <v>1</v>
      </c>
    </row>
    <row r="30" spans="1:83">
      <c r="A30" s="23">
        <v>2010</v>
      </c>
      <c r="B30" s="566">
        <f>BE30</f>
        <v>0.22020885638394644</v>
      </c>
      <c r="C30" s="567">
        <f t="shared" si="45"/>
        <v>0.19704908488884038</v>
      </c>
      <c r="D30" s="568">
        <f t="shared" si="46"/>
        <v>6.8587854309937052E-2</v>
      </c>
      <c r="E30" s="569">
        <f t="shared" si="47"/>
        <v>0.10455554342684568</v>
      </c>
      <c r="F30" s="570">
        <f t="shared" si="48"/>
        <v>9.8278936069570277E-2</v>
      </c>
      <c r="G30" s="565">
        <f>BD30</f>
        <v>0.26412691482007061</v>
      </c>
      <c r="H30" s="571">
        <f t="shared" si="49"/>
        <v>4.719281010078958E-2</v>
      </c>
      <c r="I30" s="572">
        <f t="shared" si="33"/>
        <v>1.0000000000000002</v>
      </c>
      <c r="K30" s="12">
        <v>2010</v>
      </c>
      <c r="L30" s="177">
        <f t="shared" ref="L30:T30" si="72">L10/$T10</f>
        <v>0.24963452836756003</v>
      </c>
      <c r="M30" s="178">
        <f t="shared" si="72"/>
        <v>0.24187260703097807</v>
      </c>
      <c r="N30" s="179">
        <f t="shared" si="72"/>
        <v>0.18374521406195615</v>
      </c>
      <c r="O30" s="180">
        <f t="shared" si="72"/>
        <v>7.5809258614688485E-2</v>
      </c>
      <c r="P30" s="181">
        <f t="shared" si="72"/>
        <v>0.10452488687782806</v>
      </c>
      <c r="Q30" s="182">
        <f t="shared" si="72"/>
        <v>9.7981204316045942E-2</v>
      </c>
      <c r="R30" s="182">
        <f t="shared" si="72"/>
        <v>0</v>
      </c>
      <c r="S30" s="183">
        <f t="shared" si="72"/>
        <v>4.6397493908806126E-2</v>
      </c>
      <c r="T30" s="184">
        <f t="shared" si="72"/>
        <v>1</v>
      </c>
      <c r="V30" s="12">
        <v>2010</v>
      </c>
      <c r="W30" s="177">
        <f t="shared" ref="W30:AD30" si="73">W10/$AE10</f>
        <v>0.28857107478949973</v>
      </c>
      <c r="X30" s="178">
        <f t="shared" si="73"/>
        <v>0.17768697374938089</v>
      </c>
      <c r="Y30" s="179">
        <f t="shared" si="73"/>
        <v>0.22022040614165428</v>
      </c>
      <c r="Z30" s="180">
        <f t="shared" si="73"/>
        <v>5.8630510153541357E-2</v>
      </c>
      <c r="AA30" s="181">
        <f t="shared" si="73"/>
        <v>0.11255572065378901</v>
      </c>
      <c r="AB30" s="182">
        <f t="shared" si="73"/>
        <v>9.6458642892521054E-2</v>
      </c>
      <c r="AC30" s="182">
        <f t="shared" si="73"/>
        <v>0</v>
      </c>
      <c r="AD30" s="183">
        <f t="shared" si="73"/>
        <v>4.5938583457157012E-2</v>
      </c>
      <c r="AE30" s="184">
        <f>AE10/$AE10</f>
        <v>1</v>
      </c>
      <c r="AG30" s="12">
        <v>2010</v>
      </c>
      <c r="AH30" s="546">
        <f t="shared" ref="AH30:AO30" si="74">AH10/$AP10</f>
        <v>0.26626338754462514</v>
      </c>
      <c r="AI30" s="547">
        <f t="shared" si="74"/>
        <v>0.22659658865529553</v>
      </c>
      <c r="AJ30" s="179">
        <f t="shared" si="74"/>
        <v>0.19783815946053154</v>
      </c>
      <c r="AK30" s="180">
        <f t="shared" si="74"/>
        <v>6.3962713209044036E-2</v>
      </c>
      <c r="AL30" s="181">
        <f t="shared" si="74"/>
        <v>9.1828639428798098E-2</v>
      </c>
      <c r="AM30" s="548">
        <f t="shared" si="74"/>
        <v>0.10204284014280048</v>
      </c>
      <c r="AN30" s="570">
        <f t="shared" si="74"/>
        <v>0</v>
      </c>
      <c r="AO30" s="183">
        <f t="shared" si="74"/>
        <v>5.1467671558905199E-2</v>
      </c>
      <c r="AP30" s="184">
        <f t="shared" si="37"/>
        <v>0.62431896978702328</v>
      </c>
      <c r="AR30" s="12">
        <v>2010</v>
      </c>
      <c r="AS30" s="546">
        <f t="shared" si="38"/>
        <v>0</v>
      </c>
      <c r="AT30" s="547">
        <f t="shared" si="38"/>
        <v>0</v>
      </c>
      <c r="AU30" s="179">
        <f t="shared" si="38"/>
        <v>0</v>
      </c>
      <c r="AV30" s="180">
        <f t="shared" si="38"/>
        <v>0</v>
      </c>
      <c r="AW30" s="181">
        <f t="shared" si="38"/>
        <v>0</v>
      </c>
      <c r="AX30" s="548">
        <f t="shared" si="38"/>
        <v>0</v>
      </c>
      <c r="AY30" s="570">
        <f t="shared" si="38"/>
        <v>0</v>
      </c>
      <c r="AZ30" s="183">
        <f t="shared" ref="AZ30" si="75">AZ10/$AP10</f>
        <v>0</v>
      </c>
      <c r="BA30" s="184">
        <f t="shared" si="40"/>
        <v>0</v>
      </c>
      <c r="BC30" s="12">
        <v>2010</v>
      </c>
      <c r="BD30" s="565">
        <f t="shared" si="54"/>
        <v>0.26412691482007061</v>
      </c>
      <c r="BE30" s="566">
        <f t="shared" si="41"/>
        <v>0.22020885638394644</v>
      </c>
      <c r="BF30" s="567">
        <f t="shared" si="41"/>
        <v>0.19704908488884038</v>
      </c>
      <c r="BG30" s="568">
        <f t="shared" si="41"/>
        <v>6.8587854309937052E-2</v>
      </c>
      <c r="BH30" s="569">
        <f t="shared" si="41"/>
        <v>0.10455554342684568</v>
      </c>
      <c r="BI30" s="570">
        <f t="shared" si="41"/>
        <v>9.8278936069570277E-2</v>
      </c>
      <c r="BJ30" s="571">
        <f t="shared" si="42"/>
        <v>4.719281010078958E-2</v>
      </c>
      <c r="BK30" s="184">
        <f t="shared" si="55"/>
        <v>1.0000000000000002</v>
      </c>
      <c r="BM30" s="12">
        <v>2010</v>
      </c>
      <c r="BN30" s="546">
        <f t="shared" ref="BN30:BT30" si="76">BN10/$BU10</f>
        <v>0.25396130162574393</v>
      </c>
      <c r="BO30" s="546">
        <f t="shared" si="76"/>
        <v>0.23790997861541235</v>
      </c>
      <c r="BP30" s="546">
        <f t="shared" si="76"/>
        <v>0.18741143431324556</v>
      </c>
      <c r="BQ30" s="546">
        <f t="shared" si="76"/>
        <v>7.2733362533171877E-2</v>
      </c>
      <c r="BR30" s="546">
        <f t="shared" si="76"/>
        <v>0.10122896967510886</v>
      </c>
      <c r="BS30" s="546">
        <f t="shared" si="76"/>
        <v>9.9038981784453667E-2</v>
      </c>
      <c r="BT30" s="546">
        <f t="shared" si="76"/>
        <v>4.7715971452863729E-2</v>
      </c>
      <c r="BU30" s="184">
        <f t="shared" si="57"/>
        <v>1</v>
      </c>
      <c r="BW30" s="12">
        <v>2010</v>
      </c>
      <c r="BX30" s="546">
        <f t="shared" ref="BX30:CD30" si="77">IFERROR(BX10/$CE10,0)</f>
        <v>0.28855320993004396</v>
      </c>
      <c r="BY30" s="546">
        <f t="shared" si="77"/>
        <v>0.177675973503374</v>
      </c>
      <c r="BZ30" s="546">
        <f t="shared" si="77"/>
        <v>0.22020677273571473</v>
      </c>
      <c r="CA30" s="546">
        <f t="shared" si="77"/>
        <v>5.8626880455642912E-2</v>
      </c>
      <c r="CB30" s="546">
        <f t="shared" si="77"/>
        <v>0.11254875255370519</v>
      </c>
      <c r="CC30" s="546">
        <f t="shared" si="77"/>
        <v>9.6452671330403014E-2</v>
      </c>
      <c r="CD30" s="546">
        <f t="shared" si="77"/>
        <v>4.59357394911162E-2</v>
      </c>
      <c r="CE30" s="184">
        <f t="shared" si="59"/>
        <v>1</v>
      </c>
    </row>
    <row r="31" spans="1:83">
      <c r="A31" s="23">
        <v>2011</v>
      </c>
      <c r="B31" s="566">
        <f>BE31</f>
        <v>0.22806898309404469</v>
      </c>
      <c r="C31" s="567">
        <f t="shared" si="45"/>
        <v>0.19249001784045536</v>
      </c>
      <c r="D31" s="568">
        <f t="shared" si="46"/>
        <v>6.8677257667148078E-2</v>
      </c>
      <c r="E31" s="569">
        <f t="shared" si="47"/>
        <v>9.9532749978761367E-2</v>
      </c>
      <c r="F31" s="570">
        <f t="shared" si="48"/>
        <v>0.10038229547192253</v>
      </c>
      <c r="G31" s="565">
        <f>BD31</f>
        <v>0.25607000254863649</v>
      </c>
      <c r="H31" s="571">
        <f t="shared" si="49"/>
        <v>5.4778693399031519E-2</v>
      </c>
      <c r="I31" s="572">
        <f t="shared" si="33"/>
        <v>1</v>
      </c>
      <c r="K31" s="12">
        <v>2011</v>
      </c>
      <c r="L31" s="177">
        <f>L11/$T11</f>
        <v>0.24123017779913503</v>
      </c>
      <c r="M31" s="178">
        <f t="shared" ref="M31:T31" si="78">M11/$T11</f>
        <v>0.24716825701929018</v>
      </c>
      <c r="N31" s="179">
        <f t="shared" si="78"/>
        <v>0.18051074346124801</v>
      </c>
      <c r="O31" s="180">
        <f t="shared" si="78"/>
        <v>7.5650442781629718E-2</v>
      </c>
      <c r="P31" s="181">
        <f t="shared" si="78"/>
        <v>9.9231138875540609E-2</v>
      </c>
      <c r="Q31" s="182">
        <f t="shared" si="78"/>
        <v>0.10108464337200522</v>
      </c>
      <c r="R31" s="182">
        <f t="shared" ref="R31" si="79">R11/$T11</f>
        <v>0</v>
      </c>
      <c r="S31" s="183">
        <f t="shared" si="78"/>
        <v>5.5124596691151231E-2</v>
      </c>
      <c r="T31" s="184">
        <f t="shared" si="78"/>
        <v>1</v>
      </c>
      <c r="V31" s="12">
        <v>2011</v>
      </c>
      <c r="W31" s="177">
        <f t="shared" ref="W31:AD31" si="80">W11/$AE11</f>
        <v>0.28860204578665366</v>
      </c>
      <c r="X31" s="178">
        <f t="shared" si="80"/>
        <v>0.17845835362883586</v>
      </c>
      <c r="Y31" s="179">
        <f t="shared" si="80"/>
        <v>0.21706039941548952</v>
      </c>
      <c r="Z31" s="180">
        <f t="shared" si="80"/>
        <v>5.7355090112031173E-2</v>
      </c>
      <c r="AA31" s="181">
        <f t="shared" si="80"/>
        <v>0.10734291281052119</v>
      </c>
      <c r="AB31" s="182">
        <f t="shared" si="80"/>
        <v>9.9975645396980034E-2</v>
      </c>
      <c r="AC31" s="182">
        <f t="shared" si="80"/>
        <v>0</v>
      </c>
      <c r="AD31" s="183">
        <f t="shared" si="80"/>
        <v>5.120555284948855E-2</v>
      </c>
      <c r="AE31" s="184">
        <f t="shared" ref="AE31" si="81">AE11/$AE11</f>
        <v>1</v>
      </c>
      <c r="AG31" s="12">
        <v>2011</v>
      </c>
      <c r="AH31" s="546">
        <f t="shared" ref="AH31:AO31" si="82">AH11/$AP11</f>
        <v>0.26045115894039733</v>
      </c>
      <c r="AI31" s="547">
        <f t="shared" si="82"/>
        <v>0.22382036423841059</v>
      </c>
      <c r="AJ31" s="179">
        <f t="shared" si="82"/>
        <v>0.20177980132450332</v>
      </c>
      <c r="AK31" s="180">
        <f t="shared" si="82"/>
        <v>6.0533940397350994E-2</v>
      </c>
      <c r="AL31" s="181">
        <f t="shared" si="82"/>
        <v>8.8679635761589409E-2</v>
      </c>
      <c r="AM31" s="548">
        <f t="shared" si="82"/>
        <v>0.1060637417218543</v>
      </c>
      <c r="AN31" s="570">
        <f t="shared" si="82"/>
        <v>0</v>
      </c>
      <c r="AO31" s="183">
        <f t="shared" si="82"/>
        <v>5.8671357615894038E-2</v>
      </c>
      <c r="AP31" s="184">
        <f t="shared" si="37"/>
        <v>0.58840720896249388</v>
      </c>
      <c r="AR31" s="12">
        <v>2011</v>
      </c>
      <c r="AS31" s="546">
        <f>IFERROR(AS11/$BA11,0)</f>
        <v>0.21635012386457472</v>
      </c>
      <c r="AT31" s="547">
        <f t="shared" ref="AT31:AY31" si="83">IFERROR(AT11/$BA11,0)</f>
        <v>0.31048720066061108</v>
      </c>
      <c r="AU31" s="179">
        <f t="shared" si="83"/>
        <v>0.15276630883567299</v>
      </c>
      <c r="AV31" s="180">
        <f t="shared" si="83"/>
        <v>8.5604183870079828E-2</v>
      </c>
      <c r="AW31" s="181">
        <f t="shared" si="83"/>
        <v>9.5513349848609957E-2</v>
      </c>
      <c r="AX31" s="548">
        <f t="shared" si="83"/>
        <v>8.147536471235893E-2</v>
      </c>
      <c r="AY31" s="570">
        <f t="shared" si="83"/>
        <v>0</v>
      </c>
      <c r="AZ31" s="183">
        <f>AZ11/$BA11</f>
        <v>5.7803468208092484E-2</v>
      </c>
      <c r="BA31" s="184">
        <f t="shared" si="40"/>
        <v>0.22120068192888456</v>
      </c>
      <c r="BC31" s="12">
        <v>2011</v>
      </c>
      <c r="BD31" s="565">
        <f t="shared" si="54"/>
        <v>0.25607000254863649</v>
      </c>
      <c r="BE31" s="566">
        <f t="shared" si="41"/>
        <v>0.22806898309404469</v>
      </c>
      <c r="BF31" s="567">
        <f t="shared" si="41"/>
        <v>0.19249001784045536</v>
      </c>
      <c r="BG31" s="568">
        <f t="shared" si="41"/>
        <v>6.8677257667148078E-2</v>
      </c>
      <c r="BH31" s="569">
        <f t="shared" si="41"/>
        <v>9.9532749978761367E-2</v>
      </c>
      <c r="BI31" s="570">
        <f t="shared" si="41"/>
        <v>0.10038229547192253</v>
      </c>
      <c r="BJ31" s="571">
        <f>((R31+S31)*$T11+(AC31+AD31)*$AE11+(AN31+AO31)*$AP11+(AZ31+AY31)*$BA11)/$I11</f>
        <v>5.4778693399031519E-2</v>
      </c>
      <c r="BK31" s="184">
        <f t="shared" si="55"/>
        <v>1</v>
      </c>
      <c r="BM31" s="12">
        <v>2011</v>
      </c>
      <c r="BN31" s="546">
        <f t="shared" ref="BN31:BT31" si="84">BN11/$BU11</f>
        <v>0.24347764606066319</v>
      </c>
      <c r="BO31" s="546">
        <f t="shared" si="84"/>
        <v>0.24727204166764866</v>
      </c>
      <c r="BP31" s="546">
        <f t="shared" si="84"/>
        <v>0.18297942542009379</v>
      </c>
      <c r="BQ31" s="546">
        <f t="shared" si="84"/>
        <v>7.3059791190403248E-2</v>
      </c>
      <c r="BR31" s="546">
        <f t="shared" si="84"/>
        <v>9.6509627395064926E-2</v>
      </c>
      <c r="BS31" s="546">
        <f t="shared" si="84"/>
        <v>0.10053969974782588</v>
      </c>
      <c r="BT31" s="546">
        <f t="shared" si="84"/>
        <v>5.6161768518300299E-2</v>
      </c>
      <c r="BU31" s="184">
        <f t="shared" si="57"/>
        <v>1</v>
      </c>
      <c r="BW31" s="12">
        <v>2011</v>
      </c>
      <c r="BX31" s="546">
        <f t="shared" ref="BX31:CD31" si="85">IFERROR(BX11/$CE11,0)</f>
        <v>0.28860204578665366</v>
      </c>
      <c r="BY31" s="546">
        <f t="shared" si="85"/>
        <v>0.17845835362883586</v>
      </c>
      <c r="BZ31" s="546">
        <f t="shared" si="85"/>
        <v>0.21706039941548952</v>
      </c>
      <c r="CA31" s="546">
        <f t="shared" si="85"/>
        <v>5.7355090112031173E-2</v>
      </c>
      <c r="CB31" s="546">
        <f t="shared" si="85"/>
        <v>0.10734291281052119</v>
      </c>
      <c r="CC31" s="546">
        <f t="shared" si="85"/>
        <v>9.9975645396980034E-2</v>
      </c>
      <c r="CD31" s="546">
        <f t="shared" si="85"/>
        <v>5.120555284948855E-2</v>
      </c>
      <c r="CE31" s="184">
        <f t="shared" si="59"/>
        <v>1</v>
      </c>
    </row>
    <row r="32" spans="1:83">
      <c r="A32" s="23">
        <v>2012</v>
      </c>
      <c r="B32" s="566">
        <f>BE32</f>
        <v>0.23063213125676688</v>
      </c>
      <c r="C32" s="567">
        <f t="shared" si="45"/>
        <v>0.18679103856083951</v>
      </c>
      <c r="D32" s="568">
        <f t="shared" si="46"/>
        <v>6.8060298159407007E-2</v>
      </c>
      <c r="E32" s="569">
        <f t="shared" si="47"/>
        <v>9.4361622386940958E-2</v>
      </c>
      <c r="F32" s="570">
        <f t="shared" si="48"/>
        <v>0.10588823186474557</v>
      </c>
      <c r="G32" s="565">
        <f>BD32</f>
        <v>0.24852169567752144</v>
      </c>
      <c r="H32" s="571">
        <f t="shared" si="49"/>
        <v>6.5744982093778631E-2</v>
      </c>
      <c r="I32" s="572">
        <f t="shared" si="33"/>
        <v>1</v>
      </c>
      <c r="K32" s="12">
        <v>2012</v>
      </c>
      <c r="L32" s="177">
        <f t="shared" ref="L32:T32" si="86">L12/$T12</f>
        <v>0.23149063874774067</v>
      </c>
      <c r="M32" s="178">
        <f t="shared" si="86"/>
        <v>0.2511339221771306</v>
      </c>
      <c r="N32" s="179">
        <f t="shared" si="86"/>
        <v>0.17436824335845583</v>
      </c>
      <c r="O32" s="180">
        <f>O12/$T12</f>
        <v>7.5299253145994616E-2</v>
      </c>
      <c r="P32" s="181">
        <f t="shared" si="86"/>
        <v>9.3544316747945305E-2</v>
      </c>
      <c r="Q32" s="182">
        <f t="shared" si="86"/>
        <v>0.10568495720083211</v>
      </c>
      <c r="R32" s="182">
        <f t="shared" ref="R32" si="87">R12/$T12</f>
        <v>0</v>
      </c>
      <c r="S32" s="183">
        <f t="shared" si="86"/>
        <v>6.8478668621900898E-2</v>
      </c>
      <c r="T32" s="184">
        <f t="shared" si="86"/>
        <v>1</v>
      </c>
      <c r="V32" s="12">
        <v>2012</v>
      </c>
      <c r="W32" s="177">
        <f t="shared" ref="W32:AD32" si="88">W12/$AE12</f>
        <v>0.28483339262421442</v>
      </c>
      <c r="X32" s="178">
        <f t="shared" si="88"/>
        <v>0.17959207873829006</v>
      </c>
      <c r="Y32" s="179">
        <f t="shared" si="88"/>
        <v>0.21042333689078618</v>
      </c>
      <c r="Z32" s="180">
        <f t="shared" si="88"/>
        <v>5.7512154630617811E-2</v>
      </c>
      <c r="AA32" s="181">
        <f t="shared" si="88"/>
        <v>0.10227676983279972</v>
      </c>
      <c r="AB32" s="182">
        <f t="shared" si="88"/>
        <v>0.10636784062611171</v>
      </c>
      <c r="AC32" s="182">
        <f t="shared" si="88"/>
        <v>0</v>
      </c>
      <c r="AD32" s="183">
        <f t="shared" si="88"/>
        <v>5.8994426657180125E-2</v>
      </c>
      <c r="AE32" s="184">
        <f t="shared" ref="AE32" si="89">AE12/$AE12</f>
        <v>1</v>
      </c>
      <c r="AG32" s="12">
        <v>2012</v>
      </c>
      <c r="AH32" s="546">
        <f t="shared" ref="AH32:AO32" si="90">AH12/$AP12</f>
        <v>0.25112107623318386</v>
      </c>
      <c r="AI32" s="547">
        <f t="shared" si="90"/>
        <v>0.22034243783122706</v>
      </c>
      <c r="AJ32" s="179">
        <f t="shared" si="90"/>
        <v>0.20199755401549124</v>
      </c>
      <c r="AK32" s="180">
        <f t="shared" si="90"/>
        <v>5.717488789237668E-2</v>
      </c>
      <c r="AL32" s="181">
        <f t="shared" si="90"/>
        <v>8.5405625764370163E-2</v>
      </c>
      <c r="AM32" s="548">
        <f t="shared" si="90"/>
        <v>0.11485935589074603</v>
      </c>
      <c r="AN32" s="570">
        <f t="shared" si="90"/>
        <v>0</v>
      </c>
      <c r="AO32" s="183">
        <f t="shared" si="90"/>
        <v>6.9099062372604977E-2</v>
      </c>
      <c r="AP32" s="184">
        <f t="shared" si="37"/>
        <v>0.58176212498517732</v>
      </c>
      <c r="AR32" s="12">
        <v>2012</v>
      </c>
      <c r="AS32" s="546">
        <f t="shared" ref="AS32:AZ32" si="91">AS12/$BA12</f>
        <v>0.21417947446703026</v>
      </c>
      <c r="AT32" s="547">
        <f t="shared" si="91"/>
        <v>0.32002974714923155</v>
      </c>
      <c r="AU32" s="179">
        <f t="shared" si="91"/>
        <v>0.14129895884977689</v>
      </c>
      <c r="AV32" s="180">
        <f t="shared" si="91"/>
        <v>8.6018839861179974E-2</v>
      </c>
      <c r="AW32" s="181">
        <f t="shared" si="91"/>
        <v>8.899355478433317E-2</v>
      </c>
      <c r="AX32" s="548">
        <f t="shared" si="91"/>
        <v>8.3539910758552299E-2</v>
      </c>
      <c r="AY32" s="570">
        <f t="shared" si="91"/>
        <v>0</v>
      </c>
      <c r="AZ32" s="183">
        <f t="shared" si="91"/>
        <v>6.593951412989589E-2</v>
      </c>
      <c r="BA32" s="184">
        <f t="shared" si="40"/>
        <v>0.23917941420609509</v>
      </c>
      <c r="BC32" s="12">
        <v>2012</v>
      </c>
      <c r="BD32" s="565">
        <f t="shared" si="54"/>
        <v>0.24852169567752144</v>
      </c>
      <c r="BE32" s="566">
        <f t="shared" si="41"/>
        <v>0.23063213125676688</v>
      </c>
      <c r="BF32" s="567">
        <f t="shared" si="41"/>
        <v>0.18679103856083951</v>
      </c>
      <c r="BG32" s="568">
        <f t="shared" si="41"/>
        <v>6.8060298159407007E-2</v>
      </c>
      <c r="BH32" s="569">
        <f t="shared" si="41"/>
        <v>9.4361622386940958E-2</v>
      </c>
      <c r="BI32" s="570">
        <f t="shared" si="41"/>
        <v>0.10588823186474557</v>
      </c>
      <c r="BJ32" s="571">
        <f t="shared" si="42"/>
        <v>6.5744982093778631E-2</v>
      </c>
      <c r="BK32" s="184">
        <f t="shared" si="55"/>
        <v>1</v>
      </c>
      <c r="BM32" s="12">
        <v>2012</v>
      </c>
      <c r="BN32" s="546">
        <f t="shared" ref="BN32:BT32" si="92">BN12/$BU12</f>
        <v>0.23433482360026872</v>
      </c>
      <c r="BO32" s="546">
        <f t="shared" si="92"/>
        <v>0.25057332808265192</v>
      </c>
      <c r="BP32" s="546">
        <f t="shared" si="92"/>
        <v>0.17755796983946814</v>
      </c>
      <c r="BQ32" s="546">
        <f t="shared" si="92"/>
        <v>7.2181426486599184E-2</v>
      </c>
      <c r="BR32" s="546">
        <f t="shared" si="92"/>
        <v>9.1269197803979712E-2</v>
      </c>
      <c r="BS32" s="546">
        <f t="shared" si="92"/>
        <v>0.10570085014709629</v>
      </c>
      <c r="BT32" s="546">
        <f t="shared" si="92"/>
        <v>6.8382404039936062E-2</v>
      </c>
      <c r="BU32" s="184">
        <f t="shared" si="57"/>
        <v>1</v>
      </c>
      <c r="BW32" s="12">
        <v>2012</v>
      </c>
      <c r="BX32" s="546">
        <f t="shared" ref="BX32:CD32" si="93">IFERROR(BX12/$CE12,0)</f>
        <v>0.28483339262421442</v>
      </c>
      <c r="BY32" s="546">
        <f t="shared" si="93"/>
        <v>0.17959207873829006</v>
      </c>
      <c r="BZ32" s="546">
        <f t="shared" si="93"/>
        <v>0.21042333689078618</v>
      </c>
      <c r="CA32" s="546">
        <f t="shared" si="93"/>
        <v>5.7512154630617811E-2</v>
      </c>
      <c r="CB32" s="546">
        <f t="shared" si="93"/>
        <v>0.10227676983279972</v>
      </c>
      <c r="CC32" s="546">
        <f t="shared" si="93"/>
        <v>0.10636784062611171</v>
      </c>
      <c r="CD32" s="546">
        <f t="shared" si="93"/>
        <v>5.8994426657180125E-2</v>
      </c>
      <c r="CE32" s="184">
        <f t="shared" si="59"/>
        <v>1</v>
      </c>
    </row>
    <row r="33" spans="1:83">
      <c r="A33" s="23">
        <v>2013</v>
      </c>
      <c r="B33" s="566">
        <f>BE33</f>
        <v>0.22323120252624393</v>
      </c>
      <c r="C33" s="567">
        <f t="shared" si="45"/>
        <v>0.20126312195954596</v>
      </c>
      <c r="D33" s="568">
        <f t="shared" si="46"/>
        <v>5.9213109157634204E-2</v>
      </c>
      <c r="E33" s="569">
        <f t="shared" si="47"/>
        <v>8.5346078347699916E-2</v>
      </c>
      <c r="F33" s="570">
        <f t="shared" si="48"/>
        <v>9.0791158146283177E-2</v>
      </c>
      <c r="G33" s="565">
        <f>BD33</f>
        <v>0.27136639071434665</v>
      </c>
      <c r="H33" s="571">
        <f t="shared" si="49"/>
        <v>6.8788939148246145E-2</v>
      </c>
      <c r="I33" s="572">
        <f t="shared" si="33"/>
        <v>1</v>
      </c>
      <c r="K33" s="12">
        <v>2013</v>
      </c>
      <c r="L33" s="177">
        <f>L13/$T13</f>
        <v>0.25626535626535629</v>
      </c>
      <c r="M33" s="178">
        <f>M13/$T13</f>
        <v>0.24268164268164269</v>
      </c>
      <c r="N33" s="179">
        <f>N13/$T13</f>
        <v>0.19129519129519129</v>
      </c>
      <c r="O33" s="180">
        <f>O13/$T13</f>
        <v>6.5777465777465779E-2</v>
      </c>
      <c r="P33" s="181">
        <f>P13/$T13</f>
        <v>8.4380484380484386E-2</v>
      </c>
      <c r="Q33" s="182">
        <f>Q13/$T13</f>
        <v>8.7925587925587925E-2</v>
      </c>
      <c r="R33" s="182">
        <f>R13/$T13</f>
        <v>0</v>
      </c>
      <c r="S33" s="183">
        <f>S13/$T13</f>
        <v>7.1674271674271678E-2</v>
      </c>
      <c r="T33" s="184">
        <f>T13/$T13</f>
        <v>1</v>
      </c>
      <c r="V33" s="12">
        <v>2013</v>
      </c>
      <c r="W33" s="177">
        <f t="shared" ref="W33:AD33" si="94">W13/$AE13</f>
        <v>0.30625150566128645</v>
      </c>
      <c r="X33" s="178">
        <f t="shared" si="94"/>
        <v>0.17363285955191521</v>
      </c>
      <c r="Y33" s="179">
        <f t="shared" si="94"/>
        <v>0.22048903878583473</v>
      </c>
      <c r="Z33" s="180">
        <f t="shared" si="94"/>
        <v>4.9566369549506141E-2</v>
      </c>
      <c r="AA33" s="181">
        <f t="shared" si="94"/>
        <v>9.298964105034932E-2</v>
      </c>
      <c r="AB33" s="182">
        <f t="shared" si="94"/>
        <v>9.4736208142616241E-2</v>
      </c>
      <c r="AC33" s="182">
        <f t="shared" si="94"/>
        <v>0</v>
      </c>
      <c r="AD33" s="183">
        <f t="shared" si="94"/>
        <v>6.2334377258491933E-2</v>
      </c>
      <c r="AE33" s="184">
        <f t="shared" ref="AE33" si="95">AE13/$AE13</f>
        <v>1</v>
      </c>
      <c r="AG33" s="12">
        <v>2013</v>
      </c>
      <c r="AH33" s="546">
        <f t="shared" ref="AH33:AO33" si="96">AH13/$AP13</f>
        <v>0.26560354842116379</v>
      </c>
      <c r="AI33" s="547">
        <f t="shared" si="96"/>
        <v>0.21913612841905164</v>
      </c>
      <c r="AJ33" s="179">
        <f t="shared" si="96"/>
        <v>0.21639032632801775</v>
      </c>
      <c r="AK33" s="180">
        <f t="shared" si="96"/>
        <v>5.0691730911395082E-2</v>
      </c>
      <c r="AL33" s="181">
        <f t="shared" si="96"/>
        <v>7.8255359594466153E-2</v>
      </c>
      <c r="AM33" s="548">
        <f t="shared" si="96"/>
        <v>9.9799345231809056E-2</v>
      </c>
      <c r="AN33" s="570">
        <f t="shared" si="96"/>
        <v>0</v>
      </c>
      <c r="AO33" s="183">
        <f t="shared" si="96"/>
        <v>7.0123561094096523E-2</v>
      </c>
      <c r="AP33" s="184">
        <f t="shared" si="37"/>
        <v>0.57028426885087935</v>
      </c>
      <c r="AR33" s="12">
        <v>2013</v>
      </c>
      <c r="AS33" s="546">
        <f t="shared" ref="AS33:AZ33" si="97">AS13/$BA13</f>
        <v>0.24788662357036301</v>
      </c>
      <c r="AT33" s="547">
        <f t="shared" si="97"/>
        <v>0.29985082048731976</v>
      </c>
      <c r="AU33" s="179">
        <f t="shared" si="97"/>
        <v>0.15688712083540526</v>
      </c>
      <c r="AV33" s="180">
        <f t="shared" si="97"/>
        <v>7.2600696171059173E-2</v>
      </c>
      <c r="AW33" s="181">
        <f t="shared" si="97"/>
        <v>7.7324714072600692E-2</v>
      </c>
      <c r="AX33" s="548">
        <f t="shared" si="97"/>
        <v>7.3595226255594226E-2</v>
      </c>
      <c r="AY33" s="570">
        <f t="shared" si="97"/>
        <v>0</v>
      </c>
      <c r="AZ33" s="183">
        <f t="shared" si="97"/>
        <v>7.185479860765788E-2</v>
      </c>
      <c r="BA33" s="184">
        <f t="shared" si="40"/>
        <v>0.24223078776198506</v>
      </c>
      <c r="BC33" s="12">
        <v>2013</v>
      </c>
      <c r="BD33" s="565">
        <f>(L33*$T13+W33*$AE13+AH33*$AP13+AS33*$BA13)/$I13</f>
        <v>0.27136639071434665</v>
      </c>
      <c r="BE33" s="566">
        <f t="shared" si="41"/>
        <v>0.22323120252624393</v>
      </c>
      <c r="BF33" s="567">
        <f t="shared" si="41"/>
        <v>0.20126312195954596</v>
      </c>
      <c r="BG33" s="568">
        <f t="shared" si="41"/>
        <v>5.9213109157634204E-2</v>
      </c>
      <c r="BH33" s="569">
        <f t="shared" si="41"/>
        <v>8.5346078347699916E-2</v>
      </c>
      <c r="BI33" s="570">
        <f t="shared" si="41"/>
        <v>9.0791158146283177E-2</v>
      </c>
      <c r="BJ33" s="571">
        <f t="shared" si="42"/>
        <v>6.8788939148246145E-2</v>
      </c>
      <c r="BK33" s="184">
        <f t="shared" si="55"/>
        <v>1</v>
      </c>
      <c r="BM33" s="12">
        <v>2013</v>
      </c>
      <c r="BN33" s="546">
        <f t="shared" ref="BN33:BT33" si="98">BN13/$BU13</f>
        <v>0.25756890021676471</v>
      </c>
      <c r="BO33" s="546">
        <f t="shared" si="98"/>
        <v>0.24284795502727424</v>
      </c>
      <c r="BP33" s="546">
        <f t="shared" si="98"/>
        <v>0.19365903623067579</v>
      </c>
      <c r="BQ33" s="546">
        <f t="shared" si="98"/>
        <v>6.3028512898692268E-2</v>
      </c>
      <c r="BR33" s="546">
        <f t="shared" si="98"/>
        <v>8.2322955622781732E-2</v>
      </c>
      <c r="BS33" s="546">
        <f t="shared" si="98"/>
        <v>8.9230842523998946E-2</v>
      </c>
      <c r="BT33" s="546">
        <f t="shared" si="98"/>
        <v>7.1341797479812299E-2</v>
      </c>
      <c r="BU33" s="184">
        <f t="shared" si="57"/>
        <v>0.99999999999999989</v>
      </c>
      <c r="BW33" s="12">
        <v>2013</v>
      </c>
      <c r="BX33" s="546">
        <f t="shared" ref="BX33:CD33" si="99">IFERROR(BX13/$CE13,0)</f>
        <v>0.30625150566128645</v>
      </c>
      <c r="BY33" s="546">
        <f t="shared" si="99"/>
        <v>0.17363285955191521</v>
      </c>
      <c r="BZ33" s="546">
        <f t="shared" si="99"/>
        <v>0.22048903878583473</v>
      </c>
      <c r="CA33" s="546">
        <f t="shared" si="99"/>
        <v>4.9566369549506141E-2</v>
      </c>
      <c r="CB33" s="546">
        <f t="shared" si="99"/>
        <v>9.298964105034932E-2</v>
      </c>
      <c r="CC33" s="546">
        <f t="shared" si="99"/>
        <v>9.4736208142616241E-2</v>
      </c>
      <c r="CD33" s="546">
        <f t="shared" si="99"/>
        <v>6.2334377258491933E-2</v>
      </c>
      <c r="CE33" s="184">
        <f t="shared" si="59"/>
        <v>1</v>
      </c>
    </row>
    <row r="34" spans="1:83">
      <c r="A34" s="23">
        <v>2014</v>
      </c>
      <c r="B34" s="566">
        <f>BE34</f>
        <v>0.25340546807071779</v>
      </c>
      <c r="C34" s="567">
        <f t="shared" si="45"/>
        <v>0.20564840756126623</v>
      </c>
      <c r="D34" s="568">
        <f t="shared" si="46"/>
        <v>5.2152771068817827E-2</v>
      </c>
      <c r="E34" s="569">
        <f t="shared" si="47"/>
        <v>7.6932985540849513E-2</v>
      </c>
      <c r="F34" s="570">
        <f t="shared" si="48"/>
        <v>8.0282098347985706E-2</v>
      </c>
      <c r="G34" s="565">
        <f>BD34</f>
        <v>0.25945963352977169</v>
      </c>
      <c r="H34" s="571">
        <f t="shared" si="49"/>
        <v>7.2118635880591253E-2</v>
      </c>
      <c r="I34" s="572">
        <f t="shared" si="33"/>
        <v>1</v>
      </c>
      <c r="K34" s="12">
        <v>2014</v>
      </c>
      <c r="L34" s="177">
        <f>L14/$T14</f>
        <v>0.24548251931386669</v>
      </c>
      <c r="M34" s="178">
        <f t="shared" ref="M34:T41" si="100">M14/$T14</f>
        <v>0.27242372659421238</v>
      </c>
      <c r="N34" s="179">
        <f t="shared" si="100"/>
        <v>0.19821264894592117</v>
      </c>
      <c r="O34" s="180">
        <f t="shared" si="100"/>
        <v>5.7352363493518396E-2</v>
      </c>
      <c r="P34" s="181">
        <f t="shared" si="100"/>
        <v>7.5029461830561736E-2</v>
      </c>
      <c r="Q34" s="182">
        <f t="shared" si="100"/>
        <v>7.7157260704465103E-2</v>
      </c>
      <c r="R34" s="182">
        <f t="shared" ref="R34" si="101">R14/$T14</f>
        <v>0</v>
      </c>
      <c r="S34" s="183">
        <f t="shared" si="100"/>
        <v>7.43420191174545E-2</v>
      </c>
      <c r="T34" s="184">
        <f t="shared" si="100"/>
        <v>1</v>
      </c>
      <c r="V34" s="12">
        <v>2014</v>
      </c>
      <c r="W34" s="177">
        <f t="shared" ref="W34:AD34" si="102">W14/$AE14</f>
        <v>0.29259728298411236</v>
      </c>
      <c r="X34" s="178">
        <f t="shared" si="102"/>
        <v>0.20124338015196869</v>
      </c>
      <c r="Y34" s="179">
        <f t="shared" si="102"/>
        <v>0.22254202164402487</v>
      </c>
      <c r="Z34" s="180">
        <f t="shared" si="102"/>
        <v>4.4612019341469029E-2</v>
      </c>
      <c r="AA34" s="181">
        <f t="shared" si="102"/>
        <v>8.6058024407091871E-2</v>
      </c>
      <c r="AB34" s="182">
        <f t="shared" si="102"/>
        <v>8.5712641031545009E-2</v>
      </c>
      <c r="AC34" s="182">
        <f t="shared" si="102"/>
        <v>0</v>
      </c>
      <c r="AD34" s="183">
        <f t="shared" si="102"/>
        <v>6.7234630439788168E-2</v>
      </c>
      <c r="AE34" s="184">
        <f t="shared" ref="AE34:AE41" si="103">AE14/$AE14</f>
        <v>1</v>
      </c>
      <c r="AG34" s="12">
        <v>2014</v>
      </c>
      <c r="AH34" s="546">
        <f t="shared" ref="AH34:AO34" si="104">AH14/$AP14</f>
        <v>0.24952419112491236</v>
      </c>
      <c r="AI34" s="547">
        <f t="shared" si="104"/>
        <v>0.25693679254733048</v>
      </c>
      <c r="AJ34" s="179">
        <f t="shared" si="104"/>
        <v>0.21706901732946007</v>
      </c>
      <c r="AK34" s="180">
        <f t="shared" si="104"/>
        <v>4.5477311429430033E-2</v>
      </c>
      <c r="AL34" s="181">
        <f t="shared" si="104"/>
        <v>7.1621756986877685E-2</v>
      </c>
      <c r="AM34" s="548">
        <f t="shared" si="104"/>
        <v>8.7448662726635276E-2</v>
      </c>
      <c r="AN34" s="570">
        <f t="shared" si="104"/>
        <v>0</v>
      </c>
      <c r="AO34" s="183">
        <f t="shared" si="104"/>
        <v>7.1922267855354105E-2</v>
      </c>
      <c r="AP34" s="184">
        <f t="shared" si="37"/>
        <v>0.5746603730140456</v>
      </c>
      <c r="AR34" s="12">
        <v>2014</v>
      </c>
      <c r="AS34" s="546">
        <f t="shared" ref="AS34:AZ34" si="105">AS14/$BA14</f>
        <v>0.2476802284082798</v>
      </c>
      <c r="AT34" s="547">
        <f t="shared" si="105"/>
        <v>0.32238876992624316</v>
      </c>
      <c r="AU34" s="179">
        <f t="shared" si="105"/>
        <v>0.16274089935760172</v>
      </c>
      <c r="AV34" s="180">
        <f t="shared" si="105"/>
        <v>6.1384725196288369E-2</v>
      </c>
      <c r="AW34" s="181">
        <f t="shared" si="105"/>
        <v>6.5667380442541043E-2</v>
      </c>
      <c r="AX34" s="548">
        <f t="shared" si="105"/>
        <v>6.3526052819414702E-2</v>
      </c>
      <c r="AY34" s="570">
        <f t="shared" si="105"/>
        <v>0</v>
      </c>
      <c r="AZ34" s="183">
        <f t="shared" si="105"/>
        <v>7.6611943849631214E-2</v>
      </c>
      <c r="BA34" s="184">
        <f t="shared" si="40"/>
        <v>0.24194105457057333</v>
      </c>
      <c r="BC34" s="12">
        <v>2014</v>
      </c>
      <c r="BD34" s="565">
        <f t="shared" si="54"/>
        <v>0.25945963352977169</v>
      </c>
      <c r="BE34" s="566">
        <f t="shared" si="41"/>
        <v>0.25340546807071779</v>
      </c>
      <c r="BF34" s="567">
        <f t="shared" si="41"/>
        <v>0.20564840756126623</v>
      </c>
      <c r="BG34" s="568">
        <f t="shared" si="41"/>
        <v>5.2152771068817827E-2</v>
      </c>
      <c r="BH34" s="569">
        <f t="shared" si="41"/>
        <v>7.6932985540849513E-2</v>
      </c>
      <c r="BI34" s="570">
        <f t="shared" si="41"/>
        <v>8.0282098347985706E-2</v>
      </c>
      <c r="BJ34" s="571">
        <f t="shared" si="42"/>
        <v>7.2118635880591253E-2</v>
      </c>
      <c r="BK34" s="184">
        <f t="shared" si="55"/>
        <v>1</v>
      </c>
      <c r="BM34" s="12">
        <v>2014</v>
      </c>
      <c r="BN34" s="546">
        <f t="shared" ref="BN34:BT34" si="106">BN14/$BU14</f>
        <v>0.24659095989627577</v>
      </c>
      <c r="BO34" s="546">
        <f t="shared" si="106"/>
        <v>0.27366209147404658</v>
      </c>
      <c r="BP34" s="546">
        <f t="shared" si="106"/>
        <v>0.19908794205749542</v>
      </c>
      <c r="BQ34" s="546">
        <f t="shared" si="106"/>
        <v>5.5081146331649303E-2</v>
      </c>
      <c r="BR34" s="546">
        <f t="shared" si="106"/>
        <v>7.3389368265748642E-2</v>
      </c>
      <c r="BS34" s="546">
        <f t="shared" si="106"/>
        <v>7.8173201591630534E-2</v>
      </c>
      <c r="BT34" s="546">
        <f t="shared" si="106"/>
        <v>7.4015290383153756E-2</v>
      </c>
      <c r="BU34" s="184">
        <f t="shared" si="57"/>
        <v>0.99999999999999989</v>
      </c>
      <c r="BW34" s="12">
        <v>2014</v>
      </c>
      <c r="BX34" s="546">
        <f t="shared" ref="BX34:CD34" si="107">IFERROR(BX14/$CE14,0)</f>
        <v>0.29259728298411236</v>
      </c>
      <c r="BY34" s="546">
        <f t="shared" si="107"/>
        <v>0.20124338015196869</v>
      </c>
      <c r="BZ34" s="546">
        <f t="shared" si="107"/>
        <v>0.22254202164402487</v>
      </c>
      <c r="CA34" s="546">
        <f t="shared" si="107"/>
        <v>4.4612019341469029E-2</v>
      </c>
      <c r="CB34" s="546">
        <f t="shared" si="107"/>
        <v>8.6058024407091871E-2</v>
      </c>
      <c r="CC34" s="546">
        <f t="shared" si="107"/>
        <v>8.5712641031545009E-2</v>
      </c>
      <c r="CD34" s="546">
        <f t="shared" si="107"/>
        <v>6.7234630439788168E-2</v>
      </c>
      <c r="CE34" s="184">
        <f t="shared" si="59"/>
        <v>1</v>
      </c>
    </row>
    <row r="35" spans="1:83">
      <c r="A35" s="23">
        <v>2015</v>
      </c>
      <c r="B35" s="566">
        <f>BE35</f>
        <v>0.25913731200052947</v>
      </c>
      <c r="C35" s="567">
        <f t="shared" si="45"/>
        <v>0.21438144244610269</v>
      </c>
      <c r="D35" s="568">
        <f t="shared" si="46"/>
        <v>4.6989526630156028E-2</v>
      </c>
      <c r="E35" s="569">
        <f t="shared" si="47"/>
        <v>6.9706646370720896E-2</v>
      </c>
      <c r="F35" s="570">
        <f t="shared" si="48"/>
        <v>7.2866857492678572E-2</v>
      </c>
      <c r="G35" s="565">
        <f>BD35</f>
        <v>0.26021277651847319</v>
      </c>
      <c r="H35" s="571">
        <f t="shared" si="49"/>
        <v>7.6705438541339196E-2</v>
      </c>
      <c r="I35" s="572">
        <f t="shared" si="33"/>
        <v>0.99999999999999989</v>
      </c>
      <c r="K35" s="12">
        <v>2015</v>
      </c>
      <c r="L35" s="177">
        <f>L15/$T15</f>
        <v>0.24770861833105334</v>
      </c>
      <c r="M35" s="178">
        <f t="shared" si="100"/>
        <v>0.27517099863201094</v>
      </c>
      <c r="N35" s="179">
        <f t="shared" si="100"/>
        <v>0.20984952120383038</v>
      </c>
      <c r="O35" s="180">
        <f t="shared" si="100"/>
        <v>5.1299589603283173E-2</v>
      </c>
      <c r="P35" s="181">
        <f t="shared" si="100"/>
        <v>6.7441860465116285E-2</v>
      </c>
      <c r="Q35" s="182">
        <f t="shared" si="100"/>
        <v>7.0006839945280439E-2</v>
      </c>
      <c r="R35" s="182">
        <f t="shared" ref="R35" si="108">R15/$T15</f>
        <v>0</v>
      </c>
      <c r="S35" s="183">
        <f t="shared" si="100"/>
        <v>7.8522571819425444E-2</v>
      </c>
      <c r="T35" s="184">
        <f t="shared" si="100"/>
        <v>1</v>
      </c>
      <c r="V35" s="12">
        <v>2015</v>
      </c>
      <c r="W35" s="177">
        <f t="shared" ref="W35:AD35" si="109">W15/$AE15</f>
        <v>0.28943491839019503</v>
      </c>
      <c r="X35" s="178">
        <f t="shared" si="109"/>
        <v>0.21094808791467798</v>
      </c>
      <c r="Y35" s="179">
        <f t="shared" si="109"/>
        <v>0.22780036532909081</v>
      </c>
      <c r="Z35" s="180">
        <f t="shared" si="109"/>
        <v>4.0716516410347063E-2</v>
      </c>
      <c r="AA35" s="181">
        <f t="shared" si="109"/>
        <v>7.9488539272877259E-2</v>
      </c>
      <c r="AB35" s="182">
        <f t="shared" si="109"/>
        <v>7.8840374756938308E-2</v>
      </c>
      <c r="AC35" s="182">
        <f t="shared" si="109"/>
        <v>0</v>
      </c>
      <c r="AD35" s="183">
        <f t="shared" si="109"/>
        <v>7.2771197925873554E-2</v>
      </c>
      <c r="AE35" s="184">
        <f t="shared" si="103"/>
        <v>1</v>
      </c>
      <c r="AG35" s="12">
        <v>2015</v>
      </c>
      <c r="AH35" s="546">
        <f t="shared" ref="AH35:AO35" si="110">AH15/$AP15</f>
        <v>0.2437759336099585</v>
      </c>
      <c r="AI35" s="547">
        <f t="shared" si="110"/>
        <v>0.27022821576763484</v>
      </c>
      <c r="AJ35" s="179">
        <f t="shared" si="110"/>
        <v>0.2258298755186722</v>
      </c>
      <c r="AK35" s="180">
        <f t="shared" si="110"/>
        <v>4.1493775933609957E-2</v>
      </c>
      <c r="AL35" s="181">
        <f t="shared" si="110"/>
        <v>6.5560165975103737E-2</v>
      </c>
      <c r="AM35" s="548">
        <f t="shared" si="110"/>
        <v>7.863070539419087E-2</v>
      </c>
      <c r="AN35" s="570">
        <f t="shared" si="110"/>
        <v>0</v>
      </c>
      <c r="AO35" s="183">
        <f t="shared" si="110"/>
        <v>7.4481327800829875E-2</v>
      </c>
      <c r="AP35" s="184">
        <f t="shared" si="37"/>
        <v>0.56802781215013842</v>
      </c>
      <c r="AR35" s="12">
        <v>2015</v>
      </c>
      <c r="AS35" s="546">
        <f t="shared" ref="AS35:AZ35" si="111">AS15/$BA15</f>
        <v>0.26634699215344376</v>
      </c>
      <c r="AT35" s="547">
        <f t="shared" si="111"/>
        <v>0.31190061028770705</v>
      </c>
      <c r="AU35" s="179">
        <f t="shared" si="111"/>
        <v>0.16957279860505667</v>
      </c>
      <c r="AV35" s="180">
        <f t="shared" si="111"/>
        <v>5.4272013949433304E-2</v>
      </c>
      <c r="AW35" s="181">
        <f t="shared" si="111"/>
        <v>5.6669572798605058E-2</v>
      </c>
      <c r="AX35" s="548">
        <f t="shared" si="111"/>
        <v>5.6887532693984305E-2</v>
      </c>
      <c r="AY35" s="570">
        <f t="shared" si="111"/>
        <v>0</v>
      </c>
      <c r="AZ35" s="183">
        <f t="shared" si="111"/>
        <v>8.4350479511769841E-2</v>
      </c>
      <c r="BA35" s="184">
        <f t="shared" si="40"/>
        <v>0.27034352719344762</v>
      </c>
      <c r="BC35" s="12">
        <v>2015</v>
      </c>
      <c r="BD35" s="565">
        <f t="shared" si="54"/>
        <v>0.26021277651847319</v>
      </c>
      <c r="BE35" s="566">
        <f t="shared" si="41"/>
        <v>0.25913731200052947</v>
      </c>
      <c r="BF35" s="567">
        <f t="shared" si="41"/>
        <v>0.21438144244610269</v>
      </c>
      <c r="BG35" s="568">
        <f t="shared" si="41"/>
        <v>4.6989526630156028E-2</v>
      </c>
      <c r="BH35" s="569">
        <f t="shared" si="41"/>
        <v>6.9706646370720896E-2</v>
      </c>
      <c r="BI35" s="570">
        <f t="shared" si="41"/>
        <v>7.2866857492678572E-2</v>
      </c>
      <c r="BJ35" s="571">
        <f t="shared" si="42"/>
        <v>7.6705438541339196E-2</v>
      </c>
      <c r="BK35" s="184">
        <f t="shared" si="55"/>
        <v>0.99999999999999989</v>
      </c>
      <c r="BM35" s="12">
        <v>2015</v>
      </c>
      <c r="BN35" s="546">
        <f t="shared" ref="BN35:BT35" si="112">BN15/$BU15</f>
        <v>0.24880371767737186</v>
      </c>
      <c r="BO35" s="546">
        <f t="shared" si="112"/>
        <v>0.27795159657679214</v>
      </c>
      <c r="BP35" s="546">
        <f t="shared" si="112"/>
        <v>0.20914235759639274</v>
      </c>
      <c r="BQ35" s="546">
        <f t="shared" si="112"/>
        <v>4.9438667525536023E-2</v>
      </c>
      <c r="BR35" s="546">
        <f t="shared" si="112"/>
        <v>6.5887549461672953E-2</v>
      </c>
      <c r="BS35" s="546">
        <f t="shared" si="112"/>
        <v>7.0534646176497656E-2</v>
      </c>
      <c r="BT35" s="546">
        <f t="shared" si="112"/>
        <v>7.8241464985736628E-2</v>
      </c>
      <c r="BU35" s="184">
        <f t="shared" si="57"/>
        <v>1</v>
      </c>
      <c r="BW35" s="12">
        <v>2015</v>
      </c>
      <c r="BX35" s="546">
        <f t="shared" ref="BX35:CD35" si="113">IFERROR(BX15/$CE15,0)</f>
        <v>0.28943491839019503</v>
      </c>
      <c r="BY35" s="546">
        <f t="shared" si="113"/>
        <v>0.21094808791467798</v>
      </c>
      <c r="BZ35" s="546">
        <f t="shared" si="113"/>
        <v>0.22780036532909081</v>
      </c>
      <c r="CA35" s="546">
        <f t="shared" si="113"/>
        <v>4.0716516410347063E-2</v>
      </c>
      <c r="CB35" s="546">
        <f t="shared" si="113"/>
        <v>7.9488539272877259E-2</v>
      </c>
      <c r="CC35" s="546">
        <f t="shared" si="113"/>
        <v>7.8840374756938308E-2</v>
      </c>
      <c r="CD35" s="546">
        <f t="shared" si="113"/>
        <v>7.2771197925873554E-2</v>
      </c>
      <c r="CE35" s="184">
        <f t="shared" si="59"/>
        <v>1</v>
      </c>
    </row>
    <row r="36" spans="1:83">
      <c r="A36" s="23">
        <v>2016</v>
      </c>
      <c r="B36" s="566">
        <f>BE36</f>
        <v>0.26063984959968883</v>
      </c>
      <c r="C36" s="567">
        <f t="shared" si="45"/>
        <v>0.22843667952416452</v>
      </c>
      <c r="D36" s="568">
        <f t="shared" si="46"/>
        <v>4.1830086545006646E-2</v>
      </c>
      <c r="E36" s="569">
        <f t="shared" si="47"/>
        <v>6.1310816505137596E-2</v>
      </c>
      <c r="F36" s="570">
        <f t="shared" si="48"/>
        <v>6.5103238144630649E-2</v>
      </c>
      <c r="G36" s="565">
        <f>BD36</f>
        <v>0.26313571683251757</v>
      </c>
      <c r="H36" s="571">
        <f t="shared" si="49"/>
        <v>7.9543612848854167E-2</v>
      </c>
      <c r="I36" s="572">
        <f t="shared" si="33"/>
        <v>0.99999999999999989</v>
      </c>
      <c r="K36" s="12">
        <v>2016</v>
      </c>
      <c r="L36" s="177">
        <f t="shared" ref="L36:L41" si="114">L16/$T16</f>
        <v>0.25275518236683286</v>
      </c>
      <c r="M36" s="178">
        <f t="shared" si="100"/>
        <v>0.27299265284702179</v>
      </c>
      <c r="N36" s="179">
        <f t="shared" si="100"/>
        <v>0.22740094463395435</v>
      </c>
      <c r="O36" s="180">
        <f t="shared" si="100"/>
        <v>4.5230910522172658E-2</v>
      </c>
      <c r="P36" s="181">
        <f t="shared" si="100"/>
        <v>5.8678824455523484E-2</v>
      </c>
      <c r="Q36" s="182">
        <f t="shared" si="100"/>
        <v>6.2090002623983204E-2</v>
      </c>
      <c r="R36" s="182">
        <f t="shared" ref="R36" si="115">R16/$T16</f>
        <v>0</v>
      </c>
      <c r="S36" s="183">
        <f t="shared" si="100"/>
        <v>8.085148255051168E-2</v>
      </c>
      <c r="T36" s="184">
        <f t="shared" si="100"/>
        <v>1</v>
      </c>
      <c r="V36" s="12">
        <v>2016</v>
      </c>
      <c r="W36" s="177">
        <f t="shared" ref="W36:AD36" si="116">W16/$AE16</f>
        <v>0.2875094537204026</v>
      </c>
      <c r="X36" s="178">
        <f t="shared" si="116"/>
        <v>0.21862819244865903</v>
      </c>
      <c r="Y36" s="179">
        <f t="shared" si="116"/>
        <v>0.23730292629006924</v>
      </c>
      <c r="Z36" s="180">
        <f t="shared" si="116"/>
        <v>3.6825877014369658E-2</v>
      </c>
      <c r="AA36" s="181">
        <f t="shared" si="116"/>
        <v>7.1324684391180407E-2</v>
      </c>
      <c r="AB36" s="182">
        <f t="shared" si="116"/>
        <v>7.1615568095875271E-2</v>
      </c>
      <c r="AC36" s="182">
        <f t="shared" si="116"/>
        <v>0</v>
      </c>
      <c r="AD36" s="183">
        <f t="shared" si="116"/>
        <v>7.6793298039443833E-2</v>
      </c>
      <c r="AE36" s="184">
        <f t="shared" si="103"/>
        <v>1</v>
      </c>
      <c r="AG36" s="12">
        <v>2016</v>
      </c>
      <c r="AH36" s="546">
        <f t="shared" ref="AH36:AO36" si="117">AH16/$AP16</f>
        <v>0.24010030299864174</v>
      </c>
      <c r="AI36" s="547">
        <f t="shared" si="117"/>
        <v>0.27959460871382302</v>
      </c>
      <c r="AJ36" s="179">
        <f t="shared" si="117"/>
        <v>0.23801065719360567</v>
      </c>
      <c r="AK36" s="180">
        <f t="shared" si="117"/>
        <v>3.7509142200397035E-2</v>
      </c>
      <c r="AL36" s="181">
        <f t="shared" si="117"/>
        <v>5.8510082541009298E-2</v>
      </c>
      <c r="AM36" s="548">
        <f t="shared" si="117"/>
        <v>7.0421063629714759E-2</v>
      </c>
      <c r="AN36" s="570">
        <f t="shared" si="117"/>
        <v>0</v>
      </c>
      <c r="AO36" s="183">
        <f t="shared" si="117"/>
        <v>7.5854142722808479E-2</v>
      </c>
      <c r="AP36" s="184">
        <f t="shared" si="37"/>
        <v>0.55680958752690679</v>
      </c>
      <c r="AR36" s="12">
        <v>2016</v>
      </c>
      <c r="AS36" s="546">
        <f t="shared" ref="AS36:AZ36" si="118">AS16/$BA16</f>
        <v>0.28962730130220027</v>
      </c>
      <c r="AT36" s="547">
        <f t="shared" si="118"/>
        <v>0.29748540637629095</v>
      </c>
      <c r="AU36" s="179">
        <f t="shared" si="118"/>
        <v>0.18073641670408622</v>
      </c>
      <c r="AV36" s="180">
        <f t="shared" si="118"/>
        <v>4.7148630444544232E-2</v>
      </c>
      <c r="AW36" s="181">
        <f t="shared" si="118"/>
        <v>4.66995958688819E-2</v>
      </c>
      <c r="AX36" s="548">
        <f t="shared" si="118"/>
        <v>4.9169286035024698E-2</v>
      </c>
      <c r="AY36" s="570">
        <f t="shared" si="118"/>
        <v>0</v>
      </c>
      <c r="AZ36" s="183">
        <f t="shared" si="118"/>
        <v>8.9133363268971713E-2</v>
      </c>
      <c r="BA36" s="184">
        <f t="shared" si="40"/>
        <v>0.25911920414218398</v>
      </c>
      <c r="BC36" s="12">
        <v>2016</v>
      </c>
      <c r="BD36" s="565">
        <f t="shared" si="54"/>
        <v>0.26313571683251757</v>
      </c>
      <c r="BE36" s="566">
        <f t="shared" si="41"/>
        <v>0.26063984959968883</v>
      </c>
      <c r="BF36" s="567">
        <f t="shared" si="41"/>
        <v>0.22843667952416452</v>
      </c>
      <c r="BG36" s="568">
        <f t="shared" si="41"/>
        <v>4.1830086545006646E-2</v>
      </c>
      <c r="BH36" s="569">
        <f t="shared" si="41"/>
        <v>6.1310816505137596E-2</v>
      </c>
      <c r="BI36" s="570">
        <f t="shared" si="41"/>
        <v>6.5103238144630649E-2</v>
      </c>
      <c r="BJ36" s="571">
        <f t="shared" si="42"/>
        <v>7.9543612848854167E-2</v>
      </c>
      <c r="BK36" s="184">
        <f t="shared" si="55"/>
        <v>0.99999999999999989</v>
      </c>
      <c r="BM36" s="12">
        <v>2016</v>
      </c>
      <c r="BN36" s="546">
        <f t="shared" ref="BN36:BT36" si="119">BN16/$BU16</f>
        <v>0.25372363129872172</v>
      </c>
      <c r="BO36" s="546">
        <f t="shared" si="119"/>
        <v>0.27686293891672098</v>
      </c>
      <c r="BP36" s="546">
        <f t="shared" si="119"/>
        <v>0.22501291757464112</v>
      </c>
      <c r="BQ36" s="546">
        <f t="shared" si="119"/>
        <v>4.3762496349381078E-2</v>
      </c>
      <c r="BR36" s="546">
        <f t="shared" si="119"/>
        <v>5.7443892795363154E-2</v>
      </c>
      <c r="BS36" s="546">
        <f t="shared" si="119"/>
        <v>6.2588457304607645E-2</v>
      </c>
      <c r="BT36" s="546">
        <f t="shared" si="119"/>
        <v>8.0605665760564327E-2</v>
      </c>
      <c r="BU36" s="184">
        <f t="shared" si="57"/>
        <v>1</v>
      </c>
      <c r="BW36" s="12">
        <v>2016</v>
      </c>
      <c r="BX36" s="546">
        <f t="shared" ref="BX36:CD36" si="120">IFERROR(BX16/$CE16,0)</f>
        <v>0.2875094537204026</v>
      </c>
      <c r="BY36" s="546">
        <f t="shared" si="120"/>
        <v>0.21862819244865903</v>
      </c>
      <c r="BZ36" s="546">
        <f t="shared" si="120"/>
        <v>0.23730292629006924</v>
      </c>
      <c r="CA36" s="546">
        <f t="shared" si="120"/>
        <v>3.6825877014369658E-2</v>
      </c>
      <c r="CB36" s="546">
        <f t="shared" si="120"/>
        <v>7.1324684391180407E-2</v>
      </c>
      <c r="CC36" s="546">
        <f t="shared" si="120"/>
        <v>7.1615568095875271E-2</v>
      </c>
      <c r="CD36" s="546">
        <f t="shared" si="120"/>
        <v>7.6793298039443833E-2</v>
      </c>
      <c r="CE36" s="184">
        <f t="shared" si="59"/>
        <v>1.0000000000000002</v>
      </c>
    </row>
    <row r="37" spans="1:83">
      <c r="A37" s="23">
        <v>2017</v>
      </c>
      <c r="B37" s="566">
        <f>BE37</f>
        <v>0.26335720073421198</v>
      </c>
      <c r="C37" s="567">
        <f t="shared" si="45"/>
        <v>0.23772592727332859</v>
      </c>
      <c r="D37" s="568">
        <f t="shared" si="46"/>
        <v>3.7801994278438313E-2</v>
      </c>
      <c r="E37" s="569">
        <f t="shared" si="47"/>
        <v>5.3147685744051064E-2</v>
      </c>
      <c r="F37" s="570">
        <f t="shared" si="48"/>
        <v>5.7794387577927341E-2</v>
      </c>
      <c r="G37" s="565">
        <f>BD37</f>
        <v>0.26833462867726093</v>
      </c>
      <c r="H37" s="571">
        <f t="shared" si="49"/>
        <v>8.1838175714781802E-2</v>
      </c>
      <c r="I37" s="572">
        <f t="shared" si="33"/>
        <v>1</v>
      </c>
      <c r="K37" s="12">
        <v>2017</v>
      </c>
      <c r="L37" s="177">
        <f t="shared" si="114"/>
        <v>0.26094292803970226</v>
      </c>
      <c r="M37" s="178">
        <f t="shared" si="100"/>
        <v>0.27136476426799006</v>
      </c>
      <c r="N37" s="179">
        <f t="shared" si="100"/>
        <v>0.23956989247311827</v>
      </c>
      <c r="O37" s="180">
        <f t="shared" si="100"/>
        <v>4.036393713813069E-2</v>
      </c>
      <c r="P37" s="181">
        <f t="shared" si="100"/>
        <v>5.0355665839536809E-2</v>
      </c>
      <c r="Q37" s="182">
        <f t="shared" si="100"/>
        <v>5.4656741108354015E-2</v>
      </c>
      <c r="R37" s="182">
        <f t="shared" ref="R37" si="121">R17/$T17</f>
        <v>4.8469809760132342E-2</v>
      </c>
      <c r="S37" s="183">
        <f t="shared" si="100"/>
        <v>3.427626137303557E-2</v>
      </c>
      <c r="T37" s="184">
        <f t="shared" si="100"/>
        <v>1</v>
      </c>
      <c r="V37" s="12">
        <v>2017</v>
      </c>
      <c r="W37" s="177">
        <f t="shared" ref="W37:AD37" si="122">W17/$AE17</f>
        <v>0.28637371860200228</v>
      </c>
      <c r="X37" s="178">
        <f t="shared" si="122"/>
        <v>0.22906300581499911</v>
      </c>
      <c r="Y37" s="179">
        <f t="shared" si="122"/>
        <v>0.24225166356933037</v>
      </c>
      <c r="Z37" s="180">
        <f t="shared" si="122"/>
        <v>3.4170613272585575E-2</v>
      </c>
      <c r="AA37" s="181">
        <f t="shared" si="122"/>
        <v>6.3125711887776506E-2</v>
      </c>
      <c r="AB37" s="182">
        <f t="shared" si="122"/>
        <v>6.4744319884898982E-2</v>
      </c>
      <c r="AC37" s="182">
        <f t="shared" si="122"/>
        <v>4.7359271026916852E-2</v>
      </c>
      <c r="AD37" s="183">
        <f t="shared" si="122"/>
        <v>3.2911695941490321E-2</v>
      </c>
      <c r="AE37" s="184">
        <f t="shared" si="103"/>
        <v>1</v>
      </c>
      <c r="AG37" s="12">
        <v>2017</v>
      </c>
      <c r="AH37" s="546">
        <f t="shared" ref="AH37:AO37" si="123">AH17/$AP17</f>
        <v>0.23586429725363489</v>
      </c>
      <c r="AI37" s="547">
        <f t="shared" si="123"/>
        <v>0.29111470113085625</v>
      </c>
      <c r="AJ37" s="179">
        <f t="shared" si="123"/>
        <v>0.24835756596661282</v>
      </c>
      <c r="AK37" s="180">
        <f t="shared" si="123"/>
        <v>3.4248788368336024E-2</v>
      </c>
      <c r="AL37" s="181">
        <f t="shared" si="123"/>
        <v>5.1373182552504039E-2</v>
      </c>
      <c r="AM37" s="548">
        <f t="shared" si="123"/>
        <v>6.2681744749596119E-2</v>
      </c>
      <c r="AN37" s="570">
        <f t="shared" si="123"/>
        <v>5.1157781367797521E-2</v>
      </c>
      <c r="AO37" s="183">
        <f t="shared" si="123"/>
        <v>2.5201938610662358E-2</v>
      </c>
      <c r="AP37" s="184">
        <f t="shared" si="37"/>
        <v>0.55662130567711765</v>
      </c>
      <c r="AR37" s="12">
        <v>2017</v>
      </c>
      <c r="AS37" s="546">
        <f t="shared" ref="AS37:AZ37" si="124">AS17/$BA17</f>
        <v>0.32064455861746849</v>
      </c>
      <c r="AT37" s="547">
        <f t="shared" si="124"/>
        <v>0.28024287716020552</v>
      </c>
      <c r="AU37" s="179">
        <f t="shared" si="124"/>
        <v>0.18402615600186828</v>
      </c>
      <c r="AV37" s="180">
        <f t="shared" si="124"/>
        <v>4.1569360112097151E-2</v>
      </c>
      <c r="AW37" s="181">
        <f t="shared" si="124"/>
        <v>3.7832788416627745E-2</v>
      </c>
      <c r="AX37" s="548">
        <f t="shared" si="124"/>
        <v>4.2269967304997665E-2</v>
      </c>
      <c r="AY37" s="570">
        <f t="shared" si="124"/>
        <v>3.3629145259224662E-2</v>
      </c>
      <c r="AZ37" s="183">
        <f t="shared" si="124"/>
        <v>5.9785147127510506E-2</v>
      </c>
      <c r="BA37" s="184">
        <f t="shared" si="40"/>
        <v>0.25669923865475691</v>
      </c>
      <c r="BC37" s="12">
        <v>2017</v>
      </c>
      <c r="BD37" s="565">
        <f t="shared" si="54"/>
        <v>0.26833462867726093</v>
      </c>
      <c r="BE37" s="566">
        <f t="shared" si="41"/>
        <v>0.26335720073421198</v>
      </c>
      <c r="BF37" s="567">
        <f t="shared" si="41"/>
        <v>0.23772592727332859</v>
      </c>
      <c r="BG37" s="568">
        <f t="shared" si="41"/>
        <v>3.7801994278438313E-2</v>
      </c>
      <c r="BH37" s="569">
        <f t="shared" si="41"/>
        <v>5.3147685744051064E-2</v>
      </c>
      <c r="BI37" s="570">
        <f t="shared" si="41"/>
        <v>5.7794387577927341E-2</v>
      </c>
      <c r="BJ37" s="571">
        <f t="shared" si="42"/>
        <v>8.1838175714781802E-2</v>
      </c>
      <c r="BK37" s="184">
        <f t="shared" si="55"/>
        <v>1</v>
      </c>
      <c r="BM37" s="12">
        <v>2017</v>
      </c>
      <c r="BN37" s="546">
        <f t="shared" ref="BN37:BT37" si="125">BN17/$BU17</f>
        <v>0.26146328096455973</v>
      </c>
      <c r="BO37" s="546">
        <f t="shared" si="125"/>
        <v>0.27642035074899524</v>
      </c>
      <c r="BP37" s="546">
        <f t="shared" si="125"/>
        <v>0.23600200949945196</v>
      </c>
      <c r="BQ37" s="546">
        <f t="shared" si="125"/>
        <v>3.918523931311655E-2</v>
      </c>
      <c r="BR37" s="546">
        <f t="shared" si="125"/>
        <v>4.9346912678114724E-2</v>
      </c>
      <c r="BS37" s="546">
        <f t="shared" si="125"/>
        <v>5.514705882352941E-2</v>
      </c>
      <c r="BT37" s="546">
        <f t="shared" si="125"/>
        <v>8.2435147972232364E-2</v>
      </c>
      <c r="BU37" s="184">
        <f t="shared" si="57"/>
        <v>1</v>
      </c>
      <c r="BW37" s="12">
        <v>2017</v>
      </c>
      <c r="BX37" s="546">
        <f t="shared" ref="BX37:CD37" si="126">IFERROR(BX17/$CE17,0)</f>
        <v>0.28637371860200228</v>
      </c>
      <c r="BY37" s="546">
        <f t="shared" si="126"/>
        <v>0.22906300581499911</v>
      </c>
      <c r="BZ37" s="546">
        <f t="shared" si="126"/>
        <v>0.24225166356933037</v>
      </c>
      <c r="CA37" s="546">
        <f t="shared" si="126"/>
        <v>3.4170613272585575E-2</v>
      </c>
      <c r="CB37" s="546">
        <f t="shared" si="126"/>
        <v>6.3125711887776506E-2</v>
      </c>
      <c r="CC37" s="546">
        <f t="shared" si="126"/>
        <v>6.4744319884898982E-2</v>
      </c>
      <c r="CD37" s="546">
        <f t="shared" si="126"/>
        <v>8.0270966968407173E-2</v>
      </c>
      <c r="CE37" s="184">
        <f t="shared" si="59"/>
        <v>1</v>
      </c>
    </row>
    <row r="38" spans="1:83">
      <c r="A38" s="23">
        <v>2018</v>
      </c>
      <c r="B38" s="566">
        <f>BE38</f>
        <v>0.25610409864028461</v>
      </c>
      <c r="C38" s="567">
        <f t="shared" si="45"/>
        <v>0.23867309972870673</v>
      </c>
      <c r="D38" s="568">
        <f t="shared" si="46"/>
        <v>3.7136312685803405E-2</v>
      </c>
      <c r="E38" s="569">
        <f t="shared" si="47"/>
        <v>5.216303588543951E-2</v>
      </c>
      <c r="F38" s="570">
        <f t="shared" si="48"/>
        <v>5.6679175398411226E-2</v>
      </c>
      <c r="G38" s="565">
        <f>BD38</f>
        <v>0.27874977662979028</v>
      </c>
      <c r="H38" s="571">
        <f t="shared" si="49"/>
        <v>8.0494501031564247E-2</v>
      </c>
      <c r="I38" s="572">
        <f t="shared" si="33"/>
        <v>1</v>
      </c>
      <c r="K38" s="12">
        <v>2018</v>
      </c>
      <c r="L38" s="177">
        <f t="shared" si="114"/>
        <v>0.27167438782263403</v>
      </c>
      <c r="M38" s="178">
        <f t="shared" si="100"/>
        <v>0.26472534745201853</v>
      </c>
      <c r="N38" s="179">
        <f t="shared" si="100"/>
        <v>0.23864990072799472</v>
      </c>
      <c r="O38" s="180">
        <f t="shared" si="100"/>
        <v>3.9774983454665784E-2</v>
      </c>
      <c r="P38" s="181">
        <f t="shared" si="100"/>
        <v>4.970218398411648E-2</v>
      </c>
      <c r="Q38" s="182">
        <f t="shared" si="100"/>
        <v>5.3871608206485774E-2</v>
      </c>
      <c r="R38" s="182">
        <f t="shared" ref="R38" si="127">R18/$T18</f>
        <v>4.781601588352085E-2</v>
      </c>
      <c r="S38" s="183">
        <f t="shared" si="100"/>
        <v>3.3785572468563868E-2</v>
      </c>
      <c r="T38" s="184">
        <f t="shared" si="100"/>
        <v>1</v>
      </c>
      <c r="V38" s="12">
        <v>2018</v>
      </c>
      <c r="W38" s="177">
        <f t="shared" ref="W38:AD38" si="128">W18/$AE18</f>
        <v>0.29306049822064056</v>
      </c>
      <c r="X38" s="178">
        <f t="shared" si="128"/>
        <v>0.22342823250296559</v>
      </c>
      <c r="Y38" s="179">
        <f t="shared" si="128"/>
        <v>0.24460260972716488</v>
      </c>
      <c r="Z38" s="180">
        <f t="shared" si="128"/>
        <v>3.368920521945433E-2</v>
      </c>
      <c r="AA38" s="181">
        <f t="shared" si="128"/>
        <v>6.2277580071174378E-2</v>
      </c>
      <c r="AB38" s="182">
        <f t="shared" si="128"/>
        <v>6.3819691577698692E-2</v>
      </c>
      <c r="AC38" s="182">
        <f t="shared" si="128"/>
        <v>4.6678529062870698E-2</v>
      </c>
      <c r="AD38" s="183">
        <f t="shared" si="128"/>
        <v>3.2443653618030845E-2</v>
      </c>
      <c r="AE38" s="184">
        <f t="shared" si="103"/>
        <v>1</v>
      </c>
      <c r="AG38" s="12">
        <v>2018</v>
      </c>
      <c r="AH38" s="546">
        <f t="shared" ref="AH38:AO38" si="129">AH18/$AP18</f>
        <v>0.23969997887175154</v>
      </c>
      <c r="AI38" s="547">
        <f t="shared" si="129"/>
        <v>0.28290724698922459</v>
      </c>
      <c r="AJ38" s="179">
        <f t="shared" si="129"/>
        <v>0.25681386013099516</v>
      </c>
      <c r="AK38" s="180">
        <f t="shared" si="129"/>
        <v>3.3593915064441156E-2</v>
      </c>
      <c r="AL38" s="181">
        <f t="shared" si="129"/>
        <v>5.0496513839002749E-2</v>
      </c>
      <c r="AM38" s="548">
        <f t="shared" si="129"/>
        <v>6.1588844284808791E-2</v>
      </c>
      <c r="AN38" s="570">
        <f t="shared" si="129"/>
        <v>5.017959011197972E-2</v>
      </c>
      <c r="AO38" s="183">
        <f t="shared" si="129"/>
        <v>2.4720050707796325E-2</v>
      </c>
      <c r="AP38" s="184">
        <f t="shared" si="37"/>
        <v>0.5614472123368921</v>
      </c>
      <c r="AR38" s="12">
        <v>2018</v>
      </c>
      <c r="AS38" s="546">
        <f t="shared" ref="AS38:AZ38" si="130">AS18/$BA18</f>
        <v>0.34703651965675514</v>
      </c>
      <c r="AT38" s="547">
        <f t="shared" si="130"/>
        <v>0.26342047495509879</v>
      </c>
      <c r="AU38" s="179">
        <f t="shared" si="130"/>
        <v>0.18459389343444421</v>
      </c>
      <c r="AV38" s="180">
        <f t="shared" si="130"/>
        <v>3.9513071243264815E-2</v>
      </c>
      <c r="AW38" s="181">
        <f t="shared" si="130"/>
        <v>3.6120534823388548E-2</v>
      </c>
      <c r="AX38" s="548">
        <f t="shared" si="130"/>
        <v>4.0311315106765118E-2</v>
      </c>
      <c r="AY38" s="570">
        <f t="shared" si="130"/>
        <v>3.2129315505887046E-2</v>
      </c>
      <c r="AZ38" s="183">
        <f t="shared" si="130"/>
        <v>5.687487527439633E-2</v>
      </c>
      <c r="BA38" s="184">
        <f t="shared" si="40"/>
        <v>0.29721233689205218</v>
      </c>
      <c r="BC38" s="12">
        <v>2018</v>
      </c>
      <c r="BD38" s="565">
        <f t="shared" si="54"/>
        <v>0.27874977662979028</v>
      </c>
      <c r="BE38" s="566">
        <f t="shared" si="41"/>
        <v>0.25610409864028461</v>
      </c>
      <c r="BF38" s="567">
        <f t="shared" si="41"/>
        <v>0.23867309972870673</v>
      </c>
      <c r="BG38" s="568">
        <f t="shared" si="41"/>
        <v>3.7136312685803405E-2</v>
      </c>
      <c r="BH38" s="569">
        <f t="shared" si="41"/>
        <v>5.216303588543951E-2</v>
      </c>
      <c r="BI38" s="570">
        <f t="shared" si="41"/>
        <v>5.6679175398411226E-2</v>
      </c>
      <c r="BJ38" s="571">
        <f t="shared" si="42"/>
        <v>8.0494501031564247E-2</v>
      </c>
      <c r="BK38" s="184">
        <f t="shared" si="55"/>
        <v>1</v>
      </c>
      <c r="BM38" s="12">
        <v>2018</v>
      </c>
      <c r="BN38" s="546">
        <f t="shared" ref="BN38:BT38" si="131">BN18/$BU18</f>
        <v>0.27335167908360741</v>
      </c>
      <c r="BO38" s="546">
        <f t="shared" si="131"/>
        <v>0.26842964852227219</v>
      </c>
      <c r="BP38" s="546">
        <f t="shared" si="131"/>
        <v>0.2364364498735933</v>
      </c>
      <c r="BQ38" s="546">
        <f t="shared" si="131"/>
        <v>3.8436584110790435E-2</v>
      </c>
      <c r="BR38" s="546">
        <f t="shared" si="131"/>
        <v>4.8347763832024521E-2</v>
      </c>
      <c r="BS38" s="546">
        <f t="shared" si="131"/>
        <v>5.3985726111372125E-2</v>
      </c>
      <c r="BT38" s="546">
        <f t="shared" si="131"/>
        <v>8.1012148466340028E-2</v>
      </c>
      <c r="BU38" s="184">
        <f t="shared" si="57"/>
        <v>1</v>
      </c>
      <c r="BW38" s="12">
        <v>2018</v>
      </c>
      <c r="BX38" s="546">
        <f t="shared" ref="BX38:CD38" si="132">IFERROR(BX18/$CE18,0)</f>
        <v>0.29306049822064056</v>
      </c>
      <c r="BY38" s="546">
        <f t="shared" si="132"/>
        <v>0.22342823250296559</v>
      </c>
      <c r="BZ38" s="546">
        <f t="shared" si="132"/>
        <v>0.24460260972716488</v>
      </c>
      <c r="CA38" s="546">
        <f t="shared" si="132"/>
        <v>3.368920521945433E-2</v>
      </c>
      <c r="CB38" s="546">
        <f t="shared" si="132"/>
        <v>6.2277580071174378E-2</v>
      </c>
      <c r="CC38" s="546">
        <f t="shared" si="132"/>
        <v>6.3819691577698692E-2</v>
      </c>
      <c r="CD38" s="546">
        <f t="shared" si="132"/>
        <v>7.9122182680901543E-2</v>
      </c>
      <c r="CE38" s="184">
        <f t="shared" si="59"/>
        <v>0.99999999999999989</v>
      </c>
    </row>
    <row r="39" spans="1:83">
      <c r="A39" s="23">
        <v>2019</v>
      </c>
      <c r="B39" s="566">
        <f>BE39</f>
        <v>0.26405663623998293</v>
      </c>
      <c r="C39" s="567">
        <f t="shared" si="45"/>
        <v>0.23183821962930795</v>
      </c>
      <c r="D39" s="568">
        <f t="shared" si="46"/>
        <v>3.8576883368020842E-2</v>
      </c>
      <c r="E39" s="569">
        <f t="shared" si="47"/>
        <v>5.4882745284410284E-2</v>
      </c>
      <c r="F39" s="570">
        <f t="shared" si="48"/>
        <v>5.8897756510053918E-2</v>
      </c>
      <c r="G39" s="565">
        <f>BD39</f>
        <v>0.26818636207207353</v>
      </c>
      <c r="H39" s="571">
        <f t="shared" si="49"/>
        <v>8.3561396896150511E-2</v>
      </c>
      <c r="I39" s="572">
        <f t="shared" si="33"/>
        <v>0.99999999999999989</v>
      </c>
      <c r="K39" s="12">
        <v>2019</v>
      </c>
      <c r="L39" s="177">
        <f t="shared" si="114"/>
        <v>0.26070064751784827</v>
      </c>
      <c r="M39" s="178">
        <f t="shared" si="100"/>
        <v>0.272389174829819</v>
      </c>
      <c r="N39" s="179">
        <f t="shared" si="100"/>
        <v>0.23367092810891582</v>
      </c>
      <c r="O39" s="180">
        <f t="shared" si="100"/>
        <v>4.1142287896397144E-2</v>
      </c>
      <c r="P39" s="181">
        <f t="shared" si="100"/>
        <v>5.2033870164369916E-2</v>
      </c>
      <c r="Q39" s="182">
        <f t="shared" si="100"/>
        <v>5.57197409928607E-2</v>
      </c>
      <c r="R39" s="182">
        <f t="shared" ref="R39" si="133">R19/$T19</f>
        <v>4.9377386684376558E-2</v>
      </c>
      <c r="S39" s="183">
        <f t="shared" si="100"/>
        <v>3.4965963805412587E-2</v>
      </c>
      <c r="T39" s="184">
        <f t="shared" si="100"/>
        <v>1</v>
      </c>
      <c r="V39" s="12">
        <v>2019</v>
      </c>
      <c r="W39" s="177">
        <f t="shared" ref="W39:AD39" si="134">W19/$AE19</f>
        <v>0.2854747934379116</v>
      </c>
      <c r="X39" s="178">
        <f t="shared" si="134"/>
        <v>0.22865525086815949</v>
      </c>
      <c r="Y39" s="179">
        <f t="shared" si="134"/>
        <v>0.23715722667943959</v>
      </c>
      <c r="Z39" s="180">
        <f t="shared" si="134"/>
        <v>3.496587235061669E-2</v>
      </c>
      <c r="AA39" s="181">
        <f t="shared" si="134"/>
        <v>6.544126451921925E-2</v>
      </c>
      <c r="AB39" s="182">
        <f t="shared" si="134"/>
        <v>6.6219614417435041E-2</v>
      </c>
      <c r="AC39" s="182">
        <f t="shared" si="134"/>
        <v>4.8377439827565559E-2</v>
      </c>
      <c r="AD39" s="183">
        <f t="shared" si="134"/>
        <v>3.3708537899652738E-2</v>
      </c>
      <c r="AE39" s="184">
        <f t="shared" si="103"/>
        <v>1</v>
      </c>
      <c r="AG39" s="12">
        <v>2019</v>
      </c>
      <c r="AH39" s="546">
        <f t="shared" ref="AH39:AO39" si="135">AH19/$AP19</f>
        <v>0.23463039122640514</v>
      </c>
      <c r="AI39" s="547">
        <f t="shared" si="135"/>
        <v>0.29294527048402402</v>
      </c>
      <c r="AJ39" s="179">
        <f t="shared" si="135"/>
        <v>0.24264473267953179</v>
      </c>
      <c r="AK39" s="180">
        <f t="shared" si="135"/>
        <v>3.4904566065591058E-2</v>
      </c>
      <c r="AL39" s="181">
        <f t="shared" si="135"/>
        <v>5.3147738057576714E-2</v>
      </c>
      <c r="AM39" s="548">
        <f t="shared" si="135"/>
        <v>6.3903827902562479E-2</v>
      </c>
      <c r="AN39" s="570">
        <f t="shared" si="135"/>
        <v>5.2093219445323212E-2</v>
      </c>
      <c r="AO39" s="183">
        <f t="shared" si="135"/>
        <v>2.5730254138985553E-2</v>
      </c>
      <c r="AP39" s="184">
        <f t="shared" si="37"/>
        <v>0.56777631421386665</v>
      </c>
      <c r="AR39" s="12">
        <v>2019</v>
      </c>
      <c r="AS39" s="546">
        <f t="shared" ref="AS39:AZ39" si="136">AS19/$BA19</f>
        <v>0.32217750476593943</v>
      </c>
      <c r="AT39" s="547">
        <f t="shared" si="136"/>
        <v>0.27811904257572551</v>
      </c>
      <c r="AU39" s="179">
        <f t="shared" si="136"/>
        <v>0.17962296123702606</v>
      </c>
      <c r="AV39" s="180">
        <f t="shared" si="136"/>
        <v>4.2363905952128786E-2</v>
      </c>
      <c r="AW39" s="181">
        <f t="shared" si="136"/>
        <v>3.9186613005719129E-2</v>
      </c>
      <c r="AX39" s="548">
        <f t="shared" si="136"/>
        <v>4.321118407117136E-2</v>
      </c>
      <c r="AY39" s="570">
        <f t="shared" si="136"/>
        <v>3.4314763821224316E-2</v>
      </c>
      <c r="AZ39" s="183">
        <f t="shared" si="136"/>
        <v>6.1004024571065449E-2</v>
      </c>
      <c r="BA39" s="184">
        <f t="shared" si="40"/>
        <v>0.28266075919051609</v>
      </c>
      <c r="BC39" s="12">
        <v>2019</v>
      </c>
      <c r="BD39" s="565">
        <f t="shared" si="54"/>
        <v>0.26818636207207353</v>
      </c>
      <c r="BE39" s="566">
        <f t="shared" si="41"/>
        <v>0.26405663623998293</v>
      </c>
      <c r="BF39" s="567">
        <f t="shared" si="41"/>
        <v>0.23183821962930795</v>
      </c>
      <c r="BG39" s="568">
        <f t="shared" si="41"/>
        <v>3.8576883368020842E-2</v>
      </c>
      <c r="BH39" s="569">
        <f t="shared" si="41"/>
        <v>5.4882745284410284E-2</v>
      </c>
      <c r="BI39" s="570">
        <f t="shared" si="41"/>
        <v>5.8897756510053918E-2</v>
      </c>
      <c r="BJ39" s="571">
        <f t="shared" si="42"/>
        <v>8.3561396896150511E-2</v>
      </c>
      <c r="BK39" s="184">
        <f t="shared" si="55"/>
        <v>0.99999999999999989</v>
      </c>
      <c r="BM39" s="12">
        <v>2019</v>
      </c>
      <c r="BN39" s="546">
        <f t="shared" ref="BN39:BT39" si="137">BN19/$BU19</f>
        <v>0.26167106658543737</v>
      </c>
      <c r="BO39" s="546">
        <f t="shared" si="137"/>
        <v>0.27739795573004805</v>
      </c>
      <c r="BP39" s="546">
        <f t="shared" si="137"/>
        <v>0.2298337056341524</v>
      </c>
      <c r="BQ39" s="546">
        <f t="shared" si="137"/>
        <v>3.993772422662966E-2</v>
      </c>
      <c r="BR39" s="546">
        <f t="shared" si="137"/>
        <v>5.0903675624450008E-2</v>
      </c>
      <c r="BS39" s="546">
        <f t="shared" si="137"/>
        <v>5.6138450777318979E-2</v>
      </c>
      <c r="BT39" s="546">
        <f t="shared" si="137"/>
        <v>8.411742142196349E-2</v>
      </c>
      <c r="BU39" s="184">
        <f t="shared" si="57"/>
        <v>1</v>
      </c>
      <c r="BW39" s="12">
        <v>2019</v>
      </c>
      <c r="BX39" s="546">
        <f t="shared" ref="BX39:CD39" si="138">IFERROR(BX19/$CE19,0)</f>
        <v>0.2854747934379116</v>
      </c>
      <c r="BY39" s="546">
        <f t="shared" si="138"/>
        <v>0.22865525086815949</v>
      </c>
      <c r="BZ39" s="546">
        <f t="shared" si="138"/>
        <v>0.23715722667943959</v>
      </c>
      <c r="CA39" s="546">
        <f t="shared" si="138"/>
        <v>3.496587235061669E-2</v>
      </c>
      <c r="CB39" s="546">
        <f t="shared" si="138"/>
        <v>6.544126451921925E-2</v>
      </c>
      <c r="CC39" s="546">
        <f t="shared" si="138"/>
        <v>6.6219614417435041E-2</v>
      </c>
      <c r="CD39" s="546">
        <f t="shared" si="138"/>
        <v>8.2085977727218304E-2</v>
      </c>
      <c r="CE39" s="184">
        <f t="shared" si="59"/>
        <v>1</v>
      </c>
    </row>
    <row r="40" spans="1:83">
      <c r="A40" s="23">
        <v>2020</v>
      </c>
      <c r="B40" s="566">
        <f>BE40</f>
        <v>0.2730982352586882</v>
      </c>
      <c r="C40" s="567">
        <f t="shared" si="45"/>
        <v>0.23262362223694513</v>
      </c>
      <c r="D40" s="568">
        <f t="shared" si="46"/>
        <v>3.7658856833102453E-2</v>
      </c>
      <c r="E40" s="569">
        <f t="shared" si="47"/>
        <v>5.3454195024995481E-2</v>
      </c>
      <c r="F40" s="570">
        <f t="shared" si="48"/>
        <v>5.750466783111486E-2</v>
      </c>
      <c r="G40" s="565">
        <f>BD40</f>
        <v>0.26403360838402701</v>
      </c>
      <c r="H40" s="571">
        <f t="shared" si="49"/>
        <v>8.1626814431126904E-2</v>
      </c>
      <c r="I40" s="572">
        <f t="shared" si="33"/>
        <v>1</v>
      </c>
      <c r="K40" s="12">
        <v>2020</v>
      </c>
      <c r="L40" s="177">
        <f t="shared" si="114"/>
        <v>0.2561862730178055</v>
      </c>
      <c r="M40" s="178">
        <f t="shared" si="100"/>
        <v>0.28144879013848728</v>
      </c>
      <c r="N40" s="179">
        <f t="shared" si="100"/>
        <v>0.23466747831380308</v>
      </c>
      <c r="O40" s="180">
        <f t="shared" si="100"/>
        <v>4.017653325216862E-2</v>
      </c>
      <c r="P40" s="181">
        <f t="shared" si="100"/>
        <v>5.0707654847055243E-2</v>
      </c>
      <c r="Q40" s="182">
        <f t="shared" si="100"/>
        <v>5.4420940496119313E-2</v>
      </c>
      <c r="R40" s="182">
        <f t="shared" ref="R40" si="139">R20/$T20</f>
        <v>4.8272713437832904E-2</v>
      </c>
      <c r="S40" s="183">
        <f t="shared" si="100"/>
        <v>3.4119616496728046E-2</v>
      </c>
      <c r="T40" s="184">
        <f t="shared" si="100"/>
        <v>1</v>
      </c>
      <c r="V40" s="12">
        <v>2020</v>
      </c>
      <c r="W40" s="177">
        <f t="shared" ref="W40:AD40" si="140">W20/$AE20</f>
        <v>0.28319902859035212</v>
      </c>
      <c r="X40" s="178">
        <f t="shared" si="140"/>
        <v>0.23622916436692792</v>
      </c>
      <c r="Y40" s="179">
        <f t="shared" si="140"/>
        <v>0.2383265261066343</v>
      </c>
      <c r="Z40" s="180">
        <f t="shared" si="140"/>
        <v>3.4054531405232367E-2</v>
      </c>
      <c r="AA40" s="181">
        <f t="shared" si="140"/>
        <v>6.3638370681090628E-2</v>
      </c>
      <c r="AB40" s="182">
        <f t="shared" si="140"/>
        <v>6.452147036096699E-2</v>
      </c>
      <c r="AC40" s="182">
        <f t="shared" si="140"/>
        <v>4.7190639143393311E-2</v>
      </c>
      <c r="AD40" s="183">
        <f t="shared" si="140"/>
        <v>3.2840269345402365E-2</v>
      </c>
      <c r="AE40" s="184">
        <f t="shared" si="103"/>
        <v>1</v>
      </c>
      <c r="AG40" s="12">
        <v>2020</v>
      </c>
      <c r="AH40" s="546">
        <f t="shared" ref="AH40:AO40" si="141">AH20/$AP20</f>
        <v>0.23230961779147011</v>
      </c>
      <c r="AI40" s="547">
        <f t="shared" si="141"/>
        <v>0.30143448541446038</v>
      </c>
      <c r="AJ40" s="179">
        <f t="shared" si="141"/>
        <v>0.2429960527582555</v>
      </c>
      <c r="AK40" s="180">
        <f t="shared" si="141"/>
        <v>3.3888514489265428E-2</v>
      </c>
      <c r="AL40" s="181">
        <f t="shared" si="141"/>
        <v>5.1506691056127853E-2</v>
      </c>
      <c r="AM40" s="548">
        <f t="shared" si="141"/>
        <v>6.2193126022913256E-2</v>
      </c>
      <c r="AN40" s="570">
        <f t="shared" si="141"/>
        <v>5.0640223356118223E-2</v>
      </c>
      <c r="AO40" s="183">
        <f t="shared" si="141"/>
        <v>2.5031289111389236E-2</v>
      </c>
      <c r="AP40" s="184">
        <f t="shared" si="37"/>
        <v>0.57329727342973835</v>
      </c>
      <c r="AR40" s="12">
        <v>2020</v>
      </c>
      <c r="AS40" s="546">
        <f t="shared" ref="AS40:AZ40" si="142">AS20/$BA20</f>
        <v>0.31155977830562154</v>
      </c>
      <c r="AT40" s="547">
        <f t="shared" si="142"/>
        <v>0.29275534441805223</v>
      </c>
      <c r="AU40" s="179">
        <f t="shared" si="142"/>
        <v>0.17755344418052257</v>
      </c>
      <c r="AV40" s="180">
        <f t="shared" si="142"/>
        <v>4.1963578780680917E-2</v>
      </c>
      <c r="AW40" s="181">
        <f t="shared" si="142"/>
        <v>3.8796516231195566E-2</v>
      </c>
      <c r="AX40" s="548">
        <f t="shared" si="142"/>
        <v>4.2755344418052253E-2</v>
      </c>
      <c r="AY40" s="570">
        <f t="shared" si="142"/>
        <v>3.4045922406967535E-2</v>
      </c>
      <c r="AZ40" s="183">
        <f t="shared" si="142"/>
        <v>6.0570071258907364E-2</v>
      </c>
      <c r="BA40" s="184">
        <f t="shared" si="40"/>
        <v>0.27883872392096259</v>
      </c>
      <c r="BC40" s="12">
        <v>2020</v>
      </c>
      <c r="BD40" s="565">
        <f t="shared" si="54"/>
        <v>0.26403360838402701</v>
      </c>
      <c r="BE40" s="566">
        <f t="shared" si="41"/>
        <v>0.2730982352586882</v>
      </c>
      <c r="BF40" s="567">
        <f t="shared" si="41"/>
        <v>0.23262362223694513</v>
      </c>
      <c r="BG40" s="568">
        <f t="shared" si="41"/>
        <v>3.7658856833102453E-2</v>
      </c>
      <c r="BH40" s="569">
        <f t="shared" si="41"/>
        <v>5.3454195024995481E-2</v>
      </c>
      <c r="BI40" s="570">
        <f t="shared" si="41"/>
        <v>5.750466783111486E-2</v>
      </c>
      <c r="BJ40" s="571">
        <f t="shared" si="42"/>
        <v>8.1626814431126904E-2</v>
      </c>
      <c r="BK40" s="184">
        <f t="shared" si="55"/>
        <v>1</v>
      </c>
      <c r="BM40" s="12">
        <v>2020</v>
      </c>
      <c r="BN40" s="546">
        <f t="shared" ref="BN40:BT41" si="143">BN20/$BU20</f>
        <v>0.25684350022777158</v>
      </c>
      <c r="BO40" s="546">
        <f t="shared" si="143"/>
        <v>0.28693005342278544</v>
      </c>
      <c r="BP40" s="546">
        <f t="shared" si="143"/>
        <v>0.23048411810991012</v>
      </c>
      <c r="BQ40" s="546">
        <f t="shared" si="143"/>
        <v>3.901105727419555E-2</v>
      </c>
      <c r="BR40" s="546">
        <f t="shared" si="143"/>
        <v>4.9633494844080008E-2</v>
      </c>
      <c r="BS40" s="546">
        <f t="shared" si="143"/>
        <v>5.4872240858077605E-2</v>
      </c>
      <c r="BT40" s="546">
        <f t="shared" si="143"/>
        <v>8.2225535263179689E-2</v>
      </c>
      <c r="BU40" s="184">
        <f t="shared" si="57"/>
        <v>0.99999999999999989</v>
      </c>
      <c r="BW40" s="12">
        <v>2020</v>
      </c>
      <c r="BX40" s="546">
        <f t="shared" ref="BX40:CD40" si="144">IFERROR(BX20/$CE20,0)</f>
        <v>0.28319902859035212</v>
      </c>
      <c r="BY40" s="546">
        <f t="shared" si="144"/>
        <v>0.23622916436692792</v>
      </c>
      <c r="BZ40" s="546">
        <f t="shared" si="144"/>
        <v>0.2383265261066343</v>
      </c>
      <c r="CA40" s="546">
        <f t="shared" si="144"/>
        <v>3.4054531405232367E-2</v>
      </c>
      <c r="CB40" s="546">
        <f t="shared" si="144"/>
        <v>6.3638370681090628E-2</v>
      </c>
      <c r="CC40" s="546">
        <f t="shared" si="144"/>
        <v>6.452147036096699E-2</v>
      </c>
      <c r="CD40" s="546">
        <f t="shared" si="144"/>
        <v>8.0030908488795668E-2</v>
      </c>
      <c r="CE40" s="184">
        <f t="shared" si="59"/>
        <v>1</v>
      </c>
    </row>
    <row r="41" spans="1:83">
      <c r="A41" s="23">
        <v>2021</v>
      </c>
      <c r="B41" s="566">
        <f>BE41</f>
        <v>0.28021821560781141</v>
      </c>
      <c r="C41" s="567">
        <f t="shared" si="45"/>
        <v>0.2259190983618842</v>
      </c>
      <c r="D41" s="568">
        <f t="shared" si="46"/>
        <v>3.7858009981565577E-2</v>
      </c>
      <c r="E41" s="569">
        <f t="shared" si="47"/>
        <v>5.3999370531900542E-2</v>
      </c>
      <c r="F41" s="570">
        <f t="shared" si="48"/>
        <v>5.77761791286363E-2</v>
      </c>
      <c r="G41" s="565">
        <f>BD41</f>
        <v>0.26217346342340719</v>
      </c>
      <c r="H41" s="571">
        <f t="shared" si="49"/>
        <v>8.2055662964794746E-2</v>
      </c>
      <c r="I41" s="572">
        <f t="shared" si="33"/>
        <v>0.99999999999999989</v>
      </c>
      <c r="K41" s="12">
        <v>2021</v>
      </c>
      <c r="L41" s="177">
        <f t="shared" si="114"/>
        <v>0.25431194937337137</v>
      </c>
      <c r="M41" s="178">
        <f t="shared" si="100"/>
        <v>0.288776523141829</v>
      </c>
      <c r="N41" s="179">
        <f t="shared" si="100"/>
        <v>0.22797493485544112</v>
      </c>
      <c r="O41" s="180">
        <f t="shared" si="100"/>
        <v>4.0358605286015634E-2</v>
      </c>
      <c r="P41" s="181">
        <f t="shared" si="100"/>
        <v>5.1216031765727761E-2</v>
      </c>
      <c r="Q41" s="182">
        <f t="shared" si="100"/>
        <v>5.4659387020722171E-2</v>
      </c>
      <c r="R41" s="182">
        <f t="shared" ref="R41" si="145">R21/$T21</f>
        <v>4.8424122099516069E-2</v>
      </c>
      <c r="S41" s="183">
        <f t="shared" si="100"/>
        <v>3.4278446457376849E-2</v>
      </c>
      <c r="T41" s="184">
        <f t="shared" si="100"/>
        <v>1</v>
      </c>
      <c r="V41" s="12">
        <v>2021</v>
      </c>
      <c r="W41" s="177">
        <f t="shared" ref="W41:AD41" si="146">W21/$AE21</f>
        <v>0.2798360655737705</v>
      </c>
      <c r="X41" s="178">
        <f t="shared" si="146"/>
        <v>0.24295081967213114</v>
      </c>
      <c r="Y41" s="179">
        <f t="shared" si="146"/>
        <v>0.23218579234972678</v>
      </c>
      <c r="Z41" s="180">
        <f t="shared" si="146"/>
        <v>3.4426229508196723E-2</v>
      </c>
      <c r="AA41" s="181">
        <f t="shared" si="146"/>
        <v>6.4644808743169399E-2</v>
      </c>
      <c r="AB41" s="182">
        <f t="shared" si="146"/>
        <v>6.5191256830601091E-2</v>
      </c>
      <c r="AC41" s="182">
        <f t="shared" si="146"/>
        <v>4.7595628415300545E-2</v>
      </c>
      <c r="AD41" s="183">
        <f t="shared" si="146"/>
        <v>3.3169398907103825E-2</v>
      </c>
      <c r="AE41" s="184">
        <f t="shared" si="103"/>
        <v>1</v>
      </c>
      <c r="AG41" s="12">
        <v>2021</v>
      </c>
      <c r="AH41" s="546">
        <f t="shared" ref="AH41:AO41" si="147">AH21/$AP21</f>
        <v>0.22886792452830187</v>
      </c>
      <c r="AI41" s="547">
        <f t="shared" si="147"/>
        <v>0.31018867924528304</v>
      </c>
      <c r="AJ41" s="179">
        <f t="shared" si="147"/>
        <v>0.23594339622641508</v>
      </c>
      <c r="AK41" s="180">
        <f t="shared" si="147"/>
        <v>3.4150943396226416E-2</v>
      </c>
      <c r="AL41" s="181">
        <f t="shared" si="147"/>
        <v>5.2169811320754718E-2</v>
      </c>
      <c r="AM41" s="548">
        <f t="shared" si="147"/>
        <v>6.254716981132076E-2</v>
      </c>
      <c r="AN41" s="570">
        <f t="shared" si="147"/>
        <v>5.0943396226415097E-2</v>
      </c>
      <c r="AO41" s="183">
        <f t="shared" si="147"/>
        <v>2.5188679245283018E-2</v>
      </c>
      <c r="AP41" s="184">
        <f t="shared" si="37"/>
        <v>0.57923497267759561</v>
      </c>
      <c r="AR41" s="12">
        <v>2021</v>
      </c>
      <c r="AS41" s="546">
        <f t="shared" ref="AS41:AZ41" si="148">AS21/$BA21</f>
        <v>0.31286916055127978</v>
      </c>
      <c r="AT41" s="547">
        <f t="shared" si="148"/>
        <v>0.29604438875962052</v>
      </c>
      <c r="AU41" s="179">
        <f t="shared" si="148"/>
        <v>0.17451226060497585</v>
      </c>
      <c r="AV41" s="180">
        <f t="shared" si="148"/>
        <v>4.1703955611240379E-2</v>
      </c>
      <c r="AW41" s="181">
        <f t="shared" si="148"/>
        <v>3.8661177734025415E-2</v>
      </c>
      <c r="AX41" s="548">
        <f t="shared" si="148"/>
        <v>4.2419903347055664E-2</v>
      </c>
      <c r="AY41" s="570">
        <f t="shared" si="148"/>
        <v>3.3828530517272241E-2</v>
      </c>
      <c r="AZ41" s="183">
        <f t="shared" si="148"/>
        <v>5.9960622874530162E-2</v>
      </c>
      <c r="BA41" s="184">
        <f t="shared" si="40"/>
        <v>0.30530054644808741</v>
      </c>
      <c r="BC41" s="12">
        <v>2021</v>
      </c>
      <c r="BD41" s="565">
        <f>(L41*$T21+W41*$AE21+AH41*$AP21+AS41*$BA21)/$I21</f>
        <v>0.26217346342340719</v>
      </c>
      <c r="BE41" s="566">
        <f t="shared" si="41"/>
        <v>0.28021821560781141</v>
      </c>
      <c r="BF41" s="567">
        <f t="shared" si="41"/>
        <v>0.2259190983618842</v>
      </c>
      <c r="BG41" s="568">
        <f t="shared" si="41"/>
        <v>3.7858009981565577E-2</v>
      </c>
      <c r="BH41" s="569">
        <f t="shared" si="41"/>
        <v>5.3999370531900542E-2</v>
      </c>
      <c r="BI41" s="570">
        <f t="shared" si="41"/>
        <v>5.77761791286363E-2</v>
      </c>
      <c r="BJ41" s="571">
        <f t="shared" si="42"/>
        <v>8.2055662964794746E-2</v>
      </c>
      <c r="BK41" s="184">
        <f t="shared" si="55"/>
        <v>0.99999999999999989</v>
      </c>
      <c r="BM41" s="12">
        <v>2021</v>
      </c>
      <c r="BN41" s="546">
        <f>BN21/$BU21</f>
        <v>0.25549842017223218</v>
      </c>
      <c r="BO41" s="546">
        <f t="shared" si="143"/>
        <v>0.29430229436424837</v>
      </c>
      <c r="BP41" s="546">
        <f t="shared" si="143"/>
        <v>0.22355079197901823</v>
      </c>
      <c r="BQ41" s="546">
        <f t="shared" si="143"/>
        <v>3.9154947029304256E-2</v>
      </c>
      <c r="BR41" s="546">
        <f t="shared" si="143"/>
        <v>4.9976250955124632E-2</v>
      </c>
      <c r="BS41" s="546">
        <f t="shared" si="143"/>
        <v>5.4973876050637097E-2</v>
      </c>
      <c r="BT41" s="546">
        <f t="shared" si="143"/>
        <v>8.254341944943519E-2</v>
      </c>
      <c r="BU41" s="184">
        <f t="shared" si="57"/>
        <v>0.99999999999999989</v>
      </c>
      <c r="BW41" s="12">
        <v>2021</v>
      </c>
      <c r="BX41" s="546">
        <f t="shared" ref="BX41:CD41" si="149">IFERROR(BX21/$CE21,0)</f>
        <v>0.2798360655737705</v>
      </c>
      <c r="BY41" s="546">
        <f t="shared" si="149"/>
        <v>0.24295081967213114</v>
      </c>
      <c r="BZ41" s="546">
        <f t="shared" si="149"/>
        <v>0.23218579234972678</v>
      </c>
      <c r="CA41" s="546">
        <f t="shared" si="149"/>
        <v>3.4426229508196723E-2</v>
      </c>
      <c r="CB41" s="546">
        <f t="shared" si="149"/>
        <v>6.4644808743169399E-2</v>
      </c>
      <c r="CC41" s="546">
        <f t="shared" si="149"/>
        <v>6.5191256830601091E-2</v>
      </c>
      <c r="CD41" s="546">
        <f t="shared" si="149"/>
        <v>8.076502732240437E-2</v>
      </c>
      <c r="CE41" s="184">
        <f t="shared" si="59"/>
        <v>1</v>
      </c>
    </row>
    <row r="43" spans="1:83" s="92" customFormat="1">
      <c r="A43" s="176" t="s">
        <v>525</v>
      </c>
    </row>
    <row r="44" spans="1:83">
      <c r="A44" s="48" t="s">
        <v>562</v>
      </c>
      <c r="I44" s="24"/>
      <c r="K44" s="48" t="s">
        <v>563</v>
      </c>
      <c r="V44" s="48" t="s">
        <v>564</v>
      </c>
      <c r="AG44" s="48" t="s">
        <v>585</v>
      </c>
      <c r="AR44" s="564" t="s">
        <v>1005</v>
      </c>
      <c r="BC44" s="48" t="s">
        <v>565</v>
      </c>
      <c r="BM44" s="564" t="s">
        <v>1006</v>
      </c>
      <c r="BW44" s="564" t="s">
        <v>1007</v>
      </c>
    </row>
    <row r="45" spans="1:83" ht="20.25" customHeight="1">
      <c r="A45" s="2" t="s">
        <v>496</v>
      </c>
      <c r="B45" s="152" t="s">
        <v>567</v>
      </c>
      <c r="C45" s="153" t="s">
        <v>568</v>
      </c>
      <c r="D45" s="154" t="s">
        <v>569</v>
      </c>
      <c r="E45" s="155" t="s">
        <v>570</v>
      </c>
      <c r="F45" s="156" t="s">
        <v>571</v>
      </c>
      <c r="G45" s="151" t="s">
        <v>566</v>
      </c>
      <c r="H45" s="553" t="s">
        <v>572</v>
      </c>
      <c r="I45" s="157" t="s">
        <v>500</v>
      </c>
      <c r="K45" s="2" t="s">
        <v>496</v>
      </c>
      <c r="L45" s="151" t="s">
        <v>566</v>
      </c>
      <c r="M45" s="152" t="s">
        <v>567</v>
      </c>
      <c r="N45" s="153" t="s">
        <v>568</v>
      </c>
      <c r="O45" s="154" t="s">
        <v>569</v>
      </c>
      <c r="P45" s="155" t="s">
        <v>570</v>
      </c>
      <c r="Q45" s="156" t="s">
        <v>571</v>
      </c>
      <c r="R45" s="553" t="s">
        <v>987</v>
      </c>
      <c r="S45" s="157" t="s">
        <v>572</v>
      </c>
      <c r="T45" s="158" t="s">
        <v>500</v>
      </c>
      <c r="V45" s="2" t="s">
        <v>496</v>
      </c>
      <c r="W45" s="151" t="s">
        <v>566</v>
      </c>
      <c r="X45" s="152" t="s">
        <v>567</v>
      </c>
      <c r="Y45" s="153" t="s">
        <v>568</v>
      </c>
      <c r="Z45" s="154" t="s">
        <v>569</v>
      </c>
      <c r="AA45" s="155" t="s">
        <v>570</v>
      </c>
      <c r="AB45" s="156" t="s">
        <v>571</v>
      </c>
      <c r="AC45" s="553" t="s">
        <v>987</v>
      </c>
      <c r="AD45" s="157" t="s">
        <v>572</v>
      </c>
      <c r="AE45" s="158" t="s">
        <v>500</v>
      </c>
      <c r="AG45" s="2" t="s">
        <v>496</v>
      </c>
      <c r="AH45" s="151" t="s">
        <v>566</v>
      </c>
      <c r="AI45" s="152" t="s">
        <v>567</v>
      </c>
      <c r="AJ45" s="153" t="s">
        <v>568</v>
      </c>
      <c r="AK45" s="154" t="s">
        <v>569</v>
      </c>
      <c r="AL45" s="155" t="s">
        <v>570</v>
      </c>
      <c r="AM45" s="156" t="s">
        <v>571</v>
      </c>
      <c r="AN45" s="553" t="s">
        <v>987</v>
      </c>
      <c r="AO45" s="157" t="s">
        <v>572</v>
      </c>
      <c r="AP45" s="158" t="s">
        <v>500</v>
      </c>
      <c r="AR45" s="554" t="s">
        <v>481</v>
      </c>
      <c r="AS45" s="549" t="s">
        <v>988</v>
      </c>
      <c r="AT45" s="550" t="s">
        <v>989</v>
      </c>
      <c r="AU45" s="551" t="s">
        <v>990</v>
      </c>
      <c r="AV45" s="555" t="s">
        <v>991</v>
      </c>
      <c r="AW45" s="552" t="s">
        <v>992</v>
      </c>
      <c r="AX45" s="553" t="s">
        <v>993</v>
      </c>
      <c r="AY45" s="553" t="s">
        <v>987</v>
      </c>
      <c r="AZ45" s="556" t="s">
        <v>994</v>
      </c>
      <c r="BA45" s="554" t="s">
        <v>500</v>
      </c>
      <c r="BC45" s="2" t="s">
        <v>496</v>
      </c>
      <c r="BD45" s="151" t="s">
        <v>566</v>
      </c>
      <c r="BE45" s="152" t="s">
        <v>567</v>
      </c>
      <c r="BF45" s="153" t="s">
        <v>568</v>
      </c>
      <c r="BG45" s="154" t="s">
        <v>569</v>
      </c>
      <c r="BH45" s="155" t="s">
        <v>570</v>
      </c>
      <c r="BI45" s="156" t="s">
        <v>571</v>
      </c>
      <c r="BJ45" s="157" t="s">
        <v>572</v>
      </c>
      <c r="BK45" s="158" t="s">
        <v>500</v>
      </c>
      <c r="BM45" s="554" t="s">
        <v>496</v>
      </c>
      <c r="BN45" s="549" t="s">
        <v>997</v>
      </c>
      <c r="BO45" s="550" t="s">
        <v>998</v>
      </c>
      <c r="BP45" s="551" t="s">
        <v>999</v>
      </c>
      <c r="BQ45" s="555" t="s">
        <v>1000</v>
      </c>
      <c r="BR45" s="552" t="s">
        <v>1001</v>
      </c>
      <c r="BS45" s="553" t="s">
        <v>1002</v>
      </c>
      <c r="BT45" s="553" t="s">
        <v>1003</v>
      </c>
      <c r="BU45" s="554" t="s">
        <v>500</v>
      </c>
      <c r="BV45" s="557"/>
      <c r="BW45" s="554" t="s">
        <v>496</v>
      </c>
      <c r="BX45" s="549" t="s">
        <v>997</v>
      </c>
      <c r="BY45" s="550" t="s">
        <v>998</v>
      </c>
      <c r="BZ45" s="551" t="s">
        <v>999</v>
      </c>
      <c r="CA45" s="555" t="s">
        <v>1000</v>
      </c>
      <c r="CB45" s="552" t="s">
        <v>1001</v>
      </c>
      <c r="CC45" s="553" t="s">
        <v>1002</v>
      </c>
      <c r="CD45" s="553" t="s">
        <v>1003</v>
      </c>
      <c r="CE45" s="554" t="s">
        <v>500</v>
      </c>
    </row>
    <row r="46" spans="1:83">
      <c r="A46" s="12">
        <v>2006</v>
      </c>
      <c r="B46" s="160">
        <f>BE46</f>
        <v>13285</v>
      </c>
      <c r="C46" s="161">
        <f>BF46</f>
        <v>3535</v>
      </c>
      <c r="D46" s="175">
        <f>BG46</f>
        <v>4633</v>
      </c>
      <c r="E46" s="163">
        <f>BH46</f>
        <v>6372</v>
      </c>
      <c r="F46" s="164">
        <f>BI46</f>
        <v>5366</v>
      </c>
      <c r="G46" s="159">
        <f>BD46</f>
        <v>3579</v>
      </c>
      <c r="H46" s="164">
        <f t="shared" ref="H46:I46" si="150">BJ46</f>
        <v>2157</v>
      </c>
      <c r="I46" s="165">
        <f t="shared" si="150"/>
        <v>38927</v>
      </c>
      <c r="K46" s="12">
        <v>2006</v>
      </c>
      <c r="L46" s="159">
        <v>1592</v>
      </c>
      <c r="M46" s="160">
        <v>6122</v>
      </c>
      <c r="N46" s="161">
        <v>2123</v>
      </c>
      <c r="O46" s="175">
        <v>2148</v>
      </c>
      <c r="P46" s="163">
        <v>2830</v>
      </c>
      <c r="Q46" s="164">
        <v>2311</v>
      </c>
      <c r="R46" s="164"/>
      <c r="S46" s="165">
        <v>890</v>
      </c>
      <c r="T46" s="561">
        <f t="shared" ref="T46:T50" si="151">SUM(L46:S46)</f>
        <v>18016</v>
      </c>
      <c r="V46" s="12">
        <v>2006</v>
      </c>
      <c r="W46" s="159">
        <f>G159+AH46</f>
        <v>1400</v>
      </c>
      <c r="X46" s="160">
        <f>B159+AI46</f>
        <v>5006</v>
      </c>
      <c r="Y46" s="161">
        <f>C159+AJ46</f>
        <v>1241</v>
      </c>
      <c r="Z46" s="175">
        <f>D159+AK46</f>
        <v>1760</v>
      </c>
      <c r="AA46" s="163">
        <f>E159+AL46</f>
        <v>2656</v>
      </c>
      <c r="AB46" s="164">
        <f>F159+AM46</f>
        <v>2211</v>
      </c>
      <c r="AC46" s="164"/>
      <c r="AD46" s="165">
        <f>H159+AO46</f>
        <v>903</v>
      </c>
      <c r="AE46" s="561">
        <f t="shared" ref="AE46:AE50" si="152">SUM(W46:AD46)</f>
        <v>15177</v>
      </c>
      <c r="AG46" s="3">
        <v>2006</v>
      </c>
      <c r="AH46" s="185">
        <v>587</v>
      </c>
      <c r="AI46" s="170">
        <v>2157</v>
      </c>
      <c r="AJ46" s="188">
        <v>171</v>
      </c>
      <c r="AK46" s="171">
        <v>725</v>
      </c>
      <c r="AL46" s="172">
        <v>886</v>
      </c>
      <c r="AM46" s="173">
        <v>844</v>
      </c>
      <c r="AN46" s="173"/>
      <c r="AO46" s="165">
        <v>364</v>
      </c>
      <c r="AP46" s="561">
        <f t="shared" ref="AP46:AP50" si="153">SUM(AH46:AO46)</f>
        <v>5734</v>
      </c>
      <c r="AR46" s="3">
        <v>2006</v>
      </c>
      <c r="AS46" s="169"/>
      <c r="AT46" s="170"/>
      <c r="AU46" s="161"/>
      <c r="AV46" s="171"/>
      <c r="AW46" s="172"/>
      <c r="AX46" s="173"/>
      <c r="AY46" s="173"/>
      <c r="AZ46" s="165"/>
      <c r="BA46" s="562">
        <v>0</v>
      </c>
      <c r="BC46" s="12">
        <v>2006</v>
      </c>
      <c r="BD46" s="573">
        <f t="shared" ref="BD46:BD61" si="154">L46+W46+AH46+AS46</f>
        <v>3579</v>
      </c>
      <c r="BE46" s="550">
        <f t="shared" ref="BE46:BE61" si="155">M46+X46+AI46+AT46</f>
        <v>13285</v>
      </c>
      <c r="BF46" s="551">
        <f t="shared" ref="BF46:BF61" si="156">N46+Y46+AJ46+AU46</f>
        <v>3535</v>
      </c>
      <c r="BG46" s="555">
        <f t="shared" ref="BG46:BG61" si="157">O46+Z46+AK46+AV46</f>
        <v>4633</v>
      </c>
      <c r="BH46" s="552">
        <f t="shared" ref="BH46:BH61" si="158">P46+AA46+AL46+AW46</f>
        <v>6372</v>
      </c>
      <c r="BI46" s="553">
        <f t="shared" ref="BI46:BI61" si="159">Q46+AB46+AM46+AX46</f>
        <v>5366</v>
      </c>
      <c r="BJ46" s="556">
        <f t="shared" ref="BJ46:BJ61" si="160">R46+AC46+AN46+AY46+S46+AD46+AO46+AZ46</f>
        <v>2157</v>
      </c>
      <c r="BK46" s="563">
        <f>SUM(BD46:BJ46)</f>
        <v>38927</v>
      </c>
      <c r="BM46" s="12">
        <v>2006</v>
      </c>
      <c r="BN46" s="549">
        <f>L46+AH46+AS46</f>
        <v>2179</v>
      </c>
      <c r="BO46" s="550">
        <f t="shared" ref="BO46:BO61" si="161">M46+AI46+AT46</f>
        <v>8279</v>
      </c>
      <c r="BP46" s="551">
        <f t="shared" ref="BP46:BP61" si="162">N46+AJ46+AU46</f>
        <v>2294</v>
      </c>
      <c r="BQ46" s="555">
        <f t="shared" ref="BQ46:BQ61" si="163">O46+AK46+AV46</f>
        <v>2873</v>
      </c>
      <c r="BR46" s="552">
        <f t="shared" ref="BR46:BR61" si="164">P46+AL46+AW46</f>
        <v>3716</v>
      </c>
      <c r="BS46" s="553">
        <f t="shared" ref="BS46:BS61" si="165">Q46+AM46+AX46</f>
        <v>3155</v>
      </c>
      <c r="BT46" s="553">
        <f>R46+AY46+AN46+S46+AZ46+AO46</f>
        <v>1254</v>
      </c>
      <c r="BU46" s="563">
        <f t="shared" ref="BU46:BU61" si="166">SUM(BN46:BT46)</f>
        <v>23750</v>
      </c>
      <c r="BW46" s="12">
        <v>2006</v>
      </c>
      <c r="BX46" s="549">
        <f>W46</f>
        <v>1400</v>
      </c>
      <c r="BY46" s="550">
        <f t="shared" ref="BY46:BY61" si="167">X46</f>
        <v>5006</v>
      </c>
      <c r="BZ46" s="551">
        <f t="shared" ref="BZ46:BZ61" si="168">Y46</f>
        <v>1241</v>
      </c>
      <c r="CA46" s="555">
        <f t="shared" ref="CA46:CA61" si="169">Z46</f>
        <v>1760</v>
      </c>
      <c r="CB46" s="552">
        <f t="shared" ref="CB46:CB61" si="170">AA46</f>
        <v>2656</v>
      </c>
      <c r="CC46" s="553">
        <f t="shared" ref="CC46:CC61" si="171">AB46</f>
        <v>2211</v>
      </c>
      <c r="CD46" s="553">
        <f>AC46+AD46</f>
        <v>903</v>
      </c>
      <c r="CE46" s="563">
        <f t="shared" ref="CE46:CE61" si="172">SUM(BX46:CD46)</f>
        <v>15177</v>
      </c>
    </row>
    <row r="47" spans="1:83">
      <c r="A47" s="12">
        <v>2007</v>
      </c>
      <c r="B47" s="160">
        <f>BE47</f>
        <v>13329</v>
      </c>
      <c r="C47" s="161">
        <f t="shared" ref="C47:C61" si="173">BF47</f>
        <v>3888</v>
      </c>
      <c r="D47" s="175">
        <f t="shared" ref="D47:D61" si="174">BG47</f>
        <v>4509</v>
      </c>
      <c r="E47" s="163">
        <f t="shared" ref="E47:E61" si="175">BH47</f>
        <v>6618</v>
      </c>
      <c r="F47" s="164">
        <f t="shared" ref="F47:F61" si="176">BI47</f>
        <v>5701</v>
      </c>
      <c r="G47" s="159">
        <f>BD47</f>
        <v>3866</v>
      </c>
      <c r="H47" s="164">
        <f t="shared" ref="H47:H61" si="177">BJ47</f>
        <v>2262</v>
      </c>
      <c r="I47" s="165">
        <f t="shared" ref="I47:I61" si="178">BK47</f>
        <v>40173</v>
      </c>
      <c r="K47" s="12">
        <v>2007</v>
      </c>
      <c r="L47" s="159">
        <v>1698</v>
      </c>
      <c r="M47" s="160">
        <v>6176</v>
      </c>
      <c r="N47" s="161">
        <v>2271</v>
      </c>
      <c r="O47" s="175">
        <v>2100</v>
      </c>
      <c r="P47" s="163">
        <v>2962</v>
      </c>
      <c r="Q47" s="164">
        <v>2469</v>
      </c>
      <c r="R47" s="164"/>
      <c r="S47" s="165">
        <v>939</v>
      </c>
      <c r="T47" s="561">
        <f t="shared" si="151"/>
        <v>18615</v>
      </c>
      <c r="V47" s="12">
        <v>2007</v>
      </c>
      <c r="W47" s="159">
        <f>G160+AH47</f>
        <v>1509</v>
      </c>
      <c r="X47" s="160">
        <f>B160+AI47</f>
        <v>4963</v>
      </c>
      <c r="Y47" s="161">
        <f>C160+AJ47</f>
        <v>1399</v>
      </c>
      <c r="Z47" s="175">
        <f>D160+AK47</f>
        <v>1709</v>
      </c>
      <c r="AA47" s="163">
        <f>E160+AL47</f>
        <v>2741</v>
      </c>
      <c r="AB47" s="164">
        <f>F160+AM47</f>
        <v>2323</v>
      </c>
      <c r="AC47" s="164"/>
      <c r="AD47" s="165">
        <f>H160+AO47</f>
        <v>943</v>
      </c>
      <c r="AE47" s="561">
        <f t="shared" si="152"/>
        <v>15587</v>
      </c>
      <c r="AG47" s="3">
        <v>2007</v>
      </c>
      <c r="AH47" s="185">
        <v>659</v>
      </c>
      <c r="AI47" s="170">
        <v>2190</v>
      </c>
      <c r="AJ47" s="188">
        <v>218</v>
      </c>
      <c r="AK47" s="171">
        <v>700</v>
      </c>
      <c r="AL47" s="172">
        <v>915</v>
      </c>
      <c r="AM47" s="173">
        <v>909</v>
      </c>
      <c r="AN47" s="173"/>
      <c r="AO47" s="165">
        <v>380</v>
      </c>
      <c r="AP47" s="561">
        <f t="shared" si="153"/>
        <v>5971</v>
      </c>
      <c r="AR47" s="3">
        <v>2007</v>
      </c>
      <c r="AS47" s="169"/>
      <c r="AT47" s="170"/>
      <c r="AU47" s="161"/>
      <c r="AV47" s="171"/>
      <c r="AW47" s="172"/>
      <c r="AX47" s="173"/>
      <c r="AY47" s="173"/>
      <c r="AZ47" s="165"/>
      <c r="BA47" s="562">
        <v>0</v>
      </c>
      <c r="BC47" s="12">
        <v>2007</v>
      </c>
      <c r="BD47" s="573">
        <f t="shared" si="154"/>
        <v>3866</v>
      </c>
      <c r="BE47" s="550">
        <f t="shared" si="155"/>
        <v>13329</v>
      </c>
      <c r="BF47" s="551">
        <f t="shared" si="156"/>
        <v>3888</v>
      </c>
      <c r="BG47" s="555">
        <f t="shared" si="157"/>
        <v>4509</v>
      </c>
      <c r="BH47" s="552">
        <f t="shared" si="158"/>
        <v>6618</v>
      </c>
      <c r="BI47" s="553">
        <f t="shared" si="159"/>
        <v>5701</v>
      </c>
      <c r="BJ47" s="556">
        <f t="shared" si="160"/>
        <v>2262</v>
      </c>
      <c r="BK47" s="563">
        <f t="shared" ref="BK47:BK61" si="179">SUM(BD47:BJ47)</f>
        <v>40173</v>
      </c>
      <c r="BM47" s="12">
        <v>2007</v>
      </c>
      <c r="BN47" s="549">
        <f t="shared" ref="BN47:BN61" si="180">L47+AH47+AS47</f>
        <v>2357</v>
      </c>
      <c r="BO47" s="550">
        <f t="shared" si="161"/>
        <v>8366</v>
      </c>
      <c r="BP47" s="551">
        <f t="shared" si="162"/>
        <v>2489</v>
      </c>
      <c r="BQ47" s="555">
        <f t="shared" si="163"/>
        <v>2800</v>
      </c>
      <c r="BR47" s="552">
        <f t="shared" si="164"/>
        <v>3877</v>
      </c>
      <c r="BS47" s="553">
        <f t="shared" si="165"/>
        <v>3378</v>
      </c>
      <c r="BT47" s="553">
        <f t="shared" ref="BT47:BT61" si="181">R47+AY47+AN47+S47+AZ47+AO47</f>
        <v>1319</v>
      </c>
      <c r="BU47" s="563">
        <f t="shared" si="166"/>
        <v>24586</v>
      </c>
      <c r="BW47" s="12">
        <v>2007</v>
      </c>
      <c r="BX47" s="549">
        <f t="shared" ref="BX47:BX61" si="182">W47</f>
        <v>1509</v>
      </c>
      <c r="BY47" s="550">
        <f t="shared" si="167"/>
        <v>4963</v>
      </c>
      <c r="BZ47" s="551">
        <f t="shared" si="168"/>
        <v>1399</v>
      </c>
      <c r="CA47" s="555">
        <f t="shared" si="169"/>
        <v>1709</v>
      </c>
      <c r="CB47" s="552">
        <f t="shared" si="170"/>
        <v>2741</v>
      </c>
      <c r="CC47" s="553">
        <f t="shared" si="171"/>
        <v>2323</v>
      </c>
      <c r="CD47" s="553">
        <f t="shared" ref="CD47:CD61" si="183">AC47+AD47</f>
        <v>943</v>
      </c>
      <c r="CE47" s="563">
        <f t="shared" si="172"/>
        <v>15587</v>
      </c>
    </row>
    <row r="48" spans="1:83">
      <c r="A48" s="12">
        <v>2008</v>
      </c>
      <c r="B48" s="160">
        <f>BE48</f>
        <v>13292</v>
      </c>
      <c r="C48" s="161">
        <f t="shared" si="173"/>
        <v>4249</v>
      </c>
      <c r="D48" s="175">
        <f t="shared" si="174"/>
        <v>4353</v>
      </c>
      <c r="E48" s="163">
        <f t="shared" si="175"/>
        <v>6806</v>
      </c>
      <c r="F48" s="164">
        <f t="shared" si="176"/>
        <v>6021</v>
      </c>
      <c r="G48" s="159">
        <f>BD48</f>
        <v>4162</v>
      </c>
      <c r="H48" s="164">
        <f t="shared" si="177"/>
        <v>2352</v>
      </c>
      <c r="I48" s="165">
        <f t="shared" si="178"/>
        <v>41235</v>
      </c>
      <c r="K48" s="12">
        <v>2008</v>
      </c>
      <c r="L48" s="159">
        <v>1812</v>
      </c>
      <c r="M48" s="160">
        <v>6240</v>
      </c>
      <c r="N48" s="161">
        <v>2431</v>
      </c>
      <c r="O48" s="175">
        <v>2055</v>
      </c>
      <c r="P48" s="163">
        <v>3101</v>
      </c>
      <c r="Q48" s="164">
        <v>2646</v>
      </c>
      <c r="R48" s="164"/>
      <c r="S48" s="165">
        <v>992</v>
      </c>
      <c r="T48" s="561">
        <f t="shared" si="151"/>
        <v>19277</v>
      </c>
      <c r="V48" s="12">
        <v>2008</v>
      </c>
      <c r="W48" s="159">
        <f>G161+AH48</f>
        <v>1606</v>
      </c>
      <c r="X48" s="160">
        <f>B161+AI48</f>
        <v>4836</v>
      </c>
      <c r="Y48" s="161">
        <f>C161+AJ48</f>
        <v>1541</v>
      </c>
      <c r="Z48" s="175">
        <f>D161+AK48</f>
        <v>1625</v>
      </c>
      <c r="AA48" s="163">
        <f>E161+AL48</f>
        <v>2765</v>
      </c>
      <c r="AB48" s="164">
        <f>F161+AM48</f>
        <v>2398</v>
      </c>
      <c r="AC48" s="164"/>
      <c r="AD48" s="165">
        <f>H161+AO48</f>
        <v>965</v>
      </c>
      <c r="AE48" s="561">
        <f t="shared" si="152"/>
        <v>15736</v>
      </c>
      <c r="AG48" s="3">
        <v>2008</v>
      </c>
      <c r="AH48" s="185">
        <v>744</v>
      </c>
      <c r="AI48" s="170">
        <v>2216</v>
      </c>
      <c r="AJ48" s="188">
        <v>277</v>
      </c>
      <c r="AK48" s="171">
        <v>673</v>
      </c>
      <c r="AL48" s="172">
        <v>940</v>
      </c>
      <c r="AM48" s="173">
        <v>977</v>
      </c>
      <c r="AN48" s="173"/>
      <c r="AO48" s="165">
        <v>395</v>
      </c>
      <c r="AP48" s="561">
        <f t="shared" si="153"/>
        <v>6222</v>
      </c>
      <c r="AR48" s="3">
        <v>2008</v>
      </c>
      <c r="AS48" s="169"/>
      <c r="AT48" s="170"/>
      <c r="AU48" s="161"/>
      <c r="AV48" s="171"/>
      <c r="AW48" s="172"/>
      <c r="AX48" s="173"/>
      <c r="AY48" s="173"/>
      <c r="AZ48" s="165"/>
      <c r="BA48" s="562">
        <v>0</v>
      </c>
      <c r="BC48" s="12">
        <v>2008</v>
      </c>
      <c r="BD48" s="549">
        <f t="shared" si="154"/>
        <v>4162</v>
      </c>
      <c r="BE48" s="550">
        <f t="shared" si="155"/>
        <v>13292</v>
      </c>
      <c r="BF48" s="551">
        <f t="shared" si="156"/>
        <v>4249</v>
      </c>
      <c r="BG48" s="555">
        <f t="shared" si="157"/>
        <v>4353</v>
      </c>
      <c r="BH48" s="552">
        <f t="shared" si="158"/>
        <v>6806</v>
      </c>
      <c r="BI48" s="553">
        <f t="shared" si="159"/>
        <v>6021</v>
      </c>
      <c r="BJ48" s="556">
        <f t="shared" si="160"/>
        <v>2352</v>
      </c>
      <c r="BK48" s="563">
        <f t="shared" si="179"/>
        <v>41235</v>
      </c>
      <c r="BM48" s="12">
        <v>2008</v>
      </c>
      <c r="BN48" s="549">
        <f t="shared" si="180"/>
        <v>2556</v>
      </c>
      <c r="BO48" s="550">
        <f t="shared" si="161"/>
        <v>8456</v>
      </c>
      <c r="BP48" s="551">
        <f t="shared" si="162"/>
        <v>2708</v>
      </c>
      <c r="BQ48" s="555">
        <f t="shared" si="163"/>
        <v>2728</v>
      </c>
      <c r="BR48" s="552">
        <f t="shared" si="164"/>
        <v>4041</v>
      </c>
      <c r="BS48" s="553">
        <f t="shared" si="165"/>
        <v>3623</v>
      </c>
      <c r="BT48" s="553">
        <f t="shared" si="181"/>
        <v>1387</v>
      </c>
      <c r="BU48" s="563">
        <f t="shared" si="166"/>
        <v>25499</v>
      </c>
      <c r="BW48" s="12">
        <v>2008</v>
      </c>
      <c r="BX48" s="549">
        <f t="shared" si="182"/>
        <v>1606</v>
      </c>
      <c r="BY48" s="550">
        <f t="shared" si="167"/>
        <v>4836</v>
      </c>
      <c r="BZ48" s="551">
        <f t="shared" si="168"/>
        <v>1541</v>
      </c>
      <c r="CA48" s="555">
        <f t="shared" si="169"/>
        <v>1625</v>
      </c>
      <c r="CB48" s="552">
        <f t="shared" si="170"/>
        <v>2765</v>
      </c>
      <c r="CC48" s="553">
        <f t="shared" si="171"/>
        <v>2398</v>
      </c>
      <c r="CD48" s="553">
        <f t="shared" si="183"/>
        <v>965</v>
      </c>
      <c r="CE48" s="563">
        <f t="shared" si="172"/>
        <v>15736</v>
      </c>
    </row>
    <row r="49" spans="1:83">
      <c r="A49" s="12">
        <v>2009</v>
      </c>
      <c r="B49" s="160">
        <f>BE49</f>
        <v>14145</v>
      </c>
      <c r="C49" s="161">
        <f t="shared" si="173"/>
        <v>4095</v>
      </c>
      <c r="D49" s="175">
        <f t="shared" si="174"/>
        <v>4482</v>
      </c>
      <c r="E49" s="163">
        <f t="shared" si="175"/>
        <v>6907</v>
      </c>
      <c r="F49" s="164">
        <f t="shared" si="176"/>
        <v>6297</v>
      </c>
      <c r="G49" s="159">
        <f>BD49</f>
        <v>4176</v>
      </c>
      <c r="H49" s="164">
        <f t="shared" si="177"/>
        <v>2702</v>
      </c>
      <c r="I49" s="168">
        <f t="shared" si="178"/>
        <v>42804</v>
      </c>
      <c r="K49" s="12">
        <v>2009</v>
      </c>
      <c r="L49" s="159">
        <v>1807</v>
      </c>
      <c r="M49" s="160">
        <v>6740</v>
      </c>
      <c r="N49" s="161">
        <v>2389</v>
      </c>
      <c r="O49" s="175">
        <v>2167</v>
      </c>
      <c r="P49" s="163">
        <v>3134</v>
      </c>
      <c r="Q49" s="164">
        <v>2764</v>
      </c>
      <c r="R49" s="164"/>
      <c r="S49" s="168">
        <v>1158</v>
      </c>
      <c r="T49" s="561">
        <f t="shared" si="151"/>
        <v>20159</v>
      </c>
      <c r="V49" s="12">
        <v>2009</v>
      </c>
      <c r="W49" s="159">
        <f>G162+AH49</f>
        <v>1660</v>
      </c>
      <c r="X49" s="160">
        <f>B162+AI49</f>
        <v>5103</v>
      </c>
      <c r="Y49" s="161">
        <f>C162+AJ49</f>
        <v>1479</v>
      </c>
      <c r="Z49" s="175">
        <f>D162+AK49</f>
        <v>1639</v>
      </c>
      <c r="AA49" s="163">
        <f>E162+AL49</f>
        <v>2818</v>
      </c>
      <c r="AB49" s="164">
        <f>F162+AM49</f>
        <v>2519</v>
      </c>
      <c r="AC49" s="164"/>
      <c r="AD49" s="165">
        <f>H162+AO49</f>
        <v>1094</v>
      </c>
      <c r="AE49" s="561">
        <f t="shared" si="152"/>
        <v>16312</v>
      </c>
      <c r="AG49" s="3">
        <v>2009</v>
      </c>
      <c r="AH49" s="185">
        <v>709</v>
      </c>
      <c r="AI49" s="170">
        <v>2302</v>
      </c>
      <c r="AJ49" s="188">
        <v>227</v>
      </c>
      <c r="AK49" s="171">
        <v>676</v>
      </c>
      <c r="AL49" s="172">
        <v>955</v>
      </c>
      <c r="AM49" s="174">
        <v>1014</v>
      </c>
      <c r="AN49" s="174"/>
      <c r="AO49" s="165">
        <v>450</v>
      </c>
      <c r="AP49" s="561">
        <f t="shared" si="153"/>
        <v>6333</v>
      </c>
      <c r="AR49" s="3">
        <v>2009</v>
      </c>
      <c r="AS49" s="169"/>
      <c r="AT49" s="170"/>
      <c r="AU49" s="161"/>
      <c r="AV49" s="171"/>
      <c r="AW49" s="172"/>
      <c r="AX49" s="174"/>
      <c r="AY49" s="174"/>
      <c r="AZ49" s="165"/>
      <c r="BA49" s="562">
        <v>0</v>
      </c>
      <c r="BC49" s="12">
        <v>2009</v>
      </c>
      <c r="BD49" s="549">
        <f t="shared" si="154"/>
        <v>4176</v>
      </c>
      <c r="BE49" s="550">
        <f t="shared" si="155"/>
        <v>14145</v>
      </c>
      <c r="BF49" s="551">
        <f t="shared" si="156"/>
        <v>4095</v>
      </c>
      <c r="BG49" s="555">
        <f t="shared" si="157"/>
        <v>4482</v>
      </c>
      <c r="BH49" s="552">
        <f t="shared" si="158"/>
        <v>6907</v>
      </c>
      <c r="BI49" s="553">
        <f t="shared" si="159"/>
        <v>6297</v>
      </c>
      <c r="BJ49" s="556">
        <f t="shared" si="160"/>
        <v>2702</v>
      </c>
      <c r="BK49" s="563">
        <f t="shared" si="179"/>
        <v>42804</v>
      </c>
      <c r="BM49" s="12">
        <v>2009</v>
      </c>
      <c r="BN49" s="549">
        <f t="shared" si="180"/>
        <v>2516</v>
      </c>
      <c r="BO49" s="550">
        <f t="shared" si="161"/>
        <v>9042</v>
      </c>
      <c r="BP49" s="551">
        <f t="shared" si="162"/>
        <v>2616</v>
      </c>
      <c r="BQ49" s="555">
        <f t="shared" si="163"/>
        <v>2843</v>
      </c>
      <c r="BR49" s="552">
        <f t="shared" si="164"/>
        <v>4089</v>
      </c>
      <c r="BS49" s="553">
        <f t="shared" si="165"/>
        <v>3778</v>
      </c>
      <c r="BT49" s="553">
        <f t="shared" si="181"/>
        <v>1608</v>
      </c>
      <c r="BU49" s="563">
        <f t="shared" si="166"/>
        <v>26492</v>
      </c>
      <c r="BW49" s="12">
        <v>2009</v>
      </c>
      <c r="BX49" s="549">
        <f t="shared" si="182"/>
        <v>1660</v>
      </c>
      <c r="BY49" s="550">
        <f t="shared" si="167"/>
        <v>5103</v>
      </c>
      <c r="BZ49" s="551">
        <f t="shared" si="168"/>
        <v>1479</v>
      </c>
      <c r="CA49" s="555">
        <f t="shared" si="169"/>
        <v>1639</v>
      </c>
      <c r="CB49" s="552">
        <f t="shared" si="170"/>
        <v>2818</v>
      </c>
      <c r="CC49" s="553">
        <f t="shared" si="171"/>
        <v>2519</v>
      </c>
      <c r="CD49" s="553">
        <f t="shared" si="183"/>
        <v>1094</v>
      </c>
      <c r="CE49" s="563">
        <f t="shared" si="172"/>
        <v>16312</v>
      </c>
    </row>
    <row r="50" spans="1:83">
      <c r="A50" s="12">
        <v>2010</v>
      </c>
      <c r="B50" s="160">
        <f>BE50</f>
        <v>12104</v>
      </c>
      <c r="C50" s="161">
        <f t="shared" si="173"/>
        <v>3353</v>
      </c>
      <c r="D50" s="175">
        <f t="shared" si="174"/>
        <v>3770</v>
      </c>
      <c r="E50" s="163">
        <f t="shared" si="175"/>
        <v>5747</v>
      </c>
      <c r="F50" s="164">
        <f t="shared" si="176"/>
        <v>5412</v>
      </c>
      <c r="G50" s="159">
        <f>BD50</f>
        <v>3450</v>
      </c>
      <c r="H50" s="164">
        <f t="shared" si="177"/>
        <v>2551</v>
      </c>
      <c r="I50" s="168">
        <f t="shared" si="178"/>
        <v>36387</v>
      </c>
      <c r="K50" s="12">
        <v>2010</v>
      </c>
      <c r="L50" s="159">
        <v>1779</v>
      </c>
      <c r="M50" s="160">
        <v>6949</v>
      </c>
      <c r="N50" s="161">
        <v>2228</v>
      </c>
      <c r="O50" s="175">
        <v>2178</v>
      </c>
      <c r="P50" s="163">
        <v>3003</v>
      </c>
      <c r="Q50" s="164">
        <v>2815</v>
      </c>
      <c r="R50" s="164"/>
      <c r="S50" s="168">
        <v>1330</v>
      </c>
      <c r="T50" s="561">
        <f t="shared" si="151"/>
        <v>20282</v>
      </c>
      <c r="V50" s="12">
        <v>2010</v>
      </c>
      <c r="W50" s="159">
        <v>1004</v>
      </c>
      <c r="X50" s="160">
        <v>2870</v>
      </c>
      <c r="Y50" s="161">
        <v>947</v>
      </c>
      <c r="Z50" s="175">
        <v>947</v>
      </c>
      <c r="AA50" s="163">
        <v>1818</v>
      </c>
      <c r="AB50" s="164">
        <v>1588</v>
      </c>
      <c r="AC50" s="164"/>
      <c r="AD50" s="165">
        <v>717</v>
      </c>
      <c r="AE50" s="561">
        <f t="shared" si="152"/>
        <v>9891</v>
      </c>
      <c r="AG50" s="3">
        <v>2010</v>
      </c>
      <c r="AH50" s="185">
        <v>667</v>
      </c>
      <c r="AI50" s="170">
        <v>2285</v>
      </c>
      <c r="AJ50" s="188">
        <v>178</v>
      </c>
      <c r="AK50" s="171">
        <v>645</v>
      </c>
      <c r="AL50" s="172">
        <v>926</v>
      </c>
      <c r="AM50" s="174">
        <v>1009</v>
      </c>
      <c r="AN50" s="174"/>
      <c r="AO50" s="165">
        <v>504</v>
      </c>
      <c r="AP50" s="561">
        <f t="shared" si="153"/>
        <v>6214</v>
      </c>
      <c r="AR50" s="3">
        <v>2010</v>
      </c>
      <c r="AS50" s="169"/>
      <c r="AT50" s="170"/>
      <c r="AU50" s="161"/>
      <c r="AV50" s="171"/>
      <c r="AW50" s="172"/>
      <c r="AX50" s="174"/>
      <c r="AY50" s="174"/>
      <c r="AZ50" s="165"/>
      <c r="BA50" s="562">
        <v>0</v>
      </c>
      <c r="BC50" s="12">
        <v>2010</v>
      </c>
      <c r="BD50" s="549">
        <f t="shared" si="154"/>
        <v>3450</v>
      </c>
      <c r="BE50" s="550">
        <f t="shared" si="155"/>
        <v>12104</v>
      </c>
      <c r="BF50" s="551">
        <f t="shared" si="156"/>
        <v>3353</v>
      </c>
      <c r="BG50" s="555">
        <f t="shared" si="157"/>
        <v>3770</v>
      </c>
      <c r="BH50" s="552">
        <f t="shared" si="158"/>
        <v>5747</v>
      </c>
      <c r="BI50" s="553">
        <f t="shared" si="159"/>
        <v>5412</v>
      </c>
      <c r="BJ50" s="556">
        <f t="shared" si="160"/>
        <v>2551</v>
      </c>
      <c r="BK50" s="563">
        <f t="shared" si="179"/>
        <v>36387</v>
      </c>
      <c r="BM50" s="12">
        <v>2010</v>
      </c>
      <c r="BN50" s="549">
        <f t="shared" si="180"/>
        <v>2446</v>
      </c>
      <c r="BO50" s="550">
        <f t="shared" si="161"/>
        <v>9234</v>
      </c>
      <c r="BP50" s="551">
        <f t="shared" si="162"/>
        <v>2406</v>
      </c>
      <c r="BQ50" s="555">
        <f t="shared" si="163"/>
        <v>2823</v>
      </c>
      <c r="BR50" s="552">
        <f t="shared" si="164"/>
        <v>3929</v>
      </c>
      <c r="BS50" s="553">
        <f t="shared" si="165"/>
        <v>3824</v>
      </c>
      <c r="BT50" s="553">
        <f t="shared" si="181"/>
        <v>1834</v>
      </c>
      <c r="BU50" s="563">
        <f t="shared" si="166"/>
        <v>26496</v>
      </c>
      <c r="BW50" s="12">
        <v>2010</v>
      </c>
      <c r="BX50" s="549">
        <f t="shared" si="182"/>
        <v>1004</v>
      </c>
      <c r="BY50" s="550">
        <f t="shared" si="167"/>
        <v>2870</v>
      </c>
      <c r="BZ50" s="551">
        <f t="shared" si="168"/>
        <v>947</v>
      </c>
      <c r="CA50" s="555">
        <f t="shared" si="169"/>
        <v>947</v>
      </c>
      <c r="CB50" s="552">
        <f t="shared" si="170"/>
        <v>1818</v>
      </c>
      <c r="CC50" s="553">
        <f t="shared" si="171"/>
        <v>1588</v>
      </c>
      <c r="CD50" s="553">
        <f t="shared" si="183"/>
        <v>717</v>
      </c>
      <c r="CE50" s="563">
        <f t="shared" si="172"/>
        <v>9891</v>
      </c>
    </row>
    <row r="51" spans="1:83">
      <c r="A51" s="12">
        <v>2011</v>
      </c>
      <c r="B51" s="160">
        <f>BE51</f>
        <v>13423</v>
      </c>
      <c r="C51" s="161">
        <f t="shared" si="173"/>
        <v>3710</v>
      </c>
      <c r="D51" s="175">
        <f t="shared" si="174"/>
        <v>4042</v>
      </c>
      <c r="E51" s="163">
        <f t="shared" si="175"/>
        <v>5858</v>
      </c>
      <c r="F51" s="164">
        <f t="shared" si="176"/>
        <v>5908</v>
      </c>
      <c r="G51" s="159">
        <f>BD51</f>
        <v>3743</v>
      </c>
      <c r="H51" s="164">
        <f t="shared" si="177"/>
        <v>3187</v>
      </c>
      <c r="I51" s="168">
        <f t="shared" si="178"/>
        <v>39871</v>
      </c>
      <c r="K51" s="12">
        <v>2011</v>
      </c>
      <c r="L51" s="159">
        <v>1808</v>
      </c>
      <c r="M51" s="160">
        <v>7201</v>
      </c>
      <c r="N51" s="161">
        <v>2086</v>
      </c>
      <c r="O51" s="175">
        <v>2204</v>
      </c>
      <c r="P51" s="163">
        <v>2891</v>
      </c>
      <c r="Q51" s="164">
        <v>2945</v>
      </c>
      <c r="R51" s="164"/>
      <c r="S51" s="168">
        <v>1604</v>
      </c>
      <c r="T51" s="561">
        <f>SUM(L51:S51)</f>
        <v>20739</v>
      </c>
      <c r="V51" s="12">
        <v>2011</v>
      </c>
      <c r="W51" s="159">
        <v>1055</v>
      </c>
      <c r="X51" s="160">
        <v>2931</v>
      </c>
      <c r="Y51" s="161">
        <v>1118</v>
      </c>
      <c r="Z51" s="175">
        <v>942</v>
      </c>
      <c r="AA51" s="163">
        <v>1763</v>
      </c>
      <c r="AB51" s="164">
        <v>1642</v>
      </c>
      <c r="AC51" s="164"/>
      <c r="AD51" s="165">
        <v>817</v>
      </c>
      <c r="AE51" s="561">
        <f>SUM(W51:AD51)</f>
        <v>10268</v>
      </c>
      <c r="AG51" s="3">
        <v>2011</v>
      </c>
      <c r="AH51" s="185">
        <v>613</v>
      </c>
      <c r="AI51" s="170">
        <v>2163</v>
      </c>
      <c r="AJ51" s="188">
        <v>133</v>
      </c>
      <c r="AK51" s="171">
        <v>585</v>
      </c>
      <c r="AL51" s="172">
        <v>857</v>
      </c>
      <c r="AM51" s="174">
        <v>1025</v>
      </c>
      <c r="AN51" s="174"/>
      <c r="AO51" s="165">
        <v>556</v>
      </c>
      <c r="AP51" s="561">
        <f>SUM(AH51:AO51)</f>
        <v>5932</v>
      </c>
      <c r="AR51" s="554">
        <v>2011</v>
      </c>
      <c r="AS51" s="549">
        <v>267</v>
      </c>
      <c r="AT51" s="550">
        <v>1128</v>
      </c>
      <c r="AU51" s="551">
        <v>373</v>
      </c>
      <c r="AV51" s="555">
        <v>311</v>
      </c>
      <c r="AW51" s="552">
        <v>347</v>
      </c>
      <c r="AX51" s="553">
        <v>296</v>
      </c>
      <c r="AY51" s="553"/>
      <c r="AZ51" s="556">
        <v>210</v>
      </c>
      <c r="BA51" s="562">
        <f t="shared" ref="BA51:BA61" si="184">SUM(AS51:AZ51)</f>
        <v>2932</v>
      </c>
      <c r="BC51" s="12">
        <v>2011</v>
      </c>
      <c r="BD51" s="549">
        <f t="shared" si="154"/>
        <v>3743</v>
      </c>
      <c r="BE51" s="550">
        <f t="shared" si="155"/>
        <v>13423</v>
      </c>
      <c r="BF51" s="551">
        <f t="shared" si="156"/>
        <v>3710</v>
      </c>
      <c r="BG51" s="555">
        <f t="shared" si="157"/>
        <v>4042</v>
      </c>
      <c r="BH51" s="552">
        <f t="shared" si="158"/>
        <v>5858</v>
      </c>
      <c r="BI51" s="553">
        <f t="shared" si="159"/>
        <v>5908</v>
      </c>
      <c r="BJ51" s="556">
        <f t="shared" si="160"/>
        <v>3187</v>
      </c>
      <c r="BK51" s="563">
        <f t="shared" si="179"/>
        <v>39871</v>
      </c>
      <c r="BM51" s="12">
        <v>2011</v>
      </c>
      <c r="BN51" s="549">
        <f t="shared" si="180"/>
        <v>2688</v>
      </c>
      <c r="BO51" s="550">
        <f t="shared" si="161"/>
        <v>10492</v>
      </c>
      <c r="BP51" s="551">
        <f t="shared" si="162"/>
        <v>2592</v>
      </c>
      <c r="BQ51" s="555">
        <f t="shared" si="163"/>
        <v>3100</v>
      </c>
      <c r="BR51" s="552">
        <f t="shared" si="164"/>
        <v>4095</v>
      </c>
      <c r="BS51" s="553">
        <f t="shared" si="165"/>
        <v>4266</v>
      </c>
      <c r="BT51" s="553">
        <f t="shared" si="181"/>
        <v>2370</v>
      </c>
      <c r="BU51" s="563">
        <f t="shared" si="166"/>
        <v>29603</v>
      </c>
      <c r="BW51" s="12">
        <v>2011</v>
      </c>
      <c r="BX51" s="549">
        <f t="shared" si="182"/>
        <v>1055</v>
      </c>
      <c r="BY51" s="550">
        <f t="shared" si="167"/>
        <v>2931</v>
      </c>
      <c r="BZ51" s="551">
        <f t="shared" si="168"/>
        <v>1118</v>
      </c>
      <c r="CA51" s="555">
        <f t="shared" si="169"/>
        <v>942</v>
      </c>
      <c r="CB51" s="552">
        <f t="shared" si="170"/>
        <v>1763</v>
      </c>
      <c r="CC51" s="553">
        <f t="shared" si="171"/>
        <v>1642</v>
      </c>
      <c r="CD51" s="553">
        <f t="shared" si="183"/>
        <v>817</v>
      </c>
      <c r="CE51" s="563">
        <f t="shared" si="172"/>
        <v>10268</v>
      </c>
    </row>
    <row r="52" spans="1:83">
      <c r="A52" s="12">
        <v>2012</v>
      </c>
      <c r="B52" s="160">
        <f>BE52</f>
        <v>13846</v>
      </c>
      <c r="C52" s="161">
        <f t="shared" si="173"/>
        <v>3441</v>
      </c>
      <c r="D52" s="175">
        <f t="shared" si="174"/>
        <v>4086</v>
      </c>
      <c r="E52" s="163">
        <f t="shared" si="175"/>
        <v>5665</v>
      </c>
      <c r="F52" s="164">
        <f t="shared" si="176"/>
        <v>6357</v>
      </c>
      <c r="G52" s="159">
        <f>BD52</f>
        <v>3876</v>
      </c>
      <c r="H52" s="164">
        <f t="shared" si="177"/>
        <v>3916</v>
      </c>
      <c r="I52" s="168">
        <f t="shared" si="178"/>
        <v>41187</v>
      </c>
      <c r="K52" s="12">
        <v>2012</v>
      </c>
      <c r="L52" s="159">
        <v>1847</v>
      </c>
      <c r="M52" s="160">
        <v>7364</v>
      </c>
      <c r="N52" s="161">
        <v>1925</v>
      </c>
      <c r="O52" s="175">
        <v>2208</v>
      </c>
      <c r="P52" s="163">
        <v>2743</v>
      </c>
      <c r="Q52" s="164">
        <v>3099</v>
      </c>
      <c r="R52" s="164"/>
      <c r="S52" s="168">
        <v>2007</v>
      </c>
      <c r="T52" s="561">
        <f t="shared" ref="T52:T61" si="185">SUM(L52:S52)</f>
        <v>21193</v>
      </c>
      <c r="V52" s="12">
        <v>2012</v>
      </c>
      <c r="W52" s="159">
        <v>1120</v>
      </c>
      <c r="X52" s="160">
        <v>3029</v>
      </c>
      <c r="Y52" s="161">
        <v>1062</v>
      </c>
      <c r="Z52" s="175">
        <v>970</v>
      </c>
      <c r="AA52" s="163">
        <v>1725</v>
      </c>
      <c r="AB52" s="164">
        <v>1794</v>
      </c>
      <c r="AC52" s="164"/>
      <c r="AD52" s="165">
        <v>974</v>
      </c>
      <c r="AE52" s="561">
        <f t="shared" ref="AE52:AE61" si="186">SUM(W52:AD52)</f>
        <v>10674</v>
      </c>
      <c r="AG52" s="3">
        <v>2012</v>
      </c>
      <c r="AH52" s="185">
        <v>605</v>
      </c>
      <c r="AI52" s="170">
        <v>2162</v>
      </c>
      <c r="AJ52" s="188">
        <v>105</v>
      </c>
      <c r="AK52" s="171">
        <v>561</v>
      </c>
      <c r="AL52" s="172">
        <v>838</v>
      </c>
      <c r="AM52" s="174">
        <v>1127</v>
      </c>
      <c r="AN52" s="174"/>
      <c r="AO52" s="165">
        <v>669</v>
      </c>
      <c r="AP52" s="561">
        <f t="shared" ref="AP52:AP61" si="187">SUM(AH52:AO52)</f>
        <v>6067</v>
      </c>
      <c r="AR52" s="3">
        <v>2012</v>
      </c>
      <c r="AS52" s="169">
        <v>304</v>
      </c>
      <c r="AT52" s="170">
        <v>1291</v>
      </c>
      <c r="AU52" s="161">
        <v>349</v>
      </c>
      <c r="AV52" s="171">
        <v>347</v>
      </c>
      <c r="AW52" s="172">
        <v>359</v>
      </c>
      <c r="AX52" s="173">
        <v>337</v>
      </c>
      <c r="AY52" s="173"/>
      <c r="AZ52" s="165">
        <v>266</v>
      </c>
      <c r="BA52" s="562">
        <f t="shared" si="184"/>
        <v>3253</v>
      </c>
      <c r="BC52" s="12">
        <v>2012</v>
      </c>
      <c r="BD52" s="549">
        <f t="shared" si="154"/>
        <v>3876</v>
      </c>
      <c r="BE52" s="550">
        <f t="shared" si="155"/>
        <v>13846</v>
      </c>
      <c r="BF52" s="551">
        <f t="shared" si="156"/>
        <v>3441</v>
      </c>
      <c r="BG52" s="555">
        <f t="shared" si="157"/>
        <v>4086</v>
      </c>
      <c r="BH52" s="552">
        <f t="shared" si="158"/>
        <v>5665</v>
      </c>
      <c r="BI52" s="553">
        <f t="shared" si="159"/>
        <v>6357</v>
      </c>
      <c r="BJ52" s="556">
        <f t="shared" si="160"/>
        <v>3916</v>
      </c>
      <c r="BK52" s="563">
        <f t="shared" si="179"/>
        <v>41187</v>
      </c>
      <c r="BM52" s="12">
        <v>2012</v>
      </c>
      <c r="BN52" s="549">
        <f t="shared" si="180"/>
        <v>2756</v>
      </c>
      <c r="BO52" s="550">
        <f t="shared" si="161"/>
        <v>10817</v>
      </c>
      <c r="BP52" s="551">
        <f t="shared" si="162"/>
        <v>2379</v>
      </c>
      <c r="BQ52" s="555">
        <f t="shared" si="163"/>
        <v>3116</v>
      </c>
      <c r="BR52" s="552">
        <f t="shared" si="164"/>
        <v>3940</v>
      </c>
      <c r="BS52" s="553">
        <f t="shared" si="165"/>
        <v>4563</v>
      </c>
      <c r="BT52" s="553">
        <f t="shared" si="181"/>
        <v>2942</v>
      </c>
      <c r="BU52" s="563">
        <f t="shared" si="166"/>
        <v>30513</v>
      </c>
      <c r="BW52" s="12">
        <v>2012</v>
      </c>
      <c r="BX52" s="549">
        <f t="shared" si="182"/>
        <v>1120</v>
      </c>
      <c r="BY52" s="550">
        <f t="shared" si="167"/>
        <v>3029</v>
      </c>
      <c r="BZ52" s="551">
        <f t="shared" si="168"/>
        <v>1062</v>
      </c>
      <c r="CA52" s="555">
        <f t="shared" si="169"/>
        <v>970</v>
      </c>
      <c r="CB52" s="552">
        <f t="shared" si="170"/>
        <v>1725</v>
      </c>
      <c r="CC52" s="553">
        <f t="shared" si="171"/>
        <v>1794</v>
      </c>
      <c r="CD52" s="553">
        <f t="shared" si="183"/>
        <v>974</v>
      </c>
      <c r="CE52" s="563">
        <f t="shared" si="172"/>
        <v>10674</v>
      </c>
    </row>
    <row r="53" spans="1:83">
      <c r="A53" s="12">
        <v>2013</v>
      </c>
      <c r="B53" s="160">
        <f>BE53</f>
        <v>13078</v>
      </c>
      <c r="C53" s="161">
        <f t="shared" si="173"/>
        <v>3722</v>
      </c>
      <c r="D53" s="175">
        <f t="shared" si="174"/>
        <v>3469</v>
      </c>
      <c r="E53" s="163">
        <f t="shared" si="175"/>
        <v>5000</v>
      </c>
      <c r="F53" s="164">
        <f t="shared" si="176"/>
        <v>5319</v>
      </c>
      <c r="G53" s="159">
        <f>BD53</f>
        <v>5358</v>
      </c>
      <c r="H53" s="164">
        <f t="shared" si="177"/>
        <v>3996</v>
      </c>
      <c r="I53" s="168">
        <f t="shared" si="178"/>
        <v>39942</v>
      </c>
      <c r="K53" s="12">
        <v>2013</v>
      </c>
      <c r="L53" s="159">
        <v>2566</v>
      </c>
      <c r="M53" s="160">
        <v>6914</v>
      </c>
      <c r="N53" s="161">
        <v>2128</v>
      </c>
      <c r="O53" s="175">
        <v>1874</v>
      </c>
      <c r="P53" s="163">
        <v>2404</v>
      </c>
      <c r="Q53" s="164">
        <v>2505</v>
      </c>
      <c r="R53" s="164"/>
      <c r="S53" s="168">
        <v>2040</v>
      </c>
      <c r="T53" s="561">
        <f t="shared" si="185"/>
        <v>20431</v>
      </c>
      <c r="V53" s="12">
        <v>2013</v>
      </c>
      <c r="W53" s="159">
        <v>1587</v>
      </c>
      <c r="X53" s="160">
        <v>2883</v>
      </c>
      <c r="Y53" s="161">
        <v>1072</v>
      </c>
      <c r="Z53" s="175">
        <v>823</v>
      </c>
      <c r="AA53" s="163">
        <v>1544</v>
      </c>
      <c r="AB53" s="164">
        <v>1573</v>
      </c>
      <c r="AC53" s="164"/>
      <c r="AD53" s="165">
        <v>1013</v>
      </c>
      <c r="AE53" s="561">
        <f t="shared" si="186"/>
        <v>10495</v>
      </c>
      <c r="AG53" s="3">
        <v>2013</v>
      </c>
      <c r="AH53" s="185">
        <v>789</v>
      </c>
      <c r="AI53" s="170">
        <v>2075</v>
      </c>
      <c r="AJ53" s="188">
        <v>120</v>
      </c>
      <c r="AK53" s="171">
        <v>480</v>
      </c>
      <c r="AL53" s="172">
        <v>741</v>
      </c>
      <c r="AM53" s="174">
        <v>945</v>
      </c>
      <c r="AN53" s="174"/>
      <c r="AO53" s="165">
        <v>654</v>
      </c>
      <c r="AP53" s="561">
        <f t="shared" si="187"/>
        <v>5804</v>
      </c>
      <c r="AR53" s="3">
        <v>2013</v>
      </c>
      <c r="AS53" s="169">
        <v>416</v>
      </c>
      <c r="AT53" s="170">
        <v>1206</v>
      </c>
      <c r="AU53" s="161">
        <v>402</v>
      </c>
      <c r="AV53" s="171">
        <v>292</v>
      </c>
      <c r="AW53" s="172">
        <v>311</v>
      </c>
      <c r="AX53" s="173">
        <v>296</v>
      </c>
      <c r="AY53" s="173"/>
      <c r="AZ53" s="165">
        <v>289</v>
      </c>
      <c r="BA53" s="562">
        <f t="shared" si="184"/>
        <v>3212</v>
      </c>
      <c r="BC53" s="12">
        <v>2013</v>
      </c>
      <c r="BD53" s="549">
        <f t="shared" si="154"/>
        <v>5358</v>
      </c>
      <c r="BE53" s="550">
        <f t="shared" si="155"/>
        <v>13078</v>
      </c>
      <c r="BF53" s="551">
        <f t="shared" si="156"/>
        <v>3722</v>
      </c>
      <c r="BG53" s="555">
        <f t="shared" si="157"/>
        <v>3469</v>
      </c>
      <c r="BH53" s="552">
        <f t="shared" si="158"/>
        <v>5000</v>
      </c>
      <c r="BI53" s="553">
        <f t="shared" si="159"/>
        <v>5319</v>
      </c>
      <c r="BJ53" s="556">
        <f t="shared" si="160"/>
        <v>3996</v>
      </c>
      <c r="BK53" s="563">
        <f t="shared" si="179"/>
        <v>39942</v>
      </c>
      <c r="BM53" s="12">
        <v>2013</v>
      </c>
      <c r="BN53" s="549">
        <f t="shared" si="180"/>
        <v>3771</v>
      </c>
      <c r="BO53" s="550">
        <f t="shared" si="161"/>
        <v>10195</v>
      </c>
      <c r="BP53" s="551">
        <f t="shared" si="162"/>
        <v>2650</v>
      </c>
      <c r="BQ53" s="555">
        <f t="shared" si="163"/>
        <v>2646</v>
      </c>
      <c r="BR53" s="552">
        <f t="shared" si="164"/>
        <v>3456</v>
      </c>
      <c r="BS53" s="553">
        <f t="shared" si="165"/>
        <v>3746</v>
      </c>
      <c r="BT53" s="553">
        <f t="shared" si="181"/>
        <v>2983</v>
      </c>
      <c r="BU53" s="563">
        <f t="shared" si="166"/>
        <v>29447</v>
      </c>
      <c r="BW53" s="12">
        <v>2013</v>
      </c>
      <c r="BX53" s="549">
        <f t="shared" si="182"/>
        <v>1587</v>
      </c>
      <c r="BY53" s="550">
        <f t="shared" si="167"/>
        <v>2883</v>
      </c>
      <c r="BZ53" s="551">
        <f t="shared" si="168"/>
        <v>1072</v>
      </c>
      <c r="CA53" s="555">
        <f t="shared" si="169"/>
        <v>823</v>
      </c>
      <c r="CB53" s="552">
        <f t="shared" si="170"/>
        <v>1544</v>
      </c>
      <c r="CC53" s="553">
        <f t="shared" si="171"/>
        <v>1573</v>
      </c>
      <c r="CD53" s="553">
        <f t="shared" si="183"/>
        <v>1013</v>
      </c>
      <c r="CE53" s="563">
        <f t="shared" si="172"/>
        <v>10495</v>
      </c>
    </row>
    <row r="54" spans="1:83">
      <c r="A54" s="12">
        <v>2014</v>
      </c>
      <c r="B54" s="160">
        <f>BE54</f>
        <v>15738</v>
      </c>
      <c r="C54" s="161">
        <f t="shared" si="173"/>
        <v>4263</v>
      </c>
      <c r="D54" s="175">
        <f t="shared" si="174"/>
        <v>3239</v>
      </c>
      <c r="E54" s="163">
        <f t="shared" si="175"/>
        <v>4778</v>
      </c>
      <c r="F54" s="164">
        <f t="shared" si="176"/>
        <v>4986</v>
      </c>
      <c r="G54" s="159">
        <f>BD54</f>
        <v>5974</v>
      </c>
      <c r="H54" s="164">
        <f t="shared" si="177"/>
        <v>4440</v>
      </c>
      <c r="I54" s="168">
        <f t="shared" si="178"/>
        <v>43418</v>
      </c>
      <c r="K54" s="12">
        <v>2014</v>
      </c>
      <c r="L54" s="159">
        <v>2920</v>
      </c>
      <c r="M54" s="160">
        <v>8322</v>
      </c>
      <c r="N54" s="161">
        <v>2508</v>
      </c>
      <c r="O54" s="175">
        <v>1752</v>
      </c>
      <c r="P54" s="163">
        <v>2292</v>
      </c>
      <c r="Q54" s="164">
        <v>2357</v>
      </c>
      <c r="R54" s="164"/>
      <c r="S54" s="168">
        <v>2267</v>
      </c>
      <c r="T54" s="561">
        <f t="shared" si="185"/>
        <v>22418</v>
      </c>
      <c r="V54" s="12">
        <v>2014</v>
      </c>
      <c r="W54" s="159">
        <v>1728</v>
      </c>
      <c r="X54" s="160">
        <v>3496</v>
      </c>
      <c r="Y54" s="161">
        <v>1146</v>
      </c>
      <c r="Z54" s="175">
        <v>775</v>
      </c>
      <c r="AA54" s="163">
        <v>1495</v>
      </c>
      <c r="AB54" s="164">
        <v>1489</v>
      </c>
      <c r="AC54" s="164"/>
      <c r="AD54" s="165">
        <v>1145</v>
      </c>
      <c r="AE54" s="561">
        <f t="shared" si="186"/>
        <v>11274</v>
      </c>
      <c r="AG54" s="3">
        <v>2014</v>
      </c>
      <c r="AH54" s="185">
        <v>855</v>
      </c>
      <c r="AI54" s="170">
        <v>2565</v>
      </c>
      <c r="AJ54" s="188">
        <v>144</v>
      </c>
      <c r="AK54" s="171">
        <v>454</v>
      </c>
      <c r="AL54" s="172">
        <v>715</v>
      </c>
      <c r="AM54" s="174">
        <v>873</v>
      </c>
      <c r="AN54" s="174"/>
      <c r="AO54" s="165">
        <v>706</v>
      </c>
      <c r="AP54" s="561">
        <f t="shared" si="187"/>
        <v>6312</v>
      </c>
      <c r="AR54" s="3">
        <v>2014</v>
      </c>
      <c r="AS54" s="169">
        <v>471</v>
      </c>
      <c r="AT54" s="170">
        <v>1355</v>
      </c>
      <c r="AU54" s="161">
        <v>465</v>
      </c>
      <c r="AV54" s="171">
        <v>258</v>
      </c>
      <c r="AW54" s="172">
        <v>276</v>
      </c>
      <c r="AX54" s="173">
        <v>267</v>
      </c>
      <c r="AY54" s="173"/>
      <c r="AZ54" s="165">
        <v>322</v>
      </c>
      <c r="BA54" s="562">
        <f t="shared" si="184"/>
        <v>3414</v>
      </c>
      <c r="BC54" s="12">
        <v>2014</v>
      </c>
      <c r="BD54" s="549">
        <f t="shared" si="154"/>
        <v>5974</v>
      </c>
      <c r="BE54" s="550">
        <f t="shared" si="155"/>
        <v>15738</v>
      </c>
      <c r="BF54" s="551">
        <f t="shared" si="156"/>
        <v>4263</v>
      </c>
      <c r="BG54" s="555">
        <f t="shared" si="157"/>
        <v>3239</v>
      </c>
      <c r="BH54" s="552">
        <f t="shared" si="158"/>
        <v>4778</v>
      </c>
      <c r="BI54" s="553">
        <f t="shared" si="159"/>
        <v>4986</v>
      </c>
      <c r="BJ54" s="556">
        <f t="shared" si="160"/>
        <v>4440</v>
      </c>
      <c r="BK54" s="563">
        <f t="shared" si="179"/>
        <v>43418</v>
      </c>
      <c r="BM54" s="12">
        <v>2014</v>
      </c>
      <c r="BN54" s="549">
        <f t="shared" si="180"/>
        <v>4246</v>
      </c>
      <c r="BO54" s="550">
        <f t="shared" si="161"/>
        <v>12242</v>
      </c>
      <c r="BP54" s="551">
        <f t="shared" si="162"/>
        <v>3117</v>
      </c>
      <c r="BQ54" s="555">
        <f t="shared" si="163"/>
        <v>2464</v>
      </c>
      <c r="BR54" s="552">
        <f t="shared" si="164"/>
        <v>3283</v>
      </c>
      <c r="BS54" s="553">
        <f t="shared" si="165"/>
        <v>3497</v>
      </c>
      <c r="BT54" s="553">
        <f t="shared" si="181"/>
        <v>3295</v>
      </c>
      <c r="BU54" s="563">
        <f t="shared" si="166"/>
        <v>32144</v>
      </c>
      <c r="BW54" s="12">
        <v>2014</v>
      </c>
      <c r="BX54" s="549">
        <f t="shared" si="182"/>
        <v>1728</v>
      </c>
      <c r="BY54" s="550">
        <f t="shared" si="167"/>
        <v>3496</v>
      </c>
      <c r="BZ54" s="551">
        <f t="shared" si="168"/>
        <v>1146</v>
      </c>
      <c r="CA54" s="555">
        <f t="shared" si="169"/>
        <v>775</v>
      </c>
      <c r="CB54" s="552">
        <f t="shared" si="170"/>
        <v>1495</v>
      </c>
      <c r="CC54" s="553">
        <f t="shared" si="171"/>
        <v>1489</v>
      </c>
      <c r="CD54" s="553">
        <f t="shared" si="183"/>
        <v>1145</v>
      </c>
      <c r="CE54" s="563">
        <f t="shared" si="172"/>
        <v>11274</v>
      </c>
    </row>
    <row r="55" spans="1:83">
      <c r="A55" s="12">
        <v>2015</v>
      </c>
      <c r="B55" s="160">
        <f>BE55</f>
        <v>15662</v>
      </c>
      <c r="C55" s="161">
        <f t="shared" si="173"/>
        <v>4335</v>
      </c>
      <c r="D55" s="175">
        <f t="shared" si="174"/>
        <v>2840</v>
      </c>
      <c r="E55" s="163">
        <f t="shared" si="175"/>
        <v>4213</v>
      </c>
      <c r="F55" s="164">
        <f t="shared" si="176"/>
        <v>4404</v>
      </c>
      <c r="G55" s="159">
        <f>BD55</f>
        <v>6320</v>
      </c>
      <c r="H55" s="164">
        <f t="shared" si="177"/>
        <v>4592</v>
      </c>
      <c r="I55" s="168">
        <f t="shared" si="178"/>
        <v>42366</v>
      </c>
      <c r="K55" s="12">
        <v>2015</v>
      </c>
      <c r="L55" s="159">
        <v>3083</v>
      </c>
      <c r="M55" s="160">
        <v>8046</v>
      </c>
      <c r="N55" s="161">
        <v>2547</v>
      </c>
      <c r="O55" s="175">
        <v>1500</v>
      </c>
      <c r="P55" s="163">
        <v>1972</v>
      </c>
      <c r="Q55" s="164">
        <v>2047</v>
      </c>
      <c r="R55" s="164"/>
      <c r="S55" s="168">
        <v>2287</v>
      </c>
      <c r="T55" s="561">
        <f t="shared" si="185"/>
        <v>21482</v>
      </c>
      <c r="V55" s="12">
        <v>2015</v>
      </c>
      <c r="W55" s="159">
        <v>1773</v>
      </c>
      <c r="X55" s="160">
        <v>3580</v>
      </c>
      <c r="Y55" s="161">
        <v>1090</v>
      </c>
      <c r="Z55" s="175">
        <v>691</v>
      </c>
      <c r="AA55" s="163">
        <v>1349</v>
      </c>
      <c r="AB55" s="164">
        <v>1338</v>
      </c>
      <c r="AC55" s="164"/>
      <c r="AD55" s="165">
        <v>1212</v>
      </c>
      <c r="AE55" s="561">
        <f t="shared" si="186"/>
        <v>11033</v>
      </c>
      <c r="AG55" s="3">
        <v>2015</v>
      </c>
      <c r="AH55" s="185">
        <v>865</v>
      </c>
      <c r="AI55" s="170">
        <v>2605</v>
      </c>
      <c r="AJ55" s="188">
        <v>151</v>
      </c>
      <c r="AK55" s="171">
        <v>400</v>
      </c>
      <c r="AL55" s="172">
        <v>632</v>
      </c>
      <c r="AM55" s="174">
        <v>758</v>
      </c>
      <c r="AN55" s="174"/>
      <c r="AO55" s="165">
        <v>706</v>
      </c>
      <c r="AP55" s="561">
        <f t="shared" si="187"/>
        <v>6117</v>
      </c>
      <c r="AR55" s="3">
        <v>2015</v>
      </c>
      <c r="AS55" s="169">
        <v>599</v>
      </c>
      <c r="AT55" s="170">
        <v>1431</v>
      </c>
      <c r="AU55" s="161">
        <v>547</v>
      </c>
      <c r="AV55" s="171">
        <v>249</v>
      </c>
      <c r="AW55" s="172">
        <v>260</v>
      </c>
      <c r="AX55" s="174">
        <v>261</v>
      </c>
      <c r="AY55" s="174"/>
      <c r="AZ55" s="165">
        <v>387</v>
      </c>
      <c r="BA55" s="562">
        <f t="shared" si="184"/>
        <v>3734</v>
      </c>
      <c r="BC55" s="12">
        <v>2015</v>
      </c>
      <c r="BD55" s="549">
        <f t="shared" si="154"/>
        <v>6320</v>
      </c>
      <c r="BE55" s="550">
        <f t="shared" si="155"/>
        <v>15662</v>
      </c>
      <c r="BF55" s="551">
        <f t="shared" si="156"/>
        <v>4335</v>
      </c>
      <c r="BG55" s="555">
        <f t="shared" si="157"/>
        <v>2840</v>
      </c>
      <c r="BH55" s="552">
        <f t="shared" si="158"/>
        <v>4213</v>
      </c>
      <c r="BI55" s="553">
        <f t="shared" si="159"/>
        <v>4404</v>
      </c>
      <c r="BJ55" s="556">
        <f t="shared" si="160"/>
        <v>4592</v>
      </c>
      <c r="BK55" s="563">
        <f t="shared" si="179"/>
        <v>42366</v>
      </c>
      <c r="BM55" s="12">
        <v>2015</v>
      </c>
      <c r="BN55" s="549">
        <f t="shared" si="180"/>
        <v>4547</v>
      </c>
      <c r="BO55" s="550">
        <f t="shared" si="161"/>
        <v>12082</v>
      </c>
      <c r="BP55" s="551">
        <f t="shared" si="162"/>
        <v>3245</v>
      </c>
      <c r="BQ55" s="555">
        <f t="shared" si="163"/>
        <v>2149</v>
      </c>
      <c r="BR55" s="552">
        <f t="shared" si="164"/>
        <v>2864</v>
      </c>
      <c r="BS55" s="553">
        <f t="shared" si="165"/>
        <v>3066</v>
      </c>
      <c r="BT55" s="553">
        <f t="shared" si="181"/>
        <v>3380</v>
      </c>
      <c r="BU55" s="563">
        <f t="shared" si="166"/>
        <v>31333</v>
      </c>
      <c r="BW55" s="12">
        <v>2015</v>
      </c>
      <c r="BX55" s="549">
        <f t="shared" si="182"/>
        <v>1773</v>
      </c>
      <c r="BY55" s="550">
        <f t="shared" si="167"/>
        <v>3580</v>
      </c>
      <c r="BZ55" s="551">
        <f t="shared" si="168"/>
        <v>1090</v>
      </c>
      <c r="CA55" s="555">
        <f t="shared" si="169"/>
        <v>691</v>
      </c>
      <c r="CB55" s="552">
        <f t="shared" si="170"/>
        <v>1349</v>
      </c>
      <c r="CC55" s="553">
        <f t="shared" si="171"/>
        <v>1338</v>
      </c>
      <c r="CD55" s="553">
        <f t="shared" si="183"/>
        <v>1212</v>
      </c>
      <c r="CE55" s="563">
        <f t="shared" si="172"/>
        <v>11033</v>
      </c>
    </row>
    <row r="56" spans="1:83">
      <c r="A56" s="12">
        <v>2016</v>
      </c>
      <c r="B56" s="160">
        <f>BE56</f>
        <v>16082</v>
      </c>
      <c r="C56" s="161">
        <f t="shared" si="173"/>
        <v>4839</v>
      </c>
      <c r="D56" s="175">
        <f t="shared" si="174"/>
        <v>2581</v>
      </c>
      <c r="E56" s="163">
        <f t="shared" si="175"/>
        <v>3783</v>
      </c>
      <c r="F56" s="164">
        <f t="shared" si="176"/>
        <v>4017</v>
      </c>
      <c r="G56" s="159">
        <f>BD56</f>
        <v>6963</v>
      </c>
      <c r="H56" s="164">
        <f t="shared" si="177"/>
        <v>4853</v>
      </c>
      <c r="I56" s="168">
        <f t="shared" si="178"/>
        <v>43118</v>
      </c>
      <c r="K56" s="12">
        <v>2016</v>
      </c>
      <c r="L56" s="159">
        <v>3539</v>
      </c>
      <c r="M56" s="160">
        <v>8323</v>
      </c>
      <c r="N56" s="161">
        <v>2948</v>
      </c>
      <c r="O56" s="175">
        <v>1379</v>
      </c>
      <c r="P56" s="163">
        <v>1789</v>
      </c>
      <c r="Q56" s="164">
        <v>1893</v>
      </c>
      <c r="R56" s="164"/>
      <c r="S56" s="168">
        <v>2446</v>
      </c>
      <c r="T56" s="561">
        <f t="shared" si="185"/>
        <v>22317</v>
      </c>
      <c r="V56" s="12">
        <v>2016</v>
      </c>
      <c r="W56" s="159">
        <v>1856</v>
      </c>
      <c r="X56" s="160">
        <v>3758</v>
      </c>
      <c r="Y56" s="161">
        <v>1130</v>
      </c>
      <c r="Z56" s="175">
        <v>633</v>
      </c>
      <c r="AA56" s="163">
        <v>1226</v>
      </c>
      <c r="AB56" s="164">
        <v>1231</v>
      </c>
      <c r="AC56" s="164"/>
      <c r="AD56" s="165">
        <v>1297</v>
      </c>
      <c r="AE56" s="561">
        <f t="shared" si="186"/>
        <v>11131</v>
      </c>
      <c r="AG56" s="3">
        <v>2016</v>
      </c>
      <c r="AH56" s="185">
        <v>895</v>
      </c>
      <c r="AI56" s="170">
        <v>2676</v>
      </c>
      <c r="AJ56" s="188">
        <v>171</v>
      </c>
      <c r="AK56" s="171">
        <v>359</v>
      </c>
      <c r="AL56" s="172">
        <v>560</v>
      </c>
      <c r="AM56" s="174">
        <v>674</v>
      </c>
      <c r="AN56" s="174"/>
      <c r="AO56" s="165">
        <v>713</v>
      </c>
      <c r="AP56" s="561">
        <f t="shared" si="187"/>
        <v>6048</v>
      </c>
      <c r="AR56" s="3">
        <v>2016</v>
      </c>
      <c r="AS56" s="169">
        <v>673</v>
      </c>
      <c r="AT56" s="170">
        <v>1325</v>
      </c>
      <c r="AU56" s="161">
        <v>590</v>
      </c>
      <c r="AV56" s="171">
        <v>210</v>
      </c>
      <c r="AW56" s="172">
        <v>208</v>
      </c>
      <c r="AX56" s="174">
        <v>219</v>
      </c>
      <c r="AY56" s="174"/>
      <c r="AZ56" s="165">
        <v>397</v>
      </c>
      <c r="BA56" s="562">
        <f t="shared" si="184"/>
        <v>3622</v>
      </c>
      <c r="BC56" s="12">
        <v>2016</v>
      </c>
      <c r="BD56" s="549">
        <f t="shared" si="154"/>
        <v>6963</v>
      </c>
      <c r="BE56" s="550">
        <f t="shared" si="155"/>
        <v>16082</v>
      </c>
      <c r="BF56" s="551">
        <f t="shared" si="156"/>
        <v>4839</v>
      </c>
      <c r="BG56" s="555">
        <f t="shared" si="157"/>
        <v>2581</v>
      </c>
      <c r="BH56" s="552">
        <f t="shared" si="158"/>
        <v>3783</v>
      </c>
      <c r="BI56" s="553">
        <f t="shared" si="159"/>
        <v>4017</v>
      </c>
      <c r="BJ56" s="556">
        <f t="shared" si="160"/>
        <v>4853</v>
      </c>
      <c r="BK56" s="563">
        <f t="shared" si="179"/>
        <v>43118</v>
      </c>
      <c r="BM56" s="12">
        <v>2016</v>
      </c>
      <c r="BN56" s="549">
        <f t="shared" si="180"/>
        <v>5107</v>
      </c>
      <c r="BO56" s="550">
        <f t="shared" si="161"/>
        <v>12324</v>
      </c>
      <c r="BP56" s="551">
        <f t="shared" si="162"/>
        <v>3709</v>
      </c>
      <c r="BQ56" s="555">
        <f t="shared" si="163"/>
        <v>1948</v>
      </c>
      <c r="BR56" s="552">
        <f t="shared" si="164"/>
        <v>2557</v>
      </c>
      <c r="BS56" s="553">
        <f t="shared" si="165"/>
        <v>2786</v>
      </c>
      <c r="BT56" s="553">
        <f t="shared" si="181"/>
        <v>3556</v>
      </c>
      <c r="BU56" s="563">
        <f t="shared" si="166"/>
        <v>31987</v>
      </c>
      <c r="BW56" s="12">
        <v>2016</v>
      </c>
      <c r="BX56" s="549">
        <f t="shared" si="182"/>
        <v>1856</v>
      </c>
      <c r="BY56" s="550">
        <f t="shared" si="167"/>
        <v>3758</v>
      </c>
      <c r="BZ56" s="551">
        <f t="shared" si="168"/>
        <v>1130</v>
      </c>
      <c r="CA56" s="555">
        <f t="shared" si="169"/>
        <v>633</v>
      </c>
      <c r="CB56" s="552">
        <f t="shared" si="170"/>
        <v>1226</v>
      </c>
      <c r="CC56" s="553">
        <f t="shared" si="171"/>
        <v>1231</v>
      </c>
      <c r="CD56" s="553">
        <f t="shared" si="183"/>
        <v>1297</v>
      </c>
      <c r="CE56" s="563">
        <f t="shared" si="172"/>
        <v>11131</v>
      </c>
    </row>
    <row r="57" spans="1:83">
      <c r="A57" s="12">
        <v>2017</v>
      </c>
      <c r="B57" s="160">
        <f>BE57</f>
        <v>15926</v>
      </c>
      <c r="C57" s="161">
        <f t="shared" si="173"/>
        <v>4858</v>
      </c>
      <c r="D57" s="175">
        <f t="shared" si="174"/>
        <v>2286</v>
      </c>
      <c r="E57" s="163">
        <f t="shared" si="175"/>
        <v>3214</v>
      </c>
      <c r="F57" s="164">
        <f t="shared" si="176"/>
        <v>3495</v>
      </c>
      <c r="G57" s="159">
        <f>BD57</f>
        <v>7470</v>
      </c>
      <c r="H57" s="164">
        <f t="shared" si="177"/>
        <v>4874</v>
      </c>
      <c r="I57" s="168">
        <f t="shared" si="178"/>
        <v>42123</v>
      </c>
      <c r="K57" s="12">
        <v>2017</v>
      </c>
      <c r="L57" s="159">
        <v>3934</v>
      </c>
      <c r="M57" s="160">
        <v>8202</v>
      </c>
      <c r="N57" s="161">
        <v>3038</v>
      </c>
      <c r="O57" s="175">
        <v>1220</v>
      </c>
      <c r="P57" s="163">
        <v>1522</v>
      </c>
      <c r="Q57" s="164">
        <v>1652</v>
      </c>
      <c r="R57" s="164">
        <v>1428</v>
      </c>
      <c r="S57" s="168">
        <v>1036</v>
      </c>
      <c r="T57" s="561">
        <f t="shared" si="185"/>
        <v>22032</v>
      </c>
      <c r="V57" s="12">
        <v>2017</v>
      </c>
      <c r="W57" s="159">
        <v>1862</v>
      </c>
      <c r="X57" s="160">
        <v>3821</v>
      </c>
      <c r="Y57" s="161">
        <v>1051</v>
      </c>
      <c r="Z57" s="175">
        <v>570</v>
      </c>
      <c r="AA57" s="163">
        <v>1053</v>
      </c>
      <c r="AB57" s="164">
        <v>1080</v>
      </c>
      <c r="AC57" s="164">
        <v>766</v>
      </c>
      <c r="AD57" s="165">
        <v>549</v>
      </c>
      <c r="AE57" s="561">
        <f>SUM(W57:AD57)</f>
        <v>10752</v>
      </c>
      <c r="AG57" s="3">
        <v>2017</v>
      </c>
      <c r="AH57" s="185">
        <v>907</v>
      </c>
      <c r="AI57" s="170">
        <v>2703</v>
      </c>
      <c r="AJ57" s="188">
        <v>178</v>
      </c>
      <c r="AK57" s="171">
        <v>318</v>
      </c>
      <c r="AL57" s="172">
        <v>477</v>
      </c>
      <c r="AM57" s="174">
        <v>582</v>
      </c>
      <c r="AN57" s="174">
        <v>461</v>
      </c>
      <c r="AO57" s="165">
        <v>234</v>
      </c>
      <c r="AP57" s="561">
        <f t="shared" si="187"/>
        <v>5860</v>
      </c>
      <c r="AR57" s="554">
        <v>2017</v>
      </c>
      <c r="AS57" s="549">
        <v>767</v>
      </c>
      <c r="AT57" s="550">
        <v>1200</v>
      </c>
      <c r="AU57" s="551">
        <v>591</v>
      </c>
      <c r="AV57" s="555">
        <v>178</v>
      </c>
      <c r="AW57" s="552">
        <v>162</v>
      </c>
      <c r="AX57" s="553">
        <v>181</v>
      </c>
      <c r="AY57" s="553">
        <v>144</v>
      </c>
      <c r="AZ57" s="556">
        <v>256</v>
      </c>
      <c r="BA57" s="554">
        <f t="shared" si="184"/>
        <v>3479</v>
      </c>
      <c r="BC57" s="12">
        <v>2017</v>
      </c>
      <c r="BD57" s="549">
        <f t="shared" si="154"/>
        <v>7470</v>
      </c>
      <c r="BE57" s="550">
        <f t="shared" si="155"/>
        <v>15926</v>
      </c>
      <c r="BF57" s="551">
        <f t="shared" si="156"/>
        <v>4858</v>
      </c>
      <c r="BG57" s="555">
        <f t="shared" si="157"/>
        <v>2286</v>
      </c>
      <c r="BH57" s="552">
        <f t="shared" si="158"/>
        <v>3214</v>
      </c>
      <c r="BI57" s="553">
        <f t="shared" si="159"/>
        <v>3495</v>
      </c>
      <c r="BJ57" s="556">
        <f t="shared" si="160"/>
        <v>4874</v>
      </c>
      <c r="BK57" s="563">
        <f t="shared" si="179"/>
        <v>42123</v>
      </c>
      <c r="BM57" s="12">
        <v>2017</v>
      </c>
      <c r="BN57" s="549">
        <f t="shared" si="180"/>
        <v>5608</v>
      </c>
      <c r="BO57" s="550">
        <f t="shared" si="161"/>
        <v>12105</v>
      </c>
      <c r="BP57" s="551">
        <f t="shared" si="162"/>
        <v>3807</v>
      </c>
      <c r="BQ57" s="555">
        <f t="shared" si="163"/>
        <v>1716</v>
      </c>
      <c r="BR57" s="552">
        <f t="shared" si="164"/>
        <v>2161</v>
      </c>
      <c r="BS57" s="553">
        <f t="shared" si="165"/>
        <v>2415</v>
      </c>
      <c r="BT57" s="553">
        <f t="shared" si="181"/>
        <v>3559</v>
      </c>
      <c r="BU57" s="563">
        <f t="shared" si="166"/>
        <v>31371</v>
      </c>
      <c r="BW57" s="12">
        <v>2017</v>
      </c>
      <c r="BX57" s="549">
        <f t="shared" si="182"/>
        <v>1862</v>
      </c>
      <c r="BY57" s="550">
        <f t="shared" si="167"/>
        <v>3821</v>
      </c>
      <c r="BZ57" s="551">
        <f t="shared" si="168"/>
        <v>1051</v>
      </c>
      <c r="CA57" s="555">
        <f t="shared" si="169"/>
        <v>570</v>
      </c>
      <c r="CB57" s="552">
        <f t="shared" si="170"/>
        <v>1053</v>
      </c>
      <c r="CC57" s="553">
        <f t="shared" si="171"/>
        <v>1080</v>
      </c>
      <c r="CD57" s="553">
        <f t="shared" si="183"/>
        <v>1315</v>
      </c>
      <c r="CE57" s="563">
        <f t="shared" si="172"/>
        <v>10752</v>
      </c>
    </row>
    <row r="58" spans="1:83">
      <c r="A58" s="12">
        <v>2018</v>
      </c>
      <c r="B58" s="160">
        <f>BE58</f>
        <v>15765</v>
      </c>
      <c r="C58" s="161">
        <f t="shared" si="173"/>
        <v>4840</v>
      </c>
      <c r="D58" s="175">
        <f t="shared" si="174"/>
        <v>2286</v>
      </c>
      <c r="E58" s="163">
        <f t="shared" si="175"/>
        <v>3211</v>
      </c>
      <c r="F58" s="164">
        <f t="shared" si="176"/>
        <v>3489</v>
      </c>
      <c r="G58" s="159">
        <f>BD58</f>
        <v>7494</v>
      </c>
      <c r="H58" s="164">
        <f t="shared" si="177"/>
        <v>4879</v>
      </c>
      <c r="I58" s="168">
        <f t="shared" si="178"/>
        <v>41964</v>
      </c>
      <c r="K58" s="12">
        <v>2018</v>
      </c>
      <c r="L58" s="159">
        <v>3877</v>
      </c>
      <c r="M58" s="160">
        <v>8000</v>
      </c>
      <c r="N58" s="161">
        <v>2971</v>
      </c>
      <c r="O58" s="175">
        <v>1202</v>
      </c>
      <c r="P58" s="163">
        <v>1502</v>
      </c>
      <c r="Q58" s="164">
        <v>1628</v>
      </c>
      <c r="R58" s="164">
        <v>1407</v>
      </c>
      <c r="S58" s="168">
        <v>1021</v>
      </c>
      <c r="T58" s="561">
        <f t="shared" si="185"/>
        <v>21608</v>
      </c>
      <c r="V58" s="12">
        <v>2018</v>
      </c>
      <c r="W58" s="159">
        <v>1855</v>
      </c>
      <c r="X58" s="160">
        <v>3767</v>
      </c>
      <c r="Y58" s="161">
        <v>1039</v>
      </c>
      <c r="Z58" s="175">
        <v>568</v>
      </c>
      <c r="AA58" s="163">
        <v>1050</v>
      </c>
      <c r="AB58" s="164">
        <v>1076</v>
      </c>
      <c r="AC58" s="164">
        <v>763</v>
      </c>
      <c r="AD58" s="165">
        <v>547</v>
      </c>
      <c r="AE58" s="561">
        <f t="shared" si="186"/>
        <v>10665</v>
      </c>
      <c r="AG58" s="3">
        <v>2018</v>
      </c>
      <c r="AH58" s="185">
        <v>908</v>
      </c>
      <c r="AI58" s="170">
        <v>2678</v>
      </c>
      <c r="AJ58" s="188">
        <v>177</v>
      </c>
      <c r="AK58" s="171">
        <v>318</v>
      </c>
      <c r="AL58" s="172">
        <v>478</v>
      </c>
      <c r="AM58" s="174">
        <v>583</v>
      </c>
      <c r="AN58" s="174">
        <v>461</v>
      </c>
      <c r="AO58" s="165">
        <v>234</v>
      </c>
      <c r="AP58" s="561">
        <f t="shared" si="187"/>
        <v>5837</v>
      </c>
      <c r="AR58" s="3">
        <v>2018</v>
      </c>
      <c r="AS58" s="169">
        <v>854</v>
      </c>
      <c r="AT58" s="170">
        <v>1320</v>
      </c>
      <c r="AU58" s="161">
        <v>653</v>
      </c>
      <c r="AV58" s="171">
        <v>198</v>
      </c>
      <c r="AW58" s="172">
        <v>181</v>
      </c>
      <c r="AX58" s="173">
        <v>202</v>
      </c>
      <c r="AY58" s="173">
        <v>161</v>
      </c>
      <c r="AZ58" s="165">
        <v>285</v>
      </c>
      <c r="BA58" s="562">
        <f t="shared" si="184"/>
        <v>3854</v>
      </c>
      <c r="BC58" s="12">
        <v>2018</v>
      </c>
      <c r="BD58" s="549">
        <f t="shared" si="154"/>
        <v>7494</v>
      </c>
      <c r="BE58" s="550">
        <f t="shared" si="155"/>
        <v>15765</v>
      </c>
      <c r="BF58" s="551">
        <f t="shared" si="156"/>
        <v>4840</v>
      </c>
      <c r="BG58" s="555">
        <f t="shared" si="157"/>
        <v>2286</v>
      </c>
      <c r="BH58" s="552">
        <f t="shared" si="158"/>
        <v>3211</v>
      </c>
      <c r="BI58" s="553">
        <f t="shared" si="159"/>
        <v>3489</v>
      </c>
      <c r="BJ58" s="556">
        <f t="shared" si="160"/>
        <v>4879</v>
      </c>
      <c r="BK58" s="563">
        <f t="shared" si="179"/>
        <v>41964</v>
      </c>
      <c r="BM58" s="12">
        <v>2018</v>
      </c>
      <c r="BN58" s="549">
        <f t="shared" si="180"/>
        <v>5639</v>
      </c>
      <c r="BO58" s="550">
        <f t="shared" si="161"/>
        <v>11998</v>
      </c>
      <c r="BP58" s="551">
        <f t="shared" si="162"/>
        <v>3801</v>
      </c>
      <c r="BQ58" s="555">
        <f t="shared" si="163"/>
        <v>1718</v>
      </c>
      <c r="BR58" s="552">
        <f t="shared" si="164"/>
        <v>2161</v>
      </c>
      <c r="BS58" s="553">
        <f t="shared" si="165"/>
        <v>2413</v>
      </c>
      <c r="BT58" s="553">
        <f t="shared" si="181"/>
        <v>3569</v>
      </c>
      <c r="BU58" s="563">
        <f t="shared" si="166"/>
        <v>31299</v>
      </c>
      <c r="BW58" s="12">
        <v>2018</v>
      </c>
      <c r="BX58" s="549">
        <f t="shared" si="182"/>
        <v>1855</v>
      </c>
      <c r="BY58" s="550">
        <f t="shared" si="167"/>
        <v>3767</v>
      </c>
      <c r="BZ58" s="551">
        <f t="shared" si="168"/>
        <v>1039</v>
      </c>
      <c r="CA58" s="555">
        <f t="shared" si="169"/>
        <v>568</v>
      </c>
      <c r="CB58" s="552">
        <f t="shared" si="170"/>
        <v>1050</v>
      </c>
      <c r="CC58" s="553">
        <f t="shared" si="171"/>
        <v>1076</v>
      </c>
      <c r="CD58" s="553">
        <f t="shared" si="183"/>
        <v>1310</v>
      </c>
      <c r="CE58" s="563">
        <f t="shared" si="172"/>
        <v>10665</v>
      </c>
    </row>
    <row r="59" spans="1:83">
      <c r="A59" s="12">
        <v>2019</v>
      </c>
      <c r="B59" s="160">
        <f>BE59</f>
        <v>16113</v>
      </c>
      <c r="C59" s="161">
        <f t="shared" si="173"/>
        <v>4790</v>
      </c>
      <c r="D59" s="175">
        <f t="shared" si="174"/>
        <v>2354</v>
      </c>
      <c r="E59" s="163">
        <f t="shared" si="175"/>
        <v>3349</v>
      </c>
      <c r="F59" s="164">
        <f t="shared" si="176"/>
        <v>3594</v>
      </c>
      <c r="G59" s="159">
        <f>BD59</f>
        <v>7712</v>
      </c>
      <c r="H59" s="164">
        <f t="shared" si="177"/>
        <v>5025</v>
      </c>
      <c r="I59" s="168">
        <f t="shared" si="178"/>
        <v>42937</v>
      </c>
      <c r="K59" s="12">
        <v>2019</v>
      </c>
      <c r="L59" s="159">
        <v>3997</v>
      </c>
      <c r="M59" s="160">
        <v>8203</v>
      </c>
      <c r="N59" s="161">
        <v>2949</v>
      </c>
      <c r="O59" s="175">
        <v>1239</v>
      </c>
      <c r="P59" s="163">
        <v>1567</v>
      </c>
      <c r="Q59" s="164">
        <v>1678</v>
      </c>
      <c r="R59" s="164">
        <v>1450</v>
      </c>
      <c r="S59" s="168">
        <v>1053</v>
      </c>
      <c r="T59" s="561">
        <f t="shared" si="185"/>
        <v>22136</v>
      </c>
      <c r="V59" s="12">
        <v>2019</v>
      </c>
      <c r="W59" s="159">
        <v>1907</v>
      </c>
      <c r="X59" s="160">
        <v>3819</v>
      </c>
      <c r="Y59" s="161">
        <v>1028</v>
      </c>
      <c r="Z59" s="175">
        <v>584</v>
      </c>
      <c r="AA59" s="163">
        <v>1093</v>
      </c>
      <c r="AB59" s="164">
        <v>1106</v>
      </c>
      <c r="AC59" s="164">
        <v>785</v>
      </c>
      <c r="AD59" s="165">
        <v>563</v>
      </c>
      <c r="AE59" s="561">
        <f t="shared" si="186"/>
        <v>10885</v>
      </c>
      <c r="AG59" s="3">
        <v>2019</v>
      </c>
      <c r="AH59" s="185">
        <v>945</v>
      </c>
      <c r="AI59" s="170">
        <v>2778</v>
      </c>
      <c r="AJ59" s="188">
        <v>177</v>
      </c>
      <c r="AK59" s="171">
        <v>331</v>
      </c>
      <c r="AL59" s="172">
        <v>504</v>
      </c>
      <c r="AM59" s="174">
        <v>606</v>
      </c>
      <c r="AN59" s="174">
        <v>480</v>
      </c>
      <c r="AO59" s="165">
        <v>244</v>
      </c>
      <c r="AP59" s="561">
        <f t="shared" si="187"/>
        <v>6065</v>
      </c>
      <c r="AR59" s="3">
        <v>2019</v>
      </c>
      <c r="AS59" s="169">
        <v>863</v>
      </c>
      <c r="AT59" s="170">
        <v>1313</v>
      </c>
      <c r="AU59" s="161">
        <v>636</v>
      </c>
      <c r="AV59" s="171">
        <v>200</v>
      </c>
      <c r="AW59" s="172">
        <v>185</v>
      </c>
      <c r="AX59" s="173">
        <v>204</v>
      </c>
      <c r="AY59" s="173">
        <v>162</v>
      </c>
      <c r="AZ59" s="165">
        <v>288</v>
      </c>
      <c r="BA59" s="562">
        <f t="shared" si="184"/>
        <v>3851</v>
      </c>
      <c r="BC59" s="12">
        <v>2019</v>
      </c>
      <c r="BD59" s="549">
        <f t="shared" si="154"/>
        <v>7712</v>
      </c>
      <c r="BE59" s="550">
        <f t="shared" si="155"/>
        <v>16113</v>
      </c>
      <c r="BF59" s="551">
        <f t="shared" si="156"/>
        <v>4790</v>
      </c>
      <c r="BG59" s="555">
        <f t="shared" si="157"/>
        <v>2354</v>
      </c>
      <c r="BH59" s="552">
        <f t="shared" si="158"/>
        <v>3349</v>
      </c>
      <c r="BI59" s="553">
        <f t="shared" si="159"/>
        <v>3594</v>
      </c>
      <c r="BJ59" s="556">
        <f t="shared" si="160"/>
        <v>5025</v>
      </c>
      <c r="BK59" s="563">
        <f t="shared" si="179"/>
        <v>42937</v>
      </c>
      <c r="BM59" s="12">
        <v>2019</v>
      </c>
      <c r="BN59" s="549">
        <f t="shared" si="180"/>
        <v>5805</v>
      </c>
      <c r="BO59" s="550">
        <f t="shared" si="161"/>
        <v>12294</v>
      </c>
      <c r="BP59" s="551">
        <f t="shared" si="162"/>
        <v>3762</v>
      </c>
      <c r="BQ59" s="555">
        <f t="shared" si="163"/>
        <v>1770</v>
      </c>
      <c r="BR59" s="552">
        <f t="shared" si="164"/>
        <v>2256</v>
      </c>
      <c r="BS59" s="553">
        <f t="shared" si="165"/>
        <v>2488</v>
      </c>
      <c r="BT59" s="553">
        <f t="shared" si="181"/>
        <v>3677</v>
      </c>
      <c r="BU59" s="563">
        <f t="shared" si="166"/>
        <v>32052</v>
      </c>
      <c r="BW59" s="12">
        <v>2019</v>
      </c>
      <c r="BX59" s="549">
        <f t="shared" si="182"/>
        <v>1907</v>
      </c>
      <c r="BY59" s="550">
        <f t="shared" si="167"/>
        <v>3819</v>
      </c>
      <c r="BZ59" s="551">
        <f t="shared" si="168"/>
        <v>1028</v>
      </c>
      <c r="CA59" s="555">
        <f t="shared" si="169"/>
        <v>584</v>
      </c>
      <c r="CB59" s="552">
        <f t="shared" si="170"/>
        <v>1093</v>
      </c>
      <c r="CC59" s="553">
        <f t="shared" si="171"/>
        <v>1106</v>
      </c>
      <c r="CD59" s="553">
        <f t="shared" si="183"/>
        <v>1348</v>
      </c>
      <c r="CE59" s="563">
        <f t="shared" si="172"/>
        <v>10885</v>
      </c>
    </row>
    <row r="60" spans="1:83">
      <c r="A60" s="12">
        <v>2020</v>
      </c>
      <c r="B60" s="160">
        <f>BE60</f>
        <v>18137</v>
      </c>
      <c r="C60" s="161">
        <f t="shared" si="173"/>
        <v>5133</v>
      </c>
      <c r="D60" s="175">
        <f t="shared" si="174"/>
        <v>2501</v>
      </c>
      <c r="E60" s="163">
        <f t="shared" si="175"/>
        <v>3550</v>
      </c>
      <c r="F60" s="164">
        <f t="shared" si="176"/>
        <v>3819</v>
      </c>
      <c r="G60" s="159">
        <f>BD60</f>
        <v>8194</v>
      </c>
      <c r="H60" s="164">
        <f t="shared" si="177"/>
        <v>5340</v>
      </c>
      <c r="I60" s="168">
        <f t="shared" si="178"/>
        <v>46674</v>
      </c>
      <c r="K60" s="12">
        <v>2020</v>
      </c>
      <c r="L60" s="159">
        <v>4258</v>
      </c>
      <c r="M60" s="160">
        <v>9247</v>
      </c>
      <c r="N60" s="161">
        <v>3168</v>
      </c>
      <c r="O60" s="175">
        <v>1320</v>
      </c>
      <c r="P60" s="163">
        <v>1666</v>
      </c>
      <c r="Q60" s="164">
        <v>1788</v>
      </c>
      <c r="R60" s="164">
        <v>1545</v>
      </c>
      <c r="S60" s="168">
        <v>1121</v>
      </c>
      <c r="T60" s="561">
        <f t="shared" si="185"/>
        <v>24113</v>
      </c>
      <c r="V60" s="12">
        <v>2020</v>
      </c>
      <c r="W60" s="159">
        <v>2016</v>
      </c>
      <c r="X60" s="160">
        <v>4280</v>
      </c>
      <c r="Y60" s="161">
        <v>1096</v>
      </c>
      <c r="Z60" s="175">
        <v>617</v>
      </c>
      <c r="AA60" s="163">
        <v>1153</v>
      </c>
      <c r="AB60" s="164">
        <v>1169</v>
      </c>
      <c r="AC60" s="164">
        <v>830</v>
      </c>
      <c r="AD60" s="165">
        <v>595</v>
      </c>
      <c r="AE60" s="561">
        <f t="shared" si="186"/>
        <v>11756</v>
      </c>
      <c r="AG60" s="3">
        <v>2020</v>
      </c>
      <c r="AH60" s="185">
        <v>1006</v>
      </c>
      <c r="AI60" s="170">
        <v>3131</v>
      </c>
      <c r="AJ60" s="188">
        <v>190</v>
      </c>
      <c r="AK60" s="171">
        <v>352</v>
      </c>
      <c r="AL60" s="172">
        <v>535</v>
      </c>
      <c r="AM60" s="174">
        <v>646</v>
      </c>
      <c r="AN60" s="174">
        <v>511</v>
      </c>
      <c r="AO60" s="165">
        <v>260</v>
      </c>
      <c r="AP60" s="561">
        <f t="shared" si="187"/>
        <v>6631</v>
      </c>
      <c r="AR60" s="3">
        <v>2020</v>
      </c>
      <c r="AS60" s="169">
        <v>914</v>
      </c>
      <c r="AT60" s="170">
        <v>1479</v>
      </c>
      <c r="AU60" s="161">
        <v>679</v>
      </c>
      <c r="AV60" s="171">
        <v>212</v>
      </c>
      <c r="AW60" s="172">
        <v>196</v>
      </c>
      <c r="AX60" s="173">
        <v>216</v>
      </c>
      <c r="AY60" s="173">
        <v>172</v>
      </c>
      <c r="AZ60" s="165">
        <v>306</v>
      </c>
      <c r="BA60" s="562">
        <f t="shared" si="184"/>
        <v>4174</v>
      </c>
      <c r="BC60" s="12">
        <v>2020</v>
      </c>
      <c r="BD60" s="549">
        <f t="shared" si="154"/>
        <v>8194</v>
      </c>
      <c r="BE60" s="550">
        <f t="shared" si="155"/>
        <v>18137</v>
      </c>
      <c r="BF60" s="551">
        <f t="shared" si="156"/>
        <v>5133</v>
      </c>
      <c r="BG60" s="555">
        <f t="shared" si="157"/>
        <v>2501</v>
      </c>
      <c r="BH60" s="552">
        <f t="shared" si="158"/>
        <v>3550</v>
      </c>
      <c r="BI60" s="553">
        <f t="shared" si="159"/>
        <v>3819</v>
      </c>
      <c r="BJ60" s="556">
        <f t="shared" si="160"/>
        <v>5340</v>
      </c>
      <c r="BK60" s="563">
        <f t="shared" si="179"/>
        <v>46674</v>
      </c>
      <c r="BM60" s="12">
        <v>2020</v>
      </c>
      <c r="BN60" s="549">
        <f t="shared" si="180"/>
        <v>6178</v>
      </c>
      <c r="BO60" s="550">
        <f t="shared" si="161"/>
        <v>13857</v>
      </c>
      <c r="BP60" s="551">
        <f t="shared" si="162"/>
        <v>4037</v>
      </c>
      <c r="BQ60" s="555">
        <f t="shared" si="163"/>
        <v>1884</v>
      </c>
      <c r="BR60" s="552">
        <f t="shared" si="164"/>
        <v>2397</v>
      </c>
      <c r="BS60" s="553">
        <f t="shared" si="165"/>
        <v>2650</v>
      </c>
      <c r="BT60" s="553">
        <f t="shared" si="181"/>
        <v>3915</v>
      </c>
      <c r="BU60" s="563">
        <f t="shared" si="166"/>
        <v>34918</v>
      </c>
      <c r="BW60" s="12">
        <v>2020</v>
      </c>
      <c r="BX60" s="549">
        <f t="shared" si="182"/>
        <v>2016</v>
      </c>
      <c r="BY60" s="550">
        <f t="shared" si="167"/>
        <v>4280</v>
      </c>
      <c r="BZ60" s="551">
        <f t="shared" si="168"/>
        <v>1096</v>
      </c>
      <c r="CA60" s="555">
        <f t="shared" si="169"/>
        <v>617</v>
      </c>
      <c r="CB60" s="552">
        <f t="shared" si="170"/>
        <v>1153</v>
      </c>
      <c r="CC60" s="553">
        <f t="shared" si="171"/>
        <v>1169</v>
      </c>
      <c r="CD60" s="553">
        <f t="shared" si="183"/>
        <v>1425</v>
      </c>
      <c r="CE60" s="563">
        <f t="shared" si="172"/>
        <v>11756</v>
      </c>
    </row>
    <row r="61" spans="1:83">
      <c r="A61" s="12">
        <v>2021</v>
      </c>
      <c r="B61" s="160">
        <f>BE61</f>
        <v>18697</v>
      </c>
      <c r="C61" s="161">
        <f t="shared" si="173"/>
        <v>5099</v>
      </c>
      <c r="D61" s="175">
        <f t="shared" si="174"/>
        <v>2526</v>
      </c>
      <c r="E61" s="163">
        <f t="shared" si="175"/>
        <v>3603</v>
      </c>
      <c r="F61" s="164">
        <f t="shared" si="176"/>
        <v>3855</v>
      </c>
      <c r="G61" s="159">
        <f>BD61</f>
        <v>8289</v>
      </c>
      <c r="H61" s="164">
        <f t="shared" si="177"/>
        <v>5396</v>
      </c>
      <c r="I61" s="168">
        <f t="shared" si="178"/>
        <v>47465</v>
      </c>
      <c r="K61" s="12">
        <v>2021</v>
      </c>
      <c r="L61" s="159">
        <v>4196</v>
      </c>
      <c r="M61" s="160">
        <v>9309</v>
      </c>
      <c r="N61" s="161">
        <v>3073</v>
      </c>
      <c r="O61" s="175">
        <v>1301</v>
      </c>
      <c r="P61" s="163">
        <v>1651</v>
      </c>
      <c r="Q61" s="164">
        <v>1762</v>
      </c>
      <c r="R61" s="164">
        <v>1522</v>
      </c>
      <c r="S61" s="168">
        <v>1105</v>
      </c>
      <c r="T61" s="561">
        <f t="shared" si="185"/>
        <v>23919</v>
      </c>
      <c r="V61" s="12">
        <v>2021</v>
      </c>
      <c r="W61" s="159">
        <v>2056</v>
      </c>
      <c r="X61" s="160">
        <v>4446</v>
      </c>
      <c r="Y61" s="161">
        <v>1100</v>
      </c>
      <c r="Z61" s="175">
        <v>630</v>
      </c>
      <c r="AA61" s="163">
        <v>1183</v>
      </c>
      <c r="AB61" s="164">
        <v>1193</v>
      </c>
      <c r="AC61" s="164">
        <v>846</v>
      </c>
      <c r="AD61" s="165">
        <v>607</v>
      </c>
      <c r="AE61" s="561">
        <f t="shared" si="186"/>
        <v>12061</v>
      </c>
      <c r="AG61" s="3">
        <v>2021</v>
      </c>
      <c r="AH61" s="185">
        <v>1033</v>
      </c>
      <c r="AI61" s="170">
        <v>3288</v>
      </c>
      <c r="AJ61" s="188">
        <v>192</v>
      </c>
      <c r="AK61" s="171">
        <v>362</v>
      </c>
      <c r="AL61" s="172">
        <v>553</v>
      </c>
      <c r="AM61" s="174">
        <v>663</v>
      </c>
      <c r="AN61" s="174">
        <v>525</v>
      </c>
      <c r="AO61" s="165">
        <v>267</v>
      </c>
      <c r="AP61" s="561">
        <f t="shared" si="187"/>
        <v>6883</v>
      </c>
      <c r="AR61" s="3">
        <v>2021</v>
      </c>
      <c r="AS61" s="169">
        <v>1004</v>
      </c>
      <c r="AT61" s="170">
        <v>1654</v>
      </c>
      <c r="AU61" s="161">
        <v>734</v>
      </c>
      <c r="AV61" s="171">
        <v>233</v>
      </c>
      <c r="AW61" s="172">
        <v>216</v>
      </c>
      <c r="AX61" s="174">
        <v>237</v>
      </c>
      <c r="AY61" s="174">
        <v>189</v>
      </c>
      <c r="AZ61" s="165">
        <v>335</v>
      </c>
      <c r="BA61" s="562">
        <f t="shared" si="184"/>
        <v>4602</v>
      </c>
      <c r="BC61" s="12">
        <v>2021</v>
      </c>
      <c r="BD61" s="573">
        <f t="shared" si="154"/>
        <v>8289</v>
      </c>
      <c r="BE61" s="550">
        <f t="shared" si="155"/>
        <v>18697</v>
      </c>
      <c r="BF61" s="551">
        <f t="shared" si="156"/>
        <v>5099</v>
      </c>
      <c r="BG61" s="555">
        <f t="shared" si="157"/>
        <v>2526</v>
      </c>
      <c r="BH61" s="552">
        <f t="shared" si="158"/>
        <v>3603</v>
      </c>
      <c r="BI61" s="553">
        <f t="shared" si="159"/>
        <v>3855</v>
      </c>
      <c r="BJ61" s="574">
        <f t="shared" si="160"/>
        <v>5396</v>
      </c>
      <c r="BK61" s="563">
        <f t="shared" si="179"/>
        <v>47465</v>
      </c>
      <c r="BM61" s="12">
        <v>2021</v>
      </c>
      <c r="BN61" s="549">
        <f t="shared" si="180"/>
        <v>6233</v>
      </c>
      <c r="BO61" s="550">
        <f t="shared" si="161"/>
        <v>14251</v>
      </c>
      <c r="BP61" s="551">
        <f t="shared" si="162"/>
        <v>3999</v>
      </c>
      <c r="BQ61" s="555">
        <f t="shared" si="163"/>
        <v>1896</v>
      </c>
      <c r="BR61" s="552">
        <f t="shared" si="164"/>
        <v>2420</v>
      </c>
      <c r="BS61" s="553">
        <f t="shared" si="165"/>
        <v>2662</v>
      </c>
      <c r="BT61" s="553">
        <f t="shared" si="181"/>
        <v>3943</v>
      </c>
      <c r="BU61" s="563">
        <f t="shared" si="166"/>
        <v>35404</v>
      </c>
      <c r="BW61" s="12">
        <v>2021</v>
      </c>
      <c r="BX61" s="549">
        <f t="shared" si="182"/>
        <v>2056</v>
      </c>
      <c r="BY61" s="550">
        <f t="shared" si="167"/>
        <v>4446</v>
      </c>
      <c r="BZ61" s="551">
        <f t="shared" si="168"/>
        <v>1100</v>
      </c>
      <c r="CA61" s="555">
        <f t="shared" si="169"/>
        <v>630</v>
      </c>
      <c r="CB61" s="552">
        <f t="shared" si="170"/>
        <v>1183</v>
      </c>
      <c r="CC61" s="553">
        <f t="shared" si="171"/>
        <v>1193</v>
      </c>
      <c r="CD61" s="553">
        <f t="shared" si="183"/>
        <v>1453</v>
      </c>
      <c r="CE61" s="563">
        <f t="shared" si="172"/>
        <v>12061</v>
      </c>
    </row>
    <row r="62" spans="1:83">
      <c r="BA62" s="561"/>
    </row>
    <row r="63" spans="1:83">
      <c r="A63" s="92" t="s">
        <v>573</v>
      </c>
      <c r="B63" s="17"/>
      <c r="C63" s="17"/>
      <c r="D63" s="17"/>
      <c r="E63" s="17"/>
      <c r="F63" s="17"/>
      <c r="G63" s="17"/>
      <c r="H63" s="17"/>
      <c r="I63" s="17"/>
    </row>
    <row r="64" spans="1:83">
      <c r="A64" s="23"/>
      <c r="I64" s="24"/>
      <c r="K64" s="48" t="s">
        <v>563</v>
      </c>
      <c r="V64" s="48" t="s">
        <v>564</v>
      </c>
      <c r="AG64" s="48" t="s">
        <v>585</v>
      </c>
      <c r="AR64" s="564" t="s">
        <v>1004</v>
      </c>
      <c r="BC64" s="48" t="s">
        <v>565</v>
      </c>
      <c r="BM64" s="564" t="s">
        <v>1006</v>
      </c>
      <c r="BW64" s="564" t="s">
        <v>1007</v>
      </c>
    </row>
    <row r="65" spans="1:83" ht="36">
      <c r="A65" s="681" t="s">
        <v>496</v>
      </c>
      <c r="B65" s="682" t="str">
        <f>BE65</f>
        <v>空氣調節
Air
Conditioning</v>
      </c>
      <c r="C65" s="683" t="str">
        <f t="shared" ref="C65:C81" si="188">BF65</f>
        <v>熱水
Hot
Water</v>
      </c>
      <c r="D65" s="684" t="str">
        <f t="shared" ref="D65:D81" si="189">BG65</f>
        <v>照明
Lighting</v>
      </c>
      <c r="E65" s="685" t="str">
        <f t="shared" ref="E65:E81" si="190">BH65</f>
        <v>冷凍
Refrigeration</v>
      </c>
      <c r="F65" s="686" t="str">
        <f t="shared" ref="F65:F81" si="191">BI65</f>
        <v>辦公室設備
Office
Equipment</v>
      </c>
      <c r="G65" s="687" t="str">
        <f>BD65</f>
        <v>煮食
Cooking</v>
      </c>
      <c r="H65" s="688" t="str">
        <f t="shared" ref="H65" si="192">BJ65</f>
        <v>其他 1
Others 1</v>
      </c>
      <c r="I65" s="689" t="str">
        <f t="shared" ref="I65" si="193">BK65</f>
        <v>總計
Total</v>
      </c>
      <c r="K65" s="2" t="s">
        <v>496</v>
      </c>
      <c r="L65" s="151" t="s">
        <v>566</v>
      </c>
      <c r="M65" s="152" t="s">
        <v>567</v>
      </c>
      <c r="N65" s="153" t="s">
        <v>568</v>
      </c>
      <c r="O65" s="154" t="s">
        <v>569</v>
      </c>
      <c r="P65" s="155" t="s">
        <v>570</v>
      </c>
      <c r="Q65" s="156" t="s">
        <v>571</v>
      </c>
      <c r="R65" s="553" t="s">
        <v>987</v>
      </c>
      <c r="S65" s="157" t="s">
        <v>572</v>
      </c>
      <c r="T65" s="158" t="s">
        <v>500</v>
      </c>
      <c r="V65" s="2" t="s">
        <v>496</v>
      </c>
      <c r="W65" s="151" t="s">
        <v>566</v>
      </c>
      <c r="X65" s="152" t="s">
        <v>567</v>
      </c>
      <c r="Y65" s="153" t="s">
        <v>568</v>
      </c>
      <c r="Z65" s="154" t="s">
        <v>569</v>
      </c>
      <c r="AA65" s="155" t="s">
        <v>570</v>
      </c>
      <c r="AB65" s="156" t="s">
        <v>571</v>
      </c>
      <c r="AC65" s="553" t="s">
        <v>987</v>
      </c>
      <c r="AD65" s="157" t="s">
        <v>572</v>
      </c>
      <c r="AE65" s="158" t="s">
        <v>500</v>
      </c>
      <c r="AG65" s="2" t="s">
        <v>496</v>
      </c>
      <c r="AH65" s="151" t="s">
        <v>566</v>
      </c>
      <c r="AI65" s="152" t="s">
        <v>567</v>
      </c>
      <c r="AJ65" s="153" t="s">
        <v>568</v>
      </c>
      <c r="AK65" s="154" t="s">
        <v>569</v>
      </c>
      <c r="AL65" s="155" t="s">
        <v>570</v>
      </c>
      <c r="AM65" s="156" t="s">
        <v>571</v>
      </c>
      <c r="AN65" s="553" t="s">
        <v>987</v>
      </c>
      <c r="AO65" s="157" t="s">
        <v>572</v>
      </c>
      <c r="AP65" s="158" t="s">
        <v>500</v>
      </c>
      <c r="AR65" s="2" t="s">
        <v>496</v>
      </c>
      <c r="AS65" s="151" t="s">
        <v>566</v>
      </c>
      <c r="AT65" s="152" t="s">
        <v>567</v>
      </c>
      <c r="AU65" s="153" t="s">
        <v>568</v>
      </c>
      <c r="AV65" s="154" t="s">
        <v>569</v>
      </c>
      <c r="AW65" s="155" t="s">
        <v>570</v>
      </c>
      <c r="AX65" s="156" t="s">
        <v>571</v>
      </c>
      <c r="AY65" s="553" t="s">
        <v>987</v>
      </c>
      <c r="AZ65" s="157" t="s">
        <v>572</v>
      </c>
      <c r="BA65" s="158" t="s">
        <v>500</v>
      </c>
      <c r="BC65" s="2" t="s">
        <v>496</v>
      </c>
      <c r="BD65" s="151" t="s">
        <v>566</v>
      </c>
      <c r="BE65" s="152" t="s">
        <v>567</v>
      </c>
      <c r="BF65" s="153" t="s">
        <v>568</v>
      </c>
      <c r="BG65" s="154" t="s">
        <v>569</v>
      </c>
      <c r="BH65" s="155" t="s">
        <v>570</v>
      </c>
      <c r="BI65" s="156" t="s">
        <v>571</v>
      </c>
      <c r="BJ65" s="157" t="s">
        <v>572</v>
      </c>
      <c r="BK65" s="158" t="s">
        <v>500</v>
      </c>
      <c r="BM65" s="2" t="s">
        <v>496</v>
      </c>
      <c r="BN65" s="151" t="s">
        <v>566</v>
      </c>
      <c r="BO65" s="152" t="s">
        <v>567</v>
      </c>
      <c r="BP65" s="153" t="s">
        <v>568</v>
      </c>
      <c r="BQ65" s="154" t="s">
        <v>569</v>
      </c>
      <c r="BR65" s="155" t="s">
        <v>570</v>
      </c>
      <c r="BS65" s="156" t="s">
        <v>571</v>
      </c>
      <c r="BT65" s="157" t="s">
        <v>572</v>
      </c>
      <c r="BU65" s="158" t="s">
        <v>500</v>
      </c>
      <c r="BW65" s="2" t="s">
        <v>496</v>
      </c>
      <c r="BX65" s="151" t="s">
        <v>566</v>
      </c>
      <c r="BY65" s="152" t="s">
        <v>567</v>
      </c>
      <c r="BZ65" s="153" t="s">
        <v>568</v>
      </c>
      <c r="CA65" s="154" t="s">
        <v>569</v>
      </c>
      <c r="CB65" s="155" t="s">
        <v>570</v>
      </c>
      <c r="CC65" s="156" t="s">
        <v>571</v>
      </c>
      <c r="CD65" s="157" t="s">
        <v>572</v>
      </c>
      <c r="CE65" s="158" t="s">
        <v>500</v>
      </c>
    </row>
    <row r="66" spans="1:83">
      <c r="A66" s="23">
        <v>2006</v>
      </c>
      <c r="B66" s="566">
        <f>BE66</f>
        <v>0.34127983147943586</v>
      </c>
      <c r="C66" s="567">
        <f t="shared" si="188"/>
        <v>9.0811005214889412E-2</v>
      </c>
      <c r="D66" s="568">
        <f t="shared" si="189"/>
        <v>0.11901764841883526</v>
      </c>
      <c r="E66" s="569">
        <f t="shared" si="190"/>
        <v>0.16369101138027589</v>
      </c>
      <c r="F66" s="570">
        <f t="shared" si="191"/>
        <v>0.13784776633185192</v>
      </c>
      <c r="G66" s="565">
        <f>BD66</f>
        <v>9.1941326071878132E-2</v>
      </c>
      <c r="H66" s="571">
        <f>BJ66</f>
        <v>5.5411411102833506E-2</v>
      </c>
      <c r="I66" s="690">
        <f>BK66</f>
        <v>0.99999999999999989</v>
      </c>
      <c r="K66" s="12">
        <v>2006</v>
      </c>
      <c r="L66" s="177">
        <f t="shared" ref="L66:T73" si="194">L46/$T46</f>
        <v>8.8365896980461808E-2</v>
      </c>
      <c r="M66" s="178">
        <f t="shared" si="194"/>
        <v>0.33980905861456484</v>
      </c>
      <c r="N66" s="179">
        <f t="shared" si="194"/>
        <v>0.11783969804618118</v>
      </c>
      <c r="O66" s="180">
        <f t="shared" si="194"/>
        <v>0.11922735346358793</v>
      </c>
      <c r="P66" s="181">
        <f t="shared" si="194"/>
        <v>0.15708259325044405</v>
      </c>
      <c r="Q66" s="182">
        <f t="shared" si="194"/>
        <v>0.12827486678507993</v>
      </c>
      <c r="R66" s="182">
        <f>R46/$T46</f>
        <v>0</v>
      </c>
      <c r="S66" s="183">
        <f t="shared" si="194"/>
        <v>4.9400532859680282E-2</v>
      </c>
      <c r="T66" s="184">
        <f t="shared" si="194"/>
        <v>1</v>
      </c>
      <c r="V66" s="12">
        <v>2006</v>
      </c>
      <c r="W66" s="177">
        <f t="shared" ref="W66:AD73" si="195">W46/$AE46</f>
        <v>9.2244844172102519E-2</v>
      </c>
      <c r="X66" s="178">
        <f t="shared" si="195"/>
        <v>0.32984120708967518</v>
      </c>
      <c r="Y66" s="179">
        <f t="shared" si="195"/>
        <v>8.1768465441128022E-2</v>
      </c>
      <c r="Z66" s="180">
        <f t="shared" si="195"/>
        <v>0.1159649469592146</v>
      </c>
      <c r="AA66" s="181">
        <f t="shared" si="195"/>
        <v>0.17500164722936021</v>
      </c>
      <c r="AB66" s="182">
        <f t="shared" si="195"/>
        <v>0.14568096461751334</v>
      </c>
      <c r="AC66" s="182">
        <f>AC46/$AE46</f>
        <v>0</v>
      </c>
      <c r="AD66" s="183">
        <f t="shared" si="195"/>
        <v>5.9497924491006125E-2</v>
      </c>
      <c r="AE66" s="184">
        <f>SUM(W66:AD66)</f>
        <v>0.99999999999999989</v>
      </c>
      <c r="AG66" s="12">
        <v>2006</v>
      </c>
      <c r="AH66" s="546">
        <f>AH46/$AP46</f>
        <v>0.10237181723055459</v>
      </c>
      <c r="AI66" s="547">
        <f t="shared" ref="AI66:AO66" si="196">AI46/$AP46</f>
        <v>0.37617718869898847</v>
      </c>
      <c r="AJ66" s="179">
        <f t="shared" si="196"/>
        <v>2.9822113707708407E-2</v>
      </c>
      <c r="AK66" s="180">
        <f t="shared" si="196"/>
        <v>0.12643878618765259</v>
      </c>
      <c r="AL66" s="181">
        <f t="shared" si="196"/>
        <v>0.15451691663760028</v>
      </c>
      <c r="AM66" s="548">
        <f t="shared" si="196"/>
        <v>0.14719218695500524</v>
      </c>
      <c r="AN66" s="182">
        <f t="shared" ref="AN66" si="197">AN46/$AP46</f>
        <v>0</v>
      </c>
      <c r="AO66" s="183">
        <f t="shared" si="196"/>
        <v>6.3480990582490404E-2</v>
      </c>
      <c r="AP66" s="184">
        <f>SUM(AH66:AO66)</f>
        <v>1</v>
      </c>
      <c r="AR66" s="12">
        <v>2006</v>
      </c>
      <c r="AS66" s="546">
        <f t="shared" ref="AS66:AY66" si="198">IFERROR(AS46/$BA46,0)</f>
        <v>0</v>
      </c>
      <c r="AT66" s="547">
        <f t="shared" si="198"/>
        <v>0</v>
      </c>
      <c r="AU66" s="179">
        <f t="shared" si="198"/>
        <v>0</v>
      </c>
      <c r="AV66" s="180">
        <f t="shared" si="198"/>
        <v>0</v>
      </c>
      <c r="AW66" s="181">
        <f t="shared" si="198"/>
        <v>0</v>
      </c>
      <c r="AX66" s="548">
        <f t="shared" si="198"/>
        <v>0</v>
      </c>
      <c r="AY66" s="570">
        <f t="shared" si="198"/>
        <v>0</v>
      </c>
      <c r="AZ66" s="183">
        <f t="shared" ref="AZ66:AZ70" si="199">AZ46/$AP46</f>
        <v>0</v>
      </c>
      <c r="BA66" s="184">
        <f>SUM(AS66:AZ66)</f>
        <v>0</v>
      </c>
      <c r="BC66" s="12">
        <v>2006</v>
      </c>
      <c r="BD66" s="565">
        <f>(L66*$T46+W66*$AE46+AH66*$AP46+AS66*$BA46)/$I46</f>
        <v>9.1941326071878132E-2</v>
      </c>
      <c r="BE66" s="566">
        <f t="shared" ref="BE66:BE81" si="200">(M66*$T46+X66*$AE46+AI66*$AP46+AT66*$BA46)/$I46</f>
        <v>0.34127983147943586</v>
      </c>
      <c r="BF66" s="567">
        <f t="shared" ref="BF66:BF81" si="201">(N66*$T46+Y66*$AE46+AJ66*$AP46+AU66*$BA46)/$I46</f>
        <v>9.0811005214889412E-2</v>
      </c>
      <c r="BG66" s="568">
        <f t="shared" ref="BG66:BG81" si="202">(O66*$T46+Z66*$AE46+AK66*$AP46+AV66*$BA46)/$I46</f>
        <v>0.11901764841883526</v>
      </c>
      <c r="BH66" s="569">
        <f t="shared" ref="BH66:BH81" si="203">(P66*$T46+AA66*$AE46+AL66*$AP46+AW66*$BA46)/$I46</f>
        <v>0.16369101138027589</v>
      </c>
      <c r="BI66" s="570">
        <f t="shared" ref="BI66:BI81" si="204">(Q66*$T46+AB66*$AE46+AM66*$AP46+AX66*$BA46)/$I46</f>
        <v>0.13784776633185192</v>
      </c>
      <c r="BJ66" s="571">
        <f t="shared" ref="BJ66:BJ70" si="205">((R66+S66)*$T46+(AC66+AD66)*$AE46+(AN66+AO66)*$AP46+(AZ66+AY66)*$BA46)/$I46</f>
        <v>5.5411411102833506E-2</v>
      </c>
      <c r="BK66" s="184">
        <f>SUM(BD66:BJ66)</f>
        <v>0.99999999999999989</v>
      </c>
      <c r="BM66" s="12">
        <v>2006</v>
      </c>
      <c r="BN66" s="546">
        <f>BN46/$BU46</f>
        <v>9.1747368421052633E-2</v>
      </c>
      <c r="BO66" s="546">
        <f t="shared" ref="BO66:BT66" si="206">BO46/$BU46</f>
        <v>0.3485894736842105</v>
      </c>
      <c r="BP66" s="546">
        <f t="shared" si="206"/>
        <v>9.6589473684210531E-2</v>
      </c>
      <c r="BQ66" s="546">
        <f t="shared" si="206"/>
        <v>0.12096842105263157</v>
      </c>
      <c r="BR66" s="546">
        <f t="shared" si="206"/>
        <v>0.15646315789473683</v>
      </c>
      <c r="BS66" s="546">
        <f t="shared" si="206"/>
        <v>0.1328421052631579</v>
      </c>
      <c r="BT66" s="546">
        <f t="shared" si="206"/>
        <v>5.28E-2</v>
      </c>
      <c r="BU66" s="184">
        <f>SUM(BN66:BT66)</f>
        <v>1</v>
      </c>
      <c r="BW66" s="12">
        <v>2006</v>
      </c>
      <c r="BX66" s="546">
        <f>IFERROR(BX46/$CE46,0)</f>
        <v>9.2244844172102519E-2</v>
      </c>
      <c r="BY66" s="546">
        <f t="shared" ref="BY66:CD66" si="207">IFERROR(BY46/$CE46,0)</f>
        <v>0.32984120708967518</v>
      </c>
      <c r="BZ66" s="546">
        <f t="shared" si="207"/>
        <v>8.1768465441128022E-2</v>
      </c>
      <c r="CA66" s="546">
        <f t="shared" si="207"/>
        <v>0.1159649469592146</v>
      </c>
      <c r="CB66" s="546">
        <f t="shared" si="207"/>
        <v>0.17500164722936021</v>
      </c>
      <c r="CC66" s="546">
        <f t="shared" si="207"/>
        <v>0.14568096461751334</v>
      </c>
      <c r="CD66" s="546">
        <f t="shared" si="207"/>
        <v>5.9497924491006125E-2</v>
      </c>
      <c r="CE66" s="184">
        <f>SUM(BX66:CD66)</f>
        <v>0.99999999999999989</v>
      </c>
    </row>
    <row r="67" spans="1:83">
      <c r="A67" s="23">
        <v>2007</v>
      </c>
      <c r="B67" s="566">
        <f>BE67</f>
        <v>0.33179000821447241</v>
      </c>
      <c r="C67" s="567">
        <f t="shared" si="188"/>
        <v>9.6781420356956166E-2</v>
      </c>
      <c r="D67" s="568">
        <f t="shared" si="189"/>
        <v>0.11223956388619222</v>
      </c>
      <c r="E67" s="569">
        <f t="shared" si="190"/>
        <v>0.1647375102680905</v>
      </c>
      <c r="F67" s="570">
        <f t="shared" si="191"/>
        <v>0.14191123391332486</v>
      </c>
      <c r="G67" s="565">
        <f>BD67</f>
        <v>9.6233788863166803E-2</v>
      </c>
      <c r="H67" s="571">
        <f t="shared" ref="H67:H81" si="208">BJ67</f>
        <v>5.6306474497797028E-2</v>
      </c>
      <c r="I67" s="690">
        <f t="shared" ref="I67:I81" si="209">BK67</f>
        <v>0.99999999999999989</v>
      </c>
      <c r="K67" s="12">
        <v>2007</v>
      </c>
      <c r="L67" s="177">
        <f t="shared" si="194"/>
        <v>9.1216760676873496E-2</v>
      </c>
      <c r="M67" s="178">
        <f t="shared" si="194"/>
        <v>0.33177544990598978</v>
      </c>
      <c r="N67" s="179">
        <f t="shared" si="194"/>
        <v>0.12199838839645447</v>
      </c>
      <c r="O67" s="180">
        <f t="shared" si="194"/>
        <v>0.11281224818694602</v>
      </c>
      <c r="P67" s="181">
        <f t="shared" si="194"/>
        <v>0.15911899006177813</v>
      </c>
      <c r="Q67" s="182">
        <f t="shared" si="194"/>
        <v>0.13263497179693795</v>
      </c>
      <c r="R67" s="182">
        <f t="shared" si="194"/>
        <v>0</v>
      </c>
      <c r="S67" s="183">
        <f t="shared" si="194"/>
        <v>5.0443190975020147E-2</v>
      </c>
      <c r="T67" s="184">
        <f t="shared" si="194"/>
        <v>1</v>
      </c>
      <c r="V67" s="12">
        <v>2007</v>
      </c>
      <c r="W67" s="177">
        <f t="shared" si="195"/>
        <v>9.681144543529864E-2</v>
      </c>
      <c r="X67" s="178">
        <f t="shared" si="195"/>
        <v>0.3184063642779239</v>
      </c>
      <c r="Y67" s="179">
        <f t="shared" si="195"/>
        <v>8.9754282414832867E-2</v>
      </c>
      <c r="Z67" s="180">
        <f t="shared" si="195"/>
        <v>0.10964265092705459</v>
      </c>
      <c r="AA67" s="181">
        <f t="shared" si="195"/>
        <v>0.17585167126451531</v>
      </c>
      <c r="AB67" s="182">
        <f t="shared" si="195"/>
        <v>0.14903445178674538</v>
      </c>
      <c r="AC67" s="182">
        <f t="shared" si="195"/>
        <v>0</v>
      </c>
      <c r="AD67" s="183">
        <f t="shared" si="195"/>
        <v>6.0499133893629306E-2</v>
      </c>
      <c r="AE67" s="184">
        <f t="shared" ref="AE67:AE81" si="210">SUM(W67:AD67)</f>
        <v>0.99999999999999989</v>
      </c>
      <c r="AG67" s="12">
        <v>2007</v>
      </c>
      <c r="AH67" s="546">
        <f t="shared" ref="AH67:AO67" si="211">AH47/$AP47</f>
        <v>0.11036677273488528</v>
      </c>
      <c r="AI67" s="547">
        <f t="shared" si="211"/>
        <v>0.36677273488527884</v>
      </c>
      <c r="AJ67" s="179">
        <f t="shared" si="211"/>
        <v>3.650979735387707E-2</v>
      </c>
      <c r="AK67" s="180">
        <f t="shared" si="211"/>
        <v>0.11723329425556858</v>
      </c>
      <c r="AL67" s="181">
        <f t="shared" si="211"/>
        <v>0.1532406632054932</v>
      </c>
      <c r="AM67" s="548">
        <f t="shared" si="211"/>
        <v>0.15223580639758835</v>
      </c>
      <c r="AN67" s="182">
        <f t="shared" ref="AN67" si="212">AN47/$AP47</f>
        <v>0</v>
      </c>
      <c r="AO67" s="183">
        <f t="shared" si="211"/>
        <v>6.3640931167308665E-2</v>
      </c>
      <c r="AP67" s="184">
        <f t="shared" ref="AP67:AP80" si="213">SUM(AH67:AO67)</f>
        <v>1</v>
      </c>
      <c r="AR67" s="12">
        <v>2007</v>
      </c>
      <c r="AS67" s="546">
        <f t="shared" ref="AS67:AY67" si="214">IFERROR(AS47/$BA47,0)</f>
        <v>0</v>
      </c>
      <c r="AT67" s="547">
        <f t="shared" si="214"/>
        <v>0</v>
      </c>
      <c r="AU67" s="179">
        <f t="shared" si="214"/>
        <v>0</v>
      </c>
      <c r="AV67" s="180">
        <f t="shared" si="214"/>
        <v>0</v>
      </c>
      <c r="AW67" s="181">
        <f t="shared" si="214"/>
        <v>0</v>
      </c>
      <c r="AX67" s="548">
        <f t="shared" si="214"/>
        <v>0</v>
      </c>
      <c r="AY67" s="570">
        <f t="shared" si="214"/>
        <v>0</v>
      </c>
      <c r="AZ67" s="183">
        <f t="shared" si="199"/>
        <v>0</v>
      </c>
      <c r="BA67" s="184">
        <f t="shared" ref="BA67:BA81" si="215">SUM(AS67:AZ67)</f>
        <v>0</v>
      </c>
      <c r="BC67" s="12">
        <v>2007</v>
      </c>
      <c r="BD67" s="565">
        <f t="shared" ref="BD67:BD72" si="216">(L67*$T47+W67*$AE47+AH67*$AP47+AS67*$BA47)/$I47</f>
        <v>9.6233788863166803E-2</v>
      </c>
      <c r="BE67" s="566">
        <f t="shared" si="200"/>
        <v>0.33179000821447241</v>
      </c>
      <c r="BF67" s="567">
        <f t="shared" si="201"/>
        <v>9.6781420356956166E-2</v>
      </c>
      <c r="BG67" s="568">
        <f t="shared" si="202"/>
        <v>0.11223956388619222</v>
      </c>
      <c r="BH67" s="569">
        <f t="shared" si="203"/>
        <v>0.1647375102680905</v>
      </c>
      <c r="BI67" s="570">
        <f t="shared" si="204"/>
        <v>0.14191123391332486</v>
      </c>
      <c r="BJ67" s="571">
        <f t="shared" si="205"/>
        <v>5.6306474497797028E-2</v>
      </c>
      <c r="BK67" s="184">
        <f t="shared" ref="BK67:BK81" si="217">SUM(BD67:BJ67)</f>
        <v>0.99999999999999989</v>
      </c>
      <c r="BM67" s="12">
        <v>2007</v>
      </c>
      <c r="BN67" s="546">
        <f t="shared" ref="BN67:BT67" si="218">BN47/$BU47</f>
        <v>9.5867566907996415E-2</v>
      </c>
      <c r="BO67" s="546">
        <f t="shared" si="218"/>
        <v>0.34027495322541285</v>
      </c>
      <c r="BP67" s="546">
        <f t="shared" si="218"/>
        <v>0.10123647604327667</v>
      </c>
      <c r="BQ67" s="546">
        <f t="shared" si="218"/>
        <v>0.11388595135442935</v>
      </c>
      <c r="BR67" s="546">
        <f t="shared" si="218"/>
        <v>0.15769136907182948</v>
      </c>
      <c r="BS67" s="546">
        <f t="shared" si="218"/>
        <v>0.13739526559830798</v>
      </c>
      <c r="BT67" s="546">
        <f t="shared" si="218"/>
        <v>5.3648417798747253E-2</v>
      </c>
      <c r="BU67" s="184">
        <f t="shared" ref="BU67:BU81" si="219">SUM(BN67:BT67)</f>
        <v>1</v>
      </c>
      <c r="BW67" s="12">
        <v>2007</v>
      </c>
      <c r="BX67" s="546">
        <f t="shared" ref="BX67:CD67" si="220">IFERROR(BX47/$CE47,0)</f>
        <v>9.681144543529864E-2</v>
      </c>
      <c r="BY67" s="546">
        <f t="shared" si="220"/>
        <v>0.3184063642779239</v>
      </c>
      <c r="BZ67" s="546">
        <f t="shared" si="220"/>
        <v>8.9754282414832867E-2</v>
      </c>
      <c r="CA67" s="546">
        <f t="shared" si="220"/>
        <v>0.10964265092705459</v>
      </c>
      <c r="CB67" s="546">
        <f t="shared" si="220"/>
        <v>0.17585167126451531</v>
      </c>
      <c r="CC67" s="546">
        <f t="shared" si="220"/>
        <v>0.14903445178674538</v>
      </c>
      <c r="CD67" s="546">
        <f t="shared" si="220"/>
        <v>6.0499133893629306E-2</v>
      </c>
      <c r="CE67" s="184">
        <f t="shared" ref="CE67:CE81" si="221">SUM(BX67:CD67)</f>
        <v>0.99999999999999989</v>
      </c>
    </row>
    <row r="68" spans="1:83">
      <c r="A68" s="23">
        <v>2008</v>
      </c>
      <c r="B68" s="566">
        <f>BE68</f>
        <v>0.32234752031041591</v>
      </c>
      <c r="C68" s="567">
        <f t="shared" si="188"/>
        <v>0.10304353098096278</v>
      </c>
      <c r="D68" s="568">
        <f t="shared" si="189"/>
        <v>0.1055656602400873</v>
      </c>
      <c r="E68" s="569">
        <f t="shared" si="190"/>
        <v>0.16505395901539954</v>
      </c>
      <c r="F68" s="570">
        <f t="shared" si="191"/>
        <v>0.14601673335758458</v>
      </c>
      <c r="G68" s="565">
        <f>BD68</f>
        <v>0.1009336728507336</v>
      </c>
      <c r="H68" s="571">
        <f t="shared" si="208"/>
        <v>5.7038923244816297E-2</v>
      </c>
      <c r="I68" s="690">
        <f t="shared" si="209"/>
        <v>1</v>
      </c>
      <c r="K68" s="12">
        <v>2008</v>
      </c>
      <c r="L68" s="177">
        <f t="shared" si="194"/>
        <v>9.3998028738911651E-2</v>
      </c>
      <c r="M68" s="178">
        <f t="shared" si="194"/>
        <v>0.32370182082274213</v>
      </c>
      <c r="N68" s="179">
        <f t="shared" si="194"/>
        <v>0.12610883436219328</v>
      </c>
      <c r="O68" s="180">
        <f t="shared" si="194"/>
        <v>0.10660372464595114</v>
      </c>
      <c r="P68" s="181">
        <f t="shared" si="194"/>
        <v>0.16086527986719926</v>
      </c>
      <c r="Q68" s="182">
        <f t="shared" si="194"/>
        <v>0.13726202209887431</v>
      </c>
      <c r="R68" s="182">
        <f t="shared" si="194"/>
        <v>0</v>
      </c>
      <c r="S68" s="183">
        <f t="shared" si="194"/>
        <v>5.1460289464128235E-2</v>
      </c>
      <c r="T68" s="184">
        <f t="shared" si="194"/>
        <v>1</v>
      </c>
      <c r="V68" s="12">
        <v>2008</v>
      </c>
      <c r="W68" s="177">
        <f t="shared" si="195"/>
        <v>0.10205897305541434</v>
      </c>
      <c r="X68" s="178">
        <f t="shared" si="195"/>
        <v>0.30732079308591764</v>
      </c>
      <c r="Y68" s="179">
        <f t="shared" si="195"/>
        <v>9.7928317234367054E-2</v>
      </c>
      <c r="Z68" s="180">
        <f t="shared" si="195"/>
        <v>0.103266395526182</v>
      </c>
      <c r="AA68" s="181">
        <f t="shared" si="195"/>
        <v>0.175711743772242</v>
      </c>
      <c r="AB68" s="182">
        <f t="shared" si="195"/>
        <v>0.15238942552109813</v>
      </c>
      <c r="AC68" s="182">
        <f t="shared" si="195"/>
        <v>0</v>
      </c>
      <c r="AD68" s="183">
        <f t="shared" si="195"/>
        <v>6.1324351804778854E-2</v>
      </c>
      <c r="AE68" s="184">
        <f t="shared" si="210"/>
        <v>1</v>
      </c>
      <c r="AG68" s="12">
        <v>2008</v>
      </c>
      <c r="AH68" s="546">
        <f t="shared" ref="AH68:AO68" si="222">AH48/$AP48</f>
        <v>0.11957569913211186</v>
      </c>
      <c r="AI68" s="547">
        <f t="shared" si="222"/>
        <v>0.35615557698489231</v>
      </c>
      <c r="AJ68" s="179">
        <f t="shared" si="222"/>
        <v>4.4519447123111539E-2</v>
      </c>
      <c r="AK68" s="180">
        <f t="shared" si="222"/>
        <v>0.10816457730633237</v>
      </c>
      <c r="AL68" s="181">
        <f t="shared" si="222"/>
        <v>0.15107682417229187</v>
      </c>
      <c r="AM68" s="548">
        <f t="shared" si="222"/>
        <v>0.15702346512375442</v>
      </c>
      <c r="AN68" s="182">
        <f t="shared" ref="AN68" si="223">AN48/$AP48</f>
        <v>0</v>
      </c>
      <c r="AO68" s="183">
        <f t="shared" si="222"/>
        <v>6.3484410157505625E-2</v>
      </c>
      <c r="AP68" s="184">
        <f t="shared" si="213"/>
        <v>0.99999999999999989</v>
      </c>
      <c r="AR68" s="12">
        <v>2008</v>
      </c>
      <c r="AS68" s="546">
        <f t="shared" ref="AS68:AY68" si="224">IFERROR(AS48/$BA48,0)</f>
        <v>0</v>
      </c>
      <c r="AT68" s="547">
        <f t="shared" si="224"/>
        <v>0</v>
      </c>
      <c r="AU68" s="179">
        <f t="shared" si="224"/>
        <v>0</v>
      </c>
      <c r="AV68" s="180">
        <f t="shared" si="224"/>
        <v>0</v>
      </c>
      <c r="AW68" s="181">
        <f t="shared" si="224"/>
        <v>0</v>
      </c>
      <c r="AX68" s="548">
        <f t="shared" si="224"/>
        <v>0</v>
      </c>
      <c r="AY68" s="570">
        <f t="shared" si="224"/>
        <v>0</v>
      </c>
      <c r="AZ68" s="183">
        <f t="shared" si="199"/>
        <v>0</v>
      </c>
      <c r="BA68" s="184">
        <f t="shared" si="215"/>
        <v>0</v>
      </c>
      <c r="BC68" s="12">
        <v>2008</v>
      </c>
      <c r="BD68" s="565">
        <f t="shared" si="216"/>
        <v>0.1009336728507336</v>
      </c>
      <c r="BE68" s="566">
        <f t="shared" si="200"/>
        <v>0.32234752031041591</v>
      </c>
      <c r="BF68" s="567">
        <f t="shared" si="201"/>
        <v>0.10304353098096278</v>
      </c>
      <c r="BG68" s="568">
        <f t="shared" si="202"/>
        <v>0.1055656602400873</v>
      </c>
      <c r="BH68" s="569">
        <f t="shared" si="203"/>
        <v>0.16505395901539954</v>
      </c>
      <c r="BI68" s="570">
        <f t="shared" si="204"/>
        <v>0.14601673335758458</v>
      </c>
      <c r="BJ68" s="571">
        <f t="shared" si="205"/>
        <v>5.7038923244816297E-2</v>
      </c>
      <c r="BK68" s="184">
        <f t="shared" si="217"/>
        <v>1</v>
      </c>
      <c r="BM68" s="12">
        <v>2008</v>
      </c>
      <c r="BN68" s="546">
        <f t="shared" ref="BN68:BT68" si="225">BN48/$BU48</f>
        <v>0.10023922506764971</v>
      </c>
      <c r="BO68" s="546">
        <f t="shared" si="225"/>
        <v>0.33162084787638729</v>
      </c>
      <c r="BP68" s="546">
        <f t="shared" si="225"/>
        <v>0.10620024314679007</v>
      </c>
      <c r="BQ68" s="546">
        <f t="shared" si="225"/>
        <v>0.10698458763088749</v>
      </c>
      <c r="BR68" s="546">
        <f t="shared" si="225"/>
        <v>0.15847680301188283</v>
      </c>
      <c r="BS68" s="546">
        <f t="shared" si="225"/>
        <v>0.14208400329424684</v>
      </c>
      <c r="BT68" s="546">
        <f t="shared" si="225"/>
        <v>5.4394289972155771E-2</v>
      </c>
      <c r="BU68" s="184">
        <f t="shared" si="219"/>
        <v>1</v>
      </c>
      <c r="BW68" s="12">
        <v>2008</v>
      </c>
      <c r="BX68" s="546">
        <f t="shared" ref="BX68:CD68" si="226">IFERROR(BX48/$CE48,0)</f>
        <v>0.10205897305541434</v>
      </c>
      <c r="BY68" s="546">
        <f t="shared" si="226"/>
        <v>0.30732079308591764</v>
      </c>
      <c r="BZ68" s="546">
        <f t="shared" si="226"/>
        <v>9.7928317234367054E-2</v>
      </c>
      <c r="CA68" s="546">
        <f t="shared" si="226"/>
        <v>0.103266395526182</v>
      </c>
      <c r="CB68" s="546">
        <f t="shared" si="226"/>
        <v>0.175711743772242</v>
      </c>
      <c r="CC68" s="546">
        <f t="shared" si="226"/>
        <v>0.15238942552109813</v>
      </c>
      <c r="CD68" s="546">
        <f t="shared" si="226"/>
        <v>6.1324351804778854E-2</v>
      </c>
      <c r="CE68" s="184">
        <f t="shared" si="221"/>
        <v>1</v>
      </c>
    </row>
    <row r="69" spans="1:83">
      <c r="A69" s="23">
        <v>2009</v>
      </c>
      <c r="B69" s="566">
        <f>BE69</f>
        <v>0.33045977011494254</v>
      </c>
      <c r="C69" s="567">
        <f t="shared" si="188"/>
        <v>9.5668629100084099E-2</v>
      </c>
      <c r="D69" s="568">
        <f t="shared" si="189"/>
        <v>0.1047098402018503</v>
      </c>
      <c r="E69" s="569">
        <f t="shared" si="190"/>
        <v>0.16136342397906739</v>
      </c>
      <c r="F69" s="570">
        <f t="shared" si="191"/>
        <v>0.14711241940005607</v>
      </c>
      <c r="G69" s="565">
        <f>BD69</f>
        <v>9.7560975609756101E-2</v>
      </c>
      <c r="H69" s="571">
        <f t="shared" si="208"/>
        <v>6.3124941594243533E-2</v>
      </c>
      <c r="I69" s="690">
        <f t="shared" si="209"/>
        <v>1</v>
      </c>
      <c r="K69" s="12">
        <v>2009</v>
      </c>
      <c r="L69" s="177">
        <f t="shared" si="194"/>
        <v>8.9637382806686844E-2</v>
      </c>
      <c r="M69" s="178">
        <f t="shared" si="194"/>
        <v>0.33434198124906989</v>
      </c>
      <c r="N69" s="179">
        <f t="shared" si="194"/>
        <v>0.11850786249317923</v>
      </c>
      <c r="O69" s="180">
        <f t="shared" si="194"/>
        <v>0.10749541147874399</v>
      </c>
      <c r="P69" s="181">
        <f t="shared" si="194"/>
        <v>0.15546406071729749</v>
      </c>
      <c r="Q69" s="182">
        <f t="shared" si="194"/>
        <v>0.13710997569323874</v>
      </c>
      <c r="R69" s="182">
        <f t="shared" si="194"/>
        <v>0</v>
      </c>
      <c r="S69" s="183">
        <f t="shared" si="194"/>
        <v>5.7443325561783817E-2</v>
      </c>
      <c r="T69" s="184">
        <f t="shared" si="194"/>
        <v>1</v>
      </c>
      <c r="V69" s="12">
        <v>2009</v>
      </c>
      <c r="W69" s="177">
        <f t="shared" si="195"/>
        <v>0.10176557135850907</v>
      </c>
      <c r="X69" s="178">
        <f t="shared" si="195"/>
        <v>0.31283717508582637</v>
      </c>
      <c r="Y69" s="179">
        <f t="shared" si="195"/>
        <v>9.0669445806768029E-2</v>
      </c>
      <c r="Z69" s="180">
        <f t="shared" si="195"/>
        <v>0.10047817557626287</v>
      </c>
      <c r="AA69" s="181">
        <f t="shared" si="195"/>
        <v>0.17275625306522804</v>
      </c>
      <c r="AB69" s="182">
        <f t="shared" si="195"/>
        <v>0.15442618930848456</v>
      </c>
      <c r="AC69" s="182">
        <f t="shared" si="195"/>
        <v>0</v>
      </c>
      <c r="AD69" s="183">
        <f t="shared" si="195"/>
        <v>6.706718979892104E-2</v>
      </c>
      <c r="AE69" s="184">
        <f t="shared" si="210"/>
        <v>1</v>
      </c>
      <c r="AG69" s="12">
        <v>2009</v>
      </c>
      <c r="AH69" s="546">
        <f t="shared" ref="AH69:AO69" si="227">AH49/$AP49</f>
        <v>0.11195326069793148</v>
      </c>
      <c r="AI69" s="547">
        <f t="shared" si="227"/>
        <v>0.36349281541133743</v>
      </c>
      <c r="AJ69" s="179">
        <f t="shared" si="227"/>
        <v>3.5843991789041525E-2</v>
      </c>
      <c r="AK69" s="180">
        <f t="shared" si="227"/>
        <v>0.10674246012948049</v>
      </c>
      <c r="AL69" s="181">
        <f t="shared" si="227"/>
        <v>0.15079741039002054</v>
      </c>
      <c r="AM69" s="548">
        <f t="shared" si="227"/>
        <v>0.16011369019422075</v>
      </c>
      <c r="AN69" s="182">
        <f t="shared" ref="AN69" si="228">AN49/$AP49</f>
        <v>0</v>
      </c>
      <c r="AO69" s="183">
        <f t="shared" si="227"/>
        <v>7.105637138796779E-2</v>
      </c>
      <c r="AP69" s="184">
        <f t="shared" si="213"/>
        <v>1</v>
      </c>
      <c r="AR69" s="12">
        <v>2009</v>
      </c>
      <c r="AS69" s="546">
        <f t="shared" ref="AS69:AY69" si="229">IFERROR(AS49/$BA49,0)</f>
        <v>0</v>
      </c>
      <c r="AT69" s="547">
        <f t="shared" si="229"/>
        <v>0</v>
      </c>
      <c r="AU69" s="179">
        <f t="shared" si="229"/>
        <v>0</v>
      </c>
      <c r="AV69" s="180">
        <f t="shared" si="229"/>
        <v>0</v>
      </c>
      <c r="AW69" s="181">
        <f t="shared" si="229"/>
        <v>0</v>
      </c>
      <c r="AX69" s="548">
        <f t="shared" si="229"/>
        <v>0</v>
      </c>
      <c r="AY69" s="570">
        <f t="shared" si="229"/>
        <v>0</v>
      </c>
      <c r="AZ69" s="183">
        <f t="shared" si="199"/>
        <v>0</v>
      </c>
      <c r="BA69" s="184">
        <f t="shared" si="215"/>
        <v>0</v>
      </c>
      <c r="BC69" s="12">
        <v>2009</v>
      </c>
      <c r="BD69" s="565">
        <f t="shared" si="216"/>
        <v>9.7560975609756101E-2</v>
      </c>
      <c r="BE69" s="566">
        <f t="shared" si="200"/>
        <v>0.33045977011494254</v>
      </c>
      <c r="BF69" s="567">
        <f t="shared" si="201"/>
        <v>9.5668629100084099E-2</v>
      </c>
      <c r="BG69" s="568">
        <f t="shared" si="202"/>
        <v>0.1047098402018503</v>
      </c>
      <c r="BH69" s="569">
        <f t="shared" si="203"/>
        <v>0.16136342397906739</v>
      </c>
      <c r="BI69" s="570">
        <f t="shared" si="204"/>
        <v>0.14711241940005607</v>
      </c>
      <c r="BJ69" s="571">
        <f t="shared" si="205"/>
        <v>6.3124941594243533E-2</v>
      </c>
      <c r="BK69" s="184">
        <f t="shared" si="217"/>
        <v>1</v>
      </c>
      <c r="BM69" s="12">
        <v>2009</v>
      </c>
      <c r="BN69" s="546">
        <f t="shared" ref="BN69:BT69" si="230">BN49/$BU49</f>
        <v>9.4972067039106142E-2</v>
      </c>
      <c r="BO69" s="546">
        <f t="shared" si="230"/>
        <v>0.34131058432734412</v>
      </c>
      <c r="BP69" s="546">
        <f t="shared" si="230"/>
        <v>9.8746791484221649E-2</v>
      </c>
      <c r="BQ69" s="546">
        <f t="shared" si="230"/>
        <v>0.10731541597463386</v>
      </c>
      <c r="BR69" s="546">
        <f t="shared" si="230"/>
        <v>0.15434848256077308</v>
      </c>
      <c r="BS69" s="546">
        <f t="shared" si="230"/>
        <v>0.14260908953646384</v>
      </c>
      <c r="BT69" s="546">
        <f t="shared" si="230"/>
        <v>6.0697569077457346E-2</v>
      </c>
      <c r="BU69" s="184">
        <f t="shared" si="219"/>
        <v>1</v>
      </c>
      <c r="BW69" s="12">
        <v>2009</v>
      </c>
      <c r="BX69" s="546">
        <f t="shared" ref="BX69:CD69" si="231">IFERROR(BX49/$CE49,0)</f>
        <v>0.10176557135850907</v>
      </c>
      <c r="BY69" s="546">
        <f t="shared" si="231"/>
        <v>0.31283717508582637</v>
      </c>
      <c r="BZ69" s="546">
        <f t="shared" si="231"/>
        <v>9.0669445806768029E-2</v>
      </c>
      <c r="CA69" s="546">
        <f t="shared" si="231"/>
        <v>0.10047817557626287</v>
      </c>
      <c r="CB69" s="546">
        <f t="shared" si="231"/>
        <v>0.17275625306522804</v>
      </c>
      <c r="CC69" s="546">
        <f t="shared" si="231"/>
        <v>0.15442618930848456</v>
      </c>
      <c r="CD69" s="546">
        <f t="shared" si="231"/>
        <v>6.706718979892104E-2</v>
      </c>
      <c r="CE69" s="184">
        <f t="shared" si="221"/>
        <v>1</v>
      </c>
    </row>
    <row r="70" spans="1:83">
      <c r="A70" s="23">
        <v>2010</v>
      </c>
      <c r="B70" s="566">
        <f>BE70</f>
        <v>0.3326462747684612</v>
      </c>
      <c r="C70" s="567">
        <f t="shared" si="188"/>
        <v>9.2148294720641982E-2</v>
      </c>
      <c r="D70" s="568">
        <f t="shared" si="189"/>
        <v>0.1036084315827081</v>
      </c>
      <c r="E70" s="569">
        <f t="shared" si="190"/>
        <v>0.15794102289279138</v>
      </c>
      <c r="F70" s="570">
        <f t="shared" si="191"/>
        <v>0.14873443812350565</v>
      </c>
      <c r="G70" s="565">
        <f>BD70</f>
        <v>9.4814081952345614E-2</v>
      </c>
      <c r="H70" s="571">
        <f t="shared" si="208"/>
        <v>7.0107455959545997E-2</v>
      </c>
      <c r="I70" s="690">
        <f t="shared" si="209"/>
        <v>1</v>
      </c>
      <c r="K70" s="12">
        <v>2010</v>
      </c>
      <c r="L70" s="177">
        <f t="shared" si="194"/>
        <v>8.7713243269894492E-2</v>
      </c>
      <c r="M70" s="178">
        <f t="shared" si="194"/>
        <v>0.34261907109752487</v>
      </c>
      <c r="N70" s="179">
        <f t="shared" si="194"/>
        <v>0.10985109949709101</v>
      </c>
      <c r="O70" s="180">
        <f t="shared" si="194"/>
        <v>0.10738585938270387</v>
      </c>
      <c r="P70" s="181">
        <f t="shared" si="194"/>
        <v>0.1480623212700917</v>
      </c>
      <c r="Q70" s="182">
        <f t="shared" si="194"/>
        <v>0.13879301843999606</v>
      </c>
      <c r="R70" s="182">
        <f t="shared" si="194"/>
        <v>0</v>
      </c>
      <c r="S70" s="183">
        <f t="shared" si="194"/>
        <v>6.5575387042697955E-2</v>
      </c>
      <c r="T70" s="184">
        <f t="shared" si="194"/>
        <v>1</v>
      </c>
      <c r="V70" s="12">
        <v>2010</v>
      </c>
      <c r="W70" s="177">
        <f t="shared" si="195"/>
        <v>0.10150641997775756</v>
      </c>
      <c r="X70" s="178">
        <f t="shared" si="195"/>
        <v>0.29016277423920733</v>
      </c>
      <c r="Y70" s="179">
        <f t="shared" si="195"/>
        <v>9.5743605297745421E-2</v>
      </c>
      <c r="Z70" s="180">
        <f t="shared" si="195"/>
        <v>9.5743605297745421E-2</v>
      </c>
      <c r="AA70" s="181">
        <f t="shared" si="195"/>
        <v>0.18380345768880801</v>
      </c>
      <c r="AB70" s="182">
        <f t="shared" si="195"/>
        <v>0.16054999494489941</v>
      </c>
      <c r="AC70" s="182">
        <f t="shared" si="195"/>
        <v>0</v>
      </c>
      <c r="AD70" s="183">
        <f t="shared" si="195"/>
        <v>7.2490142553836817E-2</v>
      </c>
      <c r="AE70" s="184">
        <f t="shared" si="210"/>
        <v>0.99999999999999989</v>
      </c>
      <c r="AG70" s="12">
        <v>2010</v>
      </c>
      <c r="AH70" s="546">
        <f t="shared" ref="AH70:AO70" si="232">AH50/$AP50</f>
        <v>0.10733826842613453</v>
      </c>
      <c r="AI70" s="547">
        <f t="shared" si="232"/>
        <v>0.36771805600257484</v>
      </c>
      <c r="AJ70" s="179">
        <f t="shared" si="232"/>
        <v>2.8644995172191826E-2</v>
      </c>
      <c r="AK70" s="180">
        <f t="shared" si="232"/>
        <v>0.10379787576440296</v>
      </c>
      <c r="AL70" s="181">
        <f t="shared" si="232"/>
        <v>0.14901834567106534</v>
      </c>
      <c r="AM70" s="548">
        <f t="shared" si="232"/>
        <v>0.16237528162214354</v>
      </c>
      <c r="AN70" s="182">
        <f t="shared" ref="AN70" si="233">AN50/$AP50</f>
        <v>0</v>
      </c>
      <c r="AO70" s="183">
        <f t="shared" si="232"/>
        <v>8.1107177341486966E-2</v>
      </c>
      <c r="AP70" s="184">
        <f t="shared" si="213"/>
        <v>1</v>
      </c>
      <c r="AR70" s="12">
        <v>2010</v>
      </c>
      <c r="AS70" s="546">
        <f t="shared" ref="AS70:AY70" si="234">IFERROR(AS50/$BA50,0)</f>
        <v>0</v>
      </c>
      <c r="AT70" s="547">
        <f t="shared" si="234"/>
        <v>0</v>
      </c>
      <c r="AU70" s="179">
        <f t="shared" si="234"/>
        <v>0</v>
      </c>
      <c r="AV70" s="180">
        <f t="shared" si="234"/>
        <v>0</v>
      </c>
      <c r="AW70" s="181">
        <f t="shared" si="234"/>
        <v>0</v>
      </c>
      <c r="AX70" s="548">
        <f t="shared" si="234"/>
        <v>0</v>
      </c>
      <c r="AY70" s="570">
        <f t="shared" si="234"/>
        <v>0</v>
      </c>
      <c r="AZ70" s="183">
        <f t="shared" si="199"/>
        <v>0</v>
      </c>
      <c r="BA70" s="184">
        <f t="shared" si="215"/>
        <v>0</v>
      </c>
      <c r="BC70" s="12">
        <v>2010</v>
      </c>
      <c r="BD70" s="565">
        <f t="shared" si="216"/>
        <v>9.4814081952345614E-2</v>
      </c>
      <c r="BE70" s="566">
        <f t="shared" si="200"/>
        <v>0.3326462747684612</v>
      </c>
      <c r="BF70" s="567">
        <f t="shared" si="201"/>
        <v>9.2148294720641982E-2</v>
      </c>
      <c r="BG70" s="568">
        <f t="shared" si="202"/>
        <v>0.1036084315827081</v>
      </c>
      <c r="BH70" s="569">
        <f t="shared" si="203"/>
        <v>0.15794102289279138</v>
      </c>
      <c r="BI70" s="570">
        <f t="shared" si="204"/>
        <v>0.14873443812350565</v>
      </c>
      <c r="BJ70" s="571">
        <f t="shared" si="205"/>
        <v>7.0107455959545997E-2</v>
      </c>
      <c r="BK70" s="184">
        <f t="shared" si="217"/>
        <v>1</v>
      </c>
      <c r="BM70" s="12">
        <v>2010</v>
      </c>
      <c r="BN70" s="546">
        <f t="shared" ref="BN70:BT70" si="235">BN50/$BU50</f>
        <v>9.2315821256038641E-2</v>
      </c>
      <c r="BO70" s="546">
        <f t="shared" si="235"/>
        <v>0.3485054347826087</v>
      </c>
      <c r="BP70" s="546">
        <f t="shared" si="235"/>
        <v>9.0806159420289856E-2</v>
      </c>
      <c r="BQ70" s="546">
        <f t="shared" si="235"/>
        <v>0.10654438405797101</v>
      </c>
      <c r="BR70" s="546">
        <f t="shared" si="235"/>
        <v>0.14828653381642512</v>
      </c>
      <c r="BS70" s="546">
        <f t="shared" si="235"/>
        <v>0.14432367149758454</v>
      </c>
      <c r="BT70" s="546">
        <f t="shared" si="235"/>
        <v>6.9217995169082128E-2</v>
      </c>
      <c r="BU70" s="184">
        <f t="shared" si="219"/>
        <v>1</v>
      </c>
      <c r="BW70" s="12">
        <v>2010</v>
      </c>
      <c r="BX70" s="546">
        <f t="shared" ref="BX70:CD70" si="236">IFERROR(BX50/$CE50,0)</f>
        <v>0.10150641997775756</v>
      </c>
      <c r="BY70" s="546">
        <f t="shared" si="236"/>
        <v>0.29016277423920733</v>
      </c>
      <c r="BZ70" s="546">
        <f t="shared" si="236"/>
        <v>9.5743605297745421E-2</v>
      </c>
      <c r="CA70" s="546">
        <f t="shared" si="236"/>
        <v>9.5743605297745421E-2</v>
      </c>
      <c r="CB70" s="546">
        <f t="shared" si="236"/>
        <v>0.18380345768880801</v>
      </c>
      <c r="CC70" s="546">
        <f t="shared" si="236"/>
        <v>0.16054999494489941</v>
      </c>
      <c r="CD70" s="546">
        <f t="shared" si="236"/>
        <v>7.2490142553836817E-2</v>
      </c>
      <c r="CE70" s="184">
        <f t="shared" si="221"/>
        <v>0.99999999999999989</v>
      </c>
    </row>
    <row r="71" spans="1:83">
      <c r="A71" s="23">
        <v>2011</v>
      </c>
      <c r="B71" s="566">
        <f>BE71</f>
        <v>0.33666073085701387</v>
      </c>
      <c r="C71" s="567">
        <f t="shared" si="188"/>
        <v>9.3050086529056206E-2</v>
      </c>
      <c r="D71" s="568">
        <f t="shared" si="189"/>
        <v>0.10137694063354317</v>
      </c>
      <c r="E71" s="569">
        <f t="shared" si="190"/>
        <v>0.14692382934965262</v>
      </c>
      <c r="F71" s="570">
        <f t="shared" si="191"/>
        <v>0.14817787364249704</v>
      </c>
      <c r="G71" s="565">
        <f>BD71</f>
        <v>9.3877755762333523E-2</v>
      </c>
      <c r="H71" s="571">
        <f t="shared" si="208"/>
        <v>7.9932783225903539E-2</v>
      </c>
      <c r="I71" s="690">
        <f t="shared" si="209"/>
        <v>1</v>
      </c>
      <c r="K71" s="12">
        <v>2011</v>
      </c>
      <c r="L71" s="177">
        <f t="shared" si="194"/>
        <v>8.7178745358985482E-2</v>
      </c>
      <c r="M71" s="178">
        <f t="shared" si="194"/>
        <v>0.34722021312503015</v>
      </c>
      <c r="N71" s="179">
        <f t="shared" si="194"/>
        <v>0.1005834418245817</v>
      </c>
      <c r="O71" s="180">
        <f t="shared" si="194"/>
        <v>0.10627320507256859</v>
      </c>
      <c r="P71" s="181">
        <f t="shared" si="194"/>
        <v>0.13939919957567867</v>
      </c>
      <c r="Q71" s="182">
        <f t="shared" si="194"/>
        <v>0.14200298953662183</v>
      </c>
      <c r="R71" s="182">
        <f t="shared" si="194"/>
        <v>0</v>
      </c>
      <c r="S71" s="183">
        <f t="shared" si="194"/>
        <v>7.734220550653359E-2</v>
      </c>
      <c r="T71" s="184">
        <f t="shared" si="194"/>
        <v>1</v>
      </c>
      <c r="V71" s="12">
        <v>2011</v>
      </c>
      <c r="W71" s="177">
        <f t="shared" si="195"/>
        <v>0.10274639657187379</v>
      </c>
      <c r="X71" s="178">
        <f t="shared" si="195"/>
        <v>0.28544994156603037</v>
      </c>
      <c r="Y71" s="179">
        <f t="shared" si="195"/>
        <v>0.10888196338137904</v>
      </c>
      <c r="Z71" s="180">
        <f t="shared" si="195"/>
        <v>9.1741332294507205E-2</v>
      </c>
      <c r="AA71" s="181">
        <f t="shared" si="195"/>
        <v>0.17169848071679003</v>
      </c>
      <c r="AB71" s="182">
        <f t="shared" si="195"/>
        <v>0.15991429684456565</v>
      </c>
      <c r="AC71" s="182">
        <f t="shared" si="195"/>
        <v>0</v>
      </c>
      <c r="AD71" s="183">
        <f t="shared" si="195"/>
        <v>7.9567588624853913E-2</v>
      </c>
      <c r="AE71" s="184">
        <f t="shared" si="210"/>
        <v>1</v>
      </c>
      <c r="AG71" s="12">
        <v>2011</v>
      </c>
      <c r="AH71" s="546">
        <f t="shared" ref="AH71:AO71" si="237">AH51/$AP51</f>
        <v>0.1033378287255563</v>
      </c>
      <c r="AI71" s="547">
        <f t="shared" si="237"/>
        <v>0.3646325016857721</v>
      </c>
      <c r="AJ71" s="179">
        <f t="shared" si="237"/>
        <v>2.2420768712070129E-2</v>
      </c>
      <c r="AK71" s="180">
        <f t="shared" si="237"/>
        <v>9.8617666891436279E-2</v>
      </c>
      <c r="AL71" s="181">
        <f t="shared" si="237"/>
        <v>0.14447066756574511</v>
      </c>
      <c r="AM71" s="548">
        <f t="shared" si="237"/>
        <v>0.17279163857046528</v>
      </c>
      <c r="AN71" s="182">
        <f t="shared" ref="AN71" si="238">AN51/$AP51</f>
        <v>0</v>
      </c>
      <c r="AO71" s="183">
        <f t="shared" si="237"/>
        <v>9.3728927848954827E-2</v>
      </c>
      <c r="AP71" s="184">
        <f t="shared" si="213"/>
        <v>1</v>
      </c>
      <c r="AR71" s="12">
        <v>2011</v>
      </c>
      <c r="AS71" s="546">
        <f>IFERROR(AS51/$BA51,0)</f>
        <v>9.1064120054570263E-2</v>
      </c>
      <c r="AT71" s="547">
        <f t="shared" ref="AT71:AY71" si="239">IFERROR(AT51/$BA51,0)</f>
        <v>0.38472032742155526</v>
      </c>
      <c r="AU71" s="179">
        <f t="shared" si="239"/>
        <v>0.12721691678035471</v>
      </c>
      <c r="AV71" s="180">
        <f t="shared" si="239"/>
        <v>0.10607094133697136</v>
      </c>
      <c r="AW71" s="181">
        <f t="shared" si="239"/>
        <v>0.11834924965893588</v>
      </c>
      <c r="AX71" s="548">
        <f t="shared" si="239"/>
        <v>0.1009549795361528</v>
      </c>
      <c r="AY71" s="570">
        <f t="shared" si="239"/>
        <v>0</v>
      </c>
      <c r="AZ71" s="183">
        <f>AZ51/$BA51</f>
        <v>7.162346521145975E-2</v>
      </c>
      <c r="BA71" s="184">
        <f t="shared" si="215"/>
        <v>1</v>
      </c>
      <c r="BC71" s="12">
        <v>2011</v>
      </c>
      <c r="BD71" s="565">
        <f t="shared" si="216"/>
        <v>9.3877755762333523E-2</v>
      </c>
      <c r="BE71" s="566">
        <f t="shared" si="200"/>
        <v>0.33666073085701387</v>
      </c>
      <c r="BF71" s="567">
        <f t="shared" si="201"/>
        <v>9.3050086529056206E-2</v>
      </c>
      <c r="BG71" s="568">
        <f t="shared" si="202"/>
        <v>0.10137694063354317</v>
      </c>
      <c r="BH71" s="569">
        <f t="shared" si="203"/>
        <v>0.14692382934965262</v>
      </c>
      <c r="BI71" s="570">
        <f t="shared" si="204"/>
        <v>0.14817787364249704</v>
      </c>
      <c r="BJ71" s="571">
        <f>((R71+S71)*$T51+(AC71+AD71)*$AE51+(AN71+AO71)*$AP51+(AZ71+AY71)*$BA51)/$I51</f>
        <v>7.9932783225903539E-2</v>
      </c>
      <c r="BK71" s="184">
        <f t="shared" si="217"/>
        <v>1</v>
      </c>
      <c r="BM71" s="12">
        <v>2011</v>
      </c>
      <c r="BN71" s="546">
        <f t="shared" ref="BN71:BT71" si="240">BN51/$BU51</f>
        <v>9.0801607945140694E-2</v>
      </c>
      <c r="BO71" s="546">
        <f t="shared" si="240"/>
        <v>0.35442353815491673</v>
      </c>
      <c r="BP71" s="546">
        <f t="shared" si="240"/>
        <v>8.755869337567139E-2</v>
      </c>
      <c r="BQ71" s="546">
        <f t="shared" si="240"/>
        <v>0.10471911630577982</v>
      </c>
      <c r="BR71" s="546">
        <f t="shared" si="240"/>
        <v>0.13833057460392528</v>
      </c>
      <c r="BS71" s="546">
        <f t="shared" si="240"/>
        <v>0.1441070161807925</v>
      </c>
      <c r="BT71" s="546">
        <f t="shared" si="240"/>
        <v>8.0059453433773603E-2</v>
      </c>
      <c r="BU71" s="184">
        <f t="shared" si="219"/>
        <v>1</v>
      </c>
      <c r="BW71" s="12">
        <v>2011</v>
      </c>
      <c r="BX71" s="546">
        <f t="shared" ref="BX71:CD71" si="241">IFERROR(BX51/$CE51,0)</f>
        <v>0.10274639657187379</v>
      </c>
      <c r="BY71" s="546">
        <f t="shared" si="241"/>
        <v>0.28544994156603037</v>
      </c>
      <c r="BZ71" s="546">
        <f t="shared" si="241"/>
        <v>0.10888196338137904</v>
      </c>
      <c r="CA71" s="546">
        <f t="shared" si="241"/>
        <v>9.1741332294507205E-2</v>
      </c>
      <c r="CB71" s="546">
        <f t="shared" si="241"/>
        <v>0.17169848071679003</v>
      </c>
      <c r="CC71" s="546">
        <f t="shared" si="241"/>
        <v>0.15991429684456565</v>
      </c>
      <c r="CD71" s="546">
        <f t="shared" si="241"/>
        <v>7.9567588624853913E-2</v>
      </c>
      <c r="CE71" s="184">
        <f t="shared" si="221"/>
        <v>1</v>
      </c>
    </row>
    <row r="72" spans="1:83">
      <c r="A72" s="23">
        <v>2012</v>
      </c>
      <c r="B72" s="566">
        <f>BE72</f>
        <v>0.33617403549663727</v>
      </c>
      <c r="C72" s="567">
        <f t="shared" si="188"/>
        <v>8.35457790079394E-2</v>
      </c>
      <c r="D72" s="568">
        <f t="shared" si="189"/>
        <v>9.9206060164615043E-2</v>
      </c>
      <c r="E72" s="569">
        <f t="shared" si="190"/>
        <v>0.13754339961638382</v>
      </c>
      <c r="F72" s="570">
        <f t="shared" si="191"/>
        <v>0.1543448175395149</v>
      </c>
      <c r="G72" s="565">
        <f>BD72</f>
        <v>9.4107363974069491E-2</v>
      </c>
      <c r="H72" s="571">
        <f t="shared" si="208"/>
        <v>9.5078544200840068E-2</v>
      </c>
      <c r="I72" s="690">
        <f t="shared" si="209"/>
        <v>1</v>
      </c>
      <c r="K72" s="12">
        <v>2012</v>
      </c>
      <c r="L72" s="177">
        <f t="shared" si="194"/>
        <v>8.7151417921011651E-2</v>
      </c>
      <c r="M72" s="178">
        <f t="shared" si="194"/>
        <v>0.34747322229037891</v>
      </c>
      <c r="N72" s="179">
        <f t="shared" si="194"/>
        <v>9.0831878450431752E-2</v>
      </c>
      <c r="O72" s="180">
        <f t="shared" si="194"/>
        <v>0.10418534421743028</v>
      </c>
      <c r="P72" s="181">
        <f t="shared" si="194"/>
        <v>0.12942952861793988</v>
      </c>
      <c r="Q72" s="182">
        <f t="shared" si="194"/>
        <v>0.14622752795734439</v>
      </c>
      <c r="R72" s="182">
        <f t="shared" si="194"/>
        <v>0</v>
      </c>
      <c r="S72" s="183">
        <f t="shared" si="194"/>
        <v>9.4701080545463126E-2</v>
      </c>
      <c r="T72" s="184">
        <f t="shared" si="194"/>
        <v>1</v>
      </c>
      <c r="V72" s="12">
        <v>2012</v>
      </c>
      <c r="W72" s="177">
        <f t="shared" si="195"/>
        <v>0.10492786209480982</v>
      </c>
      <c r="X72" s="178">
        <f t="shared" si="195"/>
        <v>0.28377365561176693</v>
      </c>
      <c r="Y72" s="179">
        <f t="shared" si="195"/>
        <v>9.949409780775717E-2</v>
      </c>
      <c r="Z72" s="180">
        <f t="shared" si="195"/>
        <v>9.0875023421397791E-2</v>
      </c>
      <c r="AA72" s="181">
        <f t="shared" si="195"/>
        <v>0.16160764474423833</v>
      </c>
      <c r="AB72" s="182">
        <f t="shared" si="195"/>
        <v>0.16807195053400786</v>
      </c>
      <c r="AC72" s="182">
        <f t="shared" si="195"/>
        <v>0</v>
      </c>
      <c r="AD72" s="183">
        <f t="shared" si="195"/>
        <v>9.1249765786022105E-2</v>
      </c>
      <c r="AE72" s="184">
        <f t="shared" si="210"/>
        <v>0.99999999999999978</v>
      </c>
      <c r="AG72" s="12">
        <v>2012</v>
      </c>
      <c r="AH72" s="546">
        <f t="shared" ref="AH72:AO72" si="242">AH52/$AP52</f>
        <v>9.9719795615625509E-2</v>
      </c>
      <c r="AI72" s="547">
        <f t="shared" si="242"/>
        <v>0.35635404648096258</v>
      </c>
      <c r="AJ72" s="179">
        <f t="shared" si="242"/>
        <v>1.7306741387835833E-2</v>
      </c>
      <c r="AK72" s="180">
        <f t="shared" si="242"/>
        <v>9.246744684358002E-2</v>
      </c>
      <c r="AL72" s="181">
        <f t="shared" si="242"/>
        <v>0.1381242788857755</v>
      </c>
      <c r="AM72" s="548">
        <f t="shared" si="242"/>
        <v>0.18575902422943794</v>
      </c>
      <c r="AN72" s="182">
        <f t="shared" ref="AN72" si="243">AN52/$AP52</f>
        <v>0</v>
      </c>
      <c r="AO72" s="183">
        <f t="shared" si="242"/>
        <v>0.11026866655678259</v>
      </c>
      <c r="AP72" s="184">
        <f t="shared" si="213"/>
        <v>0.99999999999999989</v>
      </c>
      <c r="AR72" s="12">
        <v>2012</v>
      </c>
      <c r="AS72" s="546">
        <f t="shared" ref="AS72:AZ72" si="244">AS52/$BA52</f>
        <v>9.3452197971103601E-2</v>
      </c>
      <c r="AT72" s="547">
        <f t="shared" si="244"/>
        <v>0.39686443283123268</v>
      </c>
      <c r="AU72" s="179">
        <f t="shared" si="244"/>
        <v>0.1072855825391946</v>
      </c>
      <c r="AV72" s="180">
        <f t="shared" si="244"/>
        <v>0.10667076544727944</v>
      </c>
      <c r="AW72" s="181">
        <f t="shared" si="244"/>
        <v>0.11035966799877037</v>
      </c>
      <c r="AX72" s="548">
        <f t="shared" si="244"/>
        <v>0.10359667998770365</v>
      </c>
      <c r="AY72" s="570">
        <f t="shared" si="244"/>
        <v>0</v>
      </c>
      <c r="AZ72" s="183">
        <f t="shared" si="244"/>
        <v>8.1770673224715651E-2</v>
      </c>
      <c r="BA72" s="184">
        <f t="shared" si="215"/>
        <v>0.99999999999999989</v>
      </c>
      <c r="BC72" s="12">
        <v>2012</v>
      </c>
      <c r="BD72" s="565">
        <f t="shared" si="216"/>
        <v>9.4107363974069491E-2</v>
      </c>
      <c r="BE72" s="566">
        <f t="shared" si="200"/>
        <v>0.33617403549663727</v>
      </c>
      <c r="BF72" s="567">
        <f t="shared" si="201"/>
        <v>8.35457790079394E-2</v>
      </c>
      <c r="BG72" s="568">
        <f t="shared" si="202"/>
        <v>9.9206060164615043E-2</v>
      </c>
      <c r="BH72" s="569">
        <f t="shared" si="203"/>
        <v>0.13754339961638382</v>
      </c>
      <c r="BI72" s="570">
        <f t="shared" si="204"/>
        <v>0.1543448175395149</v>
      </c>
      <c r="BJ72" s="571">
        <f t="shared" ref="BJ72:BJ80" si="245">((R72+S72)*$T52+(AC72+AD72)*$AE52+(AN72+AO72)*$AP52+(AZ72+AY72)*$BA52)/$I52</f>
        <v>9.5078544200840068E-2</v>
      </c>
      <c r="BK72" s="184">
        <f t="shared" si="217"/>
        <v>1</v>
      </c>
      <c r="BM72" s="12">
        <v>2012</v>
      </c>
      <c r="BN72" s="546">
        <f t="shared" ref="BN72:BT72" si="246">BN52/$BU52</f>
        <v>9.0322157768819841E-2</v>
      </c>
      <c r="BO72" s="546">
        <f t="shared" si="246"/>
        <v>0.35450463736767934</v>
      </c>
      <c r="BP72" s="546">
        <f t="shared" si="246"/>
        <v>7.7966768262707695E-2</v>
      </c>
      <c r="BQ72" s="546">
        <f t="shared" si="246"/>
        <v>0.10212040769508078</v>
      </c>
      <c r="BR72" s="546">
        <f t="shared" si="246"/>
        <v>0.12912529085963359</v>
      </c>
      <c r="BS72" s="546">
        <f t="shared" si="246"/>
        <v>0.14954281781535739</v>
      </c>
      <c r="BT72" s="546">
        <f t="shared" si="246"/>
        <v>9.6417920230721335E-2</v>
      </c>
      <c r="BU72" s="184">
        <f t="shared" si="219"/>
        <v>1</v>
      </c>
      <c r="BW72" s="12">
        <v>2012</v>
      </c>
      <c r="BX72" s="546">
        <f t="shared" ref="BX72:CD72" si="247">IFERROR(BX52/$CE52,0)</f>
        <v>0.10492786209480982</v>
      </c>
      <c r="BY72" s="546">
        <f t="shared" si="247"/>
        <v>0.28377365561176693</v>
      </c>
      <c r="BZ72" s="546">
        <f t="shared" si="247"/>
        <v>9.949409780775717E-2</v>
      </c>
      <c r="CA72" s="546">
        <f t="shared" si="247"/>
        <v>9.0875023421397791E-2</v>
      </c>
      <c r="CB72" s="546">
        <f t="shared" si="247"/>
        <v>0.16160764474423833</v>
      </c>
      <c r="CC72" s="546">
        <f t="shared" si="247"/>
        <v>0.16807195053400786</v>
      </c>
      <c r="CD72" s="546">
        <f t="shared" si="247"/>
        <v>9.1249765786022105E-2</v>
      </c>
      <c r="CE72" s="184">
        <f t="shared" si="221"/>
        <v>0.99999999999999978</v>
      </c>
    </row>
    <row r="73" spans="1:83">
      <c r="A73" s="23">
        <v>2013</v>
      </c>
      <c r="B73" s="566">
        <f>BE73</f>
        <v>0.32742476591057035</v>
      </c>
      <c r="C73" s="567">
        <f t="shared" si="188"/>
        <v>9.3185118421711483E-2</v>
      </c>
      <c r="D73" s="568">
        <f t="shared" si="189"/>
        <v>8.685093385408843E-2</v>
      </c>
      <c r="E73" s="569">
        <f t="shared" si="190"/>
        <v>0.12518151319413148</v>
      </c>
      <c r="F73" s="570">
        <f t="shared" si="191"/>
        <v>0.13316809373591709</v>
      </c>
      <c r="G73" s="565">
        <f>BD73</f>
        <v>0.13414450953883131</v>
      </c>
      <c r="H73" s="571">
        <f t="shared" si="208"/>
        <v>0.10004506534474988</v>
      </c>
      <c r="I73" s="690">
        <f t="shared" si="209"/>
        <v>1</v>
      </c>
      <c r="K73" s="12">
        <v>2013</v>
      </c>
      <c r="L73" s="177">
        <f t="shared" si="194"/>
        <v>0.12559346091723361</v>
      </c>
      <c r="M73" s="178">
        <f t="shared" si="194"/>
        <v>0.33840732220645098</v>
      </c>
      <c r="N73" s="179">
        <f t="shared" si="194"/>
        <v>0.1041554500513925</v>
      </c>
      <c r="O73" s="180">
        <f t="shared" si="194"/>
        <v>9.1723361558416136E-2</v>
      </c>
      <c r="P73" s="181">
        <f t="shared" si="194"/>
        <v>0.11766433361068963</v>
      </c>
      <c r="Q73" s="182">
        <f t="shared" si="194"/>
        <v>0.12260780186970779</v>
      </c>
      <c r="R73" s="182">
        <f t="shared" si="194"/>
        <v>0</v>
      </c>
      <c r="S73" s="183">
        <f t="shared" si="194"/>
        <v>9.9848269786109348E-2</v>
      </c>
      <c r="T73" s="184">
        <f t="shared" si="194"/>
        <v>1</v>
      </c>
      <c r="V73" s="12">
        <v>2013</v>
      </c>
      <c r="W73" s="177">
        <f t="shared" si="195"/>
        <v>0.15121486422105765</v>
      </c>
      <c r="X73" s="178">
        <f t="shared" si="195"/>
        <v>0.27470223916150549</v>
      </c>
      <c r="Y73" s="179">
        <f t="shared" si="195"/>
        <v>0.10214387803716055</v>
      </c>
      <c r="Z73" s="180">
        <f t="shared" si="195"/>
        <v>7.8418294425917107E-2</v>
      </c>
      <c r="AA73" s="181">
        <f t="shared" si="195"/>
        <v>0.14711767508337303</v>
      </c>
      <c r="AB73" s="182">
        <f t="shared" si="195"/>
        <v>0.14988089566460219</v>
      </c>
      <c r="AC73" s="182">
        <f t="shared" si="195"/>
        <v>0</v>
      </c>
      <c r="AD73" s="183">
        <f t="shared" si="195"/>
        <v>9.6522153406383995E-2</v>
      </c>
      <c r="AE73" s="184">
        <f t="shared" si="210"/>
        <v>1</v>
      </c>
      <c r="AG73" s="12">
        <v>2013</v>
      </c>
      <c r="AH73" s="546">
        <f t="shared" ref="AH73:AO73" si="248">AH53/$AP53</f>
        <v>0.13594073053066849</v>
      </c>
      <c r="AI73" s="547">
        <f t="shared" si="248"/>
        <v>0.35751206064782909</v>
      </c>
      <c r="AJ73" s="179">
        <f t="shared" si="248"/>
        <v>2.0675396278428671E-2</v>
      </c>
      <c r="AK73" s="180">
        <f t="shared" si="248"/>
        <v>8.2701585113714685E-2</v>
      </c>
      <c r="AL73" s="181">
        <f t="shared" si="248"/>
        <v>0.12767057201929705</v>
      </c>
      <c r="AM73" s="548">
        <f t="shared" si="248"/>
        <v>0.16281874569262578</v>
      </c>
      <c r="AN73" s="182">
        <f t="shared" ref="AN73" si="249">AN53/$AP53</f>
        <v>0</v>
      </c>
      <c r="AO73" s="183">
        <f t="shared" si="248"/>
        <v>0.11268090971743625</v>
      </c>
      <c r="AP73" s="184">
        <f t="shared" si="213"/>
        <v>1</v>
      </c>
      <c r="AR73" s="12">
        <v>2013</v>
      </c>
      <c r="AS73" s="546">
        <f t="shared" ref="AS73:AZ73" si="250">AS53/$BA53</f>
        <v>0.1295143212951432</v>
      </c>
      <c r="AT73" s="547">
        <f t="shared" si="250"/>
        <v>0.37546699875466999</v>
      </c>
      <c r="AU73" s="179">
        <f t="shared" si="250"/>
        <v>0.12515566625155666</v>
      </c>
      <c r="AV73" s="180">
        <f t="shared" si="250"/>
        <v>9.0909090909090912E-2</v>
      </c>
      <c r="AW73" s="181">
        <f t="shared" si="250"/>
        <v>9.6824408468244083E-2</v>
      </c>
      <c r="AX73" s="548">
        <f t="shared" si="250"/>
        <v>9.2154420921544203E-2</v>
      </c>
      <c r="AY73" s="570">
        <f t="shared" si="250"/>
        <v>0</v>
      </c>
      <c r="AZ73" s="183">
        <f t="shared" si="250"/>
        <v>8.9975093399750933E-2</v>
      </c>
      <c r="BA73" s="184">
        <f t="shared" si="215"/>
        <v>1</v>
      </c>
      <c r="BC73" s="12">
        <v>2013</v>
      </c>
      <c r="BD73" s="565">
        <f>(L73*$T53+W73*$AE53+AH73*$AP53+AS73*$BA53)/$I53</f>
        <v>0.13414450953883131</v>
      </c>
      <c r="BE73" s="566">
        <f t="shared" si="200"/>
        <v>0.32742476591057035</v>
      </c>
      <c r="BF73" s="567">
        <f t="shared" si="201"/>
        <v>9.3185118421711483E-2</v>
      </c>
      <c r="BG73" s="568">
        <f t="shared" si="202"/>
        <v>8.685093385408843E-2</v>
      </c>
      <c r="BH73" s="569">
        <f t="shared" si="203"/>
        <v>0.12518151319413148</v>
      </c>
      <c r="BI73" s="570">
        <f t="shared" si="204"/>
        <v>0.13316809373591709</v>
      </c>
      <c r="BJ73" s="571">
        <f t="shared" si="245"/>
        <v>0.10004506534474988</v>
      </c>
      <c r="BK73" s="184">
        <f t="shared" si="217"/>
        <v>1</v>
      </c>
      <c r="BM73" s="12">
        <v>2013</v>
      </c>
      <c r="BN73" s="546">
        <f t="shared" ref="BN73:BT73" si="251">BN53/$BU53</f>
        <v>0.12806058342106158</v>
      </c>
      <c r="BO73" s="546">
        <f t="shared" si="251"/>
        <v>0.3462152341494889</v>
      </c>
      <c r="BP73" s="546">
        <f t="shared" si="251"/>
        <v>8.9992189357150129E-2</v>
      </c>
      <c r="BQ73" s="546">
        <f t="shared" si="251"/>
        <v>8.9856352090195948E-2</v>
      </c>
      <c r="BR73" s="546">
        <f t="shared" si="251"/>
        <v>0.11736339864841919</v>
      </c>
      <c r="BS73" s="546">
        <f t="shared" si="251"/>
        <v>0.12721160050259789</v>
      </c>
      <c r="BT73" s="546">
        <f t="shared" si="251"/>
        <v>0.10130064183108636</v>
      </c>
      <c r="BU73" s="184">
        <f t="shared" si="219"/>
        <v>0.99999999999999989</v>
      </c>
      <c r="BW73" s="12">
        <v>2013</v>
      </c>
      <c r="BX73" s="546">
        <f t="shared" ref="BX73:CD73" si="252">IFERROR(BX53/$CE53,0)</f>
        <v>0.15121486422105765</v>
      </c>
      <c r="BY73" s="546">
        <f t="shared" si="252"/>
        <v>0.27470223916150549</v>
      </c>
      <c r="BZ73" s="546">
        <f t="shared" si="252"/>
        <v>0.10214387803716055</v>
      </c>
      <c r="CA73" s="546">
        <f t="shared" si="252"/>
        <v>7.8418294425917107E-2</v>
      </c>
      <c r="CB73" s="546">
        <f t="shared" si="252"/>
        <v>0.14711767508337303</v>
      </c>
      <c r="CC73" s="546">
        <f t="shared" si="252"/>
        <v>0.14988089566460219</v>
      </c>
      <c r="CD73" s="546">
        <f t="shared" si="252"/>
        <v>9.6522153406383995E-2</v>
      </c>
      <c r="CE73" s="184">
        <f t="shared" si="221"/>
        <v>1</v>
      </c>
    </row>
    <row r="74" spans="1:83">
      <c r="A74" s="23">
        <v>2014</v>
      </c>
      <c r="B74" s="566">
        <f>BE74</f>
        <v>0.36247639227969969</v>
      </c>
      <c r="C74" s="567">
        <f t="shared" si="188"/>
        <v>9.8185084527154631E-2</v>
      </c>
      <c r="D74" s="568">
        <f t="shared" si="189"/>
        <v>7.4600396149062595E-2</v>
      </c>
      <c r="E74" s="569">
        <f t="shared" si="190"/>
        <v>0.11004652448293334</v>
      </c>
      <c r="F74" s="570">
        <f t="shared" si="191"/>
        <v>0.11483716430973329</v>
      </c>
      <c r="G74" s="565">
        <f>BD74</f>
        <v>0.13759270348703304</v>
      </c>
      <c r="H74" s="571">
        <f t="shared" si="208"/>
        <v>0.10226173476438344</v>
      </c>
      <c r="I74" s="690">
        <f t="shared" si="209"/>
        <v>1</v>
      </c>
      <c r="K74" s="12">
        <v>2014</v>
      </c>
      <c r="L74" s="177">
        <f t="shared" ref="L74:T75" si="253">L54/$T54</f>
        <v>0.13025247568917833</v>
      </c>
      <c r="M74" s="178">
        <f t="shared" si="253"/>
        <v>0.37121955571415827</v>
      </c>
      <c r="N74" s="179">
        <f t="shared" si="253"/>
        <v>0.11187438665358194</v>
      </c>
      <c r="O74" s="180">
        <f t="shared" si="253"/>
        <v>7.8151485413506999E-2</v>
      </c>
      <c r="P74" s="181">
        <f t="shared" si="253"/>
        <v>0.10223927201356053</v>
      </c>
      <c r="Q74" s="182">
        <f t="shared" si="253"/>
        <v>0.10513872780801142</v>
      </c>
      <c r="R74" s="182">
        <f t="shared" si="253"/>
        <v>0</v>
      </c>
      <c r="S74" s="183">
        <f t="shared" si="253"/>
        <v>0.1011240967080025</v>
      </c>
      <c r="T74" s="184">
        <f t="shared" si="253"/>
        <v>1</v>
      </c>
      <c r="V74" s="12">
        <v>2014</v>
      </c>
      <c r="W74" s="177">
        <f t="shared" ref="W74:AD81" si="254">W54/$AE54</f>
        <v>0.15327301756253325</v>
      </c>
      <c r="X74" s="178">
        <f t="shared" si="254"/>
        <v>0.31009402164271777</v>
      </c>
      <c r="Y74" s="179">
        <f t="shared" si="254"/>
        <v>0.10164981373070782</v>
      </c>
      <c r="Z74" s="180">
        <f t="shared" si="254"/>
        <v>6.8742238779492634E-2</v>
      </c>
      <c r="AA74" s="181">
        <f t="shared" si="254"/>
        <v>0.13260599609721482</v>
      </c>
      <c r="AB74" s="182">
        <f t="shared" si="254"/>
        <v>0.13207379811956715</v>
      </c>
      <c r="AC74" s="182">
        <f t="shared" si="254"/>
        <v>0</v>
      </c>
      <c r="AD74" s="183">
        <f t="shared" si="254"/>
        <v>0.10156111406776654</v>
      </c>
      <c r="AE74" s="184">
        <f t="shared" si="210"/>
        <v>1</v>
      </c>
      <c r="AG74" s="12">
        <v>2014</v>
      </c>
      <c r="AH74" s="546">
        <f t="shared" ref="AH74:AO74" si="255">AH54/$AP54</f>
        <v>0.13545627376425856</v>
      </c>
      <c r="AI74" s="547">
        <f t="shared" si="255"/>
        <v>0.40636882129277568</v>
      </c>
      <c r="AJ74" s="179">
        <f t="shared" si="255"/>
        <v>2.2813688212927757E-2</v>
      </c>
      <c r="AK74" s="180">
        <f t="shared" si="255"/>
        <v>7.192648922686945E-2</v>
      </c>
      <c r="AL74" s="181">
        <f t="shared" si="255"/>
        <v>0.11327629911280102</v>
      </c>
      <c r="AM74" s="548">
        <f t="shared" si="255"/>
        <v>0.13830798479087453</v>
      </c>
      <c r="AN74" s="182">
        <f t="shared" ref="AN74" si="256">AN54/$AP54</f>
        <v>0</v>
      </c>
      <c r="AO74" s="183">
        <f t="shared" si="255"/>
        <v>0.11185044359949303</v>
      </c>
      <c r="AP74" s="184">
        <f t="shared" si="213"/>
        <v>0.99999999999999989</v>
      </c>
      <c r="AR74" s="12">
        <v>2014</v>
      </c>
      <c r="AS74" s="546">
        <f t="shared" ref="AS74:AZ74" si="257">AS54/$BA54</f>
        <v>0.13796133567662566</v>
      </c>
      <c r="AT74" s="547">
        <f t="shared" si="257"/>
        <v>0.39689513766842416</v>
      </c>
      <c r="AU74" s="179">
        <f t="shared" si="257"/>
        <v>0.13620386643233742</v>
      </c>
      <c r="AV74" s="180">
        <f t="shared" si="257"/>
        <v>7.5571177504393669E-2</v>
      </c>
      <c r="AW74" s="181">
        <f t="shared" si="257"/>
        <v>8.0843585237258347E-2</v>
      </c>
      <c r="AX74" s="548">
        <f t="shared" si="257"/>
        <v>7.8207381370826015E-2</v>
      </c>
      <c r="AY74" s="570">
        <f t="shared" si="257"/>
        <v>0</v>
      </c>
      <c r="AZ74" s="183">
        <f t="shared" si="257"/>
        <v>9.4317516110134739E-2</v>
      </c>
      <c r="BA74" s="184">
        <f t="shared" si="215"/>
        <v>1</v>
      </c>
      <c r="BC74" s="12">
        <v>2014</v>
      </c>
      <c r="BD74" s="565">
        <f t="shared" ref="BD74:BD80" si="258">(L74*$T54+W74*$AE54+AH74*$AP54+AS74*$BA54)/$I54</f>
        <v>0.13759270348703304</v>
      </c>
      <c r="BE74" s="566">
        <f t="shared" si="200"/>
        <v>0.36247639227969969</v>
      </c>
      <c r="BF74" s="567">
        <f t="shared" si="201"/>
        <v>9.8185084527154631E-2</v>
      </c>
      <c r="BG74" s="568">
        <f t="shared" si="202"/>
        <v>7.4600396149062595E-2</v>
      </c>
      <c r="BH74" s="569">
        <f t="shared" si="203"/>
        <v>0.11004652448293334</v>
      </c>
      <c r="BI74" s="570">
        <f t="shared" si="204"/>
        <v>0.11483716430973329</v>
      </c>
      <c r="BJ74" s="571">
        <f t="shared" si="245"/>
        <v>0.10226173476438344</v>
      </c>
      <c r="BK74" s="184">
        <f t="shared" si="217"/>
        <v>1</v>
      </c>
      <c r="BM74" s="12">
        <v>2014</v>
      </c>
      <c r="BN74" s="546">
        <f t="shared" ref="BN74:BT74" si="259">BN54/$BU54</f>
        <v>0.13209308113489299</v>
      </c>
      <c r="BO74" s="546">
        <f t="shared" si="259"/>
        <v>0.38084868093578894</v>
      </c>
      <c r="BP74" s="546">
        <f t="shared" si="259"/>
        <v>9.6969885515181681E-2</v>
      </c>
      <c r="BQ74" s="546">
        <f t="shared" si="259"/>
        <v>7.6655052264808357E-2</v>
      </c>
      <c r="BR74" s="546">
        <f t="shared" si="259"/>
        <v>0.10213414634146341</v>
      </c>
      <c r="BS74" s="546">
        <f t="shared" si="259"/>
        <v>0.10879168740666999</v>
      </c>
      <c r="BT74" s="546">
        <f t="shared" si="259"/>
        <v>0.10250746640119462</v>
      </c>
      <c r="BU74" s="184">
        <f t="shared" si="219"/>
        <v>1.0000000000000002</v>
      </c>
      <c r="BW74" s="12">
        <v>2014</v>
      </c>
      <c r="BX74" s="546">
        <f t="shared" ref="BX74:CD74" si="260">IFERROR(BX54/$CE54,0)</f>
        <v>0.15327301756253325</v>
      </c>
      <c r="BY74" s="546">
        <f t="shared" si="260"/>
        <v>0.31009402164271777</v>
      </c>
      <c r="BZ74" s="546">
        <f t="shared" si="260"/>
        <v>0.10164981373070782</v>
      </c>
      <c r="CA74" s="546">
        <f t="shared" si="260"/>
        <v>6.8742238779492634E-2</v>
      </c>
      <c r="CB74" s="546">
        <f t="shared" si="260"/>
        <v>0.13260599609721482</v>
      </c>
      <c r="CC74" s="546">
        <f t="shared" si="260"/>
        <v>0.13207379811956715</v>
      </c>
      <c r="CD74" s="546">
        <f t="shared" si="260"/>
        <v>0.10156111406776654</v>
      </c>
      <c r="CE74" s="184">
        <f t="shared" si="221"/>
        <v>1</v>
      </c>
    </row>
    <row r="75" spans="1:83">
      <c r="A75" s="23">
        <v>2015</v>
      </c>
      <c r="B75" s="566">
        <f>BE75</f>
        <v>0.36968323655761698</v>
      </c>
      <c r="C75" s="567">
        <f t="shared" si="188"/>
        <v>0.10232261719303215</v>
      </c>
      <c r="D75" s="568">
        <f t="shared" si="189"/>
        <v>6.7034886465562007E-2</v>
      </c>
      <c r="E75" s="569">
        <f t="shared" si="190"/>
        <v>9.9442949535004488E-2</v>
      </c>
      <c r="F75" s="570">
        <f t="shared" si="191"/>
        <v>0.10395128168814616</v>
      </c>
      <c r="G75" s="565">
        <f>BD75</f>
        <v>0.14917622621913798</v>
      </c>
      <c r="H75" s="571">
        <f t="shared" si="208"/>
        <v>0.10838880234150026</v>
      </c>
      <c r="I75" s="690">
        <f t="shared" si="209"/>
        <v>1</v>
      </c>
      <c r="K75" s="12">
        <v>2015</v>
      </c>
      <c r="L75" s="177">
        <f t="shared" si="253"/>
        <v>0.14351550134996741</v>
      </c>
      <c r="M75" s="178">
        <f t="shared" si="253"/>
        <v>0.3745461316450982</v>
      </c>
      <c r="N75" s="179">
        <f t="shared" si="253"/>
        <v>0.11856437948049529</v>
      </c>
      <c r="O75" s="180">
        <f t="shared" si="253"/>
        <v>6.9825900754119721E-2</v>
      </c>
      <c r="P75" s="181">
        <f t="shared" si="253"/>
        <v>9.1797784191416071E-2</v>
      </c>
      <c r="Q75" s="182">
        <f t="shared" si="253"/>
        <v>9.5289079229122053E-2</v>
      </c>
      <c r="R75" s="182">
        <f t="shared" si="253"/>
        <v>0</v>
      </c>
      <c r="S75" s="183">
        <f t="shared" si="253"/>
        <v>0.10646122334978121</v>
      </c>
      <c r="T75" s="184">
        <f t="shared" si="253"/>
        <v>1</v>
      </c>
      <c r="V75" s="12">
        <v>2015</v>
      </c>
      <c r="W75" s="177">
        <f t="shared" si="254"/>
        <v>0.16069971902474395</v>
      </c>
      <c r="X75" s="178">
        <f t="shared" si="254"/>
        <v>0.32448110214810116</v>
      </c>
      <c r="Y75" s="179">
        <f t="shared" si="254"/>
        <v>9.8794525514365988E-2</v>
      </c>
      <c r="Z75" s="180">
        <f t="shared" si="254"/>
        <v>6.2630290945345779E-2</v>
      </c>
      <c r="AA75" s="181">
        <f t="shared" si="254"/>
        <v>0.12226955497144928</v>
      </c>
      <c r="AB75" s="182">
        <f t="shared" si="254"/>
        <v>0.12127254599836854</v>
      </c>
      <c r="AC75" s="182">
        <f t="shared" si="254"/>
        <v>0</v>
      </c>
      <c r="AD75" s="183">
        <f t="shared" si="254"/>
        <v>0.1098522613976253</v>
      </c>
      <c r="AE75" s="184">
        <f t="shared" si="210"/>
        <v>1</v>
      </c>
      <c r="AG75" s="12">
        <v>2015</v>
      </c>
      <c r="AH75" s="546">
        <f t="shared" ref="AH75:AO75" si="261">AH55/$AP55</f>
        <v>0.14140918751021742</v>
      </c>
      <c r="AI75" s="547">
        <f t="shared" si="261"/>
        <v>0.42586235082556811</v>
      </c>
      <c r="AJ75" s="179">
        <f t="shared" si="261"/>
        <v>2.4685303253228708E-2</v>
      </c>
      <c r="AK75" s="180">
        <f t="shared" si="261"/>
        <v>6.5391531796632332E-2</v>
      </c>
      <c r="AL75" s="181">
        <f t="shared" si="261"/>
        <v>0.10331862023867909</v>
      </c>
      <c r="AM75" s="548">
        <f t="shared" si="261"/>
        <v>0.12391695275461828</v>
      </c>
      <c r="AN75" s="182">
        <f t="shared" ref="AN75" si="262">AN55/$AP55</f>
        <v>0</v>
      </c>
      <c r="AO75" s="183">
        <f t="shared" si="261"/>
        <v>0.11541605362105607</v>
      </c>
      <c r="AP75" s="184">
        <f t="shared" si="213"/>
        <v>1</v>
      </c>
      <c r="AR75" s="12">
        <v>2015</v>
      </c>
      <c r="AS75" s="546">
        <f t="shared" ref="AS75:AZ75" si="263">AS55/$BA55</f>
        <v>0.16041778253883235</v>
      </c>
      <c r="AT75" s="547">
        <f t="shared" si="263"/>
        <v>0.3832351365827531</v>
      </c>
      <c r="AU75" s="179">
        <f t="shared" si="263"/>
        <v>0.14649169791108729</v>
      </c>
      <c r="AV75" s="180">
        <f t="shared" si="263"/>
        <v>6.6684520621317619E-2</v>
      </c>
      <c r="AW75" s="181">
        <f t="shared" si="263"/>
        <v>6.9630423138725223E-2</v>
      </c>
      <c r="AX75" s="548">
        <f t="shared" si="263"/>
        <v>6.9898232458489556E-2</v>
      </c>
      <c r="AY75" s="570">
        <f t="shared" si="263"/>
        <v>0</v>
      </c>
      <c r="AZ75" s="183">
        <f t="shared" si="263"/>
        <v>0.10364220674879486</v>
      </c>
      <c r="BA75" s="184">
        <f t="shared" si="215"/>
        <v>1</v>
      </c>
      <c r="BC75" s="12">
        <v>2015</v>
      </c>
      <c r="BD75" s="565">
        <f t="shared" si="258"/>
        <v>0.14917622621913798</v>
      </c>
      <c r="BE75" s="566">
        <f t="shared" si="200"/>
        <v>0.36968323655761698</v>
      </c>
      <c r="BF75" s="567">
        <f t="shared" si="201"/>
        <v>0.10232261719303215</v>
      </c>
      <c r="BG75" s="568">
        <f t="shared" si="202"/>
        <v>6.7034886465562007E-2</v>
      </c>
      <c r="BH75" s="569">
        <f t="shared" si="203"/>
        <v>9.9442949535004488E-2</v>
      </c>
      <c r="BI75" s="570">
        <f t="shared" si="204"/>
        <v>0.10395128168814616</v>
      </c>
      <c r="BJ75" s="571">
        <f t="shared" si="245"/>
        <v>0.10838880234150026</v>
      </c>
      <c r="BK75" s="184">
        <f t="shared" si="217"/>
        <v>1</v>
      </c>
      <c r="BM75" s="12">
        <v>2015</v>
      </c>
      <c r="BN75" s="546">
        <f t="shared" ref="BN75:BT75" si="264">BN55/$BU55</f>
        <v>0.14511856509111798</v>
      </c>
      <c r="BO75" s="546">
        <f t="shared" si="264"/>
        <v>0.38559984680688092</v>
      </c>
      <c r="BP75" s="546">
        <f t="shared" si="264"/>
        <v>0.10356493154182492</v>
      </c>
      <c r="BQ75" s="546">
        <f t="shared" si="264"/>
        <v>6.8585836019532123E-2</v>
      </c>
      <c r="BR75" s="546">
        <f t="shared" si="264"/>
        <v>9.1405227715188456E-2</v>
      </c>
      <c r="BS75" s="546">
        <f t="shared" si="264"/>
        <v>9.785210480962564E-2</v>
      </c>
      <c r="BT75" s="546">
        <f t="shared" si="264"/>
        <v>0.10787348801582995</v>
      </c>
      <c r="BU75" s="184">
        <f t="shared" si="219"/>
        <v>0.99999999999999989</v>
      </c>
      <c r="BW75" s="12">
        <v>2015</v>
      </c>
      <c r="BX75" s="546">
        <f t="shared" ref="BX75:CD75" si="265">IFERROR(BX55/$CE55,0)</f>
        <v>0.16069971902474395</v>
      </c>
      <c r="BY75" s="546">
        <f t="shared" si="265"/>
        <v>0.32448110214810116</v>
      </c>
      <c r="BZ75" s="546">
        <f t="shared" si="265"/>
        <v>9.8794525514365988E-2</v>
      </c>
      <c r="CA75" s="546">
        <f t="shared" si="265"/>
        <v>6.2630290945345779E-2</v>
      </c>
      <c r="CB75" s="546">
        <f t="shared" si="265"/>
        <v>0.12226955497144928</v>
      </c>
      <c r="CC75" s="546">
        <f t="shared" si="265"/>
        <v>0.12127254599836854</v>
      </c>
      <c r="CD75" s="546">
        <f t="shared" si="265"/>
        <v>0.1098522613976253</v>
      </c>
      <c r="CE75" s="184">
        <f t="shared" si="221"/>
        <v>1</v>
      </c>
    </row>
    <row r="76" spans="1:83">
      <c r="A76" s="23">
        <v>2016</v>
      </c>
      <c r="B76" s="566">
        <f>BE76</f>
        <v>0.37297648313929216</v>
      </c>
      <c r="C76" s="567">
        <f t="shared" si="188"/>
        <v>0.11222691219444315</v>
      </c>
      <c r="D76" s="568">
        <f t="shared" si="189"/>
        <v>5.9858991604434343E-2</v>
      </c>
      <c r="E76" s="569">
        <f t="shared" si="190"/>
        <v>8.7735980333039559E-2</v>
      </c>
      <c r="F76" s="570">
        <f t="shared" si="191"/>
        <v>9.3162948188691502E-2</v>
      </c>
      <c r="G76" s="565">
        <f>BD76</f>
        <v>0.16148708196112993</v>
      </c>
      <c r="H76" s="571">
        <f t="shared" si="208"/>
        <v>0.11255160257896935</v>
      </c>
      <c r="I76" s="690">
        <f t="shared" si="209"/>
        <v>1</v>
      </c>
      <c r="K76" s="508">
        <v>2016</v>
      </c>
      <c r="L76" s="509">
        <f t="shared" ref="L76:T76" si="266">L56/$T56</f>
        <v>0.15857866200654211</v>
      </c>
      <c r="M76" s="510">
        <f t="shared" si="266"/>
        <v>0.37294439216740599</v>
      </c>
      <c r="N76" s="511">
        <f t="shared" si="266"/>
        <v>0.13209660796702066</v>
      </c>
      <c r="O76" s="512">
        <f t="shared" si="266"/>
        <v>6.1791459425550026E-2</v>
      </c>
      <c r="P76" s="513">
        <f t="shared" si="266"/>
        <v>8.0163104359905007E-2</v>
      </c>
      <c r="Q76" s="514">
        <f t="shared" si="266"/>
        <v>8.4823228928619432E-2</v>
      </c>
      <c r="R76" s="182">
        <f t="shared" si="266"/>
        <v>0</v>
      </c>
      <c r="S76" s="515">
        <f t="shared" si="266"/>
        <v>0.10960254514495676</v>
      </c>
      <c r="T76" s="516">
        <f t="shared" si="266"/>
        <v>1</v>
      </c>
      <c r="V76" s="508">
        <v>2016</v>
      </c>
      <c r="W76" s="177">
        <f t="shared" si="254"/>
        <v>0.16674153265654479</v>
      </c>
      <c r="X76" s="178">
        <f t="shared" si="254"/>
        <v>0.33761566795436171</v>
      </c>
      <c r="Y76" s="179">
        <f t="shared" si="254"/>
        <v>0.10151828227472824</v>
      </c>
      <c r="Z76" s="180">
        <f t="shared" si="254"/>
        <v>5.6868205911418564E-2</v>
      </c>
      <c r="AA76" s="181">
        <f t="shared" si="254"/>
        <v>0.11014284430868745</v>
      </c>
      <c r="AB76" s="182">
        <f t="shared" si="254"/>
        <v>0.11059204024795616</v>
      </c>
      <c r="AC76" s="182">
        <f t="shared" si="254"/>
        <v>0</v>
      </c>
      <c r="AD76" s="183">
        <f t="shared" si="254"/>
        <v>0.11652142664630312</v>
      </c>
      <c r="AE76" s="184">
        <f t="shared" si="210"/>
        <v>1</v>
      </c>
      <c r="AG76" s="12">
        <v>2016</v>
      </c>
      <c r="AH76" s="546">
        <f t="shared" ref="AH76:AO76" si="267">AH56/$AP56</f>
        <v>0.14798280423280424</v>
      </c>
      <c r="AI76" s="547">
        <f t="shared" si="267"/>
        <v>0.44246031746031744</v>
      </c>
      <c r="AJ76" s="179">
        <f t="shared" si="267"/>
        <v>2.8273809523809524E-2</v>
      </c>
      <c r="AK76" s="180">
        <f t="shared" si="267"/>
        <v>5.935846560846561E-2</v>
      </c>
      <c r="AL76" s="181">
        <f t="shared" si="267"/>
        <v>9.2592592592592587E-2</v>
      </c>
      <c r="AM76" s="548">
        <f t="shared" si="267"/>
        <v>0.11144179894179894</v>
      </c>
      <c r="AN76" s="182">
        <f t="shared" ref="AN76" si="268">AN56/$AP56</f>
        <v>0</v>
      </c>
      <c r="AO76" s="183">
        <f t="shared" si="267"/>
        <v>0.11789021164021164</v>
      </c>
      <c r="AP76" s="184">
        <f t="shared" si="213"/>
        <v>0.99999999999999989</v>
      </c>
      <c r="AR76" s="12">
        <v>2016</v>
      </c>
      <c r="AS76" s="546">
        <f t="shared" ref="AS76:AZ76" si="269">AS56/$BA56</f>
        <v>0.18580894533406958</v>
      </c>
      <c r="AT76" s="547">
        <f t="shared" si="269"/>
        <v>0.36581998895637768</v>
      </c>
      <c r="AU76" s="179">
        <f t="shared" si="269"/>
        <v>0.16289342904472667</v>
      </c>
      <c r="AV76" s="180">
        <f t="shared" si="269"/>
        <v>5.7979017117614579E-2</v>
      </c>
      <c r="AW76" s="181">
        <f t="shared" si="269"/>
        <v>5.7426836002208721E-2</v>
      </c>
      <c r="AX76" s="548">
        <f t="shared" si="269"/>
        <v>6.0463832136940919E-2</v>
      </c>
      <c r="AY76" s="570">
        <f t="shared" si="269"/>
        <v>0</v>
      </c>
      <c r="AZ76" s="183">
        <f t="shared" si="269"/>
        <v>0.10960795140806184</v>
      </c>
      <c r="BA76" s="184">
        <f t="shared" si="215"/>
        <v>1</v>
      </c>
      <c r="BC76" s="508">
        <v>2016</v>
      </c>
      <c r="BD76" s="565">
        <f t="shared" si="258"/>
        <v>0.16148708196112993</v>
      </c>
      <c r="BE76" s="566">
        <f t="shared" si="200"/>
        <v>0.37297648313929216</v>
      </c>
      <c r="BF76" s="567">
        <f t="shared" si="201"/>
        <v>0.11222691219444315</v>
      </c>
      <c r="BG76" s="568">
        <f t="shared" si="202"/>
        <v>5.9858991604434343E-2</v>
      </c>
      <c r="BH76" s="569">
        <f t="shared" si="203"/>
        <v>8.7735980333039559E-2</v>
      </c>
      <c r="BI76" s="570">
        <f t="shared" si="204"/>
        <v>9.3162948188691502E-2</v>
      </c>
      <c r="BJ76" s="571">
        <f t="shared" si="245"/>
        <v>0.11255160257896935</v>
      </c>
      <c r="BK76" s="184">
        <f t="shared" si="217"/>
        <v>1</v>
      </c>
      <c r="BM76" s="12">
        <v>2016</v>
      </c>
      <c r="BN76" s="546">
        <f t="shared" ref="BN76:BT76" si="270">BN56/$BU56</f>
        <v>0.15965861131084502</v>
      </c>
      <c r="BO76" s="546">
        <f t="shared" si="270"/>
        <v>0.38528152061775095</v>
      </c>
      <c r="BP76" s="546">
        <f t="shared" si="270"/>
        <v>0.11595335605089567</v>
      </c>
      <c r="BQ76" s="546">
        <f t="shared" si="270"/>
        <v>6.0899740519586083E-2</v>
      </c>
      <c r="BR76" s="546">
        <f t="shared" si="270"/>
        <v>7.9938725107074754E-2</v>
      </c>
      <c r="BS76" s="546">
        <f t="shared" si="270"/>
        <v>8.709788351517804E-2</v>
      </c>
      <c r="BT76" s="546">
        <f t="shared" si="270"/>
        <v>0.11117016287866946</v>
      </c>
      <c r="BU76" s="184">
        <f t="shared" si="219"/>
        <v>1</v>
      </c>
      <c r="BW76" s="12">
        <v>2016</v>
      </c>
      <c r="BX76" s="546">
        <f t="shared" ref="BX76:CD76" si="271">IFERROR(BX56/$CE56,0)</f>
        <v>0.16674153265654479</v>
      </c>
      <c r="BY76" s="546">
        <f t="shared" si="271"/>
        <v>0.33761566795436171</v>
      </c>
      <c r="BZ76" s="546">
        <f t="shared" si="271"/>
        <v>0.10151828227472824</v>
      </c>
      <c r="CA76" s="546">
        <f t="shared" si="271"/>
        <v>5.6868205911418564E-2</v>
      </c>
      <c r="CB76" s="546">
        <f t="shared" si="271"/>
        <v>0.11014284430868745</v>
      </c>
      <c r="CC76" s="546">
        <f t="shared" si="271"/>
        <v>0.11059204024795616</v>
      </c>
      <c r="CD76" s="546">
        <f t="shared" si="271"/>
        <v>0.11652142664630312</v>
      </c>
      <c r="CE76" s="184">
        <f t="shared" si="221"/>
        <v>1</v>
      </c>
    </row>
    <row r="77" spans="1:83">
      <c r="A77" s="23">
        <v>2017</v>
      </c>
      <c r="B77" s="566">
        <f>BE77</f>
        <v>0.37808323243833536</v>
      </c>
      <c r="C77" s="567">
        <f t="shared" si="188"/>
        <v>0.11532891769342164</v>
      </c>
      <c r="D77" s="568">
        <f t="shared" si="189"/>
        <v>5.4269638914607218E-2</v>
      </c>
      <c r="E77" s="569">
        <f t="shared" si="190"/>
        <v>7.630035847399283E-2</v>
      </c>
      <c r="F77" s="570">
        <f t="shared" si="191"/>
        <v>8.297129834057404E-2</v>
      </c>
      <c r="G77" s="565">
        <f>BD77</f>
        <v>0.17733779645324407</v>
      </c>
      <c r="H77" s="571">
        <f t="shared" si="208"/>
        <v>0.11570875768582485</v>
      </c>
      <c r="I77" s="690">
        <f t="shared" si="209"/>
        <v>1</v>
      </c>
      <c r="K77" s="517">
        <v>2017</v>
      </c>
      <c r="L77" s="509">
        <f t="shared" ref="L77:T81" si="272">L57/$T57</f>
        <v>0.17855846042120552</v>
      </c>
      <c r="M77" s="510">
        <f t="shared" si="272"/>
        <v>0.37227668845315903</v>
      </c>
      <c r="N77" s="511">
        <f t="shared" si="272"/>
        <v>0.13789034132171388</v>
      </c>
      <c r="O77" s="512">
        <f t="shared" si="272"/>
        <v>5.5374001452432826E-2</v>
      </c>
      <c r="P77" s="513">
        <f t="shared" si="272"/>
        <v>6.9081336238198982E-2</v>
      </c>
      <c r="Q77" s="514">
        <f t="shared" si="272"/>
        <v>7.4981844589687721E-2</v>
      </c>
      <c r="R77" s="182">
        <f t="shared" si="272"/>
        <v>6.4814814814814811E-2</v>
      </c>
      <c r="S77" s="515">
        <f t="shared" si="272"/>
        <v>4.7022512708787219E-2</v>
      </c>
      <c r="T77" s="516">
        <f t="shared" si="272"/>
        <v>1</v>
      </c>
      <c r="U77" s="518"/>
      <c r="V77" s="517">
        <v>2017</v>
      </c>
      <c r="W77" s="177">
        <f t="shared" si="254"/>
        <v>0.17317708333333334</v>
      </c>
      <c r="X77" s="178">
        <f t="shared" si="254"/>
        <v>0.35537574404761907</v>
      </c>
      <c r="Y77" s="179">
        <f t="shared" si="254"/>
        <v>9.7749255952380959E-2</v>
      </c>
      <c r="Z77" s="180">
        <f t="shared" si="254"/>
        <v>5.3013392857142856E-2</v>
      </c>
      <c r="AA77" s="181">
        <f t="shared" si="254"/>
        <v>9.7935267857142863E-2</v>
      </c>
      <c r="AB77" s="182">
        <f t="shared" si="254"/>
        <v>0.10044642857142858</v>
      </c>
      <c r="AC77" s="182">
        <f t="shared" si="254"/>
        <v>7.1242559523809521E-2</v>
      </c>
      <c r="AD77" s="183">
        <f t="shared" si="254"/>
        <v>5.1060267857142856E-2</v>
      </c>
      <c r="AE77" s="184">
        <f t="shared" si="210"/>
        <v>1.0000000000000002</v>
      </c>
      <c r="AF77" s="518"/>
      <c r="AG77" s="12">
        <v>2017</v>
      </c>
      <c r="AH77" s="546">
        <f t="shared" ref="AH77:AO77" si="273">AH57/$AP57</f>
        <v>0.15477815699658704</v>
      </c>
      <c r="AI77" s="547">
        <f t="shared" si="273"/>
        <v>0.46126279863481229</v>
      </c>
      <c r="AJ77" s="179">
        <f t="shared" si="273"/>
        <v>3.0375426621160408E-2</v>
      </c>
      <c r="AK77" s="180">
        <f t="shared" si="273"/>
        <v>5.426621160409556E-2</v>
      </c>
      <c r="AL77" s="181">
        <f t="shared" si="273"/>
        <v>8.139931740614334E-2</v>
      </c>
      <c r="AM77" s="548">
        <f t="shared" si="273"/>
        <v>9.9317406143344708E-2</v>
      </c>
      <c r="AN77" s="182">
        <f t="shared" ref="AN77" si="274">AN57/$AP57</f>
        <v>7.8668941979522178E-2</v>
      </c>
      <c r="AO77" s="183">
        <f t="shared" si="273"/>
        <v>3.9931740614334472E-2</v>
      </c>
      <c r="AP77" s="184">
        <f t="shared" si="213"/>
        <v>1</v>
      </c>
      <c r="AR77" s="12">
        <v>2017</v>
      </c>
      <c r="AS77" s="546">
        <f t="shared" ref="AS77:AZ77" si="275">AS57/$BA57</f>
        <v>0.22046565104915206</v>
      </c>
      <c r="AT77" s="547">
        <f t="shared" si="275"/>
        <v>0.34492670307559642</v>
      </c>
      <c r="AU77" s="179">
        <f t="shared" si="275"/>
        <v>0.16987640126473125</v>
      </c>
      <c r="AV77" s="180">
        <f t="shared" si="275"/>
        <v>5.116412762288014E-2</v>
      </c>
      <c r="AW77" s="181">
        <f t="shared" si="275"/>
        <v>4.6565104915205519E-2</v>
      </c>
      <c r="AX77" s="548">
        <f t="shared" si="275"/>
        <v>5.202644438056913E-2</v>
      </c>
      <c r="AY77" s="570">
        <f t="shared" si="275"/>
        <v>4.1391204369071573E-2</v>
      </c>
      <c r="AZ77" s="183">
        <f t="shared" si="275"/>
        <v>7.3584363322793903E-2</v>
      </c>
      <c r="BA77" s="184">
        <f t="shared" si="215"/>
        <v>1</v>
      </c>
      <c r="BC77" s="517">
        <v>2017</v>
      </c>
      <c r="BD77" s="565">
        <f t="shared" si="258"/>
        <v>0.17733779645324407</v>
      </c>
      <c r="BE77" s="566">
        <f t="shared" si="200"/>
        <v>0.37808323243833536</v>
      </c>
      <c r="BF77" s="567">
        <f t="shared" si="201"/>
        <v>0.11532891769342164</v>
      </c>
      <c r="BG77" s="568">
        <f t="shared" si="202"/>
        <v>5.4269638914607218E-2</v>
      </c>
      <c r="BH77" s="569">
        <f t="shared" si="203"/>
        <v>7.630035847399283E-2</v>
      </c>
      <c r="BI77" s="570">
        <f t="shared" si="204"/>
        <v>8.297129834057404E-2</v>
      </c>
      <c r="BJ77" s="571">
        <f t="shared" si="245"/>
        <v>0.11570875768582485</v>
      </c>
      <c r="BK77" s="184">
        <f t="shared" si="217"/>
        <v>1</v>
      </c>
      <c r="BM77" s="12">
        <v>2017</v>
      </c>
      <c r="BN77" s="546">
        <f t="shared" ref="BN77:BT77" si="276">BN57/$BU57</f>
        <v>0.17876382646393166</v>
      </c>
      <c r="BO77" s="546">
        <f t="shared" si="276"/>
        <v>0.38586592713015205</v>
      </c>
      <c r="BP77" s="546">
        <f t="shared" si="276"/>
        <v>0.12135411685951994</v>
      </c>
      <c r="BQ77" s="546">
        <f t="shared" si="276"/>
        <v>5.4700200822415605E-2</v>
      </c>
      <c r="BR77" s="546">
        <f t="shared" si="276"/>
        <v>6.8885276210512894E-2</v>
      </c>
      <c r="BS77" s="546">
        <f t="shared" si="276"/>
        <v>7.6981925982595387E-2</v>
      </c>
      <c r="BT77" s="546">
        <f t="shared" si="276"/>
        <v>0.11344872653087246</v>
      </c>
      <c r="BU77" s="184">
        <f t="shared" si="219"/>
        <v>0.99999999999999989</v>
      </c>
      <c r="BW77" s="12">
        <v>2017</v>
      </c>
      <c r="BX77" s="546">
        <f t="shared" ref="BX77:CD77" si="277">IFERROR(BX57/$CE57,0)</f>
        <v>0.17317708333333334</v>
      </c>
      <c r="BY77" s="546">
        <f t="shared" si="277"/>
        <v>0.35537574404761907</v>
      </c>
      <c r="BZ77" s="546">
        <f t="shared" si="277"/>
        <v>9.7749255952380959E-2</v>
      </c>
      <c r="CA77" s="546">
        <f t="shared" si="277"/>
        <v>5.3013392857142856E-2</v>
      </c>
      <c r="CB77" s="546">
        <f t="shared" si="277"/>
        <v>9.7935267857142863E-2</v>
      </c>
      <c r="CC77" s="546">
        <f t="shared" si="277"/>
        <v>0.10044642857142858</v>
      </c>
      <c r="CD77" s="546">
        <f t="shared" si="277"/>
        <v>0.12230282738095238</v>
      </c>
      <c r="CE77" s="184">
        <f t="shared" si="221"/>
        <v>1.0000000000000002</v>
      </c>
    </row>
    <row r="78" spans="1:83">
      <c r="A78" s="23">
        <v>2018</v>
      </c>
      <c r="B78" s="566">
        <f>BE78</f>
        <v>0.37567915356019443</v>
      </c>
      <c r="C78" s="567">
        <f t="shared" si="188"/>
        <v>0.11533695548565437</v>
      </c>
      <c r="D78" s="568">
        <f t="shared" si="189"/>
        <v>5.4475264512439232E-2</v>
      </c>
      <c r="E78" s="569">
        <f t="shared" si="190"/>
        <v>7.6517967781908308E-2</v>
      </c>
      <c r="F78" s="570">
        <f t="shared" si="191"/>
        <v>8.3142693737489282E-2</v>
      </c>
      <c r="G78" s="565">
        <f>BD78</f>
        <v>0.17858164140692021</v>
      </c>
      <c r="H78" s="571">
        <f t="shared" si="208"/>
        <v>0.11626632351539415</v>
      </c>
      <c r="I78" s="690">
        <f t="shared" si="209"/>
        <v>1</v>
      </c>
      <c r="K78" s="517">
        <v>2018</v>
      </c>
      <c r="L78" s="509">
        <f t="shared" si="272"/>
        <v>0.17942428730099963</v>
      </c>
      <c r="M78" s="510">
        <f t="shared" si="272"/>
        <v>0.37023324694557569</v>
      </c>
      <c r="N78" s="511">
        <f t="shared" si="272"/>
        <v>0.13749537208441318</v>
      </c>
      <c r="O78" s="512">
        <f t="shared" si="272"/>
        <v>5.5627545353572748E-2</v>
      </c>
      <c r="P78" s="513">
        <f t="shared" si="272"/>
        <v>6.9511292114031842E-2</v>
      </c>
      <c r="Q78" s="514">
        <f t="shared" si="272"/>
        <v>7.5342465753424653E-2</v>
      </c>
      <c r="R78" s="182">
        <f t="shared" si="272"/>
        <v>6.5114772306553131E-2</v>
      </c>
      <c r="S78" s="515">
        <f t="shared" si="272"/>
        <v>4.7251018141429103E-2</v>
      </c>
      <c r="T78" s="516">
        <f t="shared" si="272"/>
        <v>1</v>
      </c>
      <c r="U78" s="518"/>
      <c r="V78" s="517">
        <v>2018</v>
      </c>
      <c r="W78" s="177">
        <f t="shared" si="254"/>
        <v>0.17393342709798407</v>
      </c>
      <c r="X78" s="178">
        <f t="shared" si="254"/>
        <v>0.35321143928738863</v>
      </c>
      <c r="Y78" s="179">
        <f t="shared" si="254"/>
        <v>9.7421472105016407E-2</v>
      </c>
      <c r="Z78" s="180">
        <f t="shared" si="254"/>
        <v>5.3258321612751992E-2</v>
      </c>
      <c r="AA78" s="181">
        <f t="shared" si="254"/>
        <v>9.8452883263009841E-2</v>
      </c>
      <c r="AB78" s="182">
        <f t="shared" si="254"/>
        <v>0.10089076418190342</v>
      </c>
      <c r="AC78" s="182">
        <f t="shared" si="254"/>
        <v>7.1542428504453817E-2</v>
      </c>
      <c r="AD78" s="183">
        <f t="shared" si="254"/>
        <v>5.1289263947491795E-2</v>
      </c>
      <c r="AE78" s="184">
        <f t="shared" si="210"/>
        <v>1</v>
      </c>
      <c r="AF78" s="518"/>
      <c r="AG78" s="12">
        <v>2018</v>
      </c>
      <c r="AH78" s="546">
        <f t="shared" ref="AH78:AO78" si="278">AH58/$AP58</f>
        <v>0.15555936268631146</v>
      </c>
      <c r="AI78" s="547">
        <f t="shared" si="278"/>
        <v>0.45879732739420936</v>
      </c>
      <c r="AJ78" s="179">
        <f t="shared" si="278"/>
        <v>3.0323796470789789E-2</v>
      </c>
      <c r="AK78" s="180">
        <f t="shared" si="278"/>
        <v>5.4480041117012164E-2</v>
      </c>
      <c r="AL78" s="181">
        <f t="shared" si="278"/>
        <v>8.1891382559534001E-2</v>
      </c>
      <c r="AM78" s="548">
        <f t="shared" si="278"/>
        <v>9.9880075381188968E-2</v>
      </c>
      <c r="AN78" s="182">
        <f t="shared" ref="AN78" si="279">AN58/$AP58</f>
        <v>7.8978927531266063E-2</v>
      </c>
      <c r="AO78" s="183">
        <f t="shared" si="278"/>
        <v>4.0089086859688199E-2</v>
      </c>
      <c r="AP78" s="184">
        <f t="shared" si="213"/>
        <v>1</v>
      </c>
      <c r="AR78" s="12">
        <v>2018</v>
      </c>
      <c r="AS78" s="546">
        <f t="shared" ref="AS78:AZ78" si="280">AS58/$BA58</f>
        <v>0.22158796056045668</v>
      </c>
      <c r="AT78" s="547">
        <f t="shared" si="280"/>
        <v>0.34250129735339907</v>
      </c>
      <c r="AU78" s="179">
        <f t="shared" si="280"/>
        <v>0.16943435391800726</v>
      </c>
      <c r="AV78" s="180">
        <f t="shared" si="280"/>
        <v>5.1375194603009863E-2</v>
      </c>
      <c r="AW78" s="181">
        <f t="shared" si="280"/>
        <v>4.6964193046185779E-2</v>
      </c>
      <c r="AX78" s="548">
        <f t="shared" si="280"/>
        <v>5.2413077322262587E-2</v>
      </c>
      <c r="AY78" s="570">
        <f t="shared" si="280"/>
        <v>4.177477944992216E-2</v>
      </c>
      <c r="AZ78" s="183">
        <f t="shared" si="280"/>
        <v>7.394914374675661E-2</v>
      </c>
      <c r="BA78" s="184">
        <f t="shared" si="215"/>
        <v>1.0000000000000002</v>
      </c>
      <c r="BC78" s="517">
        <v>2018</v>
      </c>
      <c r="BD78" s="565">
        <f t="shared" si="258"/>
        <v>0.17858164140692021</v>
      </c>
      <c r="BE78" s="566">
        <f t="shared" si="200"/>
        <v>0.37567915356019443</v>
      </c>
      <c r="BF78" s="567">
        <f t="shared" si="201"/>
        <v>0.11533695548565437</v>
      </c>
      <c r="BG78" s="568">
        <f t="shared" si="202"/>
        <v>5.4475264512439232E-2</v>
      </c>
      <c r="BH78" s="569">
        <f t="shared" si="203"/>
        <v>7.6517967781908308E-2</v>
      </c>
      <c r="BI78" s="570">
        <f t="shared" si="204"/>
        <v>8.3142693737489282E-2</v>
      </c>
      <c r="BJ78" s="571">
        <f t="shared" si="245"/>
        <v>0.11626632351539415</v>
      </c>
      <c r="BK78" s="184">
        <f t="shared" si="217"/>
        <v>1</v>
      </c>
      <c r="BM78" s="12">
        <v>2018</v>
      </c>
      <c r="BN78" s="546">
        <f t="shared" ref="BN78:BT78" si="281">BN58/$BU58</f>
        <v>0.18016550049522348</v>
      </c>
      <c r="BO78" s="546">
        <f t="shared" si="281"/>
        <v>0.38333493082846098</v>
      </c>
      <c r="BP78" s="546">
        <f t="shared" si="281"/>
        <v>0.12144157960318221</v>
      </c>
      <c r="BQ78" s="546">
        <f t="shared" si="281"/>
        <v>5.4889932585705611E-2</v>
      </c>
      <c r="BR78" s="546">
        <f t="shared" si="281"/>
        <v>6.9043739416594779E-2</v>
      </c>
      <c r="BS78" s="546">
        <f t="shared" si="281"/>
        <v>7.7095114859899672E-2</v>
      </c>
      <c r="BT78" s="546">
        <f t="shared" si="281"/>
        <v>0.11402920221093325</v>
      </c>
      <c r="BU78" s="184">
        <f t="shared" si="219"/>
        <v>1</v>
      </c>
      <c r="BW78" s="12">
        <v>2018</v>
      </c>
      <c r="BX78" s="546">
        <f t="shared" ref="BX78:CD78" si="282">IFERROR(BX58/$CE58,0)</f>
        <v>0.17393342709798407</v>
      </c>
      <c r="BY78" s="546">
        <f t="shared" si="282"/>
        <v>0.35321143928738863</v>
      </c>
      <c r="BZ78" s="546">
        <f t="shared" si="282"/>
        <v>9.7421472105016407E-2</v>
      </c>
      <c r="CA78" s="546">
        <f t="shared" si="282"/>
        <v>5.3258321612751992E-2</v>
      </c>
      <c r="CB78" s="546">
        <f t="shared" si="282"/>
        <v>9.8452883263009841E-2</v>
      </c>
      <c r="CC78" s="546">
        <f t="shared" si="282"/>
        <v>0.10089076418190342</v>
      </c>
      <c r="CD78" s="546">
        <f t="shared" si="282"/>
        <v>0.12283169245194561</v>
      </c>
      <c r="CE78" s="184">
        <f t="shared" si="221"/>
        <v>1</v>
      </c>
    </row>
    <row r="79" spans="1:83">
      <c r="A79" s="23">
        <v>2019</v>
      </c>
      <c r="B79" s="566">
        <f>BE79</f>
        <v>0.37527074551086476</v>
      </c>
      <c r="C79" s="567">
        <f t="shared" si="188"/>
        <v>0.11155879544448843</v>
      </c>
      <c r="D79" s="568">
        <f t="shared" si="189"/>
        <v>5.4824510329086799E-2</v>
      </c>
      <c r="E79" s="569">
        <f t="shared" si="190"/>
        <v>7.7997997065468005E-2</v>
      </c>
      <c r="F79" s="570">
        <f t="shared" si="191"/>
        <v>8.3704031487994032E-2</v>
      </c>
      <c r="G79" s="565">
        <f>BD79</f>
        <v>0.17961198965926822</v>
      </c>
      <c r="H79" s="571">
        <f t="shared" si="208"/>
        <v>0.11703193050282973</v>
      </c>
      <c r="I79" s="690">
        <f t="shared" si="209"/>
        <v>1</v>
      </c>
      <c r="K79" s="517">
        <v>2019</v>
      </c>
      <c r="L79" s="509">
        <f t="shared" si="272"/>
        <v>0.18056559450668594</v>
      </c>
      <c r="M79" s="510">
        <f t="shared" si="272"/>
        <v>0.37057282255149981</v>
      </c>
      <c r="N79" s="511">
        <f t="shared" si="272"/>
        <v>0.13322190097578604</v>
      </c>
      <c r="O79" s="512">
        <f t="shared" si="272"/>
        <v>5.5972172027466571E-2</v>
      </c>
      <c r="P79" s="513">
        <f t="shared" si="272"/>
        <v>7.0789663895916149E-2</v>
      </c>
      <c r="Q79" s="514">
        <f t="shared" si="272"/>
        <v>7.5804119985543914E-2</v>
      </c>
      <c r="R79" s="182">
        <f t="shared" si="272"/>
        <v>6.5504156125767973E-2</v>
      </c>
      <c r="S79" s="515">
        <f t="shared" si="272"/>
        <v>4.7569569931333572E-2</v>
      </c>
      <c r="T79" s="516">
        <f t="shared" si="272"/>
        <v>1</v>
      </c>
      <c r="U79" s="518"/>
      <c r="V79" s="517">
        <v>2019</v>
      </c>
      <c r="W79" s="177">
        <f t="shared" si="254"/>
        <v>0.17519522278364721</v>
      </c>
      <c r="X79" s="178">
        <f t="shared" si="254"/>
        <v>0.35084979329352317</v>
      </c>
      <c r="Y79" s="179">
        <f t="shared" si="254"/>
        <v>9.4441892512632061E-2</v>
      </c>
      <c r="Z79" s="180">
        <f t="shared" si="254"/>
        <v>5.3651814423518601E-2</v>
      </c>
      <c r="AA79" s="181">
        <f t="shared" si="254"/>
        <v>0.10041341295360588</v>
      </c>
      <c r="AB79" s="182">
        <f t="shared" si="254"/>
        <v>0.10160771704180065</v>
      </c>
      <c r="AC79" s="182">
        <f t="shared" si="254"/>
        <v>7.2117593017914566E-2</v>
      </c>
      <c r="AD79" s="183">
        <f t="shared" si="254"/>
        <v>5.1722553973357829E-2</v>
      </c>
      <c r="AE79" s="184">
        <f t="shared" si="210"/>
        <v>0.99999999999999978</v>
      </c>
      <c r="AF79" s="518"/>
      <c r="AG79" s="12">
        <v>2019</v>
      </c>
      <c r="AH79" s="546">
        <f t="shared" ref="AH79:AO79" si="283">AH59/$AP59</f>
        <v>0.15581203627370158</v>
      </c>
      <c r="AI79" s="547">
        <f t="shared" si="283"/>
        <v>0.45803792250618303</v>
      </c>
      <c r="AJ79" s="179">
        <f t="shared" si="283"/>
        <v>2.9183841714756801E-2</v>
      </c>
      <c r="AK79" s="180">
        <f t="shared" si="283"/>
        <v>5.4575432811211869E-2</v>
      </c>
      <c r="AL79" s="181">
        <f t="shared" si="283"/>
        <v>8.3099752679307498E-2</v>
      </c>
      <c r="AM79" s="548">
        <f t="shared" si="283"/>
        <v>9.9917559769167358E-2</v>
      </c>
      <c r="AN79" s="182">
        <f t="shared" ref="AN79" si="284">AN59/$AP59</f>
        <v>7.9142621599340476E-2</v>
      </c>
      <c r="AO79" s="183">
        <f t="shared" si="283"/>
        <v>4.0230832646331413E-2</v>
      </c>
      <c r="AP79" s="184">
        <f t="shared" si="213"/>
        <v>1</v>
      </c>
      <c r="AR79" s="12">
        <v>2019</v>
      </c>
      <c r="AS79" s="546">
        <f t="shared" ref="AS79:AZ79" si="285">AS59/$BA59</f>
        <v>0.22409763697740848</v>
      </c>
      <c r="AT79" s="547">
        <f t="shared" si="285"/>
        <v>0.34095040249285902</v>
      </c>
      <c r="AU79" s="179">
        <f t="shared" si="285"/>
        <v>0.16515190859517009</v>
      </c>
      <c r="AV79" s="180">
        <f t="shared" si="285"/>
        <v>5.1934562451311346E-2</v>
      </c>
      <c r="AW79" s="181">
        <f t="shared" si="285"/>
        <v>4.8039470267462997E-2</v>
      </c>
      <c r="AX79" s="548">
        <f t="shared" si="285"/>
        <v>5.2973253700337578E-2</v>
      </c>
      <c r="AY79" s="570">
        <f t="shared" si="285"/>
        <v>4.2066995585562192E-2</v>
      </c>
      <c r="AZ79" s="183">
        <f t="shared" si="285"/>
        <v>7.4785769929888335E-2</v>
      </c>
      <c r="BA79" s="184">
        <f t="shared" si="215"/>
        <v>1</v>
      </c>
      <c r="BC79" s="517">
        <v>2019</v>
      </c>
      <c r="BD79" s="565">
        <f t="shared" si="258"/>
        <v>0.17961198965926822</v>
      </c>
      <c r="BE79" s="566">
        <f t="shared" si="200"/>
        <v>0.37527074551086476</v>
      </c>
      <c r="BF79" s="567">
        <f t="shared" si="201"/>
        <v>0.11155879544448843</v>
      </c>
      <c r="BG79" s="568">
        <f t="shared" si="202"/>
        <v>5.4824510329086799E-2</v>
      </c>
      <c r="BH79" s="569">
        <f t="shared" si="203"/>
        <v>7.7997997065468005E-2</v>
      </c>
      <c r="BI79" s="570">
        <f t="shared" si="204"/>
        <v>8.3704031487994032E-2</v>
      </c>
      <c r="BJ79" s="571">
        <f t="shared" si="245"/>
        <v>0.11703193050282973</v>
      </c>
      <c r="BK79" s="184">
        <f t="shared" si="217"/>
        <v>1</v>
      </c>
      <c r="BM79" s="12">
        <v>2019</v>
      </c>
      <c r="BN79" s="546">
        <f t="shared" ref="BN79:BT79" si="286">BN59/$BU59</f>
        <v>0.18111194309247472</v>
      </c>
      <c r="BO79" s="546">
        <f t="shared" si="286"/>
        <v>0.3835642081617372</v>
      </c>
      <c r="BP79" s="546">
        <f t="shared" si="286"/>
        <v>0.11737177087233246</v>
      </c>
      <c r="BQ79" s="546">
        <f t="shared" si="286"/>
        <v>5.5222763010108575E-2</v>
      </c>
      <c r="BR79" s="546">
        <f t="shared" si="286"/>
        <v>7.0385623362036687E-2</v>
      </c>
      <c r="BS79" s="546">
        <f t="shared" si="286"/>
        <v>7.7623861225508545E-2</v>
      </c>
      <c r="BT79" s="546">
        <f t="shared" si="286"/>
        <v>0.11471983027580182</v>
      </c>
      <c r="BU79" s="184">
        <f t="shared" si="219"/>
        <v>0.99999999999999989</v>
      </c>
      <c r="BW79" s="12">
        <v>2019</v>
      </c>
      <c r="BX79" s="546">
        <f t="shared" ref="BX79:CD79" si="287">IFERROR(BX59/$CE59,0)</f>
        <v>0.17519522278364721</v>
      </c>
      <c r="BY79" s="546">
        <f t="shared" si="287"/>
        <v>0.35084979329352317</v>
      </c>
      <c r="BZ79" s="546">
        <f t="shared" si="287"/>
        <v>9.4441892512632061E-2</v>
      </c>
      <c r="CA79" s="546">
        <f t="shared" si="287"/>
        <v>5.3651814423518601E-2</v>
      </c>
      <c r="CB79" s="546">
        <f t="shared" si="287"/>
        <v>0.10041341295360588</v>
      </c>
      <c r="CC79" s="546">
        <f t="shared" si="287"/>
        <v>0.10160771704180065</v>
      </c>
      <c r="CD79" s="546">
        <f t="shared" si="287"/>
        <v>0.1238401469912724</v>
      </c>
      <c r="CE79" s="184">
        <f t="shared" si="221"/>
        <v>0.99999999999999989</v>
      </c>
    </row>
    <row r="80" spans="1:83">
      <c r="A80" s="23">
        <v>2020</v>
      </c>
      <c r="B80" s="566">
        <f>BE80</f>
        <v>0.38858893602433903</v>
      </c>
      <c r="C80" s="567">
        <f t="shared" si="188"/>
        <v>0.1099755752667438</v>
      </c>
      <c r="D80" s="568">
        <f t="shared" si="189"/>
        <v>5.3584436731370783E-2</v>
      </c>
      <c r="E80" s="569">
        <f t="shared" si="190"/>
        <v>7.6059476367999312E-2</v>
      </c>
      <c r="F80" s="570">
        <f t="shared" si="191"/>
        <v>8.1822856408278702E-2</v>
      </c>
      <c r="G80" s="565">
        <f>BD80</f>
        <v>0.17555812658010883</v>
      </c>
      <c r="H80" s="571">
        <f t="shared" si="208"/>
        <v>0.11441059262115953</v>
      </c>
      <c r="I80" s="690">
        <f t="shared" si="209"/>
        <v>1</v>
      </c>
      <c r="K80" s="517">
        <v>2020</v>
      </c>
      <c r="L80" s="509">
        <f t="shared" si="272"/>
        <v>0.17658524447393523</v>
      </c>
      <c r="M80" s="510">
        <f t="shared" si="272"/>
        <v>0.3834860863434662</v>
      </c>
      <c r="N80" s="511">
        <f t="shared" si="272"/>
        <v>0.13138141251607016</v>
      </c>
      <c r="O80" s="512">
        <f t="shared" si="272"/>
        <v>5.4742255215029234E-2</v>
      </c>
      <c r="P80" s="513">
        <f t="shared" si="272"/>
        <v>6.9091361506241442E-2</v>
      </c>
      <c r="Q80" s="514">
        <f t="shared" si="272"/>
        <v>7.4150872973085064E-2</v>
      </c>
      <c r="R80" s="182">
        <f t="shared" si="272"/>
        <v>6.4073321444863773E-2</v>
      </c>
      <c r="S80" s="515">
        <f t="shared" si="272"/>
        <v>4.6489445527308923E-2</v>
      </c>
      <c r="T80" s="516">
        <f t="shared" si="272"/>
        <v>1</v>
      </c>
      <c r="U80" s="518"/>
      <c r="V80" s="517">
        <v>2020</v>
      </c>
      <c r="W80" s="177">
        <f t="shared" si="254"/>
        <v>0.1714869003062266</v>
      </c>
      <c r="X80" s="178">
        <f t="shared" si="254"/>
        <v>0.36406941136440968</v>
      </c>
      <c r="Y80" s="179">
        <f t="shared" si="254"/>
        <v>9.3228989452194627E-2</v>
      </c>
      <c r="Z80" s="180">
        <f t="shared" si="254"/>
        <v>5.2483838040149708E-2</v>
      </c>
      <c r="AA80" s="181">
        <f t="shared" si="254"/>
        <v>9.8077577407281388E-2</v>
      </c>
      <c r="AB80" s="182">
        <f t="shared" si="254"/>
        <v>9.9438584552568904E-2</v>
      </c>
      <c r="AC80" s="182">
        <f t="shared" si="254"/>
        <v>7.0602245661789728E-2</v>
      </c>
      <c r="AD80" s="183">
        <f t="shared" si="254"/>
        <v>5.0612453215379383E-2</v>
      </c>
      <c r="AE80" s="184">
        <f t="shared" si="210"/>
        <v>1</v>
      </c>
      <c r="AF80" s="518"/>
      <c r="AG80" s="12">
        <v>2020</v>
      </c>
      <c r="AH80" s="546">
        <f t="shared" ref="AH80:AO80" si="288">AH60/$AP60</f>
        <v>0.15171165736691297</v>
      </c>
      <c r="AI80" s="547">
        <f t="shared" si="288"/>
        <v>0.47217614236163474</v>
      </c>
      <c r="AJ80" s="179">
        <f t="shared" si="288"/>
        <v>2.865329512893983E-2</v>
      </c>
      <c r="AK80" s="180">
        <f t="shared" si="288"/>
        <v>5.3083999396772732E-2</v>
      </c>
      <c r="AL80" s="181">
        <f t="shared" si="288"/>
        <v>8.0681646810435825E-2</v>
      </c>
      <c r="AM80" s="548">
        <f t="shared" si="288"/>
        <v>9.7421203438395415E-2</v>
      </c>
      <c r="AN80" s="182">
        <f t="shared" ref="AN80" si="289">AN60/$AP60</f>
        <v>7.7062283215201324E-2</v>
      </c>
      <c r="AO80" s="183">
        <f t="shared" si="288"/>
        <v>3.9209772281707134E-2</v>
      </c>
      <c r="AP80" s="184">
        <f t="shared" si="213"/>
        <v>1.0000000000000002</v>
      </c>
      <c r="AR80" s="12">
        <v>2020</v>
      </c>
      <c r="AS80" s="546">
        <f t="shared" ref="AS80:AZ80" si="290">AS60/$BA60</f>
        <v>0.21897460469573551</v>
      </c>
      <c r="AT80" s="547">
        <f t="shared" si="290"/>
        <v>0.35433636799233348</v>
      </c>
      <c r="AU80" s="179">
        <f t="shared" si="290"/>
        <v>0.16267369429803546</v>
      </c>
      <c r="AV80" s="180">
        <f t="shared" si="290"/>
        <v>5.0790608528988979E-2</v>
      </c>
      <c r="AW80" s="181">
        <f t="shared" si="290"/>
        <v>4.6957355055103019E-2</v>
      </c>
      <c r="AX80" s="548">
        <f t="shared" si="290"/>
        <v>5.174892189746047E-2</v>
      </c>
      <c r="AY80" s="570">
        <f t="shared" si="290"/>
        <v>4.1207474844274075E-2</v>
      </c>
      <c r="AZ80" s="183">
        <f t="shared" si="290"/>
        <v>7.3310972688068993E-2</v>
      </c>
      <c r="BA80" s="184">
        <f t="shared" si="215"/>
        <v>1</v>
      </c>
      <c r="BC80" s="517">
        <v>2020</v>
      </c>
      <c r="BD80" s="565">
        <f t="shared" si="258"/>
        <v>0.17555812658010883</v>
      </c>
      <c r="BE80" s="566">
        <f t="shared" si="200"/>
        <v>0.38858893602433903</v>
      </c>
      <c r="BF80" s="567">
        <f t="shared" si="201"/>
        <v>0.1099755752667438</v>
      </c>
      <c r="BG80" s="568">
        <f t="shared" si="202"/>
        <v>5.3584436731370783E-2</v>
      </c>
      <c r="BH80" s="569">
        <f t="shared" si="203"/>
        <v>7.6059476367999312E-2</v>
      </c>
      <c r="BI80" s="570">
        <f t="shared" si="204"/>
        <v>8.1822856408278702E-2</v>
      </c>
      <c r="BJ80" s="571">
        <f t="shared" si="245"/>
        <v>0.11441059262115953</v>
      </c>
      <c r="BK80" s="184">
        <f t="shared" si="217"/>
        <v>1</v>
      </c>
      <c r="BM80" s="12">
        <v>2020</v>
      </c>
      <c r="BN80" s="546">
        <f t="shared" ref="BN80:BT80" si="291">BN60/$BU60</f>
        <v>0.17692880462798558</v>
      </c>
      <c r="BO80" s="546">
        <f t="shared" si="291"/>
        <v>0.39684403459533762</v>
      </c>
      <c r="BP80" s="546">
        <f t="shared" si="291"/>
        <v>0.11561372358096111</v>
      </c>
      <c r="BQ80" s="546">
        <f t="shared" si="291"/>
        <v>5.3954980239418068E-2</v>
      </c>
      <c r="BR80" s="546">
        <f t="shared" si="291"/>
        <v>6.8646543330087628E-2</v>
      </c>
      <c r="BS80" s="546">
        <f t="shared" si="291"/>
        <v>7.589209003952116E-2</v>
      </c>
      <c r="BT80" s="546">
        <f t="shared" si="291"/>
        <v>0.11211982358668882</v>
      </c>
      <c r="BU80" s="184">
        <f t="shared" si="219"/>
        <v>1</v>
      </c>
      <c r="BW80" s="12">
        <v>2020</v>
      </c>
      <c r="BX80" s="546">
        <f t="shared" ref="BX80:CD80" si="292">IFERROR(BX60/$CE60,0)</f>
        <v>0.1714869003062266</v>
      </c>
      <c r="BY80" s="546">
        <f t="shared" si="292"/>
        <v>0.36406941136440968</v>
      </c>
      <c r="BZ80" s="546">
        <f t="shared" si="292"/>
        <v>9.3228989452194627E-2</v>
      </c>
      <c r="CA80" s="546">
        <f t="shared" si="292"/>
        <v>5.2483838040149708E-2</v>
      </c>
      <c r="CB80" s="546">
        <f t="shared" si="292"/>
        <v>9.8077577407281388E-2</v>
      </c>
      <c r="CC80" s="546">
        <f t="shared" si="292"/>
        <v>9.9438584552568904E-2</v>
      </c>
      <c r="CD80" s="546">
        <f t="shared" si="292"/>
        <v>0.12121469887716911</v>
      </c>
      <c r="CE80" s="184">
        <f t="shared" si="221"/>
        <v>1</v>
      </c>
    </row>
    <row r="81" spans="1:83">
      <c r="A81" s="26">
        <v>2021</v>
      </c>
      <c r="B81" s="691">
        <f>BE81</f>
        <v>0.39391130306541661</v>
      </c>
      <c r="C81" s="692">
        <f t="shared" si="188"/>
        <v>0.10742652480775308</v>
      </c>
      <c r="D81" s="693">
        <f t="shared" si="189"/>
        <v>5.3218160750026333E-2</v>
      </c>
      <c r="E81" s="694">
        <f t="shared" si="190"/>
        <v>7.5908564205203838E-2</v>
      </c>
      <c r="F81" s="695">
        <f t="shared" si="191"/>
        <v>8.1217739386916676E-2</v>
      </c>
      <c r="G81" s="696">
        <f>BD81</f>
        <v>0.1746339407984831</v>
      </c>
      <c r="H81" s="697">
        <f t="shared" si="208"/>
        <v>0.11368376698620036</v>
      </c>
      <c r="I81" s="698">
        <f t="shared" si="209"/>
        <v>1</v>
      </c>
      <c r="K81" s="517">
        <v>2021</v>
      </c>
      <c r="L81" s="509">
        <f t="shared" si="272"/>
        <v>0.17542539403821231</v>
      </c>
      <c r="M81" s="510">
        <f t="shared" si="272"/>
        <v>0.38918851122538567</v>
      </c>
      <c r="N81" s="511">
        <f t="shared" si="272"/>
        <v>0.12847527070529705</v>
      </c>
      <c r="O81" s="512">
        <f t="shared" si="272"/>
        <v>5.4391906016137796E-2</v>
      </c>
      <c r="P81" s="513">
        <f t="shared" si="272"/>
        <v>6.9024624775283247E-2</v>
      </c>
      <c r="Q81" s="514">
        <f t="shared" si="272"/>
        <v>7.3665287010326513E-2</v>
      </c>
      <c r="R81" s="182">
        <f t="shared" si="272"/>
        <v>6.3631422718341074E-2</v>
      </c>
      <c r="S81" s="515">
        <f t="shared" si="272"/>
        <v>4.6197583511016348E-2</v>
      </c>
      <c r="T81" s="516">
        <f t="shared" si="272"/>
        <v>1</v>
      </c>
      <c r="U81" s="518"/>
      <c r="V81" s="517">
        <v>2021</v>
      </c>
      <c r="W81" s="177">
        <f t="shared" si="254"/>
        <v>0.17046679379819252</v>
      </c>
      <c r="X81" s="178">
        <f t="shared" si="254"/>
        <v>0.36862615040212254</v>
      </c>
      <c r="Y81" s="179">
        <f t="shared" si="254"/>
        <v>9.1203051156620515E-2</v>
      </c>
      <c r="Z81" s="180">
        <f t="shared" si="254"/>
        <v>5.2234474753337201E-2</v>
      </c>
      <c r="AA81" s="181">
        <f t="shared" si="254"/>
        <v>9.8084735925710972E-2</v>
      </c>
      <c r="AB81" s="182">
        <f t="shared" si="254"/>
        <v>9.8913854572589333E-2</v>
      </c>
      <c r="AC81" s="182">
        <f t="shared" si="254"/>
        <v>7.0143437525909957E-2</v>
      </c>
      <c r="AD81" s="183">
        <f t="shared" si="254"/>
        <v>5.0327501865516953E-2</v>
      </c>
      <c r="AE81" s="184">
        <f t="shared" si="210"/>
        <v>1</v>
      </c>
      <c r="AF81" s="518"/>
      <c r="AG81" s="12">
        <v>2021</v>
      </c>
      <c r="AH81" s="546">
        <f t="shared" ref="AH81:AO81" si="293">AH61/$AP61</f>
        <v>0.15007990701728896</v>
      </c>
      <c r="AI81" s="547">
        <f t="shared" si="293"/>
        <v>0.4776986779020776</v>
      </c>
      <c r="AJ81" s="179">
        <f t="shared" si="293"/>
        <v>2.7894813308150516E-2</v>
      </c>
      <c r="AK81" s="180">
        <f t="shared" si="293"/>
        <v>5.2593345924742116E-2</v>
      </c>
      <c r="AL81" s="181">
        <f t="shared" si="293"/>
        <v>8.034287374691268E-2</v>
      </c>
      <c r="AM81" s="548">
        <f t="shared" si="293"/>
        <v>9.6324277204707251E-2</v>
      </c>
      <c r="AN81" s="182">
        <f t="shared" ref="AN81" si="294">AN61/$AP61</f>
        <v>7.6274880139474061E-2</v>
      </c>
      <c r="AO81" s="183">
        <f t="shared" si="293"/>
        <v>3.8791224756646814E-2</v>
      </c>
      <c r="AP81" s="184">
        <f>SUM(AH81:AO81)</f>
        <v>0.99999999999999978</v>
      </c>
      <c r="AR81" s="12">
        <v>2021</v>
      </c>
      <c r="AS81" s="546">
        <f t="shared" ref="AS81:AZ81" si="295">AS61/$BA61</f>
        <v>0.21816601477618427</v>
      </c>
      <c r="AT81" s="547">
        <f t="shared" si="295"/>
        <v>0.35940895262929162</v>
      </c>
      <c r="AU81" s="179">
        <f t="shared" si="295"/>
        <v>0.15949587136027815</v>
      </c>
      <c r="AV81" s="180">
        <f t="shared" si="295"/>
        <v>5.0630160799652324E-2</v>
      </c>
      <c r="AW81" s="181">
        <f t="shared" si="295"/>
        <v>4.6936114732724903E-2</v>
      </c>
      <c r="AX81" s="548">
        <f t="shared" si="295"/>
        <v>5.1499348109517604E-2</v>
      </c>
      <c r="AY81" s="570">
        <f t="shared" si="295"/>
        <v>4.1069100391134289E-2</v>
      </c>
      <c r="AZ81" s="183">
        <f t="shared" si="295"/>
        <v>7.2794437201216866E-2</v>
      </c>
      <c r="BA81" s="184">
        <f t="shared" si="215"/>
        <v>1</v>
      </c>
      <c r="BC81" s="517">
        <v>2021</v>
      </c>
      <c r="BD81" s="565">
        <f>(L81*$T61+W81*$AE61+AH81*$AP61+AS81*$BA61)/$I61</f>
        <v>0.1746339407984831</v>
      </c>
      <c r="BE81" s="566">
        <f t="shared" si="200"/>
        <v>0.39391130306541661</v>
      </c>
      <c r="BF81" s="567">
        <f t="shared" si="201"/>
        <v>0.10742652480775308</v>
      </c>
      <c r="BG81" s="568">
        <f t="shared" si="202"/>
        <v>5.3218160750026333E-2</v>
      </c>
      <c r="BH81" s="569">
        <f t="shared" si="203"/>
        <v>7.5908564205203838E-2</v>
      </c>
      <c r="BI81" s="570">
        <f t="shared" si="204"/>
        <v>8.1217739386916676E-2</v>
      </c>
      <c r="BJ81" s="571">
        <f>((R81+S81)*$T61+(AC81+AD81)*$AE61+(AN81+AO81)*$AP61+(AZ81+AY81)*$BA61)/$I61</f>
        <v>0.11368376698620036</v>
      </c>
      <c r="BK81" s="184">
        <f t="shared" si="217"/>
        <v>1</v>
      </c>
      <c r="BM81" s="12">
        <v>2021</v>
      </c>
      <c r="BN81" s="546">
        <f>BN61/$BU61</f>
        <v>0.17605355327081687</v>
      </c>
      <c r="BO81" s="546">
        <f t="shared" ref="BO81:BT81" si="296">BO61/$BU61</f>
        <v>0.40252513840244042</v>
      </c>
      <c r="BP81" s="546">
        <f t="shared" si="296"/>
        <v>0.11295333860580725</v>
      </c>
      <c r="BQ81" s="546">
        <f t="shared" si="296"/>
        <v>5.3553270816856853E-2</v>
      </c>
      <c r="BR81" s="546">
        <f t="shared" si="296"/>
        <v>6.8353858321093655E-2</v>
      </c>
      <c r="BS81" s="546">
        <f t="shared" si="296"/>
        <v>7.5189244153203022E-2</v>
      </c>
      <c r="BT81" s="546">
        <f t="shared" si="296"/>
        <v>0.11137159642978195</v>
      </c>
      <c r="BU81" s="184">
        <f t="shared" si="219"/>
        <v>1</v>
      </c>
      <c r="BW81" s="12">
        <v>2021</v>
      </c>
      <c r="BX81" s="546">
        <f t="shared" ref="BX81:CD81" si="297">IFERROR(BX61/$CE61,0)</f>
        <v>0.17046679379819252</v>
      </c>
      <c r="BY81" s="546">
        <f t="shared" si="297"/>
        <v>0.36862615040212254</v>
      </c>
      <c r="BZ81" s="546">
        <f t="shared" si="297"/>
        <v>9.1203051156620515E-2</v>
      </c>
      <c r="CA81" s="546">
        <f t="shared" si="297"/>
        <v>5.2234474753337201E-2</v>
      </c>
      <c r="CB81" s="546">
        <f t="shared" si="297"/>
        <v>9.8084735925710972E-2</v>
      </c>
      <c r="CC81" s="546">
        <f t="shared" si="297"/>
        <v>9.8913854572589333E-2</v>
      </c>
      <c r="CD81" s="546">
        <f t="shared" si="297"/>
        <v>0.12047093939142692</v>
      </c>
      <c r="CE81" s="184">
        <f t="shared" si="221"/>
        <v>1</v>
      </c>
    </row>
    <row r="83" spans="1:83" s="92" customFormat="1">
      <c r="A83" s="176" t="s">
        <v>574</v>
      </c>
    </row>
    <row r="84" spans="1:83">
      <c r="A84" t="s">
        <v>575</v>
      </c>
      <c r="B84" s="17"/>
      <c r="C84" s="17"/>
      <c r="D84" s="17"/>
      <c r="E84" s="17"/>
      <c r="F84" s="17"/>
      <c r="G84" s="17"/>
      <c r="H84" s="17"/>
      <c r="I84" s="17"/>
    </row>
    <row r="85" spans="1:83">
      <c r="A85" t="s">
        <v>576</v>
      </c>
    </row>
    <row r="86" spans="1:83">
      <c r="G86" t="s">
        <v>577</v>
      </c>
    </row>
    <row r="87" spans="1:83">
      <c r="G87" t="s">
        <v>578</v>
      </c>
    </row>
    <row r="88" spans="1:83">
      <c r="B88" s="17"/>
      <c r="C88" s="17"/>
      <c r="D88" s="17"/>
      <c r="E88" s="17"/>
      <c r="F88" s="17"/>
      <c r="G88" s="17" t="s">
        <v>579</v>
      </c>
      <c r="H88" s="17"/>
      <c r="I88" s="17"/>
    </row>
    <row r="89" spans="1:83">
      <c r="A89" s="48" t="s">
        <v>562</v>
      </c>
      <c r="I89" s="24"/>
      <c r="K89" s="48" t="s">
        <v>563</v>
      </c>
      <c r="V89" s="48" t="s">
        <v>564</v>
      </c>
      <c r="AG89" s="48" t="s">
        <v>585</v>
      </c>
      <c r="AR89" s="564" t="s">
        <v>1004</v>
      </c>
      <c r="BC89" s="48" t="s">
        <v>565</v>
      </c>
      <c r="BM89" s="564" t="s">
        <v>1006</v>
      </c>
      <c r="BW89" s="564" t="s">
        <v>1007</v>
      </c>
    </row>
    <row r="90" spans="1:83" ht="48">
      <c r="A90" s="2" t="s">
        <v>496</v>
      </c>
      <c r="B90" s="152" t="s">
        <v>567</v>
      </c>
      <c r="C90" s="153" t="s">
        <v>568</v>
      </c>
      <c r="D90" s="154" t="s">
        <v>569</v>
      </c>
      <c r="E90" s="155" t="s">
        <v>570</v>
      </c>
      <c r="F90" s="156" t="s">
        <v>571</v>
      </c>
      <c r="G90" s="151" t="s">
        <v>566</v>
      </c>
      <c r="H90" s="553" t="s">
        <v>572</v>
      </c>
      <c r="I90" s="157" t="s">
        <v>500</v>
      </c>
      <c r="K90" s="554" t="s">
        <v>995</v>
      </c>
      <c r="L90" s="549" t="s">
        <v>988</v>
      </c>
      <c r="M90" s="550" t="s">
        <v>989</v>
      </c>
      <c r="N90" s="551" t="s">
        <v>990</v>
      </c>
      <c r="O90" s="555" t="s">
        <v>991</v>
      </c>
      <c r="P90" s="552" t="s">
        <v>992</v>
      </c>
      <c r="Q90" s="553" t="s">
        <v>993</v>
      </c>
      <c r="R90" s="553" t="s">
        <v>987</v>
      </c>
      <c r="S90" s="558" t="s">
        <v>994</v>
      </c>
      <c r="T90" s="560" t="s">
        <v>996</v>
      </c>
      <c r="U90" s="557"/>
      <c r="V90" s="554" t="s">
        <v>995</v>
      </c>
      <c r="W90" s="549" t="s">
        <v>988</v>
      </c>
      <c r="X90" s="550" t="s">
        <v>989</v>
      </c>
      <c r="Y90" s="551" t="s">
        <v>990</v>
      </c>
      <c r="Z90" s="555" t="s">
        <v>991</v>
      </c>
      <c r="AA90" s="552" t="s">
        <v>992</v>
      </c>
      <c r="AB90" s="553" t="s">
        <v>993</v>
      </c>
      <c r="AC90" s="553" t="s">
        <v>987</v>
      </c>
      <c r="AD90" s="558" t="s">
        <v>994</v>
      </c>
      <c r="AE90" s="560" t="s">
        <v>996</v>
      </c>
      <c r="AF90" s="557"/>
      <c r="AG90" s="554" t="s">
        <v>995</v>
      </c>
      <c r="AH90" s="549" t="s">
        <v>988</v>
      </c>
      <c r="AI90" s="550" t="s">
        <v>989</v>
      </c>
      <c r="AJ90" s="551" t="s">
        <v>990</v>
      </c>
      <c r="AK90" s="555" t="s">
        <v>991</v>
      </c>
      <c r="AL90" s="552" t="s">
        <v>992</v>
      </c>
      <c r="AM90" s="553" t="s">
        <v>993</v>
      </c>
      <c r="AN90" s="553" t="s">
        <v>987</v>
      </c>
      <c r="AO90" s="558" t="s">
        <v>994</v>
      </c>
      <c r="AP90" s="560" t="s">
        <v>996</v>
      </c>
      <c r="AQ90" s="557"/>
      <c r="AR90" s="554" t="s">
        <v>481</v>
      </c>
      <c r="AS90" s="549" t="s">
        <v>988</v>
      </c>
      <c r="AT90" s="550" t="s">
        <v>989</v>
      </c>
      <c r="AU90" s="551" t="s">
        <v>990</v>
      </c>
      <c r="AV90" s="555" t="s">
        <v>991</v>
      </c>
      <c r="AW90" s="552" t="s">
        <v>992</v>
      </c>
      <c r="AX90" s="553" t="s">
        <v>993</v>
      </c>
      <c r="AY90" s="553" t="s">
        <v>987</v>
      </c>
      <c r="AZ90" s="556" t="s">
        <v>994</v>
      </c>
      <c r="BA90" s="554" t="s">
        <v>500</v>
      </c>
      <c r="BB90" s="557"/>
      <c r="BC90" s="554" t="s">
        <v>496</v>
      </c>
      <c r="BD90" s="549" t="s">
        <v>997</v>
      </c>
      <c r="BE90" s="550" t="s">
        <v>998</v>
      </c>
      <c r="BF90" s="551" t="s">
        <v>999</v>
      </c>
      <c r="BG90" s="555" t="s">
        <v>1000</v>
      </c>
      <c r="BH90" s="552" t="s">
        <v>1001</v>
      </c>
      <c r="BI90" s="553" t="s">
        <v>1002</v>
      </c>
      <c r="BJ90" s="556" t="s">
        <v>1003</v>
      </c>
      <c r="BK90" s="554" t="s">
        <v>500</v>
      </c>
      <c r="BL90" s="557"/>
      <c r="BM90" s="554" t="s">
        <v>496</v>
      </c>
      <c r="BN90" s="549" t="s">
        <v>997</v>
      </c>
      <c r="BO90" s="550" t="s">
        <v>998</v>
      </c>
      <c r="BP90" s="551" t="s">
        <v>999</v>
      </c>
      <c r="BQ90" s="555" t="s">
        <v>1000</v>
      </c>
      <c r="BR90" s="552" t="s">
        <v>1001</v>
      </c>
      <c r="BS90" s="553" t="s">
        <v>1002</v>
      </c>
      <c r="BT90" s="553" t="s">
        <v>1003</v>
      </c>
      <c r="BU90" s="554" t="s">
        <v>500</v>
      </c>
      <c r="BV90" s="557"/>
      <c r="BW90" s="554" t="s">
        <v>496</v>
      </c>
      <c r="BX90" s="549" t="s">
        <v>997</v>
      </c>
      <c r="BY90" s="550" t="s">
        <v>998</v>
      </c>
      <c r="BZ90" s="551" t="s">
        <v>999</v>
      </c>
      <c r="CA90" s="555" t="s">
        <v>1000</v>
      </c>
      <c r="CB90" s="552" t="s">
        <v>1001</v>
      </c>
      <c r="CC90" s="553" t="s">
        <v>1002</v>
      </c>
      <c r="CD90" s="553" t="s">
        <v>1003</v>
      </c>
      <c r="CE90" s="554" t="s">
        <v>500</v>
      </c>
    </row>
    <row r="91" spans="1:83">
      <c r="A91" s="12">
        <v>2006</v>
      </c>
      <c r="B91" s="160">
        <f>B6-B46</f>
        <v>0</v>
      </c>
      <c r="C91" s="161">
        <f t="shared" ref="C91:H91" si="298">C6-C46</f>
        <v>9000</v>
      </c>
      <c r="D91" s="175">
        <f t="shared" si="298"/>
        <v>0</v>
      </c>
      <c r="E91" s="163">
        <f t="shared" si="298"/>
        <v>0</v>
      </c>
      <c r="F91" s="164">
        <f t="shared" si="298"/>
        <v>0</v>
      </c>
      <c r="G91" s="159">
        <f>G6-G46</f>
        <v>12653</v>
      </c>
      <c r="H91" s="164">
        <f t="shared" si="298"/>
        <v>74</v>
      </c>
      <c r="I91" s="165">
        <f>SUM(C91:H91)</f>
        <v>21727</v>
      </c>
      <c r="K91" s="3">
        <v>2006</v>
      </c>
      <c r="L91" s="169">
        <f>L6-L46</f>
        <v>5236</v>
      </c>
      <c r="M91" s="170">
        <f t="shared" ref="M91:S91" si="299">M6-M46</f>
        <v>0</v>
      </c>
      <c r="N91" s="161">
        <f t="shared" si="299"/>
        <v>2951</v>
      </c>
      <c r="O91" s="171">
        <f t="shared" si="299"/>
        <v>0</v>
      </c>
      <c r="P91" s="172">
        <f t="shared" si="299"/>
        <v>0</v>
      </c>
      <c r="Q91" s="173">
        <f t="shared" si="299"/>
        <v>0</v>
      </c>
      <c r="R91" s="173">
        <f t="shared" si="299"/>
        <v>0</v>
      </c>
      <c r="S91" s="559">
        <f t="shared" si="299"/>
        <v>8</v>
      </c>
      <c r="T91" s="561">
        <f t="shared" ref="T91:T95" si="300">SUM(L91:S91)</f>
        <v>8195</v>
      </c>
      <c r="V91" s="3">
        <v>2006</v>
      </c>
      <c r="W91" s="169">
        <f>W6-W46</f>
        <v>5500</v>
      </c>
      <c r="X91" s="170">
        <f t="shared" ref="X91:AD91" si="301">X6-X46</f>
        <v>0</v>
      </c>
      <c r="Y91" s="161">
        <f t="shared" si="301"/>
        <v>4244</v>
      </c>
      <c r="Z91" s="171">
        <f t="shared" si="301"/>
        <v>0</v>
      </c>
      <c r="AA91" s="172">
        <f t="shared" si="301"/>
        <v>0</v>
      </c>
      <c r="AB91" s="173">
        <f t="shared" si="301"/>
        <v>0</v>
      </c>
      <c r="AC91" s="173">
        <f t="shared" si="301"/>
        <v>0</v>
      </c>
      <c r="AD91" s="559">
        <f t="shared" si="301"/>
        <v>45</v>
      </c>
      <c r="AE91" s="561">
        <f t="shared" ref="AE91:AE95" si="302">SUM(W91:AD91)</f>
        <v>9789</v>
      </c>
      <c r="AG91" s="3">
        <v>2006</v>
      </c>
      <c r="AH91" s="169">
        <f>AH6-AH46</f>
        <v>1917</v>
      </c>
      <c r="AI91" s="170">
        <f t="shared" ref="AI91:AO91" si="303">AI6-AI46</f>
        <v>0</v>
      </c>
      <c r="AJ91" s="161">
        <f t="shared" si="303"/>
        <v>1805</v>
      </c>
      <c r="AK91" s="171">
        <f t="shared" si="303"/>
        <v>0</v>
      </c>
      <c r="AL91" s="172">
        <f t="shared" si="303"/>
        <v>0</v>
      </c>
      <c r="AM91" s="173">
        <f t="shared" si="303"/>
        <v>0</v>
      </c>
      <c r="AN91" s="173">
        <f t="shared" si="303"/>
        <v>0</v>
      </c>
      <c r="AO91" s="559">
        <f t="shared" si="303"/>
        <v>21</v>
      </c>
      <c r="AP91" s="561">
        <f t="shared" ref="AP91:AP95" si="304">SUM(AH91:AO91)</f>
        <v>3743</v>
      </c>
      <c r="AR91" s="3">
        <v>2006</v>
      </c>
      <c r="AS91" s="169">
        <f>AS6-AS46</f>
        <v>0</v>
      </c>
      <c r="AT91" s="170">
        <f t="shared" ref="AT91:AZ91" si="305">AT6-AT46</f>
        <v>0</v>
      </c>
      <c r="AU91" s="161">
        <f t="shared" si="305"/>
        <v>0</v>
      </c>
      <c r="AV91" s="171">
        <f t="shared" si="305"/>
        <v>0</v>
      </c>
      <c r="AW91" s="172">
        <f t="shared" si="305"/>
        <v>0</v>
      </c>
      <c r="AX91" s="173">
        <f t="shared" si="305"/>
        <v>0</v>
      </c>
      <c r="AY91" s="173">
        <f t="shared" si="305"/>
        <v>0</v>
      </c>
      <c r="AZ91" s="559">
        <f t="shared" si="305"/>
        <v>0</v>
      </c>
      <c r="BA91" s="562">
        <v>0</v>
      </c>
      <c r="BC91" s="12">
        <v>2006</v>
      </c>
      <c r="BD91" s="573">
        <f t="shared" ref="BD91:BD106" si="306">L91+W91+AH91+AS91</f>
        <v>12653</v>
      </c>
      <c r="BE91" s="550">
        <f t="shared" ref="BE91:BE106" si="307">M91+X91+AI91+AT91</f>
        <v>0</v>
      </c>
      <c r="BF91" s="551">
        <f t="shared" ref="BF91:BF106" si="308">N91+Y91+AJ91+AU91</f>
        <v>9000</v>
      </c>
      <c r="BG91" s="555">
        <f t="shared" ref="BG91:BG106" si="309">O91+Z91+AK91+AV91</f>
        <v>0</v>
      </c>
      <c r="BH91" s="552">
        <f t="shared" ref="BH91:BH106" si="310">P91+AA91+AL91+AW91</f>
        <v>0</v>
      </c>
      <c r="BI91" s="553">
        <f t="shared" ref="BI91:BI106" si="311">Q91+AB91+AM91+AX91</f>
        <v>0</v>
      </c>
      <c r="BJ91" s="556">
        <f t="shared" ref="BJ91:BJ106" si="312">R91+AC91+AN91+AY91+S91+AD91+AO91+AZ91</f>
        <v>74</v>
      </c>
      <c r="BK91" s="563">
        <f>SUM(BD91:BJ91)</f>
        <v>21727</v>
      </c>
      <c r="BL91" s="563"/>
      <c r="BM91" s="12">
        <v>2006</v>
      </c>
      <c r="BN91" s="573">
        <f>L91+AH91+AS91</f>
        <v>7153</v>
      </c>
      <c r="BO91" s="550">
        <f t="shared" ref="BO91:BO106" si="313">M91+AI91+AT91</f>
        <v>0</v>
      </c>
      <c r="BP91" s="551">
        <f t="shared" ref="BP91:BP106" si="314">N91+AJ91+AU91</f>
        <v>4756</v>
      </c>
      <c r="BQ91" s="555">
        <f t="shared" ref="BQ91:BQ106" si="315">O91+AK91+AV91</f>
        <v>0</v>
      </c>
      <c r="BR91" s="552">
        <f t="shared" ref="BR91:BR106" si="316">P91+AL91+AW91</f>
        <v>0</v>
      </c>
      <c r="BS91" s="553">
        <f t="shared" ref="BS91:BS106" si="317">Q91+AM91+AX91</f>
        <v>0</v>
      </c>
      <c r="BT91" s="553">
        <f>R91+AY91+AN91+S91+AZ91+AO91</f>
        <v>29</v>
      </c>
      <c r="BU91" s="554">
        <f t="shared" ref="BU91:BU106" si="318">SUM(BN91:BT91)</f>
        <v>11938</v>
      </c>
      <c r="BV91" s="563"/>
      <c r="BW91" s="12">
        <v>2006</v>
      </c>
      <c r="BX91" s="549">
        <f>W91</f>
        <v>5500</v>
      </c>
      <c r="BY91" s="550">
        <f t="shared" ref="BY91:BY106" si="319">X91</f>
        <v>0</v>
      </c>
      <c r="BZ91" s="551">
        <f t="shared" ref="BZ91:BZ106" si="320">Y91</f>
        <v>4244</v>
      </c>
      <c r="CA91" s="555">
        <f t="shared" ref="CA91:CA106" si="321">Z91</f>
        <v>0</v>
      </c>
      <c r="CB91" s="552">
        <f t="shared" ref="CB91:CB106" si="322">AA91</f>
        <v>0</v>
      </c>
      <c r="CC91" s="553">
        <f t="shared" ref="CC91:CC106" si="323">AB91</f>
        <v>0</v>
      </c>
      <c r="CD91" s="553">
        <f>AC91+AD91</f>
        <v>45</v>
      </c>
      <c r="CE91" s="563">
        <f t="shared" ref="CE91:CE106" si="324">SUM(BX91:CD91)</f>
        <v>9789</v>
      </c>
    </row>
    <row r="92" spans="1:83">
      <c r="A92" s="12">
        <v>2007</v>
      </c>
      <c r="B92" s="160">
        <f>B7-B47</f>
        <v>0</v>
      </c>
      <c r="C92" s="161">
        <f t="shared" ref="C92:H92" si="325">C7-C47</f>
        <v>8579</v>
      </c>
      <c r="D92" s="175">
        <f t="shared" si="325"/>
        <v>0</v>
      </c>
      <c r="E92" s="163">
        <f t="shared" si="325"/>
        <v>0</v>
      </c>
      <c r="F92" s="164">
        <f t="shared" si="325"/>
        <v>0</v>
      </c>
      <c r="G92" s="159">
        <f>G7-G47</f>
        <v>12752</v>
      </c>
      <c r="H92" s="164">
        <f t="shared" si="325"/>
        <v>77</v>
      </c>
      <c r="I92" s="165">
        <f>SUM(C92:H92)</f>
        <v>21408</v>
      </c>
      <c r="K92" s="3">
        <v>2007</v>
      </c>
      <c r="L92" s="169">
        <f t="shared" ref="L92:S92" si="326">L7-L47</f>
        <v>5276</v>
      </c>
      <c r="M92" s="170">
        <f t="shared" si="326"/>
        <v>0</v>
      </c>
      <c r="N92" s="161">
        <f t="shared" si="326"/>
        <v>2833</v>
      </c>
      <c r="O92" s="171">
        <f t="shared" si="326"/>
        <v>0</v>
      </c>
      <c r="P92" s="172">
        <f t="shared" si="326"/>
        <v>0</v>
      </c>
      <c r="Q92" s="173">
        <f t="shared" si="326"/>
        <v>0</v>
      </c>
      <c r="R92" s="173">
        <f t="shared" si="326"/>
        <v>0</v>
      </c>
      <c r="S92" s="559">
        <f t="shared" si="326"/>
        <v>9</v>
      </c>
      <c r="T92" s="561">
        <f t="shared" si="300"/>
        <v>8118</v>
      </c>
      <c r="V92" s="3">
        <v>2007</v>
      </c>
      <c r="W92" s="169">
        <f t="shared" ref="W92:AD92" si="327">W7-W47</f>
        <v>5514</v>
      </c>
      <c r="X92" s="170">
        <f t="shared" si="327"/>
        <v>0</v>
      </c>
      <c r="Y92" s="161">
        <f t="shared" si="327"/>
        <v>4037</v>
      </c>
      <c r="Z92" s="171">
        <f t="shared" si="327"/>
        <v>0</v>
      </c>
      <c r="AA92" s="172">
        <f t="shared" si="327"/>
        <v>0</v>
      </c>
      <c r="AB92" s="173">
        <f t="shared" si="327"/>
        <v>0</v>
      </c>
      <c r="AC92" s="173">
        <f t="shared" si="327"/>
        <v>0</v>
      </c>
      <c r="AD92" s="559">
        <f t="shared" si="327"/>
        <v>47</v>
      </c>
      <c r="AE92" s="561">
        <f t="shared" si="302"/>
        <v>9598</v>
      </c>
      <c r="AG92" s="3">
        <v>2007</v>
      </c>
      <c r="AH92" s="169">
        <f t="shared" ref="AH92:AO92" si="328">AH7-AH47</f>
        <v>1962</v>
      </c>
      <c r="AI92" s="170">
        <f t="shared" si="328"/>
        <v>0</v>
      </c>
      <c r="AJ92" s="161">
        <f t="shared" si="328"/>
        <v>1709</v>
      </c>
      <c r="AK92" s="171">
        <f t="shared" si="328"/>
        <v>0</v>
      </c>
      <c r="AL92" s="172">
        <f t="shared" si="328"/>
        <v>0</v>
      </c>
      <c r="AM92" s="173">
        <f t="shared" si="328"/>
        <v>0</v>
      </c>
      <c r="AN92" s="173">
        <f t="shared" si="328"/>
        <v>0</v>
      </c>
      <c r="AO92" s="559">
        <f t="shared" si="328"/>
        <v>21</v>
      </c>
      <c r="AP92" s="561">
        <f t="shared" si="304"/>
        <v>3692</v>
      </c>
      <c r="AR92" s="3">
        <v>2007</v>
      </c>
      <c r="AS92" s="169">
        <f t="shared" ref="AS92:AZ92" si="329">AS7-AS47</f>
        <v>0</v>
      </c>
      <c r="AT92" s="170">
        <f t="shared" si="329"/>
        <v>0</v>
      </c>
      <c r="AU92" s="161">
        <f t="shared" si="329"/>
        <v>0</v>
      </c>
      <c r="AV92" s="171">
        <f t="shared" si="329"/>
        <v>0</v>
      </c>
      <c r="AW92" s="172">
        <f t="shared" si="329"/>
        <v>0</v>
      </c>
      <c r="AX92" s="173">
        <f t="shared" si="329"/>
        <v>0</v>
      </c>
      <c r="AY92" s="173">
        <f t="shared" si="329"/>
        <v>0</v>
      </c>
      <c r="AZ92" s="559">
        <f t="shared" si="329"/>
        <v>0</v>
      </c>
      <c r="BA92" s="562">
        <v>0</v>
      </c>
      <c r="BC92" s="12">
        <v>2007</v>
      </c>
      <c r="BD92" s="573">
        <f t="shared" si="306"/>
        <v>12752</v>
      </c>
      <c r="BE92" s="550">
        <f t="shared" si="307"/>
        <v>0</v>
      </c>
      <c r="BF92" s="551">
        <f t="shared" si="308"/>
        <v>8579</v>
      </c>
      <c r="BG92" s="555">
        <f t="shared" si="309"/>
        <v>0</v>
      </c>
      <c r="BH92" s="552">
        <f t="shared" si="310"/>
        <v>0</v>
      </c>
      <c r="BI92" s="553">
        <f t="shared" si="311"/>
        <v>0</v>
      </c>
      <c r="BJ92" s="556">
        <f t="shared" si="312"/>
        <v>77</v>
      </c>
      <c r="BK92" s="563">
        <f t="shared" ref="BK92:BK106" si="330">SUM(BD92:BJ92)</f>
        <v>21408</v>
      </c>
      <c r="BL92" s="563"/>
      <c r="BM92" s="12">
        <v>2007</v>
      </c>
      <c r="BN92" s="549">
        <f t="shared" ref="BN92:BN106" si="331">L92+AH92+AS92</f>
        <v>7238</v>
      </c>
      <c r="BO92" s="550">
        <f t="shared" si="313"/>
        <v>0</v>
      </c>
      <c r="BP92" s="551">
        <f t="shared" si="314"/>
        <v>4542</v>
      </c>
      <c r="BQ92" s="555">
        <f t="shared" si="315"/>
        <v>0</v>
      </c>
      <c r="BR92" s="552">
        <f t="shared" si="316"/>
        <v>0</v>
      </c>
      <c r="BS92" s="553">
        <f t="shared" si="317"/>
        <v>0</v>
      </c>
      <c r="BT92" s="553">
        <f t="shared" ref="BT92:BT106" si="332">R92+AY92+AN92+S92+AZ92+AO92</f>
        <v>30</v>
      </c>
      <c r="BU92" s="554">
        <f t="shared" si="318"/>
        <v>11810</v>
      </c>
      <c r="BW92" s="12">
        <v>2007</v>
      </c>
      <c r="BX92" s="549">
        <f t="shared" ref="BX92:BX106" si="333">W92</f>
        <v>5514</v>
      </c>
      <c r="BY92" s="550">
        <f t="shared" si="319"/>
        <v>0</v>
      </c>
      <c r="BZ92" s="551">
        <f t="shared" si="320"/>
        <v>4037</v>
      </c>
      <c r="CA92" s="555">
        <f t="shared" si="321"/>
        <v>0</v>
      </c>
      <c r="CB92" s="552">
        <f t="shared" si="322"/>
        <v>0</v>
      </c>
      <c r="CC92" s="553">
        <f t="shared" si="323"/>
        <v>0</v>
      </c>
      <c r="CD92" s="553">
        <f t="shared" ref="CD92:CD106" si="334">AC92+AD92</f>
        <v>47</v>
      </c>
      <c r="CE92" s="563">
        <f t="shared" si="324"/>
        <v>9598</v>
      </c>
    </row>
    <row r="93" spans="1:83">
      <c r="A93" s="12">
        <v>2008</v>
      </c>
      <c r="B93" s="160">
        <f>B8-B48</f>
        <v>0</v>
      </c>
      <c r="C93" s="161">
        <f t="shared" ref="C93:H93" si="335">C8-C48</f>
        <v>8625</v>
      </c>
      <c r="D93" s="175">
        <f t="shared" si="335"/>
        <v>0</v>
      </c>
      <c r="E93" s="163">
        <f t="shared" si="335"/>
        <v>0</v>
      </c>
      <c r="F93" s="164">
        <f t="shared" si="335"/>
        <v>0</v>
      </c>
      <c r="G93" s="159">
        <f>G8-G48</f>
        <v>13373</v>
      </c>
      <c r="H93" s="164">
        <f t="shared" si="335"/>
        <v>85</v>
      </c>
      <c r="I93" s="165">
        <f>SUM(C93:H93)</f>
        <v>22083</v>
      </c>
      <c r="K93" s="3">
        <v>2008</v>
      </c>
      <c r="L93" s="169">
        <f t="shared" ref="L93:S93" si="336">L8-L48</f>
        <v>5522</v>
      </c>
      <c r="M93" s="170">
        <f t="shared" si="336"/>
        <v>0</v>
      </c>
      <c r="N93" s="161">
        <f t="shared" si="336"/>
        <v>2892</v>
      </c>
      <c r="O93" s="171">
        <f t="shared" si="336"/>
        <v>0</v>
      </c>
      <c r="P93" s="172">
        <f t="shared" si="336"/>
        <v>0</v>
      </c>
      <c r="Q93" s="173">
        <f t="shared" si="336"/>
        <v>0</v>
      </c>
      <c r="R93" s="173">
        <f t="shared" si="336"/>
        <v>0</v>
      </c>
      <c r="S93" s="559">
        <f t="shared" si="336"/>
        <v>10</v>
      </c>
      <c r="T93" s="561">
        <f t="shared" si="300"/>
        <v>8424</v>
      </c>
      <c r="V93" s="3">
        <v>2008</v>
      </c>
      <c r="W93" s="169">
        <f t="shared" ref="W93:AD93" si="337">W8-W48</f>
        <v>5728</v>
      </c>
      <c r="X93" s="170">
        <f t="shared" si="337"/>
        <v>0</v>
      </c>
      <c r="Y93" s="161">
        <f t="shared" si="337"/>
        <v>4018</v>
      </c>
      <c r="Z93" s="171">
        <f t="shared" si="337"/>
        <v>0</v>
      </c>
      <c r="AA93" s="172">
        <f t="shared" si="337"/>
        <v>0</v>
      </c>
      <c r="AB93" s="173">
        <f t="shared" si="337"/>
        <v>0</v>
      </c>
      <c r="AC93" s="173">
        <f t="shared" si="337"/>
        <v>0</v>
      </c>
      <c r="AD93" s="559">
        <f t="shared" si="337"/>
        <v>52</v>
      </c>
      <c r="AE93" s="561">
        <f t="shared" si="302"/>
        <v>9798</v>
      </c>
      <c r="AG93" s="3">
        <v>2008</v>
      </c>
      <c r="AH93" s="169">
        <f t="shared" ref="AH93:AO93" si="338">AH8-AH48</f>
        <v>2123</v>
      </c>
      <c r="AI93" s="170">
        <f t="shared" si="338"/>
        <v>0</v>
      </c>
      <c r="AJ93" s="161">
        <f t="shared" si="338"/>
        <v>1715</v>
      </c>
      <c r="AK93" s="171">
        <f t="shared" si="338"/>
        <v>0</v>
      </c>
      <c r="AL93" s="172">
        <f t="shared" si="338"/>
        <v>0</v>
      </c>
      <c r="AM93" s="173">
        <f t="shared" si="338"/>
        <v>0</v>
      </c>
      <c r="AN93" s="173">
        <f t="shared" si="338"/>
        <v>0</v>
      </c>
      <c r="AO93" s="559">
        <f t="shared" si="338"/>
        <v>23</v>
      </c>
      <c r="AP93" s="561">
        <f t="shared" si="304"/>
        <v>3861</v>
      </c>
      <c r="AR93" s="3">
        <v>2008</v>
      </c>
      <c r="AS93" s="169">
        <f t="shared" ref="AS93:AZ93" si="339">AS8-AS48</f>
        <v>0</v>
      </c>
      <c r="AT93" s="170">
        <f t="shared" si="339"/>
        <v>0</v>
      </c>
      <c r="AU93" s="161">
        <f t="shared" si="339"/>
        <v>0</v>
      </c>
      <c r="AV93" s="171">
        <f t="shared" si="339"/>
        <v>0</v>
      </c>
      <c r="AW93" s="172">
        <f t="shared" si="339"/>
        <v>0</v>
      </c>
      <c r="AX93" s="173">
        <f t="shared" si="339"/>
        <v>0</v>
      </c>
      <c r="AY93" s="173">
        <f t="shared" si="339"/>
        <v>0</v>
      </c>
      <c r="AZ93" s="559">
        <f t="shared" si="339"/>
        <v>0</v>
      </c>
      <c r="BA93" s="562">
        <v>0</v>
      </c>
      <c r="BC93" s="12">
        <v>2008</v>
      </c>
      <c r="BD93" s="549">
        <f t="shared" si="306"/>
        <v>13373</v>
      </c>
      <c r="BE93" s="550">
        <f t="shared" si="307"/>
        <v>0</v>
      </c>
      <c r="BF93" s="551">
        <f t="shared" si="308"/>
        <v>8625</v>
      </c>
      <c r="BG93" s="555">
        <f t="shared" si="309"/>
        <v>0</v>
      </c>
      <c r="BH93" s="552">
        <f t="shared" si="310"/>
        <v>0</v>
      </c>
      <c r="BI93" s="553">
        <f t="shared" si="311"/>
        <v>0</v>
      </c>
      <c r="BJ93" s="556">
        <f t="shared" si="312"/>
        <v>85</v>
      </c>
      <c r="BK93" s="563">
        <f t="shared" si="330"/>
        <v>22083</v>
      </c>
      <c r="BL93" s="563"/>
      <c r="BM93" s="12">
        <v>2008</v>
      </c>
      <c r="BN93" s="549">
        <f t="shared" si="331"/>
        <v>7645</v>
      </c>
      <c r="BO93" s="550">
        <f t="shared" si="313"/>
        <v>0</v>
      </c>
      <c r="BP93" s="551">
        <f t="shared" si="314"/>
        <v>4607</v>
      </c>
      <c r="BQ93" s="555">
        <f t="shared" si="315"/>
        <v>0</v>
      </c>
      <c r="BR93" s="552">
        <f t="shared" si="316"/>
        <v>0</v>
      </c>
      <c r="BS93" s="553">
        <f t="shared" si="317"/>
        <v>0</v>
      </c>
      <c r="BT93" s="553">
        <f t="shared" si="332"/>
        <v>33</v>
      </c>
      <c r="BU93" s="554">
        <f t="shared" si="318"/>
        <v>12285</v>
      </c>
      <c r="BW93" s="12">
        <v>2008</v>
      </c>
      <c r="BX93" s="549">
        <f t="shared" si="333"/>
        <v>5728</v>
      </c>
      <c r="BY93" s="550">
        <f t="shared" si="319"/>
        <v>0</v>
      </c>
      <c r="BZ93" s="551">
        <f t="shared" si="320"/>
        <v>4018</v>
      </c>
      <c r="CA93" s="555">
        <f t="shared" si="321"/>
        <v>0</v>
      </c>
      <c r="CB93" s="552">
        <f t="shared" si="322"/>
        <v>0</v>
      </c>
      <c r="CC93" s="553">
        <f t="shared" si="323"/>
        <v>0</v>
      </c>
      <c r="CD93" s="553">
        <f t="shared" si="334"/>
        <v>52</v>
      </c>
      <c r="CE93" s="563">
        <f t="shared" si="324"/>
        <v>9798</v>
      </c>
    </row>
    <row r="94" spans="1:83">
      <c r="A94" s="12">
        <v>2009</v>
      </c>
      <c r="B94" s="160">
        <f>B9-B49</f>
        <v>0</v>
      </c>
      <c r="C94" s="161">
        <f t="shared" ref="C94:H94" si="340">C9-C49</f>
        <v>8769</v>
      </c>
      <c r="D94" s="175">
        <f t="shared" si="340"/>
        <v>0</v>
      </c>
      <c r="E94" s="163">
        <f t="shared" si="340"/>
        <v>0</v>
      </c>
      <c r="F94" s="164">
        <f t="shared" si="340"/>
        <v>0</v>
      </c>
      <c r="G94" s="159">
        <f>G9-G49</f>
        <v>13124</v>
      </c>
      <c r="H94" s="164">
        <f t="shared" si="340"/>
        <v>69</v>
      </c>
      <c r="I94" s="165">
        <f>SUM(C94:H94)</f>
        <v>21962</v>
      </c>
      <c r="K94" s="3">
        <v>2009</v>
      </c>
      <c r="L94" s="169">
        <f t="shared" ref="L94:S94" si="341">L9-L49</f>
        <v>5425</v>
      </c>
      <c r="M94" s="170">
        <f t="shared" si="341"/>
        <v>0</v>
      </c>
      <c r="N94" s="161">
        <f t="shared" si="341"/>
        <v>2955</v>
      </c>
      <c r="O94" s="171">
        <f t="shared" si="341"/>
        <v>0</v>
      </c>
      <c r="P94" s="172">
        <f t="shared" si="341"/>
        <v>0</v>
      </c>
      <c r="Q94" s="173">
        <f t="shared" si="341"/>
        <v>0</v>
      </c>
      <c r="R94" s="173">
        <f t="shared" si="341"/>
        <v>0</v>
      </c>
      <c r="S94" s="559">
        <f t="shared" si="341"/>
        <v>6</v>
      </c>
      <c r="T94" s="561">
        <f t="shared" si="300"/>
        <v>8386</v>
      </c>
      <c r="V94" s="3">
        <v>2009</v>
      </c>
      <c r="W94" s="169">
        <f t="shared" ref="W94:AD94" si="342">W9-W49</f>
        <v>5647</v>
      </c>
      <c r="X94" s="170">
        <f t="shared" si="342"/>
        <v>0</v>
      </c>
      <c r="Y94" s="161">
        <f t="shared" si="342"/>
        <v>4064</v>
      </c>
      <c r="Z94" s="171">
        <f t="shared" si="342"/>
        <v>0</v>
      </c>
      <c r="AA94" s="172">
        <f t="shared" si="342"/>
        <v>0</v>
      </c>
      <c r="AB94" s="173">
        <f t="shared" si="342"/>
        <v>0</v>
      </c>
      <c r="AC94" s="173">
        <f t="shared" si="342"/>
        <v>0</v>
      </c>
      <c r="AD94" s="559">
        <f t="shared" si="342"/>
        <v>45</v>
      </c>
      <c r="AE94" s="561">
        <f t="shared" si="302"/>
        <v>9756</v>
      </c>
      <c r="AG94" s="3">
        <v>2009</v>
      </c>
      <c r="AH94" s="169">
        <f t="shared" ref="AH94:AO94" si="343">AH9-AH49</f>
        <v>2052</v>
      </c>
      <c r="AI94" s="170">
        <f t="shared" si="343"/>
        <v>0</v>
      </c>
      <c r="AJ94" s="161">
        <f t="shared" si="343"/>
        <v>1750</v>
      </c>
      <c r="AK94" s="171">
        <f t="shared" si="343"/>
        <v>0</v>
      </c>
      <c r="AL94" s="172">
        <f t="shared" si="343"/>
        <v>0</v>
      </c>
      <c r="AM94" s="173">
        <f t="shared" si="343"/>
        <v>0</v>
      </c>
      <c r="AN94" s="173">
        <f t="shared" si="343"/>
        <v>0</v>
      </c>
      <c r="AO94" s="559">
        <f t="shared" si="343"/>
        <v>18</v>
      </c>
      <c r="AP94" s="561">
        <f t="shared" si="304"/>
        <v>3820</v>
      </c>
      <c r="AR94" s="3">
        <v>2009</v>
      </c>
      <c r="AS94" s="169">
        <f t="shared" ref="AS94:AZ94" si="344">AS9-AS49</f>
        <v>0</v>
      </c>
      <c r="AT94" s="170">
        <f t="shared" si="344"/>
        <v>0</v>
      </c>
      <c r="AU94" s="161">
        <f t="shared" si="344"/>
        <v>0</v>
      </c>
      <c r="AV94" s="171">
        <f t="shared" si="344"/>
        <v>0</v>
      </c>
      <c r="AW94" s="172">
        <f t="shared" si="344"/>
        <v>0</v>
      </c>
      <c r="AX94" s="173">
        <f t="shared" si="344"/>
        <v>0</v>
      </c>
      <c r="AY94" s="173">
        <f t="shared" si="344"/>
        <v>0</v>
      </c>
      <c r="AZ94" s="559">
        <f t="shared" si="344"/>
        <v>0</v>
      </c>
      <c r="BA94" s="562">
        <v>0</v>
      </c>
      <c r="BC94" s="12">
        <v>2009</v>
      </c>
      <c r="BD94" s="549">
        <f t="shared" si="306"/>
        <v>13124</v>
      </c>
      <c r="BE94" s="550">
        <f t="shared" si="307"/>
        <v>0</v>
      </c>
      <c r="BF94" s="551">
        <f t="shared" si="308"/>
        <v>8769</v>
      </c>
      <c r="BG94" s="555">
        <f t="shared" si="309"/>
        <v>0</v>
      </c>
      <c r="BH94" s="552">
        <f t="shared" si="310"/>
        <v>0</v>
      </c>
      <c r="BI94" s="553">
        <f t="shared" si="311"/>
        <v>0</v>
      </c>
      <c r="BJ94" s="556">
        <f t="shared" si="312"/>
        <v>69</v>
      </c>
      <c r="BK94" s="563">
        <f t="shared" si="330"/>
        <v>21962</v>
      </c>
      <c r="BL94" s="563"/>
      <c r="BM94" s="12">
        <v>2009</v>
      </c>
      <c r="BN94" s="549">
        <f t="shared" si="331"/>
        <v>7477</v>
      </c>
      <c r="BO94" s="550">
        <f t="shared" si="313"/>
        <v>0</v>
      </c>
      <c r="BP94" s="551">
        <f t="shared" si="314"/>
        <v>4705</v>
      </c>
      <c r="BQ94" s="555">
        <f t="shared" si="315"/>
        <v>0</v>
      </c>
      <c r="BR94" s="552">
        <f t="shared" si="316"/>
        <v>0</v>
      </c>
      <c r="BS94" s="553">
        <f t="shared" si="317"/>
        <v>0</v>
      </c>
      <c r="BT94" s="553">
        <f t="shared" si="332"/>
        <v>24</v>
      </c>
      <c r="BU94" s="554">
        <f t="shared" si="318"/>
        <v>12206</v>
      </c>
      <c r="BW94" s="12">
        <v>2009</v>
      </c>
      <c r="BX94" s="549">
        <f t="shared" si="333"/>
        <v>5647</v>
      </c>
      <c r="BY94" s="550">
        <f t="shared" si="319"/>
        <v>0</v>
      </c>
      <c r="BZ94" s="551">
        <f t="shared" si="320"/>
        <v>4064</v>
      </c>
      <c r="CA94" s="555">
        <f t="shared" si="321"/>
        <v>0</v>
      </c>
      <c r="CB94" s="552">
        <f t="shared" si="322"/>
        <v>0</v>
      </c>
      <c r="CC94" s="553">
        <f t="shared" si="323"/>
        <v>0</v>
      </c>
      <c r="CD94" s="553">
        <f t="shared" si="334"/>
        <v>45</v>
      </c>
      <c r="CE94" s="563">
        <f t="shared" si="324"/>
        <v>9756</v>
      </c>
    </row>
    <row r="95" spans="1:83">
      <c r="A95" s="12">
        <v>2010</v>
      </c>
      <c r="B95" s="160">
        <f>B10-B50</f>
        <v>0</v>
      </c>
      <c r="C95" s="161">
        <f t="shared" ref="C95:H95" si="345">C10-C50</f>
        <v>7478</v>
      </c>
      <c r="D95" s="175">
        <f t="shared" si="345"/>
        <v>0</v>
      </c>
      <c r="E95" s="163">
        <f t="shared" si="345"/>
        <v>0</v>
      </c>
      <c r="F95" s="164">
        <v>0</v>
      </c>
      <c r="G95" s="159">
        <f>G10-G50</f>
        <v>11068</v>
      </c>
      <c r="H95" s="164">
        <f t="shared" si="345"/>
        <v>43</v>
      </c>
      <c r="I95" s="165">
        <f>SUM(C95:H95)</f>
        <v>18589</v>
      </c>
      <c r="K95" s="3">
        <v>2010</v>
      </c>
      <c r="L95" s="169">
        <f t="shared" ref="L95:S95" si="346">L10-L50</f>
        <v>5393</v>
      </c>
      <c r="M95" s="170">
        <f t="shared" si="346"/>
        <v>0</v>
      </c>
      <c r="N95" s="161">
        <f t="shared" si="346"/>
        <v>3051</v>
      </c>
      <c r="O95" s="171">
        <f t="shared" si="346"/>
        <v>0</v>
      </c>
      <c r="P95" s="172">
        <f t="shared" si="346"/>
        <v>0</v>
      </c>
      <c r="Q95" s="173">
        <f t="shared" si="346"/>
        <v>0</v>
      </c>
      <c r="R95" s="173">
        <f t="shared" si="346"/>
        <v>0</v>
      </c>
      <c r="S95" s="559">
        <f t="shared" si="346"/>
        <v>3</v>
      </c>
      <c r="T95" s="561">
        <f t="shared" si="300"/>
        <v>8447</v>
      </c>
      <c r="V95" s="3">
        <v>2010</v>
      </c>
      <c r="W95" s="169">
        <f t="shared" ref="W95:AD95" si="347">W10-W50</f>
        <v>3657</v>
      </c>
      <c r="X95" s="170">
        <f t="shared" si="347"/>
        <v>0</v>
      </c>
      <c r="Y95" s="161">
        <f t="shared" si="347"/>
        <v>2610</v>
      </c>
      <c r="Z95" s="171">
        <f t="shared" si="347"/>
        <v>0</v>
      </c>
      <c r="AA95" s="172">
        <f t="shared" si="347"/>
        <v>0</v>
      </c>
      <c r="AB95" s="173">
        <f t="shared" si="347"/>
        <v>-30</v>
      </c>
      <c r="AC95" s="173">
        <f t="shared" si="347"/>
        <v>0</v>
      </c>
      <c r="AD95" s="559">
        <f t="shared" si="347"/>
        <v>25</v>
      </c>
      <c r="AE95" s="561">
        <f t="shared" si="302"/>
        <v>6262</v>
      </c>
      <c r="AG95" s="3">
        <v>2010</v>
      </c>
      <c r="AH95" s="169">
        <f t="shared" ref="AH95:AO95" si="348">AH10-AH50</f>
        <v>2018</v>
      </c>
      <c r="AI95" s="170">
        <f t="shared" si="348"/>
        <v>0</v>
      </c>
      <c r="AJ95" s="161">
        <f t="shared" si="348"/>
        <v>1817</v>
      </c>
      <c r="AK95" s="171">
        <f t="shared" si="348"/>
        <v>0</v>
      </c>
      <c r="AL95" s="172">
        <f t="shared" si="348"/>
        <v>0</v>
      </c>
      <c r="AM95" s="173">
        <f t="shared" si="348"/>
        <v>20</v>
      </c>
      <c r="AN95" s="173">
        <f t="shared" si="348"/>
        <v>0</v>
      </c>
      <c r="AO95" s="559">
        <f t="shared" si="348"/>
        <v>15</v>
      </c>
      <c r="AP95" s="561">
        <f t="shared" si="304"/>
        <v>3870</v>
      </c>
      <c r="AR95" s="3">
        <v>2010</v>
      </c>
      <c r="AS95" s="169">
        <f t="shared" ref="AS95:AZ95" si="349">AS10-AS50</f>
        <v>0</v>
      </c>
      <c r="AT95" s="170">
        <f t="shared" si="349"/>
        <v>0</v>
      </c>
      <c r="AU95" s="161">
        <f t="shared" si="349"/>
        <v>0</v>
      </c>
      <c r="AV95" s="171">
        <f t="shared" si="349"/>
        <v>0</v>
      </c>
      <c r="AW95" s="172">
        <f t="shared" si="349"/>
        <v>0</v>
      </c>
      <c r="AX95" s="173">
        <f t="shared" si="349"/>
        <v>0</v>
      </c>
      <c r="AY95" s="173">
        <f t="shared" si="349"/>
        <v>0</v>
      </c>
      <c r="AZ95" s="559">
        <f t="shared" si="349"/>
        <v>0</v>
      </c>
      <c r="BA95" s="562">
        <v>0</v>
      </c>
      <c r="BC95" s="12">
        <v>2010</v>
      </c>
      <c r="BD95" s="549">
        <f t="shared" si="306"/>
        <v>11068</v>
      </c>
      <c r="BE95" s="550">
        <f t="shared" si="307"/>
        <v>0</v>
      </c>
      <c r="BF95" s="551">
        <f t="shared" si="308"/>
        <v>7478</v>
      </c>
      <c r="BG95" s="555">
        <f t="shared" si="309"/>
        <v>0</v>
      </c>
      <c r="BH95" s="552">
        <f t="shared" si="310"/>
        <v>0</v>
      </c>
      <c r="BI95" s="553">
        <f t="shared" si="311"/>
        <v>-10</v>
      </c>
      <c r="BJ95" s="556">
        <f t="shared" si="312"/>
        <v>43</v>
      </c>
      <c r="BK95" s="563">
        <f t="shared" si="330"/>
        <v>18579</v>
      </c>
      <c r="BL95" s="563"/>
      <c r="BM95" s="12">
        <v>2010</v>
      </c>
      <c r="BN95" s="549">
        <f t="shared" si="331"/>
        <v>7411</v>
      </c>
      <c r="BO95" s="550">
        <f t="shared" si="313"/>
        <v>0</v>
      </c>
      <c r="BP95" s="551">
        <f t="shared" si="314"/>
        <v>4868</v>
      </c>
      <c r="BQ95" s="555">
        <f t="shared" si="315"/>
        <v>0</v>
      </c>
      <c r="BR95" s="552">
        <f t="shared" si="316"/>
        <v>0</v>
      </c>
      <c r="BS95" s="553">
        <f t="shared" si="317"/>
        <v>20</v>
      </c>
      <c r="BT95" s="553">
        <f t="shared" si="332"/>
        <v>18</v>
      </c>
      <c r="BU95" s="554">
        <f t="shared" si="318"/>
        <v>12317</v>
      </c>
      <c r="BW95" s="12">
        <v>2010</v>
      </c>
      <c r="BX95" s="549">
        <f t="shared" si="333"/>
        <v>3657</v>
      </c>
      <c r="BY95" s="550">
        <f t="shared" si="319"/>
        <v>0</v>
      </c>
      <c r="BZ95" s="551">
        <f t="shared" si="320"/>
        <v>2610</v>
      </c>
      <c r="CA95" s="555">
        <f t="shared" si="321"/>
        <v>0</v>
      </c>
      <c r="CB95" s="552">
        <f t="shared" si="322"/>
        <v>0</v>
      </c>
      <c r="CC95" s="553">
        <f t="shared" si="323"/>
        <v>-30</v>
      </c>
      <c r="CD95" s="553">
        <f t="shared" si="334"/>
        <v>25</v>
      </c>
      <c r="CE95" s="563">
        <f t="shared" si="324"/>
        <v>6262</v>
      </c>
    </row>
    <row r="96" spans="1:83">
      <c r="A96" s="12">
        <v>2011</v>
      </c>
      <c r="B96" s="160">
        <f>B11-B51</f>
        <v>0</v>
      </c>
      <c r="C96" s="161">
        <f t="shared" ref="C96:H96" si="350">C11-C51</f>
        <v>7619</v>
      </c>
      <c r="D96" s="175">
        <f t="shared" si="350"/>
        <v>0</v>
      </c>
      <c r="E96" s="163">
        <f t="shared" si="350"/>
        <v>0</v>
      </c>
      <c r="F96" s="164">
        <f>F11-F51</f>
        <v>0</v>
      </c>
      <c r="G96" s="159">
        <f>G11-G51</f>
        <v>11328</v>
      </c>
      <c r="H96" s="164">
        <f t="shared" si="350"/>
        <v>37</v>
      </c>
      <c r="I96" s="165">
        <f>SUM(C96:H96)</f>
        <v>18984</v>
      </c>
      <c r="K96" s="3">
        <v>2011</v>
      </c>
      <c r="L96" s="169">
        <f t="shared" ref="L96:S96" si="351">L11-L51</f>
        <v>5220</v>
      </c>
      <c r="M96" s="170">
        <f t="shared" si="351"/>
        <v>0</v>
      </c>
      <c r="N96" s="161">
        <f t="shared" si="351"/>
        <v>3173</v>
      </c>
      <c r="O96" s="171">
        <f t="shared" si="351"/>
        <v>0</v>
      </c>
      <c r="P96" s="172">
        <f t="shared" si="351"/>
        <v>0</v>
      </c>
      <c r="Q96" s="173">
        <f t="shared" si="351"/>
        <v>0</v>
      </c>
      <c r="R96" s="173">
        <f t="shared" si="351"/>
        <v>0</v>
      </c>
      <c r="S96" s="559">
        <f t="shared" si="351"/>
        <v>2</v>
      </c>
      <c r="T96" s="561">
        <f>SUM(L96:S96)</f>
        <v>8395</v>
      </c>
      <c r="V96" s="3">
        <v>2011</v>
      </c>
      <c r="W96" s="169">
        <f t="shared" ref="W96:AD96" si="352">W11-W51</f>
        <v>3685</v>
      </c>
      <c r="X96" s="170">
        <f t="shared" si="352"/>
        <v>0</v>
      </c>
      <c r="Y96" s="161">
        <f t="shared" si="352"/>
        <v>2447</v>
      </c>
      <c r="Z96" s="171">
        <f t="shared" si="352"/>
        <v>0</v>
      </c>
      <c r="AA96" s="172">
        <f t="shared" si="352"/>
        <v>0</v>
      </c>
      <c r="AB96" s="173">
        <f t="shared" si="352"/>
        <v>0</v>
      </c>
      <c r="AC96" s="173">
        <f t="shared" si="352"/>
        <v>0</v>
      </c>
      <c r="AD96" s="559">
        <f t="shared" si="352"/>
        <v>24</v>
      </c>
      <c r="AE96" s="561">
        <f>SUM(W96:AD96)</f>
        <v>6156</v>
      </c>
      <c r="AG96" s="3">
        <v>2011</v>
      </c>
      <c r="AH96" s="169">
        <f t="shared" ref="AH96:AO96" si="353">AH11-AH51</f>
        <v>1904</v>
      </c>
      <c r="AI96" s="170">
        <f t="shared" si="353"/>
        <v>0</v>
      </c>
      <c r="AJ96" s="161">
        <f t="shared" si="353"/>
        <v>1817</v>
      </c>
      <c r="AK96" s="171">
        <f t="shared" si="353"/>
        <v>0</v>
      </c>
      <c r="AL96" s="172">
        <f t="shared" si="353"/>
        <v>0</v>
      </c>
      <c r="AM96" s="173">
        <f t="shared" si="353"/>
        <v>0</v>
      </c>
      <c r="AN96" s="173">
        <f t="shared" si="353"/>
        <v>0</v>
      </c>
      <c r="AO96" s="559">
        <f t="shared" si="353"/>
        <v>11</v>
      </c>
      <c r="AP96" s="561">
        <f>SUM(AH96:AO96)</f>
        <v>3732</v>
      </c>
      <c r="AR96" s="3">
        <v>2011</v>
      </c>
      <c r="AS96" s="169">
        <f t="shared" ref="AS96:AZ96" si="354">AS11-AS51</f>
        <v>519</v>
      </c>
      <c r="AT96" s="170">
        <f t="shared" si="354"/>
        <v>0</v>
      </c>
      <c r="AU96" s="161">
        <f t="shared" si="354"/>
        <v>182</v>
      </c>
      <c r="AV96" s="171">
        <f t="shared" si="354"/>
        <v>0</v>
      </c>
      <c r="AW96" s="172">
        <f t="shared" si="354"/>
        <v>0</v>
      </c>
      <c r="AX96" s="173">
        <f t="shared" si="354"/>
        <v>0</v>
      </c>
      <c r="AY96" s="173">
        <f t="shared" si="354"/>
        <v>0</v>
      </c>
      <c r="AZ96" s="559">
        <f t="shared" si="354"/>
        <v>0</v>
      </c>
      <c r="BA96" s="562">
        <f t="shared" ref="BA96:BA106" si="355">SUM(AS96:AZ96)</f>
        <v>701</v>
      </c>
      <c r="BC96" s="12">
        <v>2011</v>
      </c>
      <c r="BD96" s="549">
        <f t="shared" si="306"/>
        <v>11328</v>
      </c>
      <c r="BE96" s="550">
        <f t="shared" si="307"/>
        <v>0</v>
      </c>
      <c r="BF96" s="551">
        <f t="shared" si="308"/>
        <v>7619</v>
      </c>
      <c r="BG96" s="555">
        <f t="shared" si="309"/>
        <v>0</v>
      </c>
      <c r="BH96" s="552">
        <f t="shared" si="310"/>
        <v>0</v>
      </c>
      <c r="BI96" s="553">
        <f t="shared" si="311"/>
        <v>0</v>
      </c>
      <c r="BJ96" s="556">
        <f t="shared" si="312"/>
        <v>37</v>
      </c>
      <c r="BK96" s="563">
        <f t="shared" si="330"/>
        <v>18984</v>
      </c>
      <c r="BL96" s="563"/>
      <c r="BM96" s="12">
        <v>2011</v>
      </c>
      <c r="BN96" s="549">
        <f t="shared" si="331"/>
        <v>7643</v>
      </c>
      <c r="BO96" s="550">
        <f t="shared" si="313"/>
        <v>0</v>
      </c>
      <c r="BP96" s="551">
        <f t="shared" si="314"/>
        <v>5172</v>
      </c>
      <c r="BQ96" s="555">
        <f t="shared" si="315"/>
        <v>0</v>
      </c>
      <c r="BR96" s="552">
        <f t="shared" si="316"/>
        <v>0</v>
      </c>
      <c r="BS96" s="553">
        <f t="shared" si="317"/>
        <v>0</v>
      </c>
      <c r="BT96" s="553">
        <f t="shared" si="332"/>
        <v>13</v>
      </c>
      <c r="BU96" s="554">
        <f t="shared" si="318"/>
        <v>12828</v>
      </c>
      <c r="BW96" s="12">
        <v>2011</v>
      </c>
      <c r="BX96" s="549">
        <f t="shared" si="333"/>
        <v>3685</v>
      </c>
      <c r="BY96" s="550">
        <f t="shared" si="319"/>
        <v>0</v>
      </c>
      <c r="BZ96" s="551">
        <f t="shared" si="320"/>
        <v>2447</v>
      </c>
      <c r="CA96" s="555">
        <f t="shared" si="321"/>
        <v>0</v>
      </c>
      <c r="CB96" s="552">
        <f t="shared" si="322"/>
        <v>0</v>
      </c>
      <c r="CC96" s="553">
        <f t="shared" si="323"/>
        <v>0</v>
      </c>
      <c r="CD96" s="553">
        <f t="shared" si="334"/>
        <v>24</v>
      </c>
      <c r="CE96" s="563">
        <f t="shared" si="324"/>
        <v>6156</v>
      </c>
    </row>
    <row r="97" spans="1:83">
      <c r="A97" s="12">
        <v>2012</v>
      </c>
      <c r="B97" s="160">
        <f>B12-B52</f>
        <v>0</v>
      </c>
      <c r="C97" s="161">
        <f t="shared" ref="C97:H97" si="356">C12-C52</f>
        <v>7773</v>
      </c>
      <c r="D97" s="175">
        <f t="shared" si="356"/>
        <v>0</v>
      </c>
      <c r="E97" s="163">
        <f t="shared" si="356"/>
        <v>0</v>
      </c>
      <c r="F97" s="164">
        <f t="shared" si="356"/>
        <v>0</v>
      </c>
      <c r="G97" s="159">
        <f>G12-G52</f>
        <v>11044</v>
      </c>
      <c r="H97" s="164">
        <f t="shared" si="356"/>
        <v>31</v>
      </c>
      <c r="I97" s="165">
        <f>SUM(C97:H97)</f>
        <v>18848</v>
      </c>
      <c r="K97" s="3">
        <v>2012</v>
      </c>
      <c r="L97" s="169">
        <f t="shared" ref="L97:S97" si="357">L12-L52</f>
        <v>4941</v>
      </c>
      <c r="M97" s="170">
        <f t="shared" si="357"/>
        <v>0</v>
      </c>
      <c r="N97" s="161">
        <f t="shared" si="357"/>
        <v>3188</v>
      </c>
      <c r="O97" s="171">
        <f t="shared" si="357"/>
        <v>0</v>
      </c>
      <c r="P97" s="172">
        <f t="shared" si="357"/>
        <v>0</v>
      </c>
      <c r="Q97" s="173">
        <f t="shared" si="357"/>
        <v>0</v>
      </c>
      <c r="R97" s="173">
        <f t="shared" si="357"/>
        <v>0</v>
      </c>
      <c r="S97" s="559">
        <f t="shared" si="357"/>
        <v>1</v>
      </c>
      <c r="T97" s="561">
        <f t="shared" ref="T97:T106" si="358">SUM(L97:S97)</f>
        <v>8130</v>
      </c>
      <c r="V97" s="3">
        <v>2012</v>
      </c>
      <c r="W97" s="169">
        <f t="shared" ref="W97:AD97" si="359">W12-W52</f>
        <v>3684</v>
      </c>
      <c r="X97" s="170">
        <f t="shared" si="359"/>
        <v>0</v>
      </c>
      <c r="Y97" s="161">
        <f t="shared" si="359"/>
        <v>2487</v>
      </c>
      <c r="Z97" s="171">
        <f t="shared" si="359"/>
        <v>0</v>
      </c>
      <c r="AA97" s="172">
        <f t="shared" si="359"/>
        <v>0</v>
      </c>
      <c r="AB97" s="173">
        <f t="shared" si="359"/>
        <v>0</v>
      </c>
      <c r="AC97" s="173">
        <f t="shared" si="359"/>
        <v>0</v>
      </c>
      <c r="AD97" s="559">
        <f t="shared" si="359"/>
        <v>21</v>
      </c>
      <c r="AE97" s="561">
        <f t="shared" ref="AE97:AE106" si="360">SUM(W97:AD97)</f>
        <v>6192</v>
      </c>
      <c r="AG97" s="3">
        <v>2012</v>
      </c>
      <c r="AH97" s="169">
        <f t="shared" ref="AH97:AO97" si="361">AH12-AH52</f>
        <v>1859</v>
      </c>
      <c r="AI97" s="170">
        <f t="shared" si="361"/>
        <v>0</v>
      </c>
      <c r="AJ97" s="161">
        <f t="shared" si="361"/>
        <v>1877</v>
      </c>
      <c r="AK97" s="171">
        <f t="shared" si="361"/>
        <v>0</v>
      </c>
      <c r="AL97" s="172">
        <f t="shared" si="361"/>
        <v>0</v>
      </c>
      <c r="AM97" s="173">
        <f t="shared" si="361"/>
        <v>0</v>
      </c>
      <c r="AN97" s="173">
        <f t="shared" si="361"/>
        <v>0</v>
      </c>
      <c r="AO97" s="559">
        <f t="shared" si="361"/>
        <v>9</v>
      </c>
      <c r="AP97" s="561">
        <f t="shared" ref="AP97:AP106" si="362">SUM(AH97:AO97)</f>
        <v>3745</v>
      </c>
      <c r="AR97" s="3">
        <v>2012</v>
      </c>
      <c r="AS97" s="169">
        <f t="shared" ref="AS97:AZ97" si="363">AS12-AS52</f>
        <v>560</v>
      </c>
      <c r="AT97" s="170">
        <f t="shared" si="363"/>
        <v>0</v>
      </c>
      <c r="AU97" s="161">
        <f t="shared" si="363"/>
        <v>221</v>
      </c>
      <c r="AV97" s="171">
        <f t="shared" si="363"/>
        <v>0</v>
      </c>
      <c r="AW97" s="172">
        <f t="shared" si="363"/>
        <v>0</v>
      </c>
      <c r="AX97" s="173">
        <f t="shared" si="363"/>
        <v>0</v>
      </c>
      <c r="AY97" s="173">
        <f t="shared" si="363"/>
        <v>0</v>
      </c>
      <c r="AZ97" s="559">
        <f t="shared" si="363"/>
        <v>0</v>
      </c>
      <c r="BA97" s="562">
        <f t="shared" si="355"/>
        <v>781</v>
      </c>
      <c r="BC97" s="12">
        <v>2012</v>
      </c>
      <c r="BD97" s="549">
        <f t="shared" si="306"/>
        <v>11044</v>
      </c>
      <c r="BE97" s="550">
        <f t="shared" si="307"/>
        <v>0</v>
      </c>
      <c r="BF97" s="551">
        <f t="shared" si="308"/>
        <v>7773</v>
      </c>
      <c r="BG97" s="555">
        <f t="shared" si="309"/>
        <v>0</v>
      </c>
      <c r="BH97" s="552">
        <f t="shared" si="310"/>
        <v>0</v>
      </c>
      <c r="BI97" s="553">
        <f t="shared" si="311"/>
        <v>0</v>
      </c>
      <c r="BJ97" s="556">
        <f t="shared" si="312"/>
        <v>31</v>
      </c>
      <c r="BK97" s="563">
        <f t="shared" si="330"/>
        <v>18848</v>
      </c>
      <c r="BL97" s="563"/>
      <c r="BM97" s="12">
        <v>2012</v>
      </c>
      <c r="BN97" s="549">
        <f t="shared" si="331"/>
        <v>7360</v>
      </c>
      <c r="BO97" s="550">
        <f t="shared" si="313"/>
        <v>0</v>
      </c>
      <c r="BP97" s="551">
        <f t="shared" si="314"/>
        <v>5286</v>
      </c>
      <c r="BQ97" s="555">
        <f t="shared" si="315"/>
        <v>0</v>
      </c>
      <c r="BR97" s="552">
        <f t="shared" si="316"/>
        <v>0</v>
      </c>
      <c r="BS97" s="553">
        <f t="shared" si="317"/>
        <v>0</v>
      </c>
      <c r="BT97" s="553">
        <f t="shared" si="332"/>
        <v>10</v>
      </c>
      <c r="BU97" s="554">
        <f t="shared" si="318"/>
        <v>12656</v>
      </c>
      <c r="BW97" s="12">
        <v>2012</v>
      </c>
      <c r="BX97" s="549">
        <f t="shared" si="333"/>
        <v>3684</v>
      </c>
      <c r="BY97" s="550">
        <f t="shared" si="319"/>
        <v>0</v>
      </c>
      <c r="BZ97" s="551">
        <f t="shared" si="320"/>
        <v>2487</v>
      </c>
      <c r="CA97" s="555">
        <f t="shared" si="321"/>
        <v>0</v>
      </c>
      <c r="CB97" s="552">
        <f t="shared" si="322"/>
        <v>0</v>
      </c>
      <c r="CC97" s="553">
        <f t="shared" si="323"/>
        <v>0</v>
      </c>
      <c r="CD97" s="553">
        <f t="shared" si="334"/>
        <v>21</v>
      </c>
      <c r="CE97" s="563">
        <f t="shared" si="324"/>
        <v>6192</v>
      </c>
    </row>
    <row r="98" spans="1:83">
      <c r="A98" s="12">
        <v>2013</v>
      </c>
      <c r="B98" s="160">
        <f>B13-B53</f>
        <v>0</v>
      </c>
      <c r="C98" s="161">
        <f t="shared" ref="C98:H98" si="364">C13-C53</f>
        <v>8069</v>
      </c>
      <c r="D98" s="175">
        <f t="shared" si="364"/>
        <v>0</v>
      </c>
      <c r="E98" s="163">
        <f t="shared" si="364"/>
        <v>0</v>
      </c>
      <c r="F98" s="164">
        <f t="shared" si="364"/>
        <v>0</v>
      </c>
      <c r="G98" s="159">
        <f>G13-G53</f>
        <v>10540</v>
      </c>
      <c r="H98" s="164">
        <f t="shared" si="364"/>
        <v>34</v>
      </c>
      <c r="I98" s="165">
        <f>SUM(C98:H98)</f>
        <v>18643</v>
      </c>
      <c r="K98" s="3">
        <v>2013</v>
      </c>
      <c r="L98" s="169">
        <f t="shared" ref="L98:S98" si="365">L13-L53</f>
        <v>4735</v>
      </c>
      <c r="M98" s="170">
        <f t="shared" si="365"/>
        <v>0</v>
      </c>
      <c r="N98" s="161">
        <f t="shared" si="365"/>
        <v>3322</v>
      </c>
      <c r="O98" s="171">
        <f t="shared" si="365"/>
        <v>0</v>
      </c>
      <c r="P98" s="172">
        <f t="shared" si="365"/>
        <v>0</v>
      </c>
      <c r="Q98" s="173">
        <f t="shared" si="365"/>
        <v>0</v>
      </c>
      <c r="R98" s="173">
        <f t="shared" si="365"/>
        <v>0</v>
      </c>
      <c r="S98" s="559">
        <f t="shared" si="365"/>
        <v>2</v>
      </c>
      <c r="T98" s="561">
        <f t="shared" si="358"/>
        <v>8059</v>
      </c>
      <c r="V98" s="3">
        <v>2013</v>
      </c>
      <c r="W98" s="169">
        <f t="shared" ref="W98:AD98" si="366">W13-W53</f>
        <v>3498</v>
      </c>
      <c r="X98" s="170">
        <f t="shared" si="366"/>
        <v>0</v>
      </c>
      <c r="Y98" s="161">
        <f t="shared" si="366"/>
        <v>2589</v>
      </c>
      <c r="Z98" s="171">
        <f t="shared" si="366"/>
        <v>0</v>
      </c>
      <c r="AA98" s="172">
        <f t="shared" si="366"/>
        <v>0</v>
      </c>
      <c r="AB98" s="173">
        <f t="shared" si="366"/>
        <v>0</v>
      </c>
      <c r="AC98" s="173">
        <f t="shared" si="366"/>
        <v>0</v>
      </c>
      <c r="AD98" s="559">
        <f t="shared" si="366"/>
        <v>22</v>
      </c>
      <c r="AE98" s="561">
        <f t="shared" si="360"/>
        <v>6109</v>
      </c>
      <c r="AG98" s="3">
        <v>2013</v>
      </c>
      <c r="AH98" s="169">
        <f t="shared" ref="AH98:AO98" si="367">AH13-AH53</f>
        <v>1726</v>
      </c>
      <c r="AI98" s="170">
        <f t="shared" si="367"/>
        <v>0</v>
      </c>
      <c r="AJ98" s="161">
        <f t="shared" si="367"/>
        <v>1929</v>
      </c>
      <c r="AK98" s="171">
        <f t="shared" si="367"/>
        <v>0</v>
      </c>
      <c r="AL98" s="172">
        <f t="shared" si="367"/>
        <v>0</v>
      </c>
      <c r="AM98" s="173">
        <f t="shared" si="367"/>
        <v>0</v>
      </c>
      <c r="AN98" s="173">
        <f t="shared" si="367"/>
        <v>0</v>
      </c>
      <c r="AO98" s="559">
        <f t="shared" si="367"/>
        <v>10</v>
      </c>
      <c r="AP98" s="561">
        <f t="shared" si="362"/>
        <v>3665</v>
      </c>
      <c r="AR98" s="3">
        <v>2013</v>
      </c>
      <c r="AS98" s="169">
        <f t="shared" ref="AS98:AZ98" si="368">AS13-AS53</f>
        <v>581</v>
      </c>
      <c r="AT98" s="170">
        <f t="shared" si="368"/>
        <v>0</v>
      </c>
      <c r="AU98" s="161">
        <f t="shared" si="368"/>
        <v>229</v>
      </c>
      <c r="AV98" s="171">
        <f t="shared" si="368"/>
        <v>0</v>
      </c>
      <c r="AW98" s="172">
        <f t="shared" si="368"/>
        <v>0</v>
      </c>
      <c r="AX98" s="173">
        <f t="shared" si="368"/>
        <v>0</v>
      </c>
      <c r="AY98" s="173">
        <f t="shared" si="368"/>
        <v>0</v>
      </c>
      <c r="AZ98" s="559">
        <f t="shared" si="368"/>
        <v>0</v>
      </c>
      <c r="BA98" s="562">
        <f t="shared" si="355"/>
        <v>810</v>
      </c>
      <c r="BC98" s="12">
        <v>2013</v>
      </c>
      <c r="BD98" s="549">
        <f t="shared" si="306"/>
        <v>10540</v>
      </c>
      <c r="BE98" s="550">
        <f t="shared" si="307"/>
        <v>0</v>
      </c>
      <c r="BF98" s="551">
        <f t="shared" si="308"/>
        <v>8069</v>
      </c>
      <c r="BG98" s="555">
        <f t="shared" si="309"/>
        <v>0</v>
      </c>
      <c r="BH98" s="552">
        <f t="shared" si="310"/>
        <v>0</v>
      </c>
      <c r="BI98" s="553">
        <f t="shared" si="311"/>
        <v>0</v>
      </c>
      <c r="BJ98" s="556">
        <f t="shared" si="312"/>
        <v>34</v>
      </c>
      <c r="BK98" s="563">
        <f t="shared" si="330"/>
        <v>18643</v>
      </c>
      <c r="BL98" s="563"/>
      <c r="BM98" s="12">
        <v>2013</v>
      </c>
      <c r="BN98" s="549">
        <f t="shared" si="331"/>
        <v>7042</v>
      </c>
      <c r="BO98" s="550">
        <f t="shared" si="313"/>
        <v>0</v>
      </c>
      <c r="BP98" s="551">
        <f t="shared" si="314"/>
        <v>5480</v>
      </c>
      <c r="BQ98" s="555">
        <f t="shared" si="315"/>
        <v>0</v>
      </c>
      <c r="BR98" s="552">
        <f t="shared" si="316"/>
        <v>0</v>
      </c>
      <c r="BS98" s="553">
        <f t="shared" si="317"/>
        <v>0</v>
      </c>
      <c r="BT98" s="553">
        <f t="shared" si="332"/>
        <v>12</v>
      </c>
      <c r="BU98" s="554">
        <f t="shared" si="318"/>
        <v>12534</v>
      </c>
      <c r="BW98" s="12">
        <v>2013</v>
      </c>
      <c r="BX98" s="549">
        <f t="shared" si="333"/>
        <v>3498</v>
      </c>
      <c r="BY98" s="550">
        <f t="shared" si="319"/>
        <v>0</v>
      </c>
      <c r="BZ98" s="551">
        <f t="shared" si="320"/>
        <v>2589</v>
      </c>
      <c r="CA98" s="555">
        <f t="shared" si="321"/>
        <v>0</v>
      </c>
      <c r="CB98" s="552">
        <f t="shared" si="322"/>
        <v>0</v>
      </c>
      <c r="CC98" s="553">
        <f t="shared" si="323"/>
        <v>0</v>
      </c>
      <c r="CD98" s="553">
        <f t="shared" si="334"/>
        <v>22</v>
      </c>
      <c r="CE98" s="563">
        <f t="shared" si="324"/>
        <v>6109</v>
      </c>
    </row>
    <row r="99" spans="1:83">
      <c r="A99" s="12">
        <v>2014</v>
      </c>
      <c r="B99" s="160">
        <f>B14-B54</f>
        <v>0</v>
      </c>
      <c r="C99" s="161">
        <f t="shared" ref="C99:H99" si="369">C14-C54</f>
        <v>8509</v>
      </c>
      <c r="D99" s="175">
        <f t="shared" si="369"/>
        <v>0</v>
      </c>
      <c r="E99" s="163">
        <f t="shared" si="369"/>
        <v>0</v>
      </c>
      <c r="F99" s="164">
        <f t="shared" si="369"/>
        <v>0</v>
      </c>
      <c r="G99" s="159">
        <f>G14-G54</f>
        <v>10140</v>
      </c>
      <c r="H99" s="164">
        <f t="shared" si="369"/>
        <v>39</v>
      </c>
      <c r="I99" s="165">
        <f>SUM(C99:H99)</f>
        <v>18688</v>
      </c>
      <c r="K99" s="3">
        <v>2014</v>
      </c>
      <c r="L99" s="169">
        <f t="shared" ref="L99:S99" si="370">L14-L54</f>
        <v>4579</v>
      </c>
      <c r="M99" s="170">
        <f t="shared" si="370"/>
        <v>0</v>
      </c>
      <c r="N99" s="161">
        <f t="shared" si="370"/>
        <v>3547</v>
      </c>
      <c r="O99" s="171">
        <f t="shared" si="370"/>
        <v>0</v>
      </c>
      <c r="P99" s="172">
        <f t="shared" si="370"/>
        <v>0</v>
      </c>
      <c r="Q99" s="173">
        <f t="shared" si="370"/>
        <v>0</v>
      </c>
      <c r="R99" s="173">
        <f t="shared" si="370"/>
        <v>0</v>
      </c>
      <c r="S99" s="559">
        <f t="shared" si="370"/>
        <v>4</v>
      </c>
      <c r="T99" s="561">
        <f t="shared" si="358"/>
        <v>8130</v>
      </c>
      <c r="V99" s="3">
        <v>2014</v>
      </c>
      <c r="W99" s="169">
        <f t="shared" ref="W99:AD99" si="371">W14-W54</f>
        <v>3355</v>
      </c>
      <c r="X99" s="170">
        <f t="shared" si="371"/>
        <v>0</v>
      </c>
      <c r="Y99" s="161">
        <f t="shared" si="371"/>
        <v>2720</v>
      </c>
      <c r="Z99" s="171">
        <f t="shared" si="371"/>
        <v>0</v>
      </c>
      <c r="AA99" s="172">
        <f t="shared" si="371"/>
        <v>0</v>
      </c>
      <c r="AB99" s="173">
        <f t="shared" si="371"/>
        <v>0</v>
      </c>
      <c r="AC99" s="173">
        <f t="shared" si="371"/>
        <v>0</v>
      </c>
      <c r="AD99" s="559">
        <f t="shared" si="371"/>
        <v>23</v>
      </c>
      <c r="AE99" s="561">
        <f t="shared" si="360"/>
        <v>6098</v>
      </c>
      <c r="AG99" s="3">
        <v>2014</v>
      </c>
      <c r="AH99" s="169">
        <f t="shared" ref="AH99:AO99" si="372">AH14-AH54</f>
        <v>1636</v>
      </c>
      <c r="AI99" s="170">
        <f t="shared" si="372"/>
        <v>0</v>
      </c>
      <c r="AJ99" s="161">
        <f t="shared" si="372"/>
        <v>2023</v>
      </c>
      <c r="AK99" s="171">
        <f t="shared" si="372"/>
        <v>0</v>
      </c>
      <c r="AL99" s="172">
        <f t="shared" si="372"/>
        <v>0</v>
      </c>
      <c r="AM99" s="173">
        <f t="shared" si="372"/>
        <v>0</v>
      </c>
      <c r="AN99" s="173">
        <f t="shared" si="372"/>
        <v>0</v>
      </c>
      <c r="AO99" s="559">
        <f t="shared" si="372"/>
        <v>12</v>
      </c>
      <c r="AP99" s="561">
        <f t="shared" si="362"/>
        <v>3671</v>
      </c>
      <c r="AR99" s="3">
        <v>2014</v>
      </c>
      <c r="AS99" s="169">
        <f t="shared" ref="AS99:AZ99" si="373">AS14-AS54</f>
        <v>570</v>
      </c>
      <c r="AT99" s="170">
        <f t="shared" si="373"/>
        <v>0</v>
      </c>
      <c r="AU99" s="161">
        <f t="shared" si="373"/>
        <v>219</v>
      </c>
      <c r="AV99" s="171">
        <f t="shared" si="373"/>
        <v>0</v>
      </c>
      <c r="AW99" s="172">
        <f t="shared" si="373"/>
        <v>0</v>
      </c>
      <c r="AX99" s="173">
        <f t="shared" si="373"/>
        <v>0</v>
      </c>
      <c r="AY99" s="173">
        <f t="shared" si="373"/>
        <v>0</v>
      </c>
      <c r="AZ99" s="559">
        <f t="shared" si="373"/>
        <v>0</v>
      </c>
      <c r="BA99" s="562">
        <f t="shared" si="355"/>
        <v>789</v>
      </c>
      <c r="BC99" s="12">
        <v>2014</v>
      </c>
      <c r="BD99" s="549">
        <f t="shared" si="306"/>
        <v>10140</v>
      </c>
      <c r="BE99" s="550">
        <f t="shared" si="307"/>
        <v>0</v>
      </c>
      <c r="BF99" s="551">
        <f t="shared" si="308"/>
        <v>8509</v>
      </c>
      <c r="BG99" s="555">
        <f t="shared" si="309"/>
        <v>0</v>
      </c>
      <c r="BH99" s="552">
        <f t="shared" si="310"/>
        <v>0</v>
      </c>
      <c r="BI99" s="553">
        <f t="shared" si="311"/>
        <v>0</v>
      </c>
      <c r="BJ99" s="556">
        <f t="shared" si="312"/>
        <v>39</v>
      </c>
      <c r="BK99" s="563">
        <f t="shared" si="330"/>
        <v>18688</v>
      </c>
      <c r="BL99" s="563"/>
      <c r="BM99" s="12">
        <v>2014</v>
      </c>
      <c r="BN99" s="549">
        <f t="shared" si="331"/>
        <v>6785</v>
      </c>
      <c r="BO99" s="550">
        <f t="shared" si="313"/>
        <v>0</v>
      </c>
      <c r="BP99" s="551">
        <f t="shared" si="314"/>
        <v>5789</v>
      </c>
      <c r="BQ99" s="555">
        <f t="shared" si="315"/>
        <v>0</v>
      </c>
      <c r="BR99" s="552">
        <f t="shared" si="316"/>
        <v>0</v>
      </c>
      <c r="BS99" s="553">
        <f t="shared" si="317"/>
        <v>0</v>
      </c>
      <c r="BT99" s="553">
        <f t="shared" si="332"/>
        <v>16</v>
      </c>
      <c r="BU99" s="554">
        <f t="shared" si="318"/>
        <v>12590</v>
      </c>
      <c r="BW99" s="12">
        <v>2014</v>
      </c>
      <c r="BX99" s="549">
        <f t="shared" si="333"/>
        <v>3355</v>
      </c>
      <c r="BY99" s="550">
        <f t="shared" si="319"/>
        <v>0</v>
      </c>
      <c r="BZ99" s="551">
        <f t="shared" si="320"/>
        <v>2720</v>
      </c>
      <c r="CA99" s="555">
        <f t="shared" si="321"/>
        <v>0</v>
      </c>
      <c r="CB99" s="552">
        <f t="shared" si="322"/>
        <v>0</v>
      </c>
      <c r="CC99" s="553">
        <f t="shared" si="323"/>
        <v>0</v>
      </c>
      <c r="CD99" s="553">
        <f t="shared" si="334"/>
        <v>23</v>
      </c>
      <c r="CE99" s="563">
        <f t="shared" si="324"/>
        <v>6098</v>
      </c>
    </row>
    <row r="100" spans="1:83">
      <c r="A100" s="12">
        <v>2015</v>
      </c>
      <c r="B100" s="160">
        <f>B15-B55</f>
        <v>0</v>
      </c>
      <c r="C100" s="161">
        <f t="shared" ref="C100:H100" si="374">C15-C55</f>
        <v>8622</v>
      </c>
      <c r="D100" s="175">
        <f t="shared" si="374"/>
        <v>0</v>
      </c>
      <c r="E100" s="163">
        <f t="shared" si="374"/>
        <v>0</v>
      </c>
      <c r="F100" s="164">
        <f t="shared" si="374"/>
        <v>0</v>
      </c>
      <c r="G100" s="159">
        <f>G15-G55</f>
        <v>9407</v>
      </c>
      <c r="H100" s="164">
        <f t="shared" si="374"/>
        <v>44</v>
      </c>
      <c r="I100" s="165">
        <f>SUM(C100:H100)</f>
        <v>18073</v>
      </c>
      <c r="K100" s="3">
        <v>2015</v>
      </c>
      <c r="L100" s="169">
        <f t="shared" ref="L100:S100" si="375">L15-L55</f>
        <v>4160</v>
      </c>
      <c r="M100" s="170">
        <f t="shared" si="375"/>
        <v>0</v>
      </c>
      <c r="N100" s="161">
        <f t="shared" si="375"/>
        <v>3589</v>
      </c>
      <c r="O100" s="171">
        <f t="shared" si="375"/>
        <v>0</v>
      </c>
      <c r="P100" s="172">
        <f t="shared" si="375"/>
        <v>0</v>
      </c>
      <c r="Q100" s="173">
        <f t="shared" si="375"/>
        <v>0</v>
      </c>
      <c r="R100" s="173">
        <f t="shared" si="375"/>
        <v>0</v>
      </c>
      <c r="S100" s="559">
        <f t="shared" si="375"/>
        <v>9</v>
      </c>
      <c r="T100" s="561">
        <f t="shared" si="358"/>
        <v>7758</v>
      </c>
      <c r="V100" s="3">
        <v>2015</v>
      </c>
      <c r="W100" s="169">
        <f t="shared" ref="W100:AD100" si="376">W15-W55</f>
        <v>3139</v>
      </c>
      <c r="X100" s="170">
        <f t="shared" si="376"/>
        <v>0</v>
      </c>
      <c r="Y100" s="161">
        <f t="shared" si="376"/>
        <v>2776</v>
      </c>
      <c r="Z100" s="171">
        <f t="shared" si="376"/>
        <v>0</v>
      </c>
      <c r="AA100" s="172">
        <f t="shared" si="376"/>
        <v>0</v>
      </c>
      <c r="AB100" s="173">
        <f t="shared" si="376"/>
        <v>0</v>
      </c>
      <c r="AC100" s="173">
        <f t="shared" si="376"/>
        <v>0</v>
      </c>
      <c r="AD100" s="559">
        <f t="shared" si="376"/>
        <v>23</v>
      </c>
      <c r="AE100" s="561">
        <f t="shared" si="360"/>
        <v>5938</v>
      </c>
      <c r="AG100" s="3">
        <v>2015</v>
      </c>
      <c r="AH100" s="169">
        <f t="shared" ref="AH100:AO100" si="377">AH15-AH55</f>
        <v>1485</v>
      </c>
      <c r="AI100" s="170">
        <f t="shared" si="377"/>
        <v>0</v>
      </c>
      <c r="AJ100" s="161">
        <f t="shared" si="377"/>
        <v>2026</v>
      </c>
      <c r="AK100" s="171">
        <f t="shared" si="377"/>
        <v>0</v>
      </c>
      <c r="AL100" s="172">
        <f t="shared" si="377"/>
        <v>0</v>
      </c>
      <c r="AM100" s="173">
        <f t="shared" si="377"/>
        <v>0</v>
      </c>
      <c r="AN100" s="173">
        <f t="shared" si="377"/>
        <v>0</v>
      </c>
      <c r="AO100" s="559">
        <f t="shared" si="377"/>
        <v>12</v>
      </c>
      <c r="AP100" s="561">
        <f t="shared" si="362"/>
        <v>3523</v>
      </c>
      <c r="AR100" s="3">
        <v>2015</v>
      </c>
      <c r="AS100" s="169">
        <f t="shared" ref="AS100:AZ100" si="378">AS15-AS55</f>
        <v>623</v>
      </c>
      <c r="AT100" s="170">
        <f t="shared" si="378"/>
        <v>0</v>
      </c>
      <c r="AU100" s="161">
        <f t="shared" si="378"/>
        <v>231</v>
      </c>
      <c r="AV100" s="171">
        <f t="shared" si="378"/>
        <v>0</v>
      </c>
      <c r="AW100" s="172">
        <f t="shared" si="378"/>
        <v>0</v>
      </c>
      <c r="AX100" s="173">
        <f t="shared" si="378"/>
        <v>0</v>
      </c>
      <c r="AY100" s="173">
        <f t="shared" si="378"/>
        <v>0</v>
      </c>
      <c r="AZ100" s="559">
        <f t="shared" si="378"/>
        <v>0</v>
      </c>
      <c r="BA100" s="562">
        <f t="shared" si="355"/>
        <v>854</v>
      </c>
      <c r="BC100" s="12">
        <v>2015</v>
      </c>
      <c r="BD100" s="549">
        <f t="shared" si="306"/>
        <v>9407</v>
      </c>
      <c r="BE100" s="550">
        <f t="shared" si="307"/>
        <v>0</v>
      </c>
      <c r="BF100" s="551">
        <f t="shared" si="308"/>
        <v>8622</v>
      </c>
      <c r="BG100" s="555">
        <f t="shared" si="309"/>
        <v>0</v>
      </c>
      <c r="BH100" s="552">
        <f t="shared" si="310"/>
        <v>0</v>
      </c>
      <c r="BI100" s="553">
        <f t="shared" si="311"/>
        <v>0</v>
      </c>
      <c r="BJ100" s="556">
        <f t="shared" si="312"/>
        <v>44</v>
      </c>
      <c r="BK100" s="563">
        <f t="shared" si="330"/>
        <v>18073</v>
      </c>
      <c r="BL100" s="563"/>
      <c r="BM100" s="12">
        <v>2015</v>
      </c>
      <c r="BN100" s="549">
        <f t="shared" si="331"/>
        <v>6268</v>
      </c>
      <c r="BO100" s="550">
        <f t="shared" si="313"/>
        <v>0</v>
      </c>
      <c r="BP100" s="551">
        <f t="shared" si="314"/>
        <v>5846</v>
      </c>
      <c r="BQ100" s="555">
        <f t="shared" si="315"/>
        <v>0</v>
      </c>
      <c r="BR100" s="552">
        <f t="shared" si="316"/>
        <v>0</v>
      </c>
      <c r="BS100" s="553">
        <f t="shared" si="317"/>
        <v>0</v>
      </c>
      <c r="BT100" s="553">
        <f t="shared" si="332"/>
        <v>21</v>
      </c>
      <c r="BU100" s="554">
        <f t="shared" si="318"/>
        <v>12135</v>
      </c>
      <c r="BW100" s="12">
        <v>2015</v>
      </c>
      <c r="BX100" s="549">
        <f t="shared" si="333"/>
        <v>3139</v>
      </c>
      <c r="BY100" s="550">
        <f t="shared" si="319"/>
        <v>0</v>
      </c>
      <c r="BZ100" s="551">
        <f t="shared" si="320"/>
        <v>2776</v>
      </c>
      <c r="CA100" s="555">
        <f t="shared" si="321"/>
        <v>0</v>
      </c>
      <c r="CB100" s="552">
        <f t="shared" si="322"/>
        <v>0</v>
      </c>
      <c r="CC100" s="553">
        <f t="shared" si="323"/>
        <v>0</v>
      </c>
      <c r="CD100" s="553">
        <f t="shared" si="334"/>
        <v>23</v>
      </c>
      <c r="CE100" s="563">
        <f t="shared" si="324"/>
        <v>5938</v>
      </c>
    </row>
    <row r="101" spans="1:83">
      <c r="A101" s="12">
        <v>2016</v>
      </c>
      <c r="B101" s="160">
        <f>B16-B56</f>
        <v>0</v>
      </c>
      <c r="C101" s="161">
        <f t="shared" ref="C101:H101" si="379">C16-C56</f>
        <v>9256</v>
      </c>
      <c r="D101" s="175">
        <f t="shared" si="379"/>
        <v>0</v>
      </c>
      <c r="E101" s="163">
        <f t="shared" si="379"/>
        <v>0</v>
      </c>
      <c r="F101" s="164">
        <f t="shared" si="379"/>
        <v>0</v>
      </c>
      <c r="G101" s="159">
        <f>G16-G56</f>
        <v>9273</v>
      </c>
      <c r="H101" s="164">
        <f t="shared" si="379"/>
        <v>55</v>
      </c>
      <c r="I101" s="165">
        <f>SUM(C101:H101)</f>
        <v>18584</v>
      </c>
      <c r="K101" s="3">
        <v>2016</v>
      </c>
      <c r="L101" s="169">
        <f t="shared" ref="L101:S101" si="380">L16-L56</f>
        <v>4167</v>
      </c>
      <c r="M101" s="170">
        <f t="shared" si="380"/>
        <v>0</v>
      </c>
      <c r="N101" s="161">
        <f t="shared" si="380"/>
        <v>3985</v>
      </c>
      <c r="O101" s="171">
        <f t="shared" si="380"/>
        <v>0</v>
      </c>
      <c r="P101" s="172">
        <f t="shared" si="380"/>
        <v>0</v>
      </c>
      <c r="Q101" s="173">
        <f t="shared" si="380"/>
        <v>0</v>
      </c>
      <c r="R101" s="173">
        <f t="shared" si="380"/>
        <v>0</v>
      </c>
      <c r="S101" s="559">
        <f t="shared" si="380"/>
        <v>19</v>
      </c>
      <c r="T101" s="561">
        <f t="shared" si="358"/>
        <v>8171</v>
      </c>
      <c r="V101" s="3">
        <v>2016</v>
      </c>
      <c r="W101" s="169">
        <f t="shared" ref="W101:AD101" si="381">W16-W56</f>
        <v>3086</v>
      </c>
      <c r="X101" s="170">
        <f t="shared" si="381"/>
        <v>0</v>
      </c>
      <c r="Y101" s="161">
        <f t="shared" si="381"/>
        <v>2949</v>
      </c>
      <c r="Z101" s="171">
        <f t="shared" si="381"/>
        <v>0</v>
      </c>
      <c r="AA101" s="172">
        <f t="shared" si="381"/>
        <v>0</v>
      </c>
      <c r="AB101" s="173">
        <f t="shared" si="381"/>
        <v>0</v>
      </c>
      <c r="AC101" s="173">
        <f t="shared" si="381"/>
        <v>0</v>
      </c>
      <c r="AD101" s="559">
        <f t="shared" si="381"/>
        <v>23</v>
      </c>
      <c r="AE101" s="561">
        <f t="shared" si="360"/>
        <v>6058</v>
      </c>
      <c r="AG101" s="3">
        <v>2016</v>
      </c>
      <c r="AH101" s="169">
        <f t="shared" ref="AH101:AO101" si="382">AH16-AH56</f>
        <v>1403</v>
      </c>
      <c r="AI101" s="170">
        <f t="shared" si="382"/>
        <v>0</v>
      </c>
      <c r="AJ101" s="161">
        <f t="shared" si="382"/>
        <v>2107</v>
      </c>
      <c r="AK101" s="171">
        <f t="shared" si="382"/>
        <v>0</v>
      </c>
      <c r="AL101" s="172">
        <f t="shared" si="382"/>
        <v>0</v>
      </c>
      <c r="AM101" s="173">
        <f t="shared" si="382"/>
        <v>0</v>
      </c>
      <c r="AN101" s="173">
        <f t="shared" si="382"/>
        <v>0</v>
      </c>
      <c r="AO101" s="559">
        <f t="shared" si="382"/>
        <v>13</v>
      </c>
      <c r="AP101" s="561">
        <f t="shared" si="362"/>
        <v>3523</v>
      </c>
      <c r="AR101" s="3">
        <v>2016</v>
      </c>
      <c r="AS101" s="169">
        <f t="shared" ref="AS101:AZ101" si="383">AS16-AS56</f>
        <v>617</v>
      </c>
      <c r="AT101" s="170">
        <f t="shared" si="383"/>
        <v>0</v>
      </c>
      <c r="AU101" s="161">
        <f t="shared" si="383"/>
        <v>215</v>
      </c>
      <c r="AV101" s="171">
        <f t="shared" si="383"/>
        <v>0</v>
      </c>
      <c r="AW101" s="172">
        <f t="shared" si="383"/>
        <v>0</v>
      </c>
      <c r="AX101" s="173">
        <f t="shared" si="383"/>
        <v>0</v>
      </c>
      <c r="AY101" s="173">
        <f t="shared" si="383"/>
        <v>0</v>
      </c>
      <c r="AZ101" s="559">
        <f t="shared" si="383"/>
        <v>0</v>
      </c>
      <c r="BA101" s="562">
        <f t="shared" si="355"/>
        <v>832</v>
      </c>
      <c r="BC101" s="12">
        <v>2016</v>
      </c>
      <c r="BD101" s="549">
        <f t="shared" si="306"/>
        <v>9273</v>
      </c>
      <c r="BE101" s="550">
        <f t="shared" si="307"/>
        <v>0</v>
      </c>
      <c r="BF101" s="551">
        <f t="shared" si="308"/>
        <v>9256</v>
      </c>
      <c r="BG101" s="555">
        <f t="shared" si="309"/>
        <v>0</v>
      </c>
      <c r="BH101" s="552">
        <f t="shared" si="310"/>
        <v>0</v>
      </c>
      <c r="BI101" s="553">
        <f t="shared" si="311"/>
        <v>0</v>
      </c>
      <c r="BJ101" s="556">
        <f t="shared" si="312"/>
        <v>55</v>
      </c>
      <c r="BK101" s="563">
        <f t="shared" si="330"/>
        <v>18584</v>
      </c>
      <c r="BL101" s="563"/>
      <c r="BM101" s="12">
        <v>2016</v>
      </c>
      <c r="BN101" s="549">
        <f t="shared" si="331"/>
        <v>6187</v>
      </c>
      <c r="BO101" s="550">
        <f t="shared" si="313"/>
        <v>0</v>
      </c>
      <c r="BP101" s="551">
        <f t="shared" si="314"/>
        <v>6307</v>
      </c>
      <c r="BQ101" s="555">
        <f t="shared" si="315"/>
        <v>0</v>
      </c>
      <c r="BR101" s="552">
        <f t="shared" si="316"/>
        <v>0</v>
      </c>
      <c r="BS101" s="553">
        <f t="shared" si="317"/>
        <v>0</v>
      </c>
      <c r="BT101" s="553">
        <f t="shared" si="332"/>
        <v>32</v>
      </c>
      <c r="BU101" s="554">
        <f t="shared" si="318"/>
        <v>12526</v>
      </c>
      <c r="BW101" s="12">
        <v>2016</v>
      </c>
      <c r="BX101" s="549">
        <f t="shared" si="333"/>
        <v>3086</v>
      </c>
      <c r="BY101" s="550">
        <f t="shared" si="319"/>
        <v>0</v>
      </c>
      <c r="BZ101" s="551">
        <f t="shared" si="320"/>
        <v>2949</v>
      </c>
      <c r="CA101" s="555">
        <f t="shared" si="321"/>
        <v>0</v>
      </c>
      <c r="CB101" s="552">
        <f t="shared" si="322"/>
        <v>0</v>
      </c>
      <c r="CC101" s="553">
        <f t="shared" si="323"/>
        <v>0</v>
      </c>
      <c r="CD101" s="553">
        <f t="shared" si="334"/>
        <v>23</v>
      </c>
      <c r="CE101" s="563">
        <f t="shared" si="324"/>
        <v>6058</v>
      </c>
    </row>
    <row r="102" spans="1:83">
      <c r="A102" s="12">
        <v>2017</v>
      </c>
      <c r="B102" s="160">
        <f>B17-B57</f>
        <v>0</v>
      </c>
      <c r="C102" s="161">
        <f t="shared" ref="C102:H102" si="384">C17-C57</f>
        <v>9518</v>
      </c>
      <c r="D102" s="175">
        <f t="shared" si="384"/>
        <v>0</v>
      </c>
      <c r="E102" s="163">
        <f t="shared" si="384"/>
        <v>0</v>
      </c>
      <c r="F102" s="164">
        <f t="shared" si="384"/>
        <v>0</v>
      </c>
      <c r="G102" s="159">
        <f>G17-G57</f>
        <v>8757</v>
      </c>
      <c r="H102" s="164">
        <f t="shared" si="384"/>
        <v>75</v>
      </c>
      <c r="I102" s="165">
        <f>SUM(C102:H102)</f>
        <v>18350</v>
      </c>
      <c r="K102" s="3">
        <v>2017</v>
      </c>
      <c r="L102" s="169">
        <f t="shared" ref="L102:S102" si="385">L17-L57</f>
        <v>3953</v>
      </c>
      <c r="M102" s="170">
        <f t="shared" si="385"/>
        <v>0</v>
      </c>
      <c r="N102" s="161">
        <f t="shared" si="385"/>
        <v>4203</v>
      </c>
      <c r="O102" s="171">
        <f t="shared" si="385"/>
        <v>0</v>
      </c>
      <c r="P102" s="172">
        <f t="shared" si="385"/>
        <v>0</v>
      </c>
      <c r="Q102" s="173">
        <f t="shared" si="385"/>
        <v>0</v>
      </c>
      <c r="R102" s="173">
        <f t="shared" si="385"/>
        <v>37</v>
      </c>
      <c r="S102" s="559">
        <f t="shared" si="385"/>
        <v>0</v>
      </c>
      <c r="T102" s="561">
        <f t="shared" si="358"/>
        <v>8193</v>
      </c>
      <c r="V102" s="3">
        <v>2017</v>
      </c>
      <c r="W102" s="169">
        <f t="shared" ref="W102:AD102" si="386">W17-W57</f>
        <v>2915</v>
      </c>
      <c r="X102" s="170">
        <f t="shared" si="386"/>
        <v>0</v>
      </c>
      <c r="Y102" s="161">
        <f t="shared" si="386"/>
        <v>2990</v>
      </c>
      <c r="Z102" s="171">
        <f t="shared" si="386"/>
        <v>0</v>
      </c>
      <c r="AA102" s="172">
        <f t="shared" si="386"/>
        <v>0</v>
      </c>
      <c r="AB102" s="173">
        <f t="shared" si="386"/>
        <v>0</v>
      </c>
      <c r="AC102" s="173">
        <f t="shared" si="386"/>
        <v>24</v>
      </c>
      <c r="AD102" s="559">
        <f t="shared" si="386"/>
        <v>0</v>
      </c>
      <c r="AE102" s="561">
        <f t="shared" si="360"/>
        <v>5929</v>
      </c>
      <c r="AG102" s="3">
        <v>2017</v>
      </c>
      <c r="AH102" s="169">
        <f t="shared" ref="AH102:AO102" si="387">AH17-AH57</f>
        <v>1283</v>
      </c>
      <c r="AI102" s="170">
        <f t="shared" si="387"/>
        <v>0</v>
      </c>
      <c r="AJ102" s="161">
        <f t="shared" si="387"/>
        <v>2128</v>
      </c>
      <c r="AK102" s="171">
        <f t="shared" si="387"/>
        <v>0</v>
      </c>
      <c r="AL102" s="172">
        <f t="shared" si="387"/>
        <v>0</v>
      </c>
      <c r="AM102" s="173">
        <f t="shared" si="387"/>
        <v>0</v>
      </c>
      <c r="AN102" s="173">
        <f t="shared" si="387"/>
        <v>14</v>
      </c>
      <c r="AO102" s="559">
        <f t="shared" si="387"/>
        <v>0</v>
      </c>
      <c r="AP102" s="561">
        <f t="shared" si="362"/>
        <v>3425</v>
      </c>
      <c r="AR102" s="3">
        <v>2017</v>
      </c>
      <c r="AS102" s="169">
        <f t="shared" ref="AS102:AZ102" si="388">AS17-AS57</f>
        <v>606</v>
      </c>
      <c r="AT102" s="170">
        <f t="shared" si="388"/>
        <v>0</v>
      </c>
      <c r="AU102" s="161">
        <f t="shared" si="388"/>
        <v>197</v>
      </c>
      <c r="AV102" s="171">
        <f t="shared" si="388"/>
        <v>0</v>
      </c>
      <c r="AW102" s="172">
        <f t="shared" si="388"/>
        <v>0</v>
      </c>
      <c r="AX102" s="173">
        <f t="shared" si="388"/>
        <v>0</v>
      </c>
      <c r="AY102" s="173">
        <f t="shared" si="388"/>
        <v>0</v>
      </c>
      <c r="AZ102" s="559">
        <f t="shared" si="388"/>
        <v>0</v>
      </c>
      <c r="BA102" s="554">
        <f t="shared" si="355"/>
        <v>803</v>
      </c>
      <c r="BC102" s="12">
        <v>2017</v>
      </c>
      <c r="BD102" s="549">
        <f t="shared" si="306"/>
        <v>8757</v>
      </c>
      <c r="BE102" s="550">
        <f t="shared" si="307"/>
        <v>0</v>
      </c>
      <c r="BF102" s="551">
        <f t="shared" si="308"/>
        <v>9518</v>
      </c>
      <c r="BG102" s="555">
        <f t="shared" si="309"/>
        <v>0</v>
      </c>
      <c r="BH102" s="552">
        <f t="shared" si="310"/>
        <v>0</v>
      </c>
      <c r="BI102" s="553">
        <f t="shared" si="311"/>
        <v>0</v>
      </c>
      <c r="BJ102" s="556">
        <f t="shared" si="312"/>
        <v>75</v>
      </c>
      <c r="BK102" s="563">
        <f t="shared" si="330"/>
        <v>18350</v>
      </c>
      <c r="BL102" s="563"/>
      <c r="BM102" s="12">
        <v>2017</v>
      </c>
      <c r="BN102" s="549">
        <f t="shared" si="331"/>
        <v>5842</v>
      </c>
      <c r="BO102" s="550">
        <f t="shared" si="313"/>
        <v>0</v>
      </c>
      <c r="BP102" s="551">
        <f t="shared" si="314"/>
        <v>6528</v>
      </c>
      <c r="BQ102" s="555">
        <f t="shared" si="315"/>
        <v>0</v>
      </c>
      <c r="BR102" s="552">
        <f t="shared" si="316"/>
        <v>0</v>
      </c>
      <c r="BS102" s="553">
        <f t="shared" si="317"/>
        <v>0</v>
      </c>
      <c r="BT102" s="553">
        <f t="shared" si="332"/>
        <v>51</v>
      </c>
      <c r="BU102" s="554">
        <f t="shared" si="318"/>
        <v>12421</v>
      </c>
      <c r="BW102" s="12">
        <v>2017</v>
      </c>
      <c r="BX102" s="549">
        <f t="shared" si="333"/>
        <v>2915</v>
      </c>
      <c r="BY102" s="550">
        <f t="shared" si="319"/>
        <v>0</v>
      </c>
      <c r="BZ102" s="551">
        <f t="shared" si="320"/>
        <v>2990</v>
      </c>
      <c r="CA102" s="555">
        <f t="shared" si="321"/>
        <v>0</v>
      </c>
      <c r="CB102" s="552">
        <f t="shared" si="322"/>
        <v>0</v>
      </c>
      <c r="CC102" s="553">
        <f t="shared" si="323"/>
        <v>0</v>
      </c>
      <c r="CD102" s="553">
        <f t="shared" si="334"/>
        <v>24</v>
      </c>
      <c r="CE102" s="563">
        <f t="shared" si="324"/>
        <v>5929</v>
      </c>
    </row>
    <row r="103" spans="1:83">
      <c r="A103" s="12">
        <v>2018</v>
      </c>
      <c r="B103" s="160">
        <f>B18-B58</f>
        <v>0</v>
      </c>
      <c r="C103" s="161">
        <f t="shared" ref="C103:H103" si="389">C18-C58</f>
        <v>9852</v>
      </c>
      <c r="D103" s="175">
        <f t="shared" si="389"/>
        <v>0</v>
      </c>
      <c r="E103" s="163">
        <f t="shared" si="389"/>
        <v>0</v>
      </c>
      <c r="F103" s="164">
        <f t="shared" si="389"/>
        <v>0</v>
      </c>
      <c r="G103" s="159">
        <f>G18-G58</f>
        <v>9665</v>
      </c>
      <c r="H103" s="164">
        <f t="shared" si="389"/>
        <v>76</v>
      </c>
      <c r="I103" s="165">
        <f>SUM(C103:H103)</f>
        <v>19593</v>
      </c>
      <c r="K103" s="3">
        <v>2018</v>
      </c>
      <c r="L103" s="169">
        <f t="shared" ref="L103:S103" si="390">L18-L58</f>
        <v>4333</v>
      </c>
      <c r="M103" s="170">
        <f t="shared" si="390"/>
        <v>0</v>
      </c>
      <c r="N103" s="161">
        <f t="shared" si="390"/>
        <v>4241</v>
      </c>
      <c r="O103" s="171">
        <f t="shared" si="390"/>
        <v>0</v>
      </c>
      <c r="P103" s="172">
        <f t="shared" si="390"/>
        <v>0</v>
      </c>
      <c r="Q103" s="173">
        <f t="shared" si="390"/>
        <v>0</v>
      </c>
      <c r="R103" s="173">
        <f t="shared" si="390"/>
        <v>38</v>
      </c>
      <c r="S103" s="559">
        <f t="shared" si="390"/>
        <v>0</v>
      </c>
      <c r="T103" s="561">
        <f t="shared" si="358"/>
        <v>8612</v>
      </c>
      <c r="V103" s="3">
        <v>2018</v>
      </c>
      <c r="W103" s="169">
        <f t="shared" ref="W103:AD103" si="391">W18-W58</f>
        <v>3086</v>
      </c>
      <c r="X103" s="170">
        <f t="shared" si="391"/>
        <v>0</v>
      </c>
      <c r="Y103" s="161">
        <f t="shared" si="391"/>
        <v>3085</v>
      </c>
      <c r="Z103" s="171">
        <f t="shared" si="391"/>
        <v>0</v>
      </c>
      <c r="AA103" s="172">
        <f t="shared" si="391"/>
        <v>0</v>
      </c>
      <c r="AB103" s="173">
        <f t="shared" si="391"/>
        <v>0</v>
      </c>
      <c r="AC103" s="173">
        <f t="shared" si="391"/>
        <v>24</v>
      </c>
      <c r="AD103" s="559">
        <f t="shared" si="391"/>
        <v>0</v>
      </c>
      <c r="AE103" s="561">
        <f t="shared" si="360"/>
        <v>6195</v>
      </c>
      <c r="AG103" s="3">
        <v>2018</v>
      </c>
      <c r="AH103" s="169">
        <f t="shared" ref="AH103:AO103" si="392">AH18-AH58</f>
        <v>1361</v>
      </c>
      <c r="AI103" s="170">
        <f t="shared" si="392"/>
        <v>0</v>
      </c>
      <c r="AJ103" s="161">
        <f t="shared" si="392"/>
        <v>2254</v>
      </c>
      <c r="AK103" s="171">
        <f t="shared" si="392"/>
        <v>0</v>
      </c>
      <c r="AL103" s="172">
        <f t="shared" si="392"/>
        <v>0</v>
      </c>
      <c r="AM103" s="173">
        <f t="shared" si="392"/>
        <v>0</v>
      </c>
      <c r="AN103" s="173">
        <f t="shared" si="392"/>
        <v>14</v>
      </c>
      <c r="AO103" s="559">
        <f t="shared" si="392"/>
        <v>0</v>
      </c>
      <c r="AP103" s="561">
        <f t="shared" si="362"/>
        <v>3629</v>
      </c>
      <c r="AR103" s="3">
        <v>2018</v>
      </c>
      <c r="AS103" s="169">
        <f t="shared" ref="AS103:AZ103" si="393">AS18-AS58</f>
        <v>885</v>
      </c>
      <c r="AT103" s="170">
        <f t="shared" si="393"/>
        <v>0</v>
      </c>
      <c r="AU103" s="161">
        <f t="shared" si="393"/>
        <v>272</v>
      </c>
      <c r="AV103" s="171">
        <f t="shared" si="393"/>
        <v>0</v>
      </c>
      <c r="AW103" s="172">
        <f t="shared" si="393"/>
        <v>0</v>
      </c>
      <c r="AX103" s="173">
        <f t="shared" si="393"/>
        <v>0</v>
      </c>
      <c r="AY103" s="173">
        <f t="shared" si="393"/>
        <v>0</v>
      </c>
      <c r="AZ103" s="559">
        <f t="shared" si="393"/>
        <v>0</v>
      </c>
      <c r="BA103" s="562">
        <f t="shared" si="355"/>
        <v>1157</v>
      </c>
      <c r="BC103" s="12">
        <v>2018</v>
      </c>
      <c r="BD103" s="549">
        <f t="shared" si="306"/>
        <v>9665</v>
      </c>
      <c r="BE103" s="550">
        <f t="shared" si="307"/>
        <v>0</v>
      </c>
      <c r="BF103" s="551">
        <f t="shared" si="308"/>
        <v>9852</v>
      </c>
      <c r="BG103" s="555">
        <f t="shared" si="309"/>
        <v>0</v>
      </c>
      <c r="BH103" s="552">
        <f t="shared" si="310"/>
        <v>0</v>
      </c>
      <c r="BI103" s="553">
        <f t="shared" si="311"/>
        <v>0</v>
      </c>
      <c r="BJ103" s="556">
        <f t="shared" si="312"/>
        <v>76</v>
      </c>
      <c r="BK103" s="563">
        <f t="shared" si="330"/>
        <v>19593</v>
      </c>
      <c r="BL103" s="563"/>
      <c r="BM103" s="12">
        <v>2018</v>
      </c>
      <c r="BN103" s="549">
        <f t="shared" si="331"/>
        <v>6579</v>
      </c>
      <c r="BO103" s="550">
        <f t="shared" si="313"/>
        <v>0</v>
      </c>
      <c r="BP103" s="551">
        <f t="shared" si="314"/>
        <v>6767</v>
      </c>
      <c r="BQ103" s="555">
        <f t="shared" si="315"/>
        <v>0</v>
      </c>
      <c r="BR103" s="552">
        <f t="shared" si="316"/>
        <v>0</v>
      </c>
      <c r="BS103" s="553">
        <f t="shared" si="317"/>
        <v>0</v>
      </c>
      <c r="BT103" s="553">
        <f t="shared" si="332"/>
        <v>52</v>
      </c>
      <c r="BU103" s="554">
        <f t="shared" si="318"/>
        <v>13398</v>
      </c>
      <c r="BW103" s="12">
        <v>2018</v>
      </c>
      <c r="BX103" s="549">
        <f t="shared" si="333"/>
        <v>3086</v>
      </c>
      <c r="BY103" s="550">
        <f t="shared" si="319"/>
        <v>0</v>
      </c>
      <c r="BZ103" s="551">
        <f t="shared" si="320"/>
        <v>3085</v>
      </c>
      <c r="CA103" s="555">
        <f t="shared" si="321"/>
        <v>0</v>
      </c>
      <c r="CB103" s="552">
        <f t="shared" si="322"/>
        <v>0</v>
      </c>
      <c r="CC103" s="553">
        <f t="shared" si="323"/>
        <v>0</v>
      </c>
      <c r="CD103" s="553">
        <f t="shared" si="334"/>
        <v>24</v>
      </c>
      <c r="CE103" s="563">
        <f t="shared" si="324"/>
        <v>6195</v>
      </c>
    </row>
    <row r="104" spans="1:83">
      <c r="A104" s="12">
        <v>2019</v>
      </c>
      <c r="B104" s="160">
        <f>B19-B59</f>
        <v>0</v>
      </c>
      <c r="C104" s="161">
        <f t="shared" ref="C104:H104" si="394">C19-C59</f>
        <v>9357</v>
      </c>
      <c r="D104" s="175">
        <f t="shared" si="394"/>
        <v>0</v>
      </c>
      <c r="E104" s="163">
        <f t="shared" si="394"/>
        <v>0</v>
      </c>
      <c r="F104" s="164">
        <f t="shared" si="394"/>
        <v>0</v>
      </c>
      <c r="G104" s="159">
        <f>G19-G59</f>
        <v>8653</v>
      </c>
      <c r="H104" s="164">
        <f t="shared" si="394"/>
        <v>74</v>
      </c>
      <c r="I104" s="165">
        <f>SUM(C104:H104)</f>
        <v>18084</v>
      </c>
      <c r="K104" s="3">
        <v>2019</v>
      </c>
      <c r="L104" s="169">
        <f t="shared" ref="L104:S104" si="395">L19-L59</f>
        <v>3854</v>
      </c>
      <c r="M104" s="170">
        <f t="shared" si="395"/>
        <v>0</v>
      </c>
      <c r="N104" s="161">
        <f t="shared" si="395"/>
        <v>4088</v>
      </c>
      <c r="O104" s="171">
        <f t="shared" si="395"/>
        <v>0</v>
      </c>
      <c r="P104" s="172">
        <f t="shared" si="395"/>
        <v>0</v>
      </c>
      <c r="Q104" s="173">
        <f t="shared" si="395"/>
        <v>0</v>
      </c>
      <c r="R104" s="173">
        <f t="shared" si="395"/>
        <v>37</v>
      </c>
      <c r="S104" s="559">
        <f t="shared" si="395"/>
        <v>0</v>
      </c>
      <c r="T104" s="561">
        <f t="shared" si="358"/>
        <v>7979</v>
      </c>
      <c r="V104" s="3">
        <v>2019</v>
      </c>
      <c r="W104" s="169">
        <f t="shared" ref="W104:AD104" si="396">W19-W59</f>
        <v>2861</v>
      </c>
      <c r="X104" s="170">
        <f t="shared" si="396"/>
        <v>0</v>
      </c>
      <c r="Y104" s="161">
        <f t="shared" si="396"/>
        <v>2933</v>
      </c>
      <c r="Z104" s="171">
        <f t="shared" si="396"/>
        <v>0</v>
      </c>
      <c r="AA104" s="172">
        <f t="shared" si="396"/>
        <v>0</v>
      </c>
      <c r="AB104" s="173">
        <f t="shared" si="396"/>
        <v>0</v>
      </c>
      <c r="AC104" s="173">
        <f t="shared" si="396"/>
        <v>23</v>
      </c>
      <c r="AD104" s="559">
        <f t="shared" si="396"/>
        <v>0</v>
      </c>
      <c r="AE104" s="561">
        <f t="shared" si="360"/>
        <v>5817</v>
      </c>
      <c r="AG104" s="3">
        <v>2019</v>
      </c>
      <c r="AH104" s="169">
        <f t="shared" ref="AH104:AO104" si="397">AH19-AH59</f>
        <v>1280</v>
      </c>
      <c r="AI104" s="170">
        <f t="shared" si="397"/>
        <v>0</v>
      </c>
      <c r="AJ104" s="161">
        <f t="shared" si="397"/>
        <v>2124</v>
      </c>
      <c r="AK104" s="171">
        <f t="shared" si="397"/>
        <v>0</v>
      </c>
      <c r="AL104" s="172">
        <f t="shared" si="397"/>
        <v>0</v>
      </c>
      <c r="AM104" s="173">
        <f t="shared" si="397"/>
        <v>0</v>
      </c>
      <c r="AN104" s="173">
        <f t="shared" si="397"/>
        <v>14</v>
      </c>
      <c r="AO104" s="559">
        <f t="shared" si="397"/>
        <v>0</v>
      </c>
      <c r="AP104" s="561">
        <f t="shared" si="362"/>
        <v>3418</v>
      </c>
      <c r="AR104" s="3">
        <v>2019</v>
      </c>
      <c r="AS104" s="169">
        <f t="shared" ref="AS104:AZ104" si="398">AS19-AS59</f>
        <v>658</v>
      </c>
      <c r="AT104" s="170">
        <f t="shared" si="398"/>
        <v>0</v>
      </c>
      <c r="AU104" s="161">
        <f t="shared" si="398"/>
        <v>212</v>
      </c>
      <c r="AV104" s="171">
        <f t="shared" si="398"/>
        <v>0</v>
      </c>
      <c r="AW104" s="172">
        <f t="shared" si="398"/>
        <v>0</v>
      </c>
      <c r="AX104" s="173">
        <f t="shared" si="398"/>
        <v>0</v>
      </c>
      <c r="AY104" s="173">
        <f t="shared" si="398"/>
        <v>0</v>
      </c>
      <c r="AZ104" s="559">
        <f t="shared" si="398"/>
        <v>0</v>
      </c>
      <c r="BA104" s="562">
        <f t="shared" si="355"/>
        <v>870</v>
      </c>
      <c r="BC104" s="12">
        <v>2019</v>
      </c>
      <c r="BD104" s="549">
        <f t="shared" si="306"/>
        <v>8653</v>
      </c>
      <c r="BE104" s="550">
        <f t="shared" si="307"/>
        <v>0</v>
      </c>
      <c r="BF104" s="551">
        <f t="shared" si="308"/>
        <v>9357</v>
      </c>
      <c r="BG104" s="555">
        <f t="shared" si="309"/>
        <v>0</v>
      </c>
      <c r="BH104" s="552">
        <f t="shared" si="310"/>
        <v>0</v>
      </c>
      <c r="BI104" s="553">
        <f t="shared" si="311"/>
        <v>0</v>
      </c>
      <c r="BJ104" s="556">
        <f t="shared" si="312"/>
        <v>74</v>
      </c>
      <c r="BK104" s="563">
        <f t="shared" si="330"/>
        <v>18084</v>
      </c>
      <c r="BL104" s="563"/>
      <c r="BM104" s="12">
        <v>2019</v>
      </c>
      <c r="BN104" s="549">
        <f t="shared" si="331"/>
        <v>5792</v>
      </c>
      <c r="BO104" s="550">
        <f t="shared" si="313"/>
        <v>0</v>
      </c>
      <c r="BP104" s="551">
        <f t="shared" si="314"/>
        <v>6424</v>
      </c>
      <c r="BQ104" s="555">
        <f t="shared" si="315"/>
        <v>0</v>
      </c>
      <c r="BR104" s="552">
        <f t="shared" si="316"/>
        <v>0</v>
      </c>
      <c r="BS104" s="553">
        <f t="shared" si="317"/>
        <v>0</v>
      </c>
      <c r="BT104" s="553">
        <f t="shared" si="332"/>
        <v>51</v>
      </c>
      <c r="BU104" s="554">
        <f t="shared" si="318"/>
        <v>12267</v>
      </c>
      <c r="BW104" s="12">
        <v>2019</v>
      </c>
      <c r="BX104" s="549">
        <f t="shared" si="333"/>
        <v>2861</v>
      </c>
      <c r="BY104" s="550">
        <f t="shared" si="319"/>
        <v>0</v>
      </c>
      <c r="BZ104" s="551">
        <f t="shared" si="320"/>
        <v>2933</v>
      </c>
      <c r="CA104" s="555">
        <f t="shared" si="321"/>
        <v>0</v>
      </c>
      <c r="CB104" s="552">
        <f t="shared" si="322"/>
        <v>0</v>
      </c>
      <c r="CC104" s="553">
        <f t="shared" si="323"/>
        <v>0</v>
      </c>
      <c r="CD104" s="553">
        <f t="shared" si="334"/>
        <v>23</v>
      </c>
      <c r="CE104" s="563">
        <f t="shared" si="324"/>
        <v>5817</v>
      </c>
    </row>
    <row r="105" spans="1:83">
      <c r="A105" s="12">
        <v>2020</v>
      </c>
      <c r="B105" s="160">
        <f>B20-B60</f>
        <v>0</v>
      </c>
      <c r="C105" s="161">
        <f t="shared" ref="C105:H105" si="399">C20-C60</f>
        <v>10316</v>
      </c>
      <c r="D105" s="175">
        <f t="shared" si="399"/>
        <v>0</v>
      </c>
      <c r="E105" s="163">
        <f t="shared" si="399"/>
        <v>0</v>
      </c>
      <c r="F105" s="164">
        <f t="shared" si="399"/>
        <v>0</v>
      </c>
      <c r="G105" s="159">
        <f>G20-G60</f>
        <v>9341</v>
      </c>
      <c r="H105" s="164">
        <f t="shared" si="399"/>
        <v>81</v>
      </c>
      <c r="I105" s="165">
        <f>SUM(C105:H105)</f>
        <v>19738</v>
      </c>
      <c r="K105" s="3">
        <v>2020</v>
      </c>
      <c r="L105" s="169">
        <f t="shared" ref="L105:S105" si="400">L20-L60</f>
        <v>4159</v>
      </c>
      <c r="M105" s="170">
        <f t="shared" si="400"/>
        <v>0</v>
      </c>
      <c r="N105" s="161">
        <f t="shared" si="400"/>
        <v>4542</v>
      </c>
      <c r="O105" s="171">
        <f t="shared" si="400"/>
        <v>0</v>
      </c>
      <c r="P105" s="172">
        <f t="shared" si="400"/>
        <v>0</v>
      </c>
      <c r="Q105" s="173">
        <f t="shared" si="400"/>
        <v>0</v>
      </c>
      <c r="R105" s="173">
        <f t="shared" si="400"/>
        <v>41</v>
      </c>
      <c r="S105" s="559">
        <f t="shared" si="400"/>
        <v>0</v>
      </c>
      <c r="T105" s="561">
        <f t="shared" si="358"/>
        <v>8742</v>
      </c>
      <c r="V105" s="3">
        <v>2020</v>
      </c>
      <c r="W105" s="169">
        <f t="shared" ref="W105:AD105" si="401">W20-W60</f>
        <v>3115</v>
      </c>
      <c r="X105" s="170">
        <f t="shared" si="401"/>
        <v>0</v>
      </c>
      <c r="Y105" s="161">
        <f t="shared" si="401"/>
        <v>3222</v>
      </c>
      <c r="Z105" s="171">
        <f t="shared" si="401"/>
        <v>0</v>
      </c>
      <c r="AA105" s="172">
        <f t="shared" si="401"/>
        <v>0</v>
      </c>
      <c r="AB105" s="173">
        <f t="shared" si="401"/>
        <v>0</v>
      </c>
      <c r="AC105" s="173">
        <f t="shared" si="401"/>
        <v>25</v>
      </c>
      <c r="AD105" s="559">
        <f t="shared" si="401"/>
        <v>0</v>
      </c>
      <c r="AE105" s="561">
        <f t="shared" si="360"/>
        <v>6362</v>
      </c>
      <c r="AG105" s="3">
        <v>2020</v>
      </c>
      <c r="AH105" s="169">
        <f t="shared" ref="AH105:AO105" si="402">AH20-AH60</f>
        <v>1407</v>
      </c>
      <c r="AI105" s="170">
        <f t="shared" si="402"/>
        <v>0</v>
      </c>
      <c r="AJ105" s="161">
        <f t="shared" si="402"/>
        <v>2334</v>
      </c>
      <c r="AK105" s="171">
        <f t="shared" si="402"/>
        <v>0</v>
      </c>
      <c r="AL105" s="172">
        <f t="shared" si="402"/>
        <v>0</v>
      </c>
      <c r="AM105" s="173">
        <f t="shared" si="402"/>
        <v>0</v>
      </c>
      <c r="AN105" s="173">
        <f t="shared" si="402"/>
        <v>15</v>
      </c>
      <c r="AO105" s="559">
        <f t="shared" si="402"/>
        <v>0</v>
      </c>
      <c r="AP105" s="561">
        <f t="shared" si="362"/>
        <v>3756</v>
      </c>
      <c r="AR105" s="3">
        <v>2020</v>
      </c>
      <c r="AS105" s="169">
        <f t="shared" ref="AS105:AZ105" si="403">AS20-AS60</f>
        <v>660</v>
      </c>
      <c r="AT105" s="170">
        <f t="shared" si="403"/>
        <v>0</v>
      </c>
      <c r="AU105" s="161">
        <f t="shared" si="403"/>
        <v>218</v>
      </c>
      <c r="AV105" s="171">
        <f t="shared" si="403"/>
        <v>0</v>
      </c>
      <c r="AW105" s="172">
        <f t="shared" si="403"/>
        <v>0</v>
      </c>
      <c r="AX105" s="173">
        <f t="shared" si="403"/>
        <v>0</v>
      </c>
      <c r="AY105" s="173">
        <f t="shared" si="403"/>
        <v>0</v>
      </c>
      <c r="AZ105" s="559">
        <f t="shared" si="403"/>
        <v>0</v>
      </c>
      <c r="BA105" s="562">
        <f t="shared" si="355"/>
        <v>878</v>
      </c>
      <c r="BC105" s="12">
        <v>2020</v>
      </c>
      <c r="BD105" s="549">
        <f t="shared" si="306"/>
        <v>9341</v>
      </c>
      <c r="BE105" s="550">
        <f t="shared" si="307"/>
        <v>0</v>
      </c>
      <c r="BF105" s="551">
        <f t="shared" si="308"/>
        <v>10316</v>
      </c>
      <c r="BG105" s="555">
        <f t="shared" si="309"/>
        <v>0</v>
      </c>
      <c r="BH105" s="552">
        <f t="shared" si="310"/>
        <v>0</v>
      </c>
      <c r="BI105" s="553">
        <f t="shared" si="311"/>
        <v>0</v>
      </c>
      <c r="BJ105" s="556">
        <f t="shared" si="312"/>
        <v>81</v>
      </c>
      <c r="BK105" s="563">
        <f t="shared" si="330"/>
        <v>19738</v>
      </c>
      <c r="BL105" s="563"/>
      <c r="BM105" s="12">
        <v>2020</v>
      </c>
      <c r="BN105" s="549">
        <f t="shared" si="331"/>
        <v>6226</v>
      </c>
      <c r="BO105" s="550">
        <f t="shared" si="313"/>
        <v>0</v>
      </c>
      <c r="BP105" s="551">
        <f t="shared" si="314"/>
        <v>7094</v>
      </c>
      <c r="BQ105" s="555">
        <f t="shared" si="315"/>
        <v>0</v>
      </c>
      <c r="BR105" s="552">
        <f t="shared" si="316"/>
        <v>0</v>
      </c>
      <c r="BS105" s="553">
        <f t="shared" si="317"/>
        <v>0</v>
      </c>
      <c r="BT105" s="553">
        <f t="shared" si="332"/>
        <v>56</v>
      </c>
      <c r="BU105" s="554">
        <f t="shared" si="318"/>
        <v>13376</v>
      </c>
      <c r="BW105" s="12">
        <v>2020</v>
      </c>
      <c r="BX105" s="549">
        <f t="shared" si="333"/>
        <v>3115</v>
      </c>
      <c r="BY105" s="550">
        <f t="shared" si="319"/>
        <v>0</v>
      </c>
      <c r="BZ105" s="551">
        <f t="shared" si="320"/>
        <v>3222</v>
      </c>
      <c r="CA105" s="555">
        <f t="shared" si="321"/>
        <v>0</v>
      </c>
      <c r="CB105" s="552">
        <f t="shared" si="322"/>
        <v>0</v>
      </c>
      <c r="CC105" s="553">
        <f t="shared" si="323"/>
        <v>0</v>
      </c>
      <c r="CD105" s="553">
        <f t="shared" si="334"/>
        <v>25</v>
      </c>
      <c r="CE105" s="563">
        <f t="shared" si="324"/>
        <v>6362</v>
      </c>
    </row>
    <row r="106" spans="1:83">
      <c r="A106" s="12">
        <v>2021</v>
      </c>
      <c r="B106" s="160">
        <f>B21-B61</f>
        <v>0</v>
      </c>
      <c r="C106" s="161">
        <f t="shared" ref="C106:H106" si="404">C21-C61</f>
        <v>9975</v>
      </c>
      <c r="D106" s="175">
        <f t="shared" si="404"/>
        <v>0</v>
      </c>
      <c r="E106" s="163">
        <f t="shared" si="404"/>
        <v>0</v>
      </c>
      <c r="F106" s="164">
        <f t="shared" si="404"/>
        <v>0</v>
      </c>
      <c r="G106" s="159">
        <f>G21-G61</f>
        <v>9204</v>
      </c>
      <c r="H106" s="164">
        <f t="shared" si="404"/>
        <v>79</v>
      </c>
      <c r="I106" s="165">
        <f>SUM(C106:H106)</f>
        <v>19258</v>
      </c>
      <c r="K106" s="3">
        <v>2021</v>
      </c>
      <c r="L106" s="169">
        <f t="shared" ref="L106:S106" si="405">L21-L61</f>
        <v>4002</v>
      </c>
      <c r="M106" s="170">
        <f t="shared" si="405"/>
        <v>0</v>
      </c>
      <c r="N106" s="161">
        <f t="shared" si="405"/>
        <v>4276</v>
      </c>
      <c r="O106" s="171">
        <f t="shared" si="405"/>
        <v>0</v>
      </c>
      <c r="P106" s="172">
        <f t="shared" si="405"/>
        <v>0</v>
      </c>
      <c r="Q106" s="173">
        <f t="shared" si="405"/>
        <v>0</v>
      </c>
      <c r="R106" s="173">
        <f t="shared" si="405"/>
        <v>39</v>
      </c>
      <c r="S106" s="559">
        <f t="shared" si="405"/>
        <v>0</v>
      </c>
      <c r="T106" s="561">
        <f t="shared" si="358"/>
        <v>8317</v>
      </c>
      <c r="V106" s="3">
        <v>2021</v>
      </c>
      <c r="W106" s="169">
        <f t="shared" ref="W106:AD106" si="406">W21-W61</f>
        <v>3065</v>
      </c>
      <c r="X106" s="170">
        <f t="shared" si="406"/>
        <v>0</v>
      </c>
      <c r="Y106" s="161">
        <f t="shared" si="406"/>
        <v>3149</v>
      </c>
      <c r="Z106" s="171">
        <f t="shared" si="406"/>
        <v>0</v>
      </c>
      <c r="AA106" s="172">
        <f t="shared" si="406"/>
        <v>0</v>
      </c>
      <c r="AB106" s="173">
        <f t="shared" si="406"/>
        <v>0</v>
      </c>
      <c r="AC106" s="173">
        <f t="shared" si="406"/>
        <v>25</v>
      </c>
      <c r="AD106" s="559">
        <f t="shared" si="406"/>
        <v>0</v>
      </c>
      <c r="AE106" s="561">
        <f t="shared" si="360"/>
        <v>6239</v>
      </c>
      <c r="AG106" s="3">
        <v>2021</v>
      </c>
      <c r="AH106" s="169">
        <f t="shared" ref="AH106:AO106" si="407">AH21-AH61</f>
        <v>1393</v>
      </c>
      <c r="AI106" s="170">
        <f t="shared" si="407"/>
        <v>0</v>
      </c>
      <c r="AJ106" s="161">
        <f t="shared" si="407"/>
        <v>2309</v>
      </c>
      <c r="AK106" s="171">
        <f t="shared" si="407"/>
        <v>0</v>
      </c>
      <c r="AL106" s="172">
        <f t="shared" si="407"/>
        <v>0</v>
      </c>
      <c r="AM106" s="173">
        <f t="shared" si="407"/>
        <v>0</v>
      </c>
      <c r="AN106" s="173">
        <f t="shared" si="407"/>
        <v>15</v>
      </c>
      <c r="AO106" s="559">
        <f t="shared" si="407"/>
        <v>0</v>
      </c>
      <c r="AP106" s="561">
        <f t="shared" si="362"/>
        <v>3717</v>
      </c>
      <c r="AR106" s="3">
        <v>2021</v>
      </c>
      <c r="AS106" s="169">
        <f t="shared" ref="AS106:AZ106" si="408">AS21-AS61</f>
        <v>744</v>
      </c>
      <c r="AT106" s="170">
        <f t="shared" si="408"/>
        <v>0</v>
      </c>
      <c r="AU106" s="161">
        <f t="shared" si="408"/>
        <v>241</v>
      </c>
      <c r="AV106" s="171">
        <f t="shared" si="408"/>
        <v>0</v>
      </c>
      <c r="AW106" s="172">
        <f t="shared" si="408"/>
        <v>0</v>
      </c>
      <c r="AX106" s="173">
        <f t="shared" si="408"/>
        <v>0</v>
      </c>
      <c r="AY106" s="173">
        <f t="shared" si="408"/>
        <v>0</v>
      </c>
      <c r="AZ106" s="559">
        <f t="shared" si="408"/>
        <v>0</v>
      </c>
      <c r="BA106" s="562">
        <f t="shared" si="355"/>
        <v>985</v>
      </c>
      <c r="BC106" s="12">
        <v>2021</v>
      </c>
      <c r="BD106" s="573">
        <f t="shared" si="306"/>
        <v>9204</v>
      </c>
      <c r="BE106" s="550">
        <f t="shared" si="307"/>
        <v>0</v>
      </c>
      <c r="BF106" s="551">
        <f t="shared" si="308"/>
        <v>9975</v>
      </c>
      <c r="BG106" s="555">
        <f t="shared" si="309"/>
        <v>0</v>
      </c>
      <c r="BH106" s="552">
        <f t="shared" si="310"/>
        <v>0</v>
      </c>
      <c r="BI106" s="553">
        <f t="shared" si="311"/>
        <v>0</v>
      </c>
      <c r="BJ106" s="574">
        <f t="shared" si="312"/>
        <v>79</v>
      </c>
      <c r="BK106" s="563">
        <f t="shared" si="330"/>
        <v>19258</v>
      </c>
      <c r="BL106" s="563"/>
      <c r="BM106" s="12">
        <v>2021</v>
      </c>
      <c r="BN106" s="549">
        <f t="shared" si="331"/>
        <v>6139</v>
      </c>
      <c r="BO106" s="550">
        <f t="shared" si="313"/>
        <v>0</v>
      </c>
      <c r="BP106" s="551">
        <f t="shared" si="314"/>
        <v>6826</v>
      </c>
      <c r="BQ106" s="555">
        <f t="shared" si="315"/>
        <v>0</v>
      </c>
      <c r="BR106" s="552">
        <f t="shared" si="316"/>
        <v>0</v>
      </c>
      <c r="BS106" s="553">
        <f t="shared" si="317"/>
        <v>0</v>
      </c>
      <c r="BT106" s="553">
        <f t="shared" si="332"/>
        <v>54</v>
      </c>
      <c r="BU106" s="554">
        <f t="shared" si="318"/>
        <v>13019</v>
      </c>
      <c r="BW106" s="12">
        <v>2021</v>
      </c>
      <c r="BX106" s="549">
        <f t="shared" si="333"/>
        <v>3065</v>
      </c>
      <c r="BY106" s="550">
        <f t="shared" si="319"/>
        <v>0</v>
      </c>
      <c r="BZ106" s="551">
        <f t="shared" si="320"/>
        <v>3149</v>
      </c>
      <c r="CA106" s="555">
        <f t="shared" si="321"/>
        <v>0</v>
      </c>
      <c r="CB106" s="552">
        <f t="shared" si="322"/>
        <v>0</v>
      </c>
      <c r="CC106" s="553">
        <f t="shared" si="323"/>
        <v>0</v>
      </c>
      <c r="CD106" s="553">
        <f t="shared" si="334"/>
        <v>25</v>
      </c>
      <c r="CE106" s="563">
        <f t="shared" si="324"/>
        <v>6239</v>
      </c>
    </row>
    <row r="107" spans="1:83">
      <c r="B107" s="17"/>
      <c r="C107" s="17"/>
      <c r="D107" s="17"/>
      <c r="E107" s="17"/>
      <c r="F107" s="17"/>
      <c r="G107" s="17"/>
      <c r="H107" s="17"/>
      <c r="I107" s="17"/>
      <c r="AQ107" s="575"/>
    </row>
    <row r="108" spans="1:83">
      <c r="A108" s="92" t="s">
        <v>573</v>
      </c>
      <c r="B108" s="17"/>
      <c r="C108" s="17"/>
      <c r="D108" s="17"/>
      <c r="E108" s="17"/>
      <c r="F108" s="17"/>
      <c r="G108" s="17"/>
      <c r="H108" s="17"/>
      <c r="I108" s="17"/>
      <c r="K108" s="48" t="s">
        <v>563</v>
      </c>
      <c r="V108" s="48" t="s">
        <v>564</v>
      </c>
      <c r="AG108" s="48" t="s">
        <v>585</v>
      </c>
      <c r="AR108" s="564" t="s">
        <v>1004</v>
      </c>
      <c r="BC108" s="48" t="s">
        <v>565</v>
      </c>
      <c r="BM108" s="564" t="s">
        <v>1006</v>
      </c>
      <c r="BW108" s="564" t="s">
        <v>1007</v>
      </c>
    </row>
    <row r="109" spans="1:83" ht="36">
      <c r="A109" s="2"/>
      <c r="B109" s="152" t="s">
        <v>567</v>
      </c>
      <c r="C109" s="153" t="s">
        <v>568</v>
      </c>
      <c r="D109" s="154" t="s">
        <v>569</v>
      </c>
      <c r="E109" s="155" t="s">
        <v>570</v>
      </c>
      <c r="F109" s="156" t="s">
        <v>571</v>
      </c>
      <c r="G109" s="151" t="s">
        <v>566</v>
      </c>
      <c r="H109" s="553" t="s">
        <v>572</v>
      </c>
      <c r="I109" s="157" t="s">
        <v>500</v>
      </c>
      <c r="K109" s="2" t="s">
        <v>496</v>
      </c>
      <c r="L109" s="151" t="s">
        <v>566</v>
      </c>
      <c r="M109" s="152" t="s">
        <v>567</v>
      </c>
      <c r="N109" s="153" t="s">
        <v>568</v>
      </c>
      <c r="O109" s="154" t="s">
        <v>569</v>
      </c>
      <c r="P109" s="155" t="s">
        <v>570</v>
      </c>
      <c r="Q109" s="156" t="s">
        <v>571</v>
      </c>
      <c r="R109" s="156"/>
      <c r="S109" s="157" t="s">
        <v>572</v>
      </c>
      <c r="T109" s="158" t="s">
        <v>500</v>
      </c>
      <c r="V109" s="2" t="s">
        <v>496</v>
      </c>
      <c r="W109" s="151" t="s">
        <v>566</v>
      </c>
      <c r="X109" s="152" t="s">
        <v>567</v>
      </c>
      <c r="Y109" s="153" t="s">
        <v>568</v>
      </c>
      <c r="Z109" s="154" t="s">
        <v>569</v>
      </c>
      <c r="AA109" s="155" t="s">
        <v>570</v>
      </c>
      <c r="AB109" s="156" t="s">
        <v>571</v>
      </c>
      <c r="AC109" s="156"/>
      <c r="AD109" s="157" t="s">
        <v>572</v>
      </c>
      <c r="AE109" s="158" t="s">
        <v>500</v>
      </c>
      <c r="AG109" s="2" t="s">
        <v>496</v>
      </c>
      <c r="AH109" s="151" t="s">
        <v>566</v>
      </c>
      <c r="AI109" s="152" t="s">
        <v>567</v>
      </c>
      <c r="AJ109" s="153" t="s">
        <v>568</v>
      </c>
      <c r="AK109" s="154" t="s">
        <v>569</v>
      </c>
      <c r="AL109" s="155" t="s">
        <v>570</v>
      </c>
      <c r="AM109" s="156" t="s">
        <v>571</v>
      </c>
      <c r="AN109" s="553" t="s">
        <v>987</v>
      </c>
      <c r="AO109" s="157" t="s">
        <v>572</v>
      </c>
      <c r="AP109" s="158" t="s">
        <v>500</v>
      </c>
      <c r="AR109" s="2" t="s">
        <v>496</v>
      </c>
      <c r="AS109" s="151" t="s">
        <v>566</v>
      </c>
      <c r="AT109" s="152" t="s">
        <v>567</v>
      </c>
      <c r="AU109" s="153" t="s">
        <v>568</v>
      </c>
      <c r="AV109" s="154" t="s">
        <v>569</v>
      </c>
      <c r="AW109" s="155" t="s">
        <v>570</v>
      </c>
      <c r="AX109" s="156" t="s">
        <v>571</v>
      </c>
      <c r="AY109" s="553" t="s">
        <v>987</v>
      </c>
      <c r="AZ109" s="157" t="s">
        <v>572</v>
      </c>
      <c r="BA109" s="158" t="s">
        <v>500</v>
      </c>
      <c r="BC109" s="2" t="s">
        <v>496</v>
      </c>
      <c r="BD109" s="565" t="s">
        <v>566</v>
      </c>
      <c r="BE109" s="566" t="s">
        <v>567</v>
      </c>
      <c r="BF109" s="567" t="s">
        <v>568</v>
      </c>
      <c r="BG109" s="568" t="s">
        <v>569</v>
      </c>
      <c r="BH109" s="569" t="s">
        <v>570</v>
      </c>
      <c r="BI109" s="570" t="s">
        <v>571</v>
      </c>
      <c r="BJ109" s="571" t="s">
        <v>572</v>
      </c>
      <c r="BK109" s="158" t="s">
        <v>500</v>
      </c>
      <c r="BM109" s="2" t="s">
        <v>496</v>
      </c>
      <c r="BN109" s="151" t="s">
        <v>566</v>
      </c>
      <c r="BO109" s="152" t="s">
        <v>567</v>
      </c>
      <c r="BP109" s="153" t="s">
        <v>568</v>
      </c>
      <c r="BQ109" s="154" t="s">
        <v>569</v>
      </c>
      <c r="BR109" s="155" t="s">
        <v>570</v>
      </c>
      <c r="BS109" s="156" t="s">
        <v>571</v>
      </c>
      <c r="BT109" s="157" t="s">
        <v>572</v>
      </c>
      <c r="BU109" s="158" t="s">
        <v>500</v>
      </c>
      <c r="BW109" s="2" t="s">
        <v>496</v>
      </c>
      <c r="BX109" s="151" t="s">
        <v>566</v>
      </c>
      <c r="BY109" s="152" t="s">
        <v>567</v>
      </c>
      <c r="BZ109" s="153" t="s">
        <v>568</v>
      </c>
      <c r="CA109" s="154" t="s">
        <v>569</v>
      </c>
      <c r="CB109" s="155" t="s">
        <v>570</v>
      </c>
      <c r="CC109" s="156" t="s">
        <v>571</v>
      </c>
      <c r="CD109" s="157" t="s">
        <v>572</v>
      </c>
      <c r="CE109" s="158" t="s">
        <v>500</v>
      </c>
    </row>
    <row r="110" spans="1:83">
      <c r="A110" s="12">
        <v>2006</v>
      </c>
      <c r="B110" s="178">
        <f>IFERROR(B91/$I91,0)</f>
        <v>0</v>
      </c>
      <c r="C110" s="179">
        <f>IFERROR(C91/$I91,0)</f>
        <v>0.41423114097666497</v>
      </c>
      <c r="D110" s="180">
        <f>IFERROR(D91/$I91,0)</f>
        <v>0</v>
      </c>
      <c r="E110" s="181">
        <f>IFERROR(E91/$I91,0)</f>
        <v>0</v>
      </c>
      <c r="F110" s="182">
        <f>IFERROR(F91/$I91,0)</f>
        <v>0</v>
      </c>
      <c r="G110" s="177">
        <f>IFERROR(G91/$I91,0)</f>
        <v>0.58236295853086018</v>
      </c>
      <c r="H110" s="182">
        <f>IFERROR(H91/$I91,0)</f>
        <v>3.4059004924748009E-3</v>
      </c>
      <c r="I110" s="183">
        <f>SUM(C110:H110)</f>
        <v>0.99999999999999989</v>
      </c>
      <c r="K110" s="12">
        <v>2006</v>
      </c>
      <c r="L110" s="177">
        <f>(L6-L46)/($T6-$T46)</f>
        <v>0.63892617449664435</v>
      </c>
      <c r="M110" s="178">
        <f t="shared" ref="M110:S110" si="409">(M6-M46)/($T6-$T46)</f>
        <v>0</v>
      </c>
      <c r="N110" s="179">
        <f t="shared" si="409"/>
        <v>0.36009762050030508</v>
      </c>
      <c r="O110" s="180">
        <f t="shared" si="409"/>
        <v>0</v>
      </c>
      <c r="P110" s="181">
        <f t="shared" si="409"/>
        <v>0</v>
      </c>
      <c r="Q110" s="182">
        <f t="shared" si="409"/>
        <v>0</v>
      </c>
      <c r="R110" s="182">
        <f t="shared" si="409"/>
        <v>0</v>
      </c>
      <c r="S110" s="183">
        <f t="shared" si="409"/>
        <v>9.7620500305064064E-4</v>
      </c>
      <c r="T110" s="184">
        <f t="shared" ref="T110:T125" si="410">(T6-T46)/($T6-$T46)</f>
        <v>1</v>
      </c>
      <c r="V110" s="12">
        <v>2006</v>
      </c>
      <c r="W110" s="177">
        <f>(W6-W46)/($AE6-$AE46)</f>
        <v>0.5617977528089888</v>
      </c>
      <c r="X110" s="178">
        <f t="shared" ref="X110:AD110" si="411">(X6-X46)/($AE6-$AE46)</f>
        <v>0</v>
      </c>
      <c r="Y110" s="179">
        <f t="shared" si="411"/>
        <v>0.4335035750766088</v>
      </c>
      <c r="Z110" s="180">
        <f t="shared" si="411"/>
        <v>0</v>
      </c>
      <c r="AA110" s="181">
        <f t="shared" si="411"/>
        <v>0</v>
      </c>
      <c r="AB110" s="182">
        <f t="shared" si="411"/>
        <v>0</v>
      </c>
      <c r="AC110" s="182">
        <f t="shared" si="411"/>
        <v>0</v>
      </c>
      <c r="AD110" s="183">
        <f t="shared" si="411"/>
        <v>4.5965270684371808E-3</v>
      </c>
      <c r="AE110" s="184">
        <f t="shared" ref="AE110:AE125" si="412">(AE6-AE46)/($AE6-$AE46)</f>
        <v>1</v>
      </c>
      <c r="AG110" s="12">
        <v>2006</v>
      </c>
      <c r="AH110" s="177">
        <f>(AH6-AH46)/($AP6-$AP46)</f>
        <v>0.51201923076923073</v>
      </c>
      <c r="AI110" s="178">
        <f t="shared" ref="AI110:AO110" si="413">(AI6-AI46)/($AP6-$AP46)</f>
        <v>0</v>
      </c>
      <c r="AJ110" s="179">
        <f t="shared" si="413"/>
        <v>0.48210470085470086</v>
      </c>
      <c r="AK110" s="180">
        <f t="shared" si="413"/>
        <v>0</v>
      </c>
      <c r="AL110" s="181">
        <f t="shared" si="413"/>
        <v>0</v>
      </c>
      <c r="AM110" s="182">
        <f t="shared" si="413"/>
        <v>0</v>
      </c>
      <c r="AN110" s="182">
        <f t="shared" si="413"/>
        <v>0</v>
      </c>
      <c r="AO110" s="183">
        <f t="shared" si="413"/>
        <v>5.608974358974359E-3</v>
      </c>
      <c r="AP110" s="184">
        <f>SUM(AH110:AO110)</f>
        <v>0.99973290598290598</v>
      </c>
      <c r="AR110" s="12">
        <v>2006</v>
      </c>
      <c r="AS110" s="177">
        <f>IFERROR((AS6-AS46)/($BA6-$BA46),0)</f>
        <v>0</v>
      </c>
      <c r="AT110" s="178">
        <f t="shared" ref="AT110:AZ110" si="414">IFERROR((AT6-AT46)/($BA6-$BA46),0)</f>
        <v>0</v>
      </c>
      <c r="AU110" s="179">
        <f t="shared" si="414"/>
        <v>0</v>
      </c>
      <c r="AV110" s="180">
        <f t="shared" si="414"/>
        <v>0</v>
      </c>
      <c r="AW110" s="181">
        <f t="shared" si="414"/>
        <v>0</v>
      </c>
      <c r="AX110" s="182">
        <f t="shared" si="414"/>
        <v>0</v>
      </c>
      <c r="AY110" s="182">
        <f t="shared" si="414"/>
        <v>0</v>
      </c>
      <c r="AZ110" s="183">
        <f t="shared" si="414"/>
        <v>0</v>
      </c>
      <c r="BA110" s="184">
        <f>SUM(AS110:AZ110)</f>
        <v>0</v>
      </c>
      <c r="BC110" s="12">
        <v>2006</v>
      </c>
      <c r="BD110" s="177">
        <f>IFERROR(BD91/$BK91,0)</f>
        <v>0.58236295853086018</v>
      </c>
      <c r="BE110" s="178">
        <f t="shared" ref="BE110:BJ110" si="415">IFERROR(BE91/$BK91,0)</f>
        <v>0</v>
      </c>
      <c r="BF110" s="179">
        <f t="shared" si="415"/>
        <v>0.41423114097666497</v>
      </c>
      <c r="BG110" s="180">
        <f t="shared" si="415"/>
        <v>0</v>
      </c>
      <c r="BH110" s="181">
        <f t="shared" si="415"/>
        <v>0</v>
      </c>
      <c r="BI110" s="182">
        <f t="shared" si="415"/>
        <v>0</v>
      </c>
      <c r="BJ110" s="182">
        <f t="shared" si="415"/>
        <v>3.4059004924748009E-3</v>
      </c>
      <c r="BK110" s="184">
        <f>SUM(BD110:BJ110)</f>
        <v>0.99999999999999989</v>
      </c>
      <c r="BM110" s="12">
        <v>2006</v>
      </c>
      <c r="BN110" s="177">
        <f>BN91/$BU91</f>
        <v>0.59917909197520525</v>
      </c>
      <c r="BO110" s="178">
        <f t="shared" ref="BO110:BT110" si="416">BO91/$BU91</f>
        <v>0</v>
      </c>
      <c r="BP110" s="179">
        <f t="shared" si="416"/>
        <v>0.39839169040040207</v>
      </c>
      <c r="BQ110" s="180">
        <f t="shared" si="416"/>
        <v>0</v>
      </c>
      <c r="BR110" s="181">
        <f t="shared" si="416"/>
        <v>0</v>
      </c>
      <c r="BS110" s="182">
        <f t="shared" si="416"/>
        <v>0</v>
      </c>
      <c r="BT110" s="182">
        <f t="shared" si="416"/>
        <v>2.4292176243926955E-3</v>
      </c>
      <c r="BU110" s="184">
        <f>SUM(BN110:BT110)</f>
        <v>1</v>
      </c>
      <c r="BW110" s="12">
        <v>2006</v>
      </c>
      <c r="BX110" s="177">
        <f>BX91/$CE91</f>
        <v>0.56185514352845034</v>
      </c>
      <c r="BY110" s="178">
        <f t="shared" ref="BY110:CD110" si="417">BY91/$CE91</f>
        <v>0</v>
      </c>
      <c r="BZ110" s="179">
        <f t="shared" si="417"/>
        <v>0.43354785984268057</v>
      </c>
      <c r="CA110" s="180">
        <f t="shared" si="417"/>
        <v>0</v>
      </c>
      <c r="CB110" s="181">
        <f t="shared" si="417"/>
        <v>0</v>
      </c>
      <c r="CC110" s="182">
        <f t="shared" si="417"/>
        <v>0</v>
      </c>
      <c r="CD110" s="182">
        <f t="shared" si="417"/>
        <v>4.5969966288691389E-3</v>
      </c>
      <c r="CE110" s="184">
        <f>SUM(BX110:CD110)</f>
        <v>1</v>
      </c>
    </row>
    <row r="111" spans="1:83">
      <c r="A111" s="12">
        <v>2007</v>
      </c>
      <c r="B111" s="178">
        <f>IFERROR(B92/$I92,0)</f>
        <v>0</v>
      </c>
      <c r="C111" s="179">
        <f>IFERROR(C92/$I92,0)</f>
        <v>0.40073804185351269</v>
      </c>
      <c r="D111" s="180">
        <f>IFERROR(D92/$I92,0)</f>
        <v>0</v>
      </c>
      <c r="E111" s="181">
        <f>IFERROR(E92/$I92,0)</f>
        <v>0</v>
      </c>
      <c r="F111" s="182">
        <f>IFERROR(F92/$I92,0)</f>
        <v>0</v>
      </c>
      <c r="G111" s="177">
        <f>IFERROR(G92/$I92,0)</f>
        <v>0.59566517189835577</v>
      </c>
      <c r="H111" s="182">
        <f>IFERROR(H92/$I92,0)</f>
        <v>3.5967862481315394E-3</v>
      </c>
      <c r="I111" s="183">
        <f>SUM(C111:H111)</f>
        <v>1</v>
      </c>
      <c r="K111" s="12">
        <v>2007</v>
      </c>
      <c r="L111" s="177">
        <f t="shared" ref="L111:S111" si="418">(L7-L47)/($T7-$T47)</f>
        <v>0.64991377186499133</v>
      </c>
      <c r="M111" s="178">
        <f t="shared" si="418"/>
        <v>0</v>
      </c>
      <c r="N111" s="179">
        <f t="shared" si="418"/>
        <v>0.34897758068489776</v>
      </c>
      <c r="O111" s="180">
        <f t="shared" si="418"/>
        <v>0</v>
      </c>
      <c r="P111" s="181">
        <f t="shared" si="418"/>
        <v>0</v>
      </c>
      <c r="Q111" s="182">
        <f t="shared" si="418"/>
        <v>0</v>
      </c>
      <c r="R111" s="182">
        <f t="shared" si="418"/>
        <v>0</v>
      </c>
      <c r="S111" s="183">
        <f t="shared" si="418"/>
        <v>1.1086474501108647E-3</v>
      </c>
      <c r="T111" s="184">
        <f t="shared" si="410"/>
        <v>1</v>
      </c>
      <c r="V111" s="12">
        <v>2007</v>
      </c>
      <c r="W111" s="177">
        <f t="shared" ref="W111:AD111" si="419">(W7-W47)/($AE7-$AE47)</f>
        <v>0.5744946863929985</v>
      </c>
      <c r="X111" s="178">
        <f t="shared" si="419"/>
        <v>0</v>
      </c>
      <c r="Y111" s="179">
        <f t="shared" si="419"/>
        <v>0.42060846009585329</v>
      </c>
      <c r="Z111" s="180">
        <f t="shared" si="419"/>
        <v>0</v>
      </c>
      <c r="AA111" s="181">
        <f t="shared" si="419"/>
        <v>0</v>
      </c>
      <c r="AB111" s="182">
        <f t="shared" si="419"/>
        <v>0</v>
      </c>
      <c r="AC111" s="182">
        <f t="shared" si="419"/>
        <v>0</v>
      </c>
      <c r="AD111" s="183">
        <f t="shared" si="419"/>
        <v>4.8968535111481555E-3</v>
      </c>
      <c r="AE111" s="184">
        <f t="shared" si="412"/>
        <v>1</v>
      </c>
      <c r="AG111" s="12">
        <v>2007</v>
      </c>
      <c r="AH111" s="177">
        <f t="shared" ref="AH111:AO111" si="420">(AH7-AH47)/($AP7-$AP47)</f>
        <v>0.53127538586515033</v>
      </c>
      <c r="AI111" s="178">
        <f t="shared" si="420"/>
        <v>0</v>
      </c>
      <c r="AJ111" s="179">
        <f t="shared" si="420"/>
        <v>0.46276739777958298</v>
      </c>
      <c r="AK111" s="180">
        <f t="shared" si="420"/>
        <v>0</v>
      </c>
      <c r="AL111" s="181">
        <f t="shared" si="420"/>
        <v>0</v>
      </c>
      <c r="AM111" s="182">
        <f t="shared" si="420"/>
        <v>0</v>
      </c>
      <c r="AN111" s="182">
        <f t="shared" si="420"/>
        <v>0</v>
      </c>
      <c r="AO111" s="183">
        <f t="shared" si="420"/>
        <v>5.686433793663688E-3</v>
      </c>
      <c r="AP111" s="184">
        <f t="shared" ref="AP111:AP125" si="421">SUM(AH111:AO111)</f>
        <v>0.99972921743839704</v>
      </c>
      <c r="AR111" s="12">
        <v>2007</v>
      </c>
      <c r="AS111" s="177">
        <f t="shared" ref="AS111:AZ111" si="422">IFERROR((AS7-AS47)/($BA7-$BA47),0)</f>
        <v>0</v>
      </c>
      <c r="AT111" s="178">
        <f t="shared" si="422"/>
        <v>0</v>
      </c>
      <c r="AU111" s="179">
        <f t="shared" si="422"/>
        <v>0</v>
      </c>
      <c r="AV111" s="180">
        <f t="shared" si="422"/>
        <v>0</v>
      </c>
      <c r="AW111" s="181">
        <f t="shared" si="422"/>
        <v>0</v>
      </c>
      <c r="AX111" s="182">
        <f t="shared" si="422"/>
        <v>0</v>
      </c>
      <c r="AY111" s="182">
        <f t="shared" si="422"/>
        <v>0</v>
      </c>
      <c r="AZ111" s="183">
        <f t="shared" si="422"/>
        <v>0</v>
      </c>
      <c r="BA111" s="184">
        <f t="shared" ref="BA111:BA125" si="423">SUM(AS111:AZ111)</f>
        <v>0</v>
      </c>
      <c r="BC111" s="12">
        <v>2007</v>
      </c>
      <c r="BD111" s="177">
        <f t="shared" ref="BD111:BJ125" si="424">IFERROR(BD92/$BK92,0)</f>
        <v>0.59566517189835577</v>
      </c>
      <c r="BE111" s="178">
        <f t="shared" si="424"/>
        <v>0</v>
      </c>
      <c r="BF111" s="179">
        <f t="shared" si="424"/>
        <v>0.40073804185351269</v>
      </c>
      <c r="BG111" s="180">
        <f t="shared" si="424"/>
        <v>0</v>
      </c>
      <c r="BH111" s="181">
        <f t="shared" si="424"/>
        <v>0</v>
      </c>
      <c r="BI111" s="182">
        <f t="shared" si="424"/>
        <v>0</v>
      </c>
      <c r="BJ111" s="182">
        <f t="shared" si="424"/>
        <v>3.5967862481315394E-3</v>
      </c>
      <c r="BK111" s="184">
        <f t="shared" ref="BK111:BK125" si="425">SUM(BD111:BJ111)</f>
        <v>1</v>
      </c>
      <c r="BM111" s="12">
        <v>2007</v>
      </c>
      <c r="BN111" s="177">
        <f t="shared" ref="BN111:BT111" si="426">BN92/$BU92</f>
        <v>0.61287044877222696</v>
      </c>
      <c r="BO111" s="178">
        <f t="shared" si="426"/>
        <v>0</v>
      </c>
      <c r="BP111" s="179">
        <f t="shared" si="426"/>
        <v>0.38458933107535986</v>
      </c>
      <c r="BQ111" s="180">
        <f t="shared" si="426"/>
        <v>0</v>
      </c>
      <c r="BR111" s="181">
        <f t="shared" si="426"/>
        <v>0</v>
      </c>
      <c r="BS111" s="182">
        <f t="shared" si="426"/>
        <v>0</v>
      </c>
      <c r="BT111" s="182">
        <f t="shared" si="426"/>
        <v>2.5402201524132089E-3</v>
      </c>
      <c r="BU111" s="184">
        <f t="shared" ref="BU111:BU125" si="427">SUM(BN111:BT111)</f>
        <v>1</v>
      </c>
      <c r="BW111" s="12">
        <v>2007</v>
      </c>
      <c r="BX111" s="177">
        <f t="shared" ref="BX111:CD111" si="428">BX92/$CE92</f>
        <v>0.5744946863929985</v>
      </c>
      <c r="BY111" s="178">
        <f t="shared" si="428"/>
        <v>0</v>
      </c>
      <c r="BZ111" s="179">
        <f t="shared" si="428"/>
        <v>0.42060846009585329</v>
      </c>
      <c r="CA111" s="180">
        <f t="shared" si="428"/>
        <v>0</v>
      </c>
      <c r="CB111" s="181">
        <f t="shared" si="428"/>
        <v>0</v>
      </c>
      <c r="CC111" s="182">
        <f t="shared" si="428"/>
        <v>0</v>
      </c>
      <c r="CD111" s="182">
        <f t="shared" si="428"/>
        <v>4.8968535111481555E-3</v>
      </c>
      <c r="CE111" s="184">
        <f t="shared" ref="CE111:CE125" si="429">SUM(BX111:CD111)</f>
        <v>0.99999999999999989</v>
      </c>
    </row>
    <row r="112" spans="1:83">
      <c r="A112" s="12">
        <v>2008</v>
      </c>
      <c r="B112" s="178">
        <f>IFERROR(B93/$I93,0)</f>
        <v>0</v>
      </c>
      <c r="C112" s="179">
        <f>IFERROR(C93/$I93,0)</f>
        <v>0.39057193316125527</v>
      </c>
      <c r="D112" s="180">
        <f>IFERROR(D93/$I93,0)</f>
        <v>0</v>
      </c>
      <c r="E112" s="181">
        <f>IFERROR(E93/$I93,0)</f>
        <v>0</v>
      </c>
      <c r="F112" s="182">
        <f>IFERROR(F93/$I93,0)</f>
        <v>0</v>
      </c>
      <c r="G112" s="177">
        <f>IFERROR(G93/$I93,0)</f>
        <v>0.60557895213512658</v>
      </c>
      <c r="H112" s="182">
        <f>IFERROR(H93/$I93,0)</f>
        <v>3.8491147036181679E-3</v>
      </c>
      <c r="I112" s="183">
        <f>SUM(C112:H112)</f>
        <v>1</v>
      </c>
      <c r="K112" s="12">
        <v>2008</v>
      </c>
      <c r="L112" s="177">
        <f t="shared" ref="L112:S112" si="430">(L8-L48)/($T8-$T48)</f>
        <v>0.65550807217473883</v>
      </c>
      <c r="M112" s="178">
        <f t="shared" si="430"/>
        <v>0</v>
      </c>
      <c r="N112" s="179">
        <f t="shared" si="430"/>
        <v>0.34330484330484329</v>
      </c>
      <c r="O112" s="180">
        <f t="shared" si="430"/>
        <v>0</v>
      </c>
      <c r="P112" s="181">
        <f t="shared" si="430"/>
        <v>0</v>
      </c>
      <c r="Q112" s="182">
        <f t="shared" si="430"/>
        <v>0</v>
      </c>
      <c r="R112" s="182">
        <f t="shared" si="430"/>
        <v>0</v>
      </c>
      <c r="S112" s="183">
        <f t="shared" si="430"/>
        <v>1.1870845204178537E-3</v>
      </c>
      <c r="T112" s="184">
        <f t="shared" si="410"/>
        <v>1</v>
      </c>
      <c r="V112" s="12">
        <v>2008</v>
      </c>
      <c r="W112" s="177">
        <f t="shared" ref="W112:AD112" si="431">(W8-W48)/($AE8-$AE48)</f>
        <v>0.58466877615596613</v>
      </c>
      <c r="X112" s="178">
        <f t="shared" si="431"/>
        <v>0</v>
      </c>
      <c r="Y112" s="179">
        <f t="shared" si="431"/>
        <v>0.41012554863733797</v>
      </c>
      <c r="Z112" s="180">
        <f t="shared" si="431"/>
        <v>0</v>
      </c>
      <c r="AA112" s="181">
        <f t="shared" si="431"/>
        <v>0</v>
      </c>
      <c r="AB112" s="182">
        <f t="shared" si="431"/>
        <v>0</v>
      </c>
      <c r="AC112" s="182">
        <f t="shared" si="431"/>
        <v>0</v>
      </c>
      <c r="AD112" s="183">
        <f t="shared" si="431"/>
        <v>5.3077472695723183E-3</v>
      </c>
      <c r="AE112" s="184">
        <f t="shared" si="412"/>
        <v>1</v>
      </c>
      <c r="AG112" s="12">
        <v>2008</v>
      </c>
      <c r="AH112" s="177">
        <f t="shared" ref="AH112:AO112" si="432">(AH8-AH48)/($AP8-$AP48)</f>
        <v>0.55000000000000004</v>
      </c>
      <c r="AI112" s="178">
        <f t="shared" si="432"/>
        <v>0</v>
      </c>
      <c r="AJ112" s="179">
        <f t="shared" si="432"/>
        <v>0.44430051813471505</v>
      </c>
      <c r="AK112" s="180">
        <f t="shared" si="432"/>
        <v>0</v>
      </c>
      <c r="AL112" s="181">
        <f t="shared" si="432"/>
        <v>0</v>
      </c>
      <c r="AM112" s="182">
        <f t="shared" si="432"/>
        <v>0</v>
      </c>
      <c r="AN112" s="182">
        <f t="shared" si="432"/>
        <v>0</v>
      </c>
      <c r="AO112" s="183">
        <f t="shared" si="432"/>
        <v>5.9585492227979273E-3</v>
      </c>
      <c r="AP112" s="184">
        <f t="shared" si="421"/>
        <v>1.0002590673575131</v>
      </c>
      <c r="AR112" s="12">
        <v>2008</v>
      </c>
      <c r="AS112" s="177">
        <f t="shared" ref="AS112:AZ112" si="433">IFERROR((AS8-AS48)/($BA8-$BA48),0)</f>
        <v>0</v>
      </c>
      <c r="AT112" s="178">
        <f t="shared" si="433"/>
        <v>0</v>
      </c>
      <c r="AU112" s="179">
        <f t="shared" si="433"/>
        <v>0</v>
      </c>
      <c r="AV112" s="180">
        <f t="shared" si="433"/>
        <v>0</v>
      </c>
      <c r="AW112" s="181">
        <f t="shared" si="433"/>
        <v>0</v>
      </c>
      <c r="AX112" s="182">
        <f t="shared" si="433"/>
        <v>0</v>
      </c>
      <c r="AY112" s="182">
        <f t="shared" si="433"/>
        <v>0</v>
      </c>
      <c r="AZ112" s="183">
        <f t="shared" si="433"/>
        <v>0</v>
      </c>
      <c r="BA112" s="184">
        <f t="shared" si="423"/>
        <v>0</v>
      </c>
      <c r="BC112" s="12">
        <v>2008</v>
      </c>
      <c r="BD112" s="177">
        <f t="shared" si="424"/>
        <v>0.60557895213512658</v>
      </c>
      <c r="BE112" s="178">
        <f t="shared" si="424"/>
        <v>0</v>
      </c>
      <c r="BF112" s="179">
        <f t="shared" si="424"/>
        <v>0.39057193316125527</v>
      </c>
      <c r="BG112" s="180">
        <f t="shared" si="424"/>
        <v>0</v>
      </c>
      <c r="BH112" s="181">
        <f t="shared" si="424"/>
        <v>0</v>
      </c>
      <c r="BI112" s="182">
        <f t="shared" si="424"/>
        <v>0</v>
      </c>
      <c r="BJ112" s="182">
        <f t="shared" si="424"/>
        <v>3.8491147036181679E-3</v>
      </c>
      <c r="BK112" s="184">
        <f t="shared" si="425"/>
        <v>1</v>
      </c>
      <c r="BM112" s="12">
        <v>2008</v>
      </c>
      <c r="BN112" s="177">
        <f t="shared" ref="BN112:BT112" si="434">BN93/$BU93</f>
        <v>0.62230362230362235</v>
      </c>
      <c r="BO112" s="178">
        <f t="shared" si="434"/>
        <v>0</v>
      </c>
      <c r="BP112" s="179">
        <f t="shared" si="434"/>
        <v>0.37501017501017503</v>
      </c>
      <c r="BQ112" s="180">
        <f t="shared" si="434"/>
        <v>0</v>
      </c>
      <c r="BR112" s="181">
        <f t="shared" si="434"/>
        <v>0</v>
      </c>
      <c r="BS112" s="182">
        <f t="shared" si="434"/>
        <v>0</v>
      </c>
      <c r="BT112" s="182">
        <f t="shared" si="434"/>
        <v>2.6862026862026862E-3</v>
      </c>
      <c r="BU112" s="184">
        <f t="shared" si="427"/>
        <v>1</v>
      </c>
      <c r="BW112" s="12">
        <v>2008</v>
      </c>
      <c r="BX112" s="177">
        <f t="shared" ref="BX112:CD112" si="435">BX93/$CE93</f>
        <v>0.58460910389875487</v>
      </c>
      <c r="BY112" s="178">
        <f t="shared" si="435"/>
        <v>0</v>
      </c>
      <c r="BZ112" s="179">
        <f t="shared" si="435"/>
        <v>0.41008369054909166</v>
      </c>
      <c r="CA112" s="180">
        <f t="shared" si="435"/>
        <v>0</v>
      </c>
      <c r="CB112" s="181">
        <f t="shared" si="435"/>
        <v>0</v>
      </c>
      <c r="CC112" s="182">
        <f t="shared" si="435"/>
        <v>0</v>
      </c>
      <c r="CD112" s="182">
        <f t="shared" si="435"/>
        <v>5.3072055521535006E-3</v>
      </c>
      <c r="CE112" s="184">
        <f t="shared" si="429"/>
        <v>1</v>
      </c>
    </row>
    <row r="113" spans="1:83">
      <c r="A113" s="12">
        <v>2009</v>
      </c>
      <c r="B113" s="178">
        <f>IFERROR(B94/$I94,0)</f>
        <v>0</v>
      </c>
      <c r="C113" s="179">
        <f>IFERROR(C94/$I94,0)</f>
        <v>0.39928057553956836</v>
      </c>
      <c r="D113" s="180">
        <f>IFERROR(D94/$I94,0)</f>
        <v>0</v>
      </c>
      <c r="E113" s="181">
        <f>IFERROR(E94/$I94,0)</f>
        <v>0</v>
      </c>
      <c r="F113" s="182">
        <f>IFERROR(F94/$I94,0)</f>
        <v>0</v>
      </c>
      <c r="G113" s="177">
        <f>IFERROR(G94/$I94,0)</f>
        <v>0.59757763409525544</v>
      </c>
      <c r="H113" s="182">
        <f>IFERROR(H94/$I94,0)</f>
        <v>3.1417903651762133E-3</v>
      </c>
      <c r="I113" s="183">
        <f>SUM(C113:H113)</f>
        <v>1</v>
      </c>
      <c r="K113" s="12">
        <v>2009</v>
      </c>
      <c r="L113" s="177">
        <f t="shared" ref="L113:S113" si="436">(L9-L49)/($T9-$T49)</f>
        <v>0.64698867024448414</v>
      </c>
      <c r="M113" s="178">
        <f t="shared" si="436"/>
        <v>0</v>
      </c>
      <c r="N113" s="179">
        <f t="shared" si="436"/>
        <v>0.35241502683363146</v>
      </c>
      <c r="O113" s="180">
        <f t="shared" si="436"/>
        <v>0</v>
      </c>
      <c r="P113" s="181">
        <f t="shared" si="436"/>
        <v>0</v>
      </c>
      <c r="Q113" s="182">
        <f t="shared" si="436"/>
        <v>0</v>
      </c>
      <c r="R113" s="182">
        <f t="shared" si="436"/>
        <v>0</v>
      </c>
      <c r="S113" s="183">
        <f t="shared" si="436"/>
        <v>7.1556350626118066E-4</v>
      </c>
      <c r="T113" s="184">
        <f t="shared" si="410"/>
        <v>1</v>
      </c>
      <c r="V113" s="12">
        <v>2009</v>
      </c>
      <c r="W113" s="177">
        <f t="shared" ref="W113:AD113" si="437">(W9-W49)/($AE9-$AE49)</f>
        <v>0.57882328823288232</v>
      </c>
      <c r="X113" s="178">
        <f t="shared" si="437"/>
        <v>0</v>
      </c>
      <c r="Y113" s="179">
        <f t="shared" si="437"/>
        <v>0.41656416564165644</v>
      </c>
      <c r="Z113" s="180">
        <f t="shared" si="437"/>
        <v>0</v>
      </c>
      <c r="AA113" s="181">
        <f t="shared" si="437"/>
        <v>0</v>
      </c>
      <c r="AB113" s="182">
        <f t="shared" si="437"/>
        <v>0</v>
      </c>
      <c r="AC113" s="182">
        <f t="shared" si="437"/>
        <v>0</v>
      </c>
      <c r="AD113" s="183">
        <f t="shared" si="437"/>
        <v>4.6125461254612546E-3</v>
      </c>
      <c r="AE113" s="184">
        <f t="shared" si="412"/>
        <v>1</v>
      </c>
      <c r="AG113" s="12">
        <v>2009</v>
      </c>
      <c r="AH113" s="177">
        <f t="shared" ref="AH113:AO113" si="438">(AH9-AH49)/($AP9-$AP49)</f>
        <v>0.53717277486910997</v>
      </c>
      <c r="AI113" s="178">
        <f t="shared" si="438"/>
        <v>0</v>
      </c>
      <c r="AJ113" s="179">
        <f t="shared" si="438"/>
        <v>0.45811518324607331</v>
      </c>
      <c r="AK113" s="180">
        <f t="shared" si="438"/>
        <v>0</v>
      </c>
      <c r="AL113" s="181">
        <f t="shared" si="438"/>
        <v>0</v>
      </c>
      <c r="AM113" s="182">
        <f t="shared" si="438"/>
        <v>0</v>
      </c>
      <c r="AN113" s="182">
        <f t="shared" si="438"/>
        <v>0</v>
      </c>
      <c r="AO113" s="183">
        <f t="shared" si="438"/>
        <v>4.7120418848167539E-3</v>
      </c>
      <c r="AP113" s="184">
        <f t="shared" si="421"/>
        <v>1</v>
      </c>
      <c r="AR113" s="12">
        <v>2009</v>
      </c>
      <c r="AS113" s="177">
        <f t="shared" ref="AS113:AZ113" si="439">IFERROR((AS9-AS49)/($BA9-$BA49),0)</f>
        <v>0</v>
      </c>
      <c r="AT113" s="178">
        <f t="shared" si="439"/>
        <v>0</v>
      </c>
      <c r="AU113" s="179">
        <f t="shared" si="439"/>
        <v>0</v>
      </c>
      <c r="AV113" s="180">
        <f t="shared" si="439"/>
        <v>0</v>
      </c>
      <c r="AW113" s="181">
        <f t="shared" si="439"/>
        <v>0</v>
      </c>
      <c r="AX113" s="182">
        <f t="shared" si="439"/>
        <v>0</v>
      </c>
      <c r="AY113" s="182">
        <f t="shared" si="439"/>
        <v>0</v>
      </c>
      <c r="AZ113" s="183">
        <f t="shared" si="439"/>
        <v>0</v>
      </c>
      <c r="BA113" s="184">
        <f t="shared" si="423"/>
        <v>0</v>
      </c>
      <c r="BC113" s="12">
        <v>2009</v>
      </c>
      <c r="BD113" s="177">
        <f t="shared" si="424"/>
        <v>0.59757763409525544</v>
      </c>
      <c r="BE113" s="178">
        <f t="shared" si="424"/>
        <v>0</v>
      </c>
      <c r="BF113" s="179">
        <f t="shared" si="424"/>
        <v>0.39928057553956836</v>
      </c>
      <c r="BG113" s="180">
        <f t="shared" si="424"/>
        <v>0</v>
      </c>
      <c r="BH113" s="181">
        <f t="shared" si="424"/>
        <v>0</v>
      </c>
      <c r="BI113" s="182">
        <f t="shared" si="424"/>
        <v>0</v>
      </c>
      <c r="BJ113" s="182">
        <f t="shared" si="424"/>
        <v>3.1417903651762133E-3</v>
      </c>
      <c r="BK113" s="184">
        <f t="shared" si="425"/>
        <v>1</v>
      </c>
      <c r="BM113" s="12">
        <v>2009</v>
      </c>
      <c r="BN113" s="177">
        <f t="shared" ref="BN113:BT113" si="440">BN94/$BU94</f>
        <v>0.61256758970997871</v>
      </c>
      <c r="BO113" s="178">
        <f t="shared" si="440"/>
        <v>0</v>
      </c>
      <c r="BP113" s="179">
        <f t="shared" si="440"/>
        <v>0.38546616418155005</v>
      </c>
      <c r="BQ113" s="180">
        <f t="shared" si="440"/>
        <v>0</v>
      </c>
      <c r="BR113" s="181">
        <f t="shared" si="440"/>
        <v>0</v>
      </c>
      <c r="BS113" s="182">
        <f t="shared" si="440"/>
        <v>0</v>
      </c>
      <c r="BT113" s="182">
        <f t="shared" si="440"/>
        <v>1.9662461084712438E-3</v>
      </c>
      <c r="BU113" s="184">
        <f t="shared" si="427"/>
        <v>1</v>
      </c>
      <c r="BW113" s="12">
        <v>2009</v>
      </c>
      <c r="BX113" s="177">
        <f t="shared" ref="BX113:CD113" si="441">BX94/$CE94</f>
        <v>0.57882328823288232</v>
      </c>
      <c r="BY113" s="178">
        <f t="shared" si="441"/>
        <v>0</v>
      </c>
      <c r="BZ113" s="179">
        <f t="shared" si="441"/>
        <v>0.41656416564165644</v>
      </c>
      <c r="CA113" s="180">
        <f t="shared" si="441"/>
        <v>0</v>
      </c>
      <c r="CB113" s="181">
        <f t="shared" si="441"/>
        <v>0</v>
      </c>
      <c r="CC113" s="182">
        <f t="shared" si="441"/>
        <v>0</v>
      </c>
      <c r="CD113" s="182">
        <f t="shared" si="441"/>
        <v>4.6125461254612546E-3</v>
      </c>
      <c r="CE113" s="184">
        <f t="shared" si="429"/>
        <v>1</v>
      </c>
    </row>
    <row r="114" spans="1:83">
      <c r="A114" s="12">
        <v>2010</v>
      </c>
      <c r="B114" s="178">
        <f>IFERROR(B95/$I95,0)</f>
        <v>0</v>
      </c>
      <c r="C114" s="179">
        <f>IFERROR(C95/$I95,0)</f>
        <v>0.4022809188229598</v>
      </c>
      <c r="D114" s="180">
        <f>IFERROR(D95/$I95,0)</f>
        <v>0</v>
      </c>
      <c r="E114" s="181">
        <f>IFERROR(E95/$I95,0)</f>
        <v>0</v>
      </c>
      <c r="F114" s="182">
        <f>IFERROR(F95/$I95,0)</f>
        <v>0</v>
      </c>
      <c r="G114" s="177">
        <f>IFERROR(G95/$I95,0)</f>
        <v>0.5954058852009253</v>
      </c>
      <c r="H114" s="182">
        <f>IFERROR(H95/$I95,0)</f>
        <v>2.3131959761149069E-3</v>
      </c>
      <c r="I114" s="183">
        <f>SUM(C114:H114)</f>
        <v>1</v>
      </c>
      <c r="K114" s="12">
        <v>2010</v>
      </c>
      <c r="L114" s="177">
        <f t="shared" ref="L114:S114" si="442">(L10-L50)/($T10-$T50)</f>
        <v>0.63837594696969702</v>
      </c>
      <c r="M114" s="178">
        <f t="shared" si="442"/>
        <v>0</v>
      </c>
      <c r="N114" s="179">
        <f t="shared" si="442"/>
        <v>0.36115056818181818</v>
      </c>
      <c r="O114" s="180">
        <f t="shared" si="442"/>
        <v>0</v>
      </c>
      <c r="P114" s="181">
        <f t="shared" si="442"/>
        <v>0</v>
      </c>
      <c r="Q114" s="182">
        <f t="shared" si="442"/>
        <v>0</v>
      </c>
      <c r="R114" s="182">
        <f t="shared" si="442"/>
        <v>0</v>
      </c>
      <c r="S114" s="183">
        <f t="shared" si="442"/>
        <v>3.5511363636363637E-4</v>
      </c>
      <c r="T114" s="184">
        <f t="shared" si="410"/>
        <v>1</v>
      </c>
      <c r="V114" s="12">
        <v>2010</v>
      </c>
      <c r="W114" s="177">
        <f t="shared" ref="W114:AD114" si="443">(W10-W50)/($AE10-$AE50)</f>
        <v>0.58409199808337331</v>
      </c>
      <c r="X114" s="178">
        <f t="shared" si="443"/>
        <v>0</v>
      </c>
      <c r="Y114" s="179">
        <f t="shared" si="443"/>
        <v>0.41686631528509821</v>
      </c>
      <c r="Z114" s="180">
        <f t="shared" si="443"/>
        <v>0</v>
      </c>
      <c r="AA114" s="181">
        <f t="shared" si="443"/>
        <v>0</v>
      </c>
      <c r="AB114" s="182">
        <f t="shared" si="443"/>
        <v>-4.7915668423574509E-3</v>
      </c>
      <c r="AC114" s="182">
        <f t="shared" si="443"/>
        <v>0</v>
      </c>
      <c r="AD114" s="183">
        <f t="shared" si="443"/>
        <v>3.9929723686312089E-3</v>
      </c>
      <c r="AE114" s="184">
        <f t="shared" si="412"/>
        <v>1</v>
      </c>
      <c r="AG114" s="12">
        <v>2010</v>
      </c>
      <c r="AH114" s="177">
        <f t="shared" ref="AH114:AO114" si="444">(AH10-AH50)/($AP10-$AP50)</f>
        <v>0.52144702842377266</v>
      </c>
      <c r="AI114" s="178">
        <f t="shared" si="444"/>
        <v>0</v>
      </c>
      <c r="AJ114" s="179">
        <f t="shared" si="444"/>
        <v>0.46950904392764858</v>
      </c>
      <c r="AK114" s="180">
        <f t="shared" si="444"/>
        <v>0</v>
      </c>
      <c r="AL114" s="181">
        <f t="shared" si="444"/>
        <v>0</v>
      </c>
      <c r="AM114" s="182">
        <f t="shared" si="444"/>
        <v>5.1679586563307496E-3</v>
      </c>
      <c r="AN114" s="182">
        <f t="shared" si="444"/>
        <v>0</v>
      </c>
      <c r="AO114" s="183">
        <f t="shared" si="444"/>
        <v>3.875968992248062E-3</v>
      </c>
      <c r="AP114" s="184">
        <f t="shared" si="421"/>
        <v>1</v>
      </c>
      <c r="AR114" s="12">
        <v>2010</v>
      </c>
      <c r="AS114" s="177">
        <f t="shared" ref="AS114:AZ114" si="445">IFERROR((AS10-AS50)/($BA10-$BA50),0)</f>
        <v>0</v>
      </c>
      <c r="AT114" s="178">
        <f t="shared" si="445"/>
        <v>0</v>
      </c>
      <c r="AU114" s="179">
        <f t="shared" si="445"/>
        <v>0</v>
      </c>
      <c r="AV114" s="180">
        <f t="shared" si="445"/>
        <v>0</v>
      </c>
      <c r="AW114" s="181">
        <f t="shared" si="445"/>
        <v>0</v>
      </c>
      <c r="AX114" s="182">
        <f t="shared" si="445"/>
        <v>0</v>
      </c>
      <c r="AY114" s="182">
        <f t="shared" si="445"/>
        <v>0</v>
      </c>
      <c r="AZ114" s="183">
        <f t="shared" si="445"/>
        <v>0</v>
      </c>
      <c r="BA114" s="184">
        <f t="shared" si="423"/>
        <v>0</v>
      </c>
      <c r="BC114" s="12">
        <v>2010</v>
      </c>
      <c r="BD114" s="177">
        <f t="shared" si="424"/>
        <v>0.59572635771570048</v>
      </c>
      <c r="BE114" s="178">
        <f t="shared" si="424"/>
        <v>0</v>
      </c>
      <c r="BF114" s="179">
        <f t="shared" si="424"/>
        <v>0.40249744335001886</v>
      </c>
      <c r="BG114" s="180">
        <f t="shared" si="424"/>
        <v>0</v>
      </c>
      <c r="BH114" s="181">
        <f t="shared" si="424"/>
        <v>0</v>
      </c>
      <c r="BI114" s="182">
        <f t="shared" si="424"/>
        <v>-5.3824210129716345E-4</v>
      </c>
      <c r="BJ114" s="182">
        <f t="shared" si="424"/>
        <v>2.3144410355778028E-3</v>
      </c>
      <c r="BK114" s="184">
        <f t="shared" si="425"/>
        <v>1</v>
      </c>
      <c r="BM114" s="12">
        <v>2010</v>
      </c>
      <c r="BN114" s="177">
        <f t="shared" ref="BN114:BT114" si="446">BN95/$BU95</f>
        <v>0.60168872290330433</v>
      </c>
      <c r="BO114" s="178">
        <f t="shared" si="446"/>
        <v>0</v>
      </c>
      <c r="BP114" s="179">
        <f t="shared" si="446"/>
        <v>0.3952261102541203</v>
      </c>
      <c r="BQ114" s="180">
        <f t="shared" si="446"/>
        <v>0</v>
      </c>
      <c r="BR114" s="181">
        <f t="shared" si="446"/>
        <v>0</v>
      </c>
      <c r="BS114" s="182">
        <f t="shared" si="446"/>
        <v>1.6237720224080538E-3</v>
      </c>
      <c r="BT114" s="182">
        <f t="shared" si="446"/>
        <v>1.4613948201672485E-3</v>
      </c>
      <c r="BU114" s="184">
        <f t="shared" si="427"/>
        <v>1</v>
      </c>
      <c r="BW114" s="12">
        <v>2010</v>
      </c>
      <c r="BX114" s="177">
        <f t="shared" ref="BX114:CD114" si="447">BX95/$CE95</f>
        <v>0.58399872245289042</v>
      </c>
      <c r="BY114" s="178">
        <f t="shared" si="447"/>
        <v>0</v>
      </c>
      <c r="BZ114" s="179">
        <f t="shared" si="447"/>
        <v>0.41679974449057811</v>
      </c>
      <c r="CA114" s="180">
        <f t="shared" si="447"/>
        <v>0</v>
      </c>
      <c r="CB114" s="181">
        <f t="shared" si="447"/>
        <v>0</v>
      </c>
      <c r="CC114" s="182">
        <f t="shared" si="447"/>
        <v>-4.7908016608112424E-3</v>
      </c>
      <c r="CD114" s="182">
        <f t="shared" si="447"/>
        <v>3.9923347173427019E-3</v>
      </c>
      <c r="CE114" s="184">
        <f t="shared" si="429"/>
        <v>0.99999999999999989</v>
      </c>
    </row>
    <row r="115" spans="1:83">
      <c r="A115" s="12">
        <v>2011</v>
      </c>
      <c r="B115" s="178">
        <f>IFERROR(B96/$I96,0)</f>
        <v>0</v>
      </c>
      <c r="C115" s="179">
        <f>IFERROR(C96/$I96,0)</f>
        <v>0.40133796881584494</v>
      </c>
      <c r="D115" s="180">
        <f>IFERROR(D96/$I96,0)</f>
        <v>0</v>
      </c>
      <c r="E115" s="181">
        <f>IFERROR(E96/$I96,0)</f>
        <v>0</v>
      </c>
      <c r="F115" s="182">
        <f>IFERROR(F96/$I96,0)</f>
        <v>0</v>
      </c>
      <c r="G115" s="177">
        <f>IFERROR(G96/$I96,0)</f>
        <v>0.59671302149178251</v>
      </c>
      <c r="H115" s="182">
        <f>IFERROR(H96/$I96,0)</f>
        <v>1.9490096923725241E-3</v>
      </c>
      <c r="I115" s="183">
        <f>SUM(C115:H115)</f>
        <v>1</v>
      </c>
      <c r="K115" s="12">
        <v>2011</v>
      </c>
      <c r="L115" s="177">
        <f t="shared" ref="L115:S115" si="448">(L11-L51)/($T11-$T51)</f>
        <v>0.62179868969624774</v>
      </c>
      <c r="M115" s="178">
        <f t="shared" si="448"/>
        <v>0</v>
      </c>
      <c r="N115" s="179">
        <f t="shared" si="448"/>
        <v>0.37796307325789158</v>
      </c>
      <c r="O115" s="180">
        <f t="shared" si="448"/>
        <v>0</v>
      </c>
      <c r="P115" s="181">
        <f t="shared" si="448"/>
        <v>0</v>
      </c>
      <c r="Q115" s="182">
        <f t="shared" si="448"/>
        <v>0</v>
      </c>
      <c r="R115" s="182">
        <f t="shared" si="448"/>
        <v>0</v>
      </c>
      <c r="S115" s="183">
        <f t="shared" si="448"/>
        <v>2.3823704586063132E-4</v>
      </c>
      <c r="T115" s="184">
        <f t="shared" si="410"/>
        <v>1</v>
      </c>
      <c r="V115" s="12">
        <v>2011</v>
      </c>
      <c r="W115" s="177">
        <f t="shared" ref="W115:AD115" si="449">(W11-W51)/($AE11-$AE51)</f>
        <v>0.5986029889538661</v>
      </c>
      <c r="X115" s="178">
        <f t="shared" si="449"/>
        <v>0</v>
      </c>
      <c r="Y115" s="179">
        <f t="shared" si="449"/>
        <v>0.397498375568551</v>
      </c>
      <c r="Z115" s="180">
        <f t="shared" si="449"/>
        <v>0</v>
      </c>
      <c r="AA115" s="181">
        <f t="shared" si="449"/>
        <v>0</v>
      </c>
      <c r="AB115" s="182">
        <f t="shared" si="449"/>
        <v>0</v>
      </c>
      <c r="AC115" s="182">
        <f t="shared" si="449"/>
        <v>0</v>
      </c>
      <c r="AD115" s="183">
        <f t="shared" si="449"/>
        <v>3.8986354775828458E-3</v>
      </c>
      <c r="AE115" s="184">
        <f t="shared" si="412"/>
        <v>1</v>
      </c>
      <c r="AG115" s="12">
        <v>2011</v>
      </c>
      <c r="AH115" s="177">
        <f t="shared" ref="AH115:AO115" si="450">(AH11-AH51)/($AP11-$AP51)</f>
        <v>0.51018220793140412</v>
      </c>
      <c r="AI115" s="178">
        <f t="shared" si="450"/>
        <v>0</v>
      </c>
      <c r="AJ115" s="179">
        <f t="shared" si="450"/>
        <v>0.48687031082529475</v>
      </c>
      <c r="AK115" s="180">
        <f t="shared" si="450"/>
        <v>0</v>
      </c>
      <c r="AL115" s="181">
        <f t="shared" si="450"/>
        <v>0</v>
      </c>
      <c r="AM115" s="182">
        <f t="shared" si="450"/>
        <v>0</v>
      </c>
      <c r="AN115" s="182">
        <f t="shared" si="450"/>
        <v>0</v>
      </c>
      <c r="AO115" s="183">
        <f t="shared" si="450"/>
        <v>2.9474812433011792E-3</v>
      </c>
      <c r="AP115" s="184">
        <f t="shared" si="421"/>
        <v>1</v>
      </c>
      <c r="AR115" s="12">
        <v>2011</v>
      </c>
      <c r="AS115" s="177">
        <f t="shared" ref="AS115:AZ115" si="451">IFERROR((AS11-AS51)/($BA11-$BA51),0)</f>
        <v>0.74037089871611983</v>
      </c>
      <c r="AT115" s="178">
        <f t="shared" si="451"/>
        <v>0</v>
      </c>
      <c r="AU115" s="179">
        <f t="shared" si="451"/>
        <v>0.25962910128388017</v>
      </c>
      <c r="AV115" s="180">
        <f t="shared" si="451"/>
        <v>0</v>
      </c>
      <c r="AW115" s="181">
        <f t="shared" si="451"/>
        <v>0</v>
      </c>
      <c r="AX115" s="182">
        <f t="shared" si="451"/>
        <v>0</v>
      </c>
      <c r="AY115" s="182">
        <f t="shared" si="451"/>
        <v>0</v>
      </c>
      <c r="AZ115" s="183">
        <f t="shared" si="451"/>
        <v>0</v>
      </c>
      <c r="BA115" s="184">
        <f t="shared" si="423"/>
        <v>1</v>
      </c>
      <c r="BC115" s="12">
        <v>2011</v>
      </c>
      <c r="BD115" s="177">
        <f t="shared" si="424"/>
        <v>0.59671302149178251</v>
      </c>
      <c r="BE115" s="178">
        <f t="shared" si="424"/>
        <v>0</v>
      </c>
      <c r="BF115" s="179">
        <f t="shared" si="424"/>
        <v>0.40133796881584494</v>
      </c>
      <c r="BG115" s="180">
        <f t="shared" si="424"/>
        <v>0</v>
      </c>
      <c r="BH115" s="181">
        <f t="shared" si="424"/>
        <v>0</v>
      </c>
      <c r="BI115" s="182">
        <f t="shared" si="424"/>
        <v>0</v>
      </c>
      <c r="BJ115" s="182">
        <f t="shared" si="424"/>
        <v>1.9490096923725241E-3</v>
      </c>
      <c r="BK115" s="184">
        <f t="shared" si="425"/>
        <v>1</v>
      </c>
      <c r="BM115" s="12">
        <v>2011</v>
      </c>
      <c r="BN115" s="177">
        <f t="shared" ref="BN115:BT115" si="452">BN96/$BU96</f>
        <v>0.59580604926722791</v>
      </c>
      <c r="BO115" s="178">
        <f t="shared" si="452"/>
        <v>0</v>
      </c>
      <c r="BP115" s="179">
        <f t="shared" si="452"/>
        <v>0.40318054256314312</v>
      </c>
      <c r="BQ115" s="180">
        <f t="shared" si="452"/>
        <v>0</v>
      </c>
      <c r="BR115" s="181">
        <f t="shared" si="452"/>
        <v>0</v>
      </c>
      <c r="BS115" s="182">
        <f t="shared" si="452"/>
        <v>0</v>
      </c>
      <c r="BT115" s="182">
        <f t="shared" si="452"/>
        <v>1.0134081696289367E-3</v>
      </c>
      <c r="BU115" s="184">
        <f t="shared" si="427"/>
        <v>1</v>
      </c>
      <c r="BW115" s="12">
        <v>2011</v>
      </c>
      <c r="BX115" s="177">
        <f t="shared" ref="BX115:CD115" si="453">BX96/$CE96</f>
        <v>0.5986029889538661</v>
      </c>
      <c r="BY115" s="178">
        <f t="shared" si="453"/>
        <v>0</v>
      </c>
      <c r="BZ115" s="179">
        <f t="shared" si="453"/>
        <v>0.397498375568551</v>
      </c>
      <c r="CA115" s="180">
        <f t="shared" si="453"/>
        <v>0</v>
      </c>
      <c r="CB115" s="181">
        <f t="shared" si="453"/>
        <v>0</v>
      </c>
      <c r="CC115" s="182">
        <f t="shared" si="453"/>
        <v>0</v>
      </c>
      <c r="CD115" s="182">
        <f t="shared" si="453"/>
        <v>3.8986354775828458E-3</v>
      </c>
      <c r="CE115" s="184">
        <f t="shared" si="429"/>
        <v>0.99999999999999989</v>
      </c>
    </row>
    <row r="116" spans="1:83">
      <c r="A116" s="12">
        <v>2012</v>
      </c>
      <c r="B116" s="178">
        <f>IFERROR(B97/$I97,0)</f>
        <v>0</v>
      </c>
      <c r="C116" s="179">
        <f>IFERROR(C97/$I97,0)</f>
        <v>0.41240449915110355</v>
      </c>
      <c r="D116" s="180">
        <f>IFERROR(D97/$I97,0)</f>
        <v>0</v>
      </c>
      <c r="E116" s="181">
        <f>IFERROR(E97/$I97,0)</f>
        <v>0</v>
      </c>
      <c r="F116" s="182">
        <f>IFERROR(F97/$I97,0)</f>
        <v>0</v>
      </c>
      <c r="G116" s="177">
        <f>IFERROR(G97/$I97,0)</f>
        <v>0.58595076400679114</v>
      </c>
      <c r="H116" s="182">
        <f>IFERROR(H97/$I97,0)</f>
        <v>1.6447368421052631E-3</v>
      </c>
      <c r="I116" s="183">
        <f>SUM(C116:H116)</f>
        <v>1</v>
      </c>
      <c r="K116" s="12">
        <v>2012</v>
      </c>
      <c r="L116" s="177">
        <f t="shared" ref="L116:S116" si="454">(L12-L52)/($T12-$T52)</f>
        <v>0.60774907749077489</v>
      </c>
      <c r="M116" s="178">
        <f t="shared" si="454"/>
        <v>0</v>
      </c>
      <c r="N116" s="179">
        <f t="shared" si="454"/>
        <v>0.39212792127921281</v>
      </c>
      <c r="O116" s="180">
        <f t="shared" si="454"/>
        <v>0</v>
      </c>
      <c r="P116" s="181">
        <f t="shared" si="454"/>
        <v>0</v>
      </c>
      <c r="Q116" s="182">
        <f t="shared" si="454"/>
        <v>0</v>
      </c>
      <c r="R116" s="182">
        <f t="shared" si="454"/>
        <v>0</v>
      </c>
      <c r="S116" s="183">
        <f t="shared" si="454"/>
        <v>1.2300123001230011E-4</v>
      </c>
      <c r="T116" s="184">
        <f t="shared" si="410"/>
        <v>1</v>
      </c>
      <c r="V116" s="12">
        <v>2012</v>
      </c>
      <c r="W116" s="177">
        <f t="shared" ref="W116:AD116" si="455">(W12-W52)/($AE12-$AE52)</f>
        <v>0.59496124031007747</v>
      </c>
      <c r="X116" s="178">
        <f t="shared" si="455"/>
        <v>0</v>
      </c>
      <c r="Y116" s="179">
        <f t="shared" si="455"/>
        <v>0.40164728682170542</v>
      </c>
      <c r="Z116" s="180">
        <f t="shared" si="455"/>
        <v>0</v>
      </c>
      <c r="AA116" s="181">
        <f t="shared" si="455"/>
        <v>0</v>
      </c>
      <c r="AB116" s="182">
        <f t="shared" si="455"/>
        <v>0</v>
      </c>
      <c r="AC116" s="182">
        <f t="shared" si="455"/>
        <v>0</v>
      </c>
      <c r="AD116" s="183">
        <f t="shared" si="455"/>
        <v>3.3914728682170542E-3</v>
      </c>
      <c r="AE116" s="184">
        <f t="shared" si="412"/>
        <v>1</v>
      </c>
      <c r="AG116" s="12">
        <v>2012</v>
      </c>
      <c r="AH116" s="177">
        <f t="shared" ref="AH116:AO116" si="456">(AH12-AH52)/($AP12-$AP52)</f>
        <v>0.49639519359145529</v>
      </c>
      <c r="AI116" s="178">
        <f t="shared" si="456"/>
        <v>0</v>
      </c>
      <c r="AJ116" s="179">
        <f t="shared" si="456"/>
        <v>0.50120160213618159</v>
      </c>
      <c r="AK116" s="180">
        <f t="shared" si="456"/>
        <v>0</v>
      </c>
      <c r="AL116" s="181">
        <f t="shared" si="456"/>
        <v>0</v>
      </c>
      <c r="AM116" s="182">
        <f t="shared" si="456"/>
        <v>0</v>
      </c>
      <c r="AN116" s="182">
        <f t="shared" si="456"/>
        <v>0</v>
      </c>
      <c r="AO116" s="183">
        <f t="shared" si="456"/>
        <v>2.4032042723631511E-3</v>
      </c>
      <c r="AP116" s="184">
        <f t="shared" si="421"/>
        <v>1</v>
      </c>
      <c r="AR116" s="12">
        <v>2012</v>
      </c>
      <c r="AS116" s="177">
        <f t="shared" ref="AS116:AZ116" si="457">IFERROR((AS12-AS52)/($BA12-$BA52),0)</f>
        <v>0.71702944942381563</v>
      </c>
      <c r="AT116" s="178">
        <f t="shared" si="457"/>
        <v>0</v>
      </c>
      <c r="AU116" s="179">
        <f t="shared" si="457"/>
        <v>0.28297055057618437</v>
      </c>
      <c r="AV116" s="180">
        <f t="shared" si="457"/>
        <v>0</v>
      </c>
      <c r="AW116" s="181">
        <f t="shared" si="457"/>
        <v>0</v>
      </c>
      <c r="AX116" s="182">
        <f t="shared" si="457"/>
        <v>0</v>
      </c>
      <c r="AY116" s="182">
        <f t="shared" si="457"/>
        <v>0</v>
      </c>
      <c r="AZ116" s="183">
        <f t="shared" si="457"/>
        <v>0</v>
      </c>
      <c r="BA116" s="184">
        <f t="shared" si="423"/>
        <v>1</v>
      </c>
      <c r="BC116" s="12">
        <v>2012</v>
      </c>
      <c r="BD116" s="177">
        <f t="shared" si="424"/>
        <v>0.58595076400679114</v>
      </c>
      <c r="BE116" s="178">
        <f t="shared" si="424"/>
        <v>0</v>
      </c>
      <c r="BF116" s="179">
        <f t="shared" si="424"/>
        <v>0.41240449915110355</v>
      </c>
      <c r="BG116" s="180">
        <f t="shared" si="424"/>
        <v>0</v>
      </c>
      <c r="BH116" s="181">
        <f t="shared" si="424"/>
        <v>0</v>
      </c>
      <c r="BI116" s="182">
        <f t="shared" si="424"/>
        <v>0</v>
      </c>
      <c r="BJ116" s="182">
        <f t="shared" si="424"/>
        <v>1.6447368421052631E-3</v>
      </c>
      <c r="BK116" s="184">
        <f t="shared" si="425"/>
        <v>1</v>
      </c>
      <c r="BM116" s="12">
        <v>2012</v>
      </c>
      <c r="BN116" s="177">
        <f t="shared" ref="BN116:BT116" si="458">BN97/$BU97</f>
        <v>0.58154235145385591</v>
      </c>
      <c r="BO116" s="178">
        <f t="shared" si="458"/>
        <v>0</v>
      </c>
      <c r="BP116" s="179">
        <f t="shared" si="458"/>
        <v>0.41766750948166875</v>
      </c>
      <c r="BQ116" s="180">
        <f t="shared" si="458"/>
        <v>0</v>
      </c>
      <c r="BR116" s="181">
        <f t="shared" si="458"/>
        <v>0</v>
      </c>
      <c r="BS116" s="182">
        <f t="shared" si="458"/>
        <v>0</v>
      </c>
      <c r="BT116" s="182">
        <f t="shared" si="458"/>
        <v>7.9013906447534762E-4</v>
      </c>
      <c r="BU116" s="184">
        <f t="shared" si="427"/>
        <v>1</v>
      </c>
      <c r="BW116" s="12">
        <v>2012</v>
      </c>
      <c r="BX116" s="177">
        <f t="shared" ref="BX116:CD116" si="459">BX97/$CE97</f>
        <v>0.59496124031007747</v>
      </c>
      <c r="BY116" s="178">
        <f t="shared" si="459"/>
        <v>0</v>
      </c>
      <c r="BZ116" s="179">
        <f t="shared" si="459"/>
        <v>0.40164728682170542</v>
      </c>
      <c r="CA116" s="180">
        <f t="shared" si="459"/>
        <v>0</v>
      </c>
      <c r="CB116" s="181">
        <f t="shared" si="459"/>
        <v>0</v>
      </c>
      <c r="CC116" s="182">
        <f t="shared" si="459"/>
        <v>0</v>
      </c>
      <c r="CD116" s="182">
        <f t="shared" si="459"/>
        <v>3.3914728682170542E-3</v>
      </c>
      <c r="CE116" s="184">
        <f t="shared" si="429"/>
        <v>0.99999999999999989</v>
      </c>
    </row>
    <row r="117" spans="1:83">
      <c r="A117" s="12">
        <v>2013</v>
      </c>
      <c r="B117" s="178">
        <f>IFERROR(B98/$I98,0)</f>
        <v>0</v>
      </c>
      <c r="C117" s="179">
        <f>IFERROR(C98/$I98,0)</f>
        <v>0.43281660676929679</v>
      </c>
      <c r="D117" s="180">
        <f>IFERROR(D98/$I98,0)</f>
        <v>0</v>
      </c>
      <c r="E117" s="181">
        <f>IFERROR(E98/$I98,0)</f>
        <v>0</v>
      </c>
      <c r="F117" s="182">
        <f>IFERROR(F98/$I98,0)</f>
        <v>0</v>
      </c>
      <c r="G117" s="177">
        <f>IFERROR(G98/$I98,0)</f>
        <v>0.56535965241645658</v>
      </c>
      <c r="H117" s="182">
        <f>IFERROR(H98/$I98,0)</f>
        <v>1.8237408142466342E-3</v>
      </c>
      <c r="I117" s="183">
        <f>SUM(C117:H117)</f>
        <v>1</v>
      </c>
      <c r="K117" s="12">
        <v>2013</v>
      </c>
      <c r="L117" s="177">
        <f t="shared" ref="L117:S117" si="460">(L13-L53)/($T13-$T53)</f>
        <v>0.58754187864499319</v>
      </c>
      <c r="M117" s="178">
        <f t="shared" si="460"/>
        <v>0</v>
      </c>
      <c r="N117" s="179">
        <f t="shared" si="460"/>
        <v>0.41220995160689911</v>
      </c>
      <c r="O117" s="180">
        <f t="shared" si="460"/>
        <v>0</v>
      </c>
      <c r="P117" s="181">
        <f t="shared" si="460"/>
        <v>0</v>
      </c>
      <c r="Q117" s="182">
        <f t="shared" si="460"/>
        <v>0</v>
      </c>
      <c r="R117" s="182">
        <f t="shared" si="460"/>
        <v>0</v>
      </c>
      <c r="S117" s="183">
        <f t="shared" si="460"/>
        <v>2.4816974810770568E-4</v>
      </c>
      <c r="T117" s="184">
        <f t="shared" si="410"/>
        <v>1</v>
      </c>
      <c r="V117" s="12">
        <v>2013</v>
      </c>
      <c r="W117" s="177">
        <f t="shared" ref="W117:AD117" si="461">(W13-W53)/($AE13-$AE53)</f>
        <v>0.57259780651497794</v>
      </c>
      <c r="X117" s="178">
        <f t="shared" si="461"/>
        <v>0</v>
      </c>
      <c r="Y117" s="179">
        <f t="shared" si="461"/>
        <v>0.42380094941889018</v>
      </c>
      <c r="Z117" s="180">
        <f t="shared" si="461"/>
        <v>0</v>
      </c>
      <c r="AA117" s="181">
        <f t="shared" si="461"/>
        <v>0</v>
      </c>
      <c r="AB117" s="182">
        <f t="shared" si="461"/>
        <v>0</v>
      </c>
      <c r="AC117" s="182">
        <f t="shared" si="461"/>
        <v>0</v>
      </c>
      <c r="AD117" s="183">
        <f t="shared" si="461"/>
        <v>3.6012440661319363E-3</v>
      </c>
      <c r="AE117" s="184">
        <f t="shared" si="412"/>
        <v>1</v>
      </c>
      <c r="AG117" s="12">
        <v>2013</v>
      </c>
      <c r="AH117" s="177">
        <f t="shared" ref="AH117:AO117" si="462">(AH13-AH53)/($AP13-$AP53)</f>
        <v>0.4709413369713506</v>
      </c>
      <c r="AI117" s="178">
        <f t="shared" si="462"/>
        <v>0</v>
      </c>
      <c r="AJ117" s="179">
        <f t="shared" si="462"/>
        <v>0.52633015006821282</v>
      </c>
      <c r="AK117" s="180">
        <f t="shared" si="462"/>
        <v>0</v>
      </c>
      <c r="AL117" s="181">
        <f t="shared" si="462"/>
        <v>0</v>
      </c>
      <c r="AM117" s="182">
        <f t="shared" si="462"/>
        <v>0</v>
      </c>
      <c r="AN117" s="182">
        <f t="shared" si="462"/>
        <v>0</v>
      </c>
      <c r="AO117" s="183">
        <f t="shared" si="462"/>
        <v>2.7285129604365621E-3</v>
      </c>
      <c r="AP117" s="184">
        <f t="shared" si="421"/>
        <v>0.99999999999999989</v>
      </c>
      <c r="AR117" s="12">
        <v>2013</v>
      </c>
      <c r="AS117" s="177">
        <f t="shared" ref="AS117:AZ117" si="463">IFERROR((AS13-AS53)/($BA13-$BA53),0)</f>
        <v>0.71728395061728401</v>
      </c>
      <c r="AT117" s="178">
        <f t="shared" si="463"/>
        <v>0</v>
      </c>
      <c r="AU117" s="179">
        <f t="shared" si="463"/>
        <v>0.28271604938271605</v>
      </c>
      <c r="AV117" s="180">
        <f t="shared" si="463"/>
        <v>0</v>
      </c>
      <c r="AW117" s="181">
        <f t="shared" si="463"/>
        <v>0</v>
      </c>
      <c r="AX117" s="182">
        <f t="shared" si="463"/>
        <v>0</v>
      </c>
      <c r="AY117" s="182">
        <f t="shared" si="463"/>
        <v>0</v>
      </c>
      <c r="AZ117" s="183">
        <f t="shared" si="463"/>
        <v>0</v>
      </c>
      <c r="BA117" s="184">
        <f t="shared" si="423"/>
        <v>1</v>
      </c>
      <c r="BC117" s="12">
        <v>2013</v>
      </c>
      <c r="BD117" s="177">
        <f t="shared" si="424"/>
        <v>0.56535965241645658</v>
      </c>
      <c r="BE117" s="178">
        <f t="shared" si="424"/>
        <v>0</v>
      </c>
      <c r="BF117" s="179">
        <f t="shared" si="424"/>
        <v>0.43281660676929679</v>
      </c>
      <c r="BG117" s="180">
        <f t="shared" si="424"/>
        <v>0</v>
      </c>
      <c r="BH117" s="181">
        <f t="shared" si="424"/>
        <v>0</v>
      </c>
      <c r="BI117" s="182">
        <f t="shared" si="424"/>
        <v>0</v>
      </c>
      <c r="BJ117" s="182">
        <f t="shared" si="424"/>
        <v>1.8237408142466342E-3</v>
      </c>
      <c r="BK117" s="184">
        <f t="shared" si="425"/>
        <v>1</v>
      </c>
      <c r="BM117" s="12">
        <v>2013</v>
      </c>
      <c r="BN117" s="177">
        <f t="shared" ref="BN117:BT117" si="464">BN98/$BU98</f>
        <v>0.56183181745651822</v>
      </c>
      <c r="BO117" s="178">
        <f t="shared" si="464"/>
        <v>0</v>
      </c>
      <c r="BP117" s="179">
        <f t="shared" si="464"/>
        <v>0.43721078666028401</v>
      </c>
      <c r="BQ117" s="180">
        <f t="shared" si="464"/>
        <v>0</v>
      </c>
      <c r="BR117" s="181">
        <f t="shared" si="464"/>
        <v>0</v>
      </c>
      <c r="BS117" s="182">
        <f t="shared" si="464"/>
        <v>0</v>
      </c>
      <c r="BT117" s="182">
        <f t="shared" si="464"/>
        <v>9.5739588319770225E-4</v>
      </c>
      <c r="BU117" s="184">
        <f t="shared" si="427"/>
        <v>0.99999999999999989</v>
      </c>
      <c r="BW117" s="12">
        <v>2013</v>
      </c>
      <c r="BX117" s="177">
        <f t="shared" ref="BX117:CD117" si="465">BX98/$CE98</f>
        <v>0.57259780651497794</v>
      </c>
      <c r="BY117" s="178">
        <f t="shared" si="465"/>
        <v>0</v>
      </c>
      <c r="BZ117" s="179">
        <f t="shared" si="465"/>
        <v>0.42380094941889018</v>
      </c>
      <c r="CA117" s="180">
        <f t="shared" si="465"/>
        <v>0</v>
      </c>
      <c r="CB117" s="181">
        <f t="shared" si="465"/>
        <v>0</v>
      </c>
      <c r="CC117" s="182">
        <f t="shared" si="465"/>
        <v>0</v>
      </c>
      <c r="CD117" s="182">
        <f t="shared" si="465"/>
        <v>3.6012440661319363E-3</v>
      </c>
      <c r="CE117" s="184">
        <f t="shared" si="429"/>
        <v>1</v>
      </c>
    </row>
    <row r="118" spans="1:83">
      <c r="A118" s="12">
        <v>2014</v>
      </c>
      <c r="B118" s="178">
        <f>IFERROR(B99/$I99,0)</f>
        <v>0</v>
      </c>
      <c r="C118" s="179">
        <f>IFERROR(C99/$I99,0)</f>
        <v>0.45531892123287671</v>
      </c>
      <c r="D118" s="180">
        <f>IFERROR(D99/$I99,0)</f>
        <v>0</v>
      </c>
      <c r="E118" s="181">
        <f>IFERROR(E99/$I99,0)</f>
        <v>0</v>
      </c>
      <c r="F118" s="182">
        <f>IFERROR(F99/$I99,0)</f>
        <v>0</v>
      </c>
      <c r="G118" s="177">
        <f>IFERROR(G99/$I99,0)</f>
        <v>0.54259417808219179</v>
      </c>
      <c r="H118" s="182">
        <f>IFERROR(H99/$I99,0)</f>
        <v>2.086900684931507E-3</v>
      </c>
      <c r="I118" s="183">
        <f>SUM(C118:H118)</f>
        <v>1</v>
      </c>
      <c r="K118" s="12">
        <v>2014</v>
      </c>
      <c r="L118" s="177">
        <f t="shared" ref="L118:S118" si="466">(L14-L54)/($T14-$T54)</f>
        <v>0.5632226322263223</v>
      </c>
      <c r="M118" s="178">
        <f t="shared" si="466"/>
        <v>0</v>
      </c>
      <c r="N118" s="179">
        <f t="shared" si="466"/>
        <v>0.43628536285362851</v>
      </c>
      <c r="O118" s="180">
        <f t="shared" si="466"/>
        <v>0</v>
      </c>
      <c r="P118" s="181">
        <f t="shared" si="466"/>
        <v>0</v>
      </c>
      <c r="Q118" s="182">
        <f t="shared" si="466"/>
        <v>0</v>
      </c>
      <c r="R118" s="182">
        <f t="shared" si="466"/>
        <v>0</v>
      </c>
      <c r="S118" s="183">
        <f t="shared" si="466"/>
        <v>4.9200492004920044E-4</v>
      </c>
      <c r="T118" s="184">
        <f t="shared" si="410"/>
        <v>1</v>
      </c>
      <c r="V118" s="12">
        <v>2014</v>
      </c>
      <c r="W118" s="177">
        <f t="shared" ref="W118:AD118" si="467">(W14-W54)/($AE14-$AE54)</f>
        <v>0.55018038701213512</v>
      </c>
      <c r="X118" s="178">
        <f t="shared" si="467"/>
        <v>0</v>
      </c>
      <c r="Y118" s="179">
        <f t="shared" si="467"/>
        <v>0.44604788455231226</v>
      </c>
      <c r="Z118" s="180">
        <f t="shared" si="467"/>
        <v>0</v>
      </c>
      <c r="AA118" s="181">
        <f t="shared" si="467"/>
        <v>0</v>
      </c>
      <c r="AB118" s="182">
        <f t="shared" si="467"/>
        <v>0</v>
      </c>
      <c r="AC118" s="182">
        <f t="shared" si="467"/>
        <v>0</v>
      </c>
      <c r="AD118" s="183">
        <f t="shared" si="467"/>
        <v>3.7717284355526402E-3</v>
      </c>
      <c r="AE118" s="184">
        <f t="shared" si="412"/>
        <v>1</v>
      </c>
      <c r="AG118" s="12">
        <v>2014</v>
      </c>
      <c r="AH118" s="177">
        <f t="shared" ref="AH118:AO118" si="468">(AH14-AH54)/($AP14-$AP54)</f>
        <v>0.4456551348406429</v>
      </c>
      <c r="AI118" s="178">
        <f t="shared" si="468"/>
        <v>0</v>
      </c>
      <c r="AJ118" s="179">
        <f t="shared" si="468"/>
        <v>0.5510760010896214</v>
      </c>
      <c r="AK118" s="180">
        <f t="shared" si="468"/>
        <v>0</v>
      </c>
      <c r="AL118" s="181">
        <f t="shared" si="468"/>
        <v>0</v>
      </c>
      <c r="AM118" s="182">
        <f t="shared" si="468"/>
        <v>0</v>
      </c>
      <c r="AN118" s="182">
        <f t="shared" si="468"/>
        <v>0</v>
      </c>
      <c r="AO118" s="183">
        <f t="shared" si="468"/>
        <v>3.2688640697357669E-3</v>
      </c>
      <c r="AP118" s="184">
        <f t="shared" si="421"/>
        <v>1</v>
      </c>
      <c r="AR118" s="12">
        <v>2014</v>
      </c>
      <c r="AS118" s="177">
        <f t="shared" ref="AS118:AZ118" si="469">IFERROR((AS14-AS54)/($BA14-$BA54),0)</f>
        <v>0.72243346007604559</v>
      </c>
      <c r="AT118" s="178">
        <f t="shared" si="469"/>
        <v>0</v>
      </c>
      <c r="AU118" s="179">
        <f t="shared" si="469"/>
        <v>0.27756653992395436</v>
      </c>
      <c r="AV118" s="180">
        <f t="shared" si="469"/>
        <v>0</v>
      </c>
      <c r="AW118" s="181">
        <f t="shared" si="469"/>
        <v>0</v>
      </c>
      <c r="AX118" s="182">
        <f t="shared" si="469"/>
        <v>0</v>
      </c>
      <c r="AY118" s="182">
        <f t="shared" si="469"/>
        <v>0</v>
      </c>
      <c r="AZ118" s="183">
        <f t="shared" si="469"/>
        <v>0</v>
      </c>
      <c r="BA118" s="184">
        <f t="shared" si="423"/>
        <v>1</v>
      </c>
      <c r="BC118" s="12">
        <v>2014</v>
      </c>
      <c r="BD118" s="177">
        <f t="shared" si="424"/>
        <v>0.54259417808219179</v>
      </c>
      <c r="BE118" s="178">
        <f t="shared" si="424"/>
        <v>0</v>
      </c>
      <c r="BF118" s="179">
        <f t="shared" si="424"/>
        <v>0.45531892123287671</v>
      </c>
      <c r="BG118" s="180">
        <f t="shared" si="424"/>
        <v>0</v>
      </c>
      <c r="BH118" s="181">
        <f t="shared" si="424"/>
        <v>0</v>
      </c>
      <c r="BI118" s="182">
        <f t="shared" si="424"/>
        <v>0</v>
      </c>
      <c r="BJ118" s="182">
        <f t="shared" si="424"/>
        <v>2.086900684931507E-3</v>
      </c>
      <c r="BK118" s="184">
        <f t="shared" si="425"/>
        <v>1</v>
      </c>
      <c r="BM118" s="12">
        <v>2014</v>
      </c>
      <c r="BN118" s="177">
        <f t="shared" ref="BN118:BT118" si="470">BN99/$BU99</f>
        <v>0.53891977760127086</v>
      </c>
      <c r="BO118" s="178">
        <f t="shared" si="470"/>
        <v>0</v>
      </c>
      <c r="BP118" s="179">
        <f t="shared" si="470"/>
        <v>0.45980937251787135</v>
      </c>
      <c r="BQ118" s="180">
        <f t="shared" si="470"/>
        <v>0</v>
      </c>
      <c r="BR118" s="181">
        <f t="shared" si="470"/>
        <v>0</v>
      </c>
      <c r="BS118" s="182">
        <f t="shared" si="470"/>
        <v>0</v>
      </c>
      <c r="BT118" s="182">
        <f t="shared" si="470"/>
        <v>1.2708498808578236E-3</v>
      </c>
      <c r="BU118" s="184">
        <f t="shared" si="427"/>
        <v>1</v>
      </c>
      <c r="BW118" s="12">
        <v>2014</v>
      </c>
      <c r="BX118" s="177">
        <f t="shared" ref="BX118:CD118" si="471">BX99/$CE99</f>
        <v>0.55018038701213512</v>
      </c>
      <c r="BY118" s="178">
        <f t="shared" si="471"/>
        <v>0</v>
      </c>
      <c r="BZ118" s="179">
        <f t="shared" si="471"/>
        <v>0.44604788455231226</v>
      </c>
      <c r="CA118" s="180">
        <f t="shared" si="471"/>
        <v>0</v>
      </c>
      <c r="CB118" s="181">
        <f t="shared" si="471"/>
        <v>0</v>
      </c>
      <c r="CC118" s="182">
        <f t="shared" si="471"/>
        <v>0</v>
      </c>
      <c r="CD118" s="182">
        <f t="shared" si="471"/>
        <v>3.7717284355526402E-3</v>
      </c>
      <c r="CE118" s="184">
        <f t="shared" si="429"/>
        <v>1</v>
      </c>
    </row>
    <row r="119" spans="1:83">
      <c r="A119" s="12">
        <v>2015</v>
      </c>
      <c r="B119" s="178">
        <f>IFERROR(B100/$I100,0)</f>
        <v>0</v>
      </c>
      <c r="C119" s="179">
        <f>IFERROR(C100/$I100,0)</f>
        <v>0.47706523543407292</v>
      </c>
      <c r="D119" s="180">
        <f>IFERROR(D100/$I100,0)</f>
        <v>0</v>
      </c>
      <c r="E119" s="181">
        <f>IFERROR(E100/$I100,0)</f>
        <v>0</v>
      </c>
      <c r="F119" s="182">
        <f>IFERROR(F100/$I100,0)</f>
        <v>0</v>
      </c>
      <c r="G119" s="177">
        <f>IFERROR(G100/$I100,0)</f>
        <v>0.52050019365904943</v>
      </c>
      <c r="H119" s="182">
        <f>IFERROR(H100/$I100,0)</f>
        <v>2.4345709068776629E-3</v>
      </c>
      <c r="I119" s="183">
        <f>SUM(C119:H119)</f>
        <v>1</v>
      </c>
      <c r="K119" s="12">
        <v>2015</v>
      </c>
      <c r="L119" s="177">
        <f t="shared" ref="L119:S119" si="472">(L15-L55)/($T15-$T55)</f>
        <v>0.53622067543181229</v>
      </c>
      <c r="M119" s="178">
        <f t="shared" si="472"/>
        <v>0</v>
      </c>
      <c r="N119" s="179">
        <f t="shared" si="472"/>
        <v>0.46261923176076308</v>
      </c>
      <c r="O119" s="180">
        <f t="shared" si="472"/>
        <v>0</v>
      </c>
      <c r="P119" s="181">
        <f t="shared" si="472"/>
        <v>0</v>
      </c>
      <c r="Q119" s="182">
        <f t="shared" si="472"/>
        <v>0</v>
      </c>
      <c r="R119" s="182">
        <f t="shared" si="472"/>
        <v>0</v>
      </c>
      <c r="S119" s="183">
        <f t="shared" si="472"/>
        <v>1.1600928074245939E-3</v>
      </c>
      <c r="T119" s="184">
        <f t="shared" si="410"/>
        <v>1</v>
      </c>
      <c r="V119" s="12">
        <v>2015</v>
      </c>
      <c r="W119" s="177">
        <f t="shared" ref="W119:AD119" si="473">(W15-W55)/($AE15-$AE55)</f>
        <v>0.52862916807005722</v>
      </c>
      <c r="X119" s="178">
        <f t="shared" si="473"/>
        <v>0</v>
      </c>
      <c r="Y119" s="179">
        <f t="shared" si="473"/>
        <v>0.46749747389693497</v>
      </c>
      <c r="Z119" s="180">
        <f t="shared" si="473"/>
        <v>0</v>
      </c>
      <c r="AA119" s="181">
        <f t="shared" si="473"/>
        <v>0</v>
      </c>
      <c r="AB119" s="182">
        <f t="shared" si="473"/>
        <v>0</v>
      </c>
      <c r="AC119" s="182">
        <f t="shared" si="473"/>
        <v>0</v>
      </c>
      <c r="AD119" s="183">
        <f t="shared" si="473"/>
        <v>3.8733580330077466E-3</v>
      </c>
      <c r="AE119" s="184">
        <f t="shared" si="412"/>
        <v>1</v>
      </c>
      <c r="AG119" s="12">
        <v>2015</v>
      </c>
      <c r="AH119" s="177">
        <f t="shared" ref="AH119:AO119" si="474">(AH15-AH55)/($AP15-$AP55)</f>
        <v>0.42151575361907467</v>
      </c>
      <c r="AI119" s="178">
        <f t="shared" si="474"/>
        <v>0</v>
      </c>
      <c r="AJ119" s="179">
        <f t="shared" si="474"/>
        <v>0.57507805847289239</v>
      </c>
      <c r="AK119" s="180">
        <f t="shared" si="474"/>
        <v>0</v>
      </c>
      <c r="AL119" s="181">
        <f t="shared" si="474"/>
        <v>0</v>
      </c>
      <c r="AM119" s="182">
        <f t="shared" si="474"/>
        <v>0</v>
      </c>
      <c r="AN119" s="182">
        <f t="shared" si="474"/>
        <v>0</v>
      </c>
      <c r="AO119" s="183">
        <f t="shared" si="474"/>
        <v>3.4061879080329264E-3</v>
      </c>
      <c r="AP119" s="184">
        <f t="shared" si="421"/>
        <v>1</v>
      </c>
      <c r="AR119" s="12">
        <v>2015</v>
      </c>
      <c r="AS119" s="177">
        <f t="shared" ref="AS119:AZ119" si="475">IFERROR((AS15-AS55)/($BA15-$BA55),0)</f>
        <v>0.72950819672131151</v>
      </c>
      <c r="AT119" s="178">
        <f t="shared" si="475"/>
        <v>0</v>
      </c>
      <c r="AU119" s="179">
        <f t="shared" si="475"/>
        <v>0.27049180327868855</v>
      </c>
      <c r="AV119" s="180">
        <f t="shared" si="475"/>
        <v>0</v>
      </c>
      <c r="AW119" s="181">
        <f t="shared" si="475"/>
        <v>0</v>
      </c>
      <c r="AX119" s="182">
        <f t="shared" si="475"/>
        <v>0</v>
      </c>
      <c r="AY119" s="182">
        <f t="shared" si="475"/>
        <v>0</v>
      </c>
      <c r="AZ119" s="183">
        <f t="shared" si="475"/>
        <v>0</v>
      </c>
      <c r="BA119" s="184">
        <f t="shared" si="423"/>
        <v>1</v>
      </c>
      <c r="BC119" s="12">
        <v>2015</v>
      </c>
      <c r="BD119" s="177">
        <f t="shared" si="424"/>
        <v>0.52050019365904943</v>
      </c>
      <c r="BE119" s="178">
        <f t="shared" si="424"/>
        <v>0</v>
      </c>
      <c r="BF119" s="179">
        <f t="shared" si="424"/>
        <v>0.47706523543407292</v>
      </c>
      <c r="BG119" s="180">
        <f t="shared" si="424"/>
        <v>0</v>
      </c>
      <c r="BH119" s="181">
        <f t="shared" si="424"/>
        <v>0</v>
      </c>
      <c r="BI119" s="182">
        <f t="shared" si="424"/>
        <v>0</v>
      </c>
      <c r="BJ119" s="182">
        <f t="shared" si="424"/>
        <v>2.4345709068776629E-3</v>
      </c>
      <c r="BK119" s="184">
        <f t="shared" si="425"/>
        <v>1</v>
      </c>
      <c r="BM119" s="12">
        <v>2015</v>
      </c>
      <c r="BN119" s="177">
        <f t="shared" ref="BN119:BT119" si="476">BN100/$BU100</f>
        <v>0.51652245570663369</v>
      </c>
      <c r="BO119" s="178">
        <f t="shared" si="476"/>
        <v>0</v>
      </c>
      <c r="BP119" s="179">
        <f t="shared" si="476"/>
        <v>0.48174701277297077</v>
      </c>
      <c r="BQ119" s="180">
        <f t="shared" si="476"/>
        <v>0</v>
      </c>
      <c r="BR119" s="181">
        <f t="shared" si="476"/>
        <v>0</v>
      </c>
      <c r="BS119" s="182">
        <f t="shared" si="476"/>
        <v>0</v>
      </c>
      <c r="BT119" s="182">
        <f t="shared" si="476"/>
        <v>1.73053152039555E-3</v>
      </c>
      <c r="BU119" s="184">
        <f t="shared" si="427"/>
        <v>1</v>
      </c>
      <c r="BW119" s="12">
        <v>2015</v>
      </c>
      <c r="BX119" s="177">
        <f t="shared" ref="BX119:CD119" si="477">BX100/$CE100</f>
        <v>0.52862916807005722</v>
      </c>
      <c r="BY119" s="178">
        <f t="shared" si="477"/>
        <v>0</v>
      </c>
      <c r="BZ119" s="179">
        <f t="shared" si="477"/>
        <v>0.46749747389693497</v>
      </c>
      <c r="CA119" s="180">
        <f t="shared" si="477"/>
        <v>0</v>
      </c>
      <c r="CB119" s="181">
        <f t="shared" si="477"/>
        <v>0</v>
      </c>
      <c r="CC119" s="182">
        <f t="shared" si="477"/>
        <v>0</v>
      </c>
      <c r="CD119" s="182">
        <f t="shared" si="477"/>
        <v>3.8733580330077466E-3</v>
      </c>
      <c r="CE119" s="184">
        <f t="shared" si="429"/>
        <v>0.99999999999999989</v>
      </c>
    </row>
    <row r="120" spans="1:83">
      <c r="A120" s="12">
        <v>2016</v>
      </c>
      <c r="B120" s="178">
        <f>IFERROR(B101/$I101,0)</f>
        <v>0</v>
      </c>
      <c r="C120" s="179">
        <f>IFERROR(C101/$I101,0)</f>
        <v>0.49806284976323717</v>
      </c>
      <c r="D120" s="180">
        <f>IFERROR(D101/$I101,0)</f>
        <v>0</v>
      </c>
      <c r="E120" s="181">
        <f>IFERROR(E101/$I101,0)</f>
        <v>0</v>
      </c>
      <c r="F120" s="182">
        <f>IFERROR(F101/$I101,0)</f>
        <v>0</v>
      </c>
      <c r="G120" s="177">
        <f>IFERROR(G101/$I101,0)</f>
        <v>0.49897761515281963</v>
      </c>
      <c r="H120" s="182">
        <f>IFERROR(H101/$I101,0)</f>
        <v>2.9595350839431767E-3</v>
      </c>
      <c r="I120" s="183">
        <f>SUM(C120:H120)</f>
        <v>1</v>
      </c>
      <c r="K120" s="12">
        <v>2016</v>
      </c>
      <c r="L120" s="177">
        <f t="shared" ref="L120:S120" si="478">(L16-L56)/($T16-$T56)</f>
        <v>0.50997429935136462</v>
      </c>
      <c r="M120" s="178">
        <f t="shared" si="478"/>
        <v>0</v>
      </c>
      <c r="N120" s="179">
        <f t="shared" si="478"/>
        <v>0.48770040386733571</v>
      </c>
      <c r="O120" s="180">
        <f t="shared" si="478"/>
        <v>0</v>
      </c>
      <c r="P120" s="181">
        <f t="shared" si="478"/>
        <v>0</v>
      </c>
      <c r="Q120" s="182">
        <f t="shared" si="478"/>
        <v>0</v>
      </c>
      <c r="R120" s="182">
        <f t="shared" si="478"/>
        <v>0</v>
      </c>
      <c r="S120" s="183">
        <f t="shared" si="478"/>
        <v>2.3252967812997186E-3</v>
      </c>
      <c r="T120" s="184">
        <f t="shared" si="410"/>
        <v>1</v>
      </c>
      <c r="V120" s="12">
        <v>2016</v>
      </c>
      <c r="W120" s="177">
        <f t="shared" ref="W120:AD120" si="479">(W16-W56)/($AE16-$AE56)</f>
        <v>0.50940904588973257</v>
      </c>
      <c r="X120" s="178">
        <f t="shared" si="479"/>
        <v>0</v>
      </c>
      <c r="Y120" s="179">
        <f t="shared" si="479"/>
        <v>0.48679432155827007</v>
      </c>
      <c r="Z120" s="180">
        <f t="shared" si="479"/>
        <v>0</v>
      </c>
      <c r="AA120" s="181">
        <f t="shared" si="479"/>
        <v>0</v>
      </c>
      <c r="AB120" s="182">
        <f t="shared" si="479"/>
        <v>0</v>
      </c>
      <c r="AC120" s="182">
        <f t="shared" si="479"/>
        <v>0</v>
      </c>
      <c r="AD120" s="183">
        <f t="shared" si="479"/>
        <v>3.7966325519973587E-3</v>
      </c>
      <c r="AE120" s="184">
        <f t="shared" si="412"/>
        <v>1</v>
      </c>
      <c r="AG120" s="12">
        <v>2016</v>
      </c>
      <c r="AH120" s="177">
        <f t="shared" ref="AH120:AO120" si="480">(AH16-AH56)/($AP16-$AP56)</f>
        <v>0.39824013624751631</v>
      </c>
      <c r="AI120" s="178">
        <f t="shared" si="480"/>
        <v>0</v>
      </c>
      <c r="AJ120" s="179">
        <f t="shared" si="480"/>
        <v>0.59806982685211463</v>
      </c>
      <c r="AK120" s="180">
        <f t="shared" si="480"/>
        <v>0</v>
      </c>
      <c r="AL120" s="181">
        <f t="shared" si="480"/>
        <v>0</v>
      </c>
      <c r="AM120" s="182">
        <f t="shared" si="480"/>
        <v>0</v>
      </c>
      <c r="AN120" s="182">
        <f t="shared" si="480"/>
        <v>0</v>
      </c>
      <c r="AO120" s="183">
        <f t="shared" si="480"/>
        <v>3.6900369003690036E-3</v>
      </c>
      <c r="AP120" s="184">
        <f t="shared" si="421"/>
        <v>0.99999999999999989</v>
      </c>
      <c r="AR120" s="12">
        <v>2016</v>
      </c>
      <c r="AS120" s="177">
        <f t="shared" ref="AS120:AZ120" si="481">IFERROR((AS16-AS56)/($BA16-$BA56),0)</f>
        <v>0.74158653846153844</v>
      </c>
      <c r="AT120" s="178">
        <f t="shared" si="481"/>
        <v>0</v>
      </c>
      <c r="AU120" s="179">
        <f t="shared" si="481"/>
        <v>0.25841346153846156</v>
      </c>
      <c r="AV120" s="180">
        <f t="shared" si="481"/>
        <v>0</v>
      </c>
      <c r="AW120" s="181">
        <f t="shared" si="481"/>
        <v>0</v>
      </c>
      <c r="AX120" s="182">
        <f t="shared" si="481"/>
        <v>0</v>
      </c>
      <c r="AY120" s="182">
        <f t="shared" si="481"/>
        <v>0</v>
      </c>
      <c r="AZ120" s="183">
        <f t="shared" si="481"/>
        <v>0</v>
      </c>
      <c r="BA120" s="184">
        <f t="shared" si="423"/>
        <v>1</v>
      </c>
      <c r="BC120" s="12">
        <v>2016</v>
      </c>
      <c r="BD120" s="177">
        <f t="shared" si="424"/>
        <v>0.49897761515281963</v>
      </c>
      <c r="BE120" s="178">
        <f t="shared" si="424"/>
        <v>0</v>
      </c>
      <c r="BF120" s="179">
        <f t="shared" si="424"/>
        <v>0.49806284976323717</v>
      </c>
      <c r="BG120" s="180">
        <f t="shared" si="424"/>
        <v>0</v>
      </c>
      <c r="BH120" s="181">
        <f t="shared" si="424"/>
        <v>0</v>
      </c>
      <c r="BI120" s="182">
        <f t="shared" si="424"/>
        <v>0</v>
      </c>
      <c r="BJ120" s="182">
        <f t="shared" si="424"/>
        <v>2.9595350839431767E-3</v>
      </c>
      <c r="BK120" s="184">
        <f t="shared" si="425"/>
        <v>1</v>
      </c>
      <c r="BM120" s="12">
        <v>2016</v>
      </c>
      <c r="BN120" s="177">
        <f t="shared" ref="BN120:BT120" si="482">BN101/$BU101</f>
        <v>0.49393262015008782</v>
      </c>
      <c r="BO120" s="178">
        <f t="shared" si="482"/>
        <v>0</v>
      </c>
      <c r="BP120" s="179">
        <f t="shared" si="482"/>
        <v>0.50351269359731754</v>
      </c>
      <c r="BQ120" s="180">
        <f t="shared" si="482"/>
        <v>0</v>
      </c>
      <c r="BR120" s="181">
        <f t="shared" si="482"/>
        <v>0</v>
      </c>
      <c r="BS120" s="182">
        <f t="shared" si="482"/>
        <v>0</v>
      </c>
      <c r="BT120" s="182">
        <f t="shared" si="482"/>
        <v>2.5546862525946032E-3</v>
      </c>
      <c r="BU120" s="184">
        <f t="shared" si="427"/>
        <v>0.99999999999999989</v>
      </c>
      <c r="BW120" s="12">
        <v>2016</v>
      </c>
      <c r="BX120" s="177">
        <f t="shared" ref="BX120:CD120" si="483">BX101/$CE101</f>
        <v>0.50940904588973257</v>
      </c>
      <c r="BY120" s="178">
        <f t="shared" si="483"/>
        <v>0</v>
      </c>
      <c r="BZ120" s="179">
        <f t="shared" si="483"/>
        <v>0.48679432155827007</v>
      </c>
      <c r="CA120" s="180">
        <f t="shared" si="483"/>
        <v>0</v>
      </c>
      <c r="CB120" s="181">
        <f t="shared" si="483"/>
        <v>0</v>
      </c>
      <c r="CC120" s="182">
        <f t="shared" si="483"/>
        <v>0</v>
      </c>
      <c r="CD120" s="182">
        <f t="shared" si="483"/>
        <v>3.7966325519973587E-3</v>
      </c>
      <c r="CE120" s="184">
        <f t="shared" si="429"/>
        <v>1</v>
      </c>
    </row>
    <row r="121" spans="1:83">
      <c r="A121" s="12">
        <v>2017</v>
      </c>
      <c r="B121" s="178">
        <f>IFERROR(B102/$I102,0)</f>
        <v>0</v>
      </c>
      <c r="C121" s="179">
        <f>IFERROR(C102/$I102,0)</f>
        <v>0.51869209809264305</v>
      </c>
      <c r="D121" s="180">
        <f>IFERROR(D102/$I102,0)</f>
        <v>0</v>
      </c>
      <c r="E121" s="181">
        <f>IFERROR(E102/$I102,0)</f>
        <v>0</v>
      </c>
      <c r="F121" s="182">
        <f>IFERROR(F102/$I102,0)</f>
        <v>0</v>
      </c>
      <c r="G121" s="177">
        <f>IFERROR(G102/$I102,0)</f>
        <v>0.47722070844686648</v>
      </c>
      <c r="H121" s="182">
        <f>IFERROR(H102/$I102,0)</f>
        <v>4.0871934604904629E-3</v>
      </c>
      <c r="I121" s="183">
        <f>SUM(C121:H121)</f>
        <v>1</v>
      </c>
      <c r="K121" s="12">
        <v>2017</v>
      </c>
      <c r="L121" s="177">
        <f t="shared" ref="L121:S121" si="484">(L17-L57)/($T17-$T57)</f>
        <v>0.4824850482118882</v>
      </c>
      <c r="M121" s="178">
        <f t="shared" si="484"/>
        <v>0</v>
      </c>
      <c r="N121" s="179">
        <f t="shared" si="484"/>
        <v>0.51299890150128158</v>
      </c>
      <c r="O121" s="180">
        <f t="shared" si="484"/>
        <v>0</v>
      </c>
      <c r="P121" s="181">
        <f t="shared" si="484"/>
        <v>0</v>
      </c>
      <c r="Q121" s="182">
        <f t="shared" si="484"/>
        <v>0</v>
      </c>
      <c r="R121" s="182">
        <f t="shared" si="484"/>
        <v>4.5160502868302208E-3</v>
      </c>
      <c r="S121" s="183">
        <f t="shared" si="484"/>
        <v>0</v>
      </c>
      <c r="T121" s="184">
        <f t="shared" si="410"/>
        <v>1</v>
      </c>
      <c r="V121" s="12">
        <v>2017</v>
      </c>
      <c r="W121" s="177">
        <f t="shared" ref="W121:AD121" si="485">(W17-W57)/($AE17-$AE57)</f>
        <v>0.49165120593692024</v>
      </c>
      <c r="X121" s="178">
        <f t="shared" si="485"/>
        <v>0</v>
      </c>
      <c r="Y121" s="179">
        <f t="shared" si="485"/>
        <v>0.50430089391128352</v>
      </c>
      <c r="Z121" s="180">
        <f t="shared" si="485"/>
        <v>0</v>
      </c>
      <c r="AA121" s="181">
        <f t="shared" si="485"/>
        <v>0</v>
      </c>
      <c r="AB121" s="182">
        <f t="shared" si="485"/>
        <v>0</v>
      </c>
      <c r="AC121" s="182">
        <f t="shared" si="485"/>
        <v>4.0479001517962554E-3</v>
      </c>
      <c r="AD121" s="183">
        <f t="shared" si="485"/>
        <v>0</v>
      </c>
      <c r="AE121" s="184">
        <f t="shared" si="412"/>
        <v>1</v>
      </c>
      <c r="AG121" s="12">
        <v>2017</v>
      </c>
      <c r="AH121" s="177">
        <f t="shared" ref="AH121:AO121" si="486">(AH17-AH57)/($AP17-$AP57)</f>
        <v>0.37459854014598543</v>
      </c>
      <c r="AI121" s="178">
        <f t="shared" si="486"/>
        <v>0</v>
      </c>
      <c r="AJ121" s="179">
        <f t="shared" si="486"/>
        <v>0.62131386861313864</v>
      </c>
      <c r="AK121" s="180">
        <f t="shared" si="486"/>
        <v>0</v>
      </c>
      <c r="AL121" s="181">
        <f t="shared" si="486"/>
        <v>0</v>
      </c>
      <c r="AM121" s="182">
        <f t="shared" si="486"/>
        <v>0</v>
      </c>
      <c r="AN121" s="182">
        <f t="shared" si="486"/>
        <v>4.0875912408759128E-3</v>
      </c>
      <c r="AO121" s="183">
        <f t="shared" si="486"/>
        <v>0</v>
      </c>
      <c r="AP121" s="184">
        <f t="shared" si="421"/>
        <v>0.99999999999999989</v>
      </c>
      <c r="AR121" s="12">
        <v>2017</v>
      </c>
      <c r="AS121" s="177">
        <f t="shared" ref="AS121:AZ121" si="487">IFERROR((AS17-AS57)/($BA17-$BA57),0)</f>
        <v>0.75466998754669989</v>
      </c>
      <c r="AT121" s="178">
        <f t="shared" si="487"/>
        <v>0</v>
      </c>
      <c r="AU121" s="179">
        <f t="shared" si="487"/>
        <v>0.24533001245330013</v>
      </c>
      <c r="AV121" s="180">
        <f t="shared" si="487"/>
        <v>0</v>
      </c>
      <c r="AW121" s="181">
        <f t="shared" si="487"/>
        <v>0</v>
      </c>
      <c r="AX121" s="182">
        <f t="shared" si="487"/>
        <v>0</v>
      </c>
      <c r="AY121" s="182">
        <f t="shared" si="487"/>
        <v>0</v>
      </c>
      <c r="AZ121" s="183">
        <f t="shared" si="487"/>
        <v>0</v>
      </c>
      <c r="BA121" s="184">
        <f t="shared" si="423"/>
        <v>1</v>
      </c>
      <c r="BC121" s="12">
        <v>2017</v>
      </c>
      <c r="BD121" s="177">
        <f t="shared" si="424"/>
        <v>0.47722070844686648</v>
      </c>
      <c r="BE121" s="178">
        <f t="shared" si="424"/>
        <v>0</v>
      </c>
      <c r="BF121" s="179">
        <f t="shared" si="424"/>
        <v>0.51869209809264305</v>
      </c>
      <c r="BG121" s="180">
        <f t="shared" si="424"/>
        <v>0</v>
      </c>
      <c r="BH121" s="181">
        <f t="shared" si="424"/>
        <v>0</v>
      </c>
      <c r="BI121" s="182">
        <f t="shared" si="424"/>
        <v>0</v>
      </c>
      <c r="BJ121" s="182">
        <f t="shared" si="424"/>
        <v>4.0871934604904629E-3</v>
      </c>
      <c r="BK121" s="184">
        <f t="shared" si="425"/>
        <v>1</v>
      </c>
      <c r="BM121" s="12">
        <v>2017</v>
      </c>
      <c r="BN121" s="177">
        <f t="shared" ref="BN121:BT121" si="488">BN102/$BU102</f>
        <v>0.47033250140890426</v>
      </c>
      <c r="BO121" s="178">
        <f t="shared" si="488"/>
        <v>0</v>
      </c>
      <c r="BP121" s="179">
        <f t="shared" si="488"/>
        <v>0.52556154898961438</v>
      </c>
      <c r="BQ121" s="180">
        <f t="shared" si="488"/>
        <v>0</v>
      </c>
      <c r="BR121" s="181">
        <f t="shared" si="488"/>
        <v>0</v>
      </c>
      <c r="BS121" s="182">
        <f t="shared" si="488"/>
        <v>0</v>
      </c>
      <c r="BT121" s="182">
        <f t="shared" si="488"/>
        <v>4.1059496014813623E-3</v>
      </c>
      <c r="BU121" s="184">
        <f t="shared" si="427"/>
        <v>1</v>
      </c>
      <c r="BW121" s="12">
        <v>2017</v>
      </c>
      <c r="BX121" s="177">
        <f t="shared" ref="BX121:CD121" si="489">BX102/$CE102</f>
        <v>0.49165120593692024</v>
      </c>
      <c r="BY121" s="178">
        <f t="shared" si="489"/>
        <v>0</v>
      </c>
      <c r="BZ121" s="179">
        <f t="shared" si="489"/>
        <v>0.50430089391128352</v>
      </c>
      <c r="CA121" s="180">
        <f t="shared" si="489"/>
        <v>0</v>
      </c>
      <c r="CB121" s="181">
        <f t="shared" si="489"/>
        <v>0</v>
      </c>
      <c r="CC121" s="182">
        <f t="shared" si="489"/>
        <v>0</v>
      </c>
      <c r="CD121" s="182">
        <f t="shared" si="489"/>
        <v>4.0479001517962554E-3</v>
      </c>
      <c r="CE121" s="184">
        <f t="shared" si="429"/>
        <v>1</v>
      </c>
    </row>
    <row r="122" spans="1:83">
      <c r="A122" s="12">
        <v>2018</v>
      </c>
      <c r="B122" s="178">
        <f>IFERROR(B103/$I103,0)</f>
        <v>0</v>
      </c>
      <c r="C122" s="179">
        <f>IFERROR(C103/$I103,0)</f>
        <v>0.50283264431174401</v>
      </c>
      <c r="D122" s="180">
        <f>IFERROR(D103/$I103,0)</f>
        <v>0</v>
      </c>
      <c r="E122" s="181">
        <f>IFERROR(E103/$I103,0)</f>
        <v>0</v>
      </c>
      <c r="F122" s="182">
        <f>IFERROR(F103/$I103,0)</f>
        <v>0</v>
      </c>
      <c r="G122" s="177">
        <f>IFERROR(G103/$I103,0)</f>
        <v>0.49328841933343542</v>
      </c>
      <c r="H122" s="182">
        <f>IFERROR(H103/$I103,0)</f>
        <v>3.878936354820599E-3</v>
      </c>
      <c r="I122" s="183">
        <f>SUM(C122:H122)</f>
        <v>1</v>
      </c>
      <c r="K122" s="12">
        <v>2018</v>
      </c>
      <c r="L122" s="177">
        <f t="shared" ref="L122:S122" si="490">(L18-L58)/($T18-$T58)</f>
        <v>0.50313516024152349</v>
      </c>
      <c r="M122" s="178">
        <f t="shared" si="490"/>
        <v>0</v>
      </c>
      <c r="N122" s="179">
        <f t="shared" si="490"/>
        <v>0.49245239201114721</v>
      </c>
      <c r="O122" s="180">
        <f t="shared" si="490"/>
        <v>0</v>
      </c>
      <c r="P122" s="181">
        <f t="shared" si="490"/>
        <v>0</v>
      </c>
      <c r="Q122" s="182">
        <f t="shared" si="490"/>
        <v>0</v>
      </c>
      <c r="R122" s="182">
        <f t="shared" si="490"/>
        <v>4.4124477473293077E-3</v>
      </c>
      <c r="S122" s="183">
        <f t="shared" si="490"/>
        <v>0</v>
      </c>
      <c r="T122" s="184">
        <f t="shared" si="410"/>
        <v>1</v>
      </c>
      <c r="V122" s="12">
        <v>2018</v>
      </c>
      <c r="W122" s="177">
        <f t="shared" ref="W122:AD122" si="491">(W18-W58)/($AE18-$AE58)</f>
        <v>0.49814366424535916</v>
      </c>
      <c r="X122" s="178">
        <f t="shared" si="491"/>
        <v>0</v>
      </c>
      <c r="Y122" s="179">
        <f t="shared" si="491"/>
        <v>0.49798224374495559</v>
      </c>
      <c r="Z122" s="180">
        <f t="shared" si="491"/>
        <v>0</v>
      </c>
      <c r="AA122" s="181">
        <f t="shared" si="491"/>
        <v>0</v>
      </c>
      <c r="AB122" s="182">
        <f t="shared" si="491"/>
        <v>0</v>
      </c>
      <c r="AC122" s="182">
        <f t="shared" si="491"/>
        <v>3.87409200968523E-3</v>
      </c>
      <c r="AD122" s="183">
        <f t="shared" si="491"/>
        <v>0</v>
      </c>
      <c r="AE122" s="184">
        <f t="shared" si="412"/>
        <v>1</v>
      </c>
      <c r="AG122" s="12">
        <v>2018</v>
      </c>
      <c r="AH122" s="177">
        <f t="shared" ref="AH122:AO122" si="492">(AH18-AH58)/($AP18-$AP58)</f>
        <v>0.37503444475062003</v>
      </c>
      <c r="AI122" s="178">
        <f t="shared" si="492"/>
        <v>0</v>
      </c>
      <c r="AJ122" s="179">
        <f t="shared" si="492"/>
        <v>0.62110774317993933</v>
      </c>
      <c r="AK122" s="180">
        <f t="shared" si="492"/>
        <v>0</v>
      </c>
      <c r="AL122" s="181">
        <f t="shared" si="492"/>
        <v>0</v>
      </c>
      <c r="AM122" s="182">
        <f t="shared" si="492"/>
        <v>0</v>
      </c>
      <c r="AN122" s="182">
        <f t="shared" si="492"/>
        <v>3.8578120694406173E-3</v>
      </c>
      <c r="AO122" s="183">
        <f t="shared" si="492"/>
        <v>0</v>
      </c>
      <c r="AP122" s="184">
        <f t="shared" si="421"/>
        <v>1</v>
      </c>
      <c r="AR122" s="12">
        <v>2018</v>
      </c>
      <c r="AS122" s="177">
        <f t="shared" ref="AS122:AZ122" si="493">IFERROR((AS18-AS58)/($BA18-$BA58),0)</f>
        <v>0.76490924805531546</v>
      </c>
      <c r="AT122" s="178">
        <f t="shared" si="493"/>
        <v>0</v>
      </c>
      <c r="AU122" s="179">
        <f t="shared" si="493"/>
        <v>0.23509075194468454</v>
      </c>
      <c r="AV122" s="180">
        <f t="shared" si="493"/>
        <v>0</v>
      </c>
      <c r="AW122" s="181">
        <f t="shared" si="493"/>
        <v>0</v>
      </c>
      <c r="AX122" s="182">
        <f t="shared" si="493"/>
        <v>0</v>
      </c>
      <c r="AY122" s="182">
        <f t="shared" si="493"/>
        <v>0</v>
      </c>
      <c r="AZ122" s="183">
        <f t="shared" si="493"/>
        <v>0</v>
      </c>
      <c r="BA122" s="184">
        <f t="shared" si="423"/>
        <v>1</v>
      </c>
      <c r="BC122" s="12">
        <v>2018</v>
      </c>
      <c r="BD122" s="177">
        <f t="shared" si="424"/>
        <v>0.49328841933343542</v>
      </c>
      <c r="BE122" s="178">
        <f t="shared" si="424"/>
        <v>0</v>
      </c>
      <c r="BF122" s="179">
        <f t="shared" si="424"/>
        <v>0.50283264431174401</v>
      </c>
      <c r="BG122" s="180">
        <f t="shared" si="424"/>
        <v>0</v>
      </c>
      <c r="BH122" s="181">
        <f t="shared" si="424"/>
        <v>0</v>
      </c>
      <c r="BI122" s="182">
        <f t="shared" si="424"/>
        <v>0</v>
      </c>
      <c r="BJ122" s="182">
        <f t="shared" si="424"/>
        <v>3.878936354820599E-3</v>
      </c>
      <c r="BK122" s="184">
        <f t="shared" si="425"/>
        <v>1</v>
      </c>
      <c r="BM122" s="12">
        <v>2018</v>
      </c>
      <c r="BN122" s="177">
        <f t="shared" ref="BN122:BT122" si="494">BN103/$BU103</f>
        <v>0.49104343931930139</v>
      </c>
      <c r="BO122" s="178">
        <f t="shared" si="494"/>
        <v>0</v>
      </c>
      <c r="BP122" s="179">
        <f t="shared" si="494"/>
        <v>0.50507538438572919</v>
      </c>
      <c r="BQ122" s="180">
        <f t="shared" si="494"/>
        <v>0</v>
      </c>
      <c r="BR122" s="181">
        <f t="shared" si="494"/>
        <v>0</v>
      </c>
      <c r="BS122" s="182">
        <f t="shared" si="494"/>
        <v>0</v>
      </c>
      <c r="BT122" s="182">
        <f t="shared" si="494"/>
        <v>3.8811762949693984E-3</v>
      </c>
      <c r="BU122" s="184">
        <f t="shared" si="427"/>
        <v>1</v>
      </c>
      <c r="BW122" s="12">
        <v>2018</v>
      </c>
      <c r="BX122" s="177">
        <f t="shared" ref="BX122:CD122" si="495">BX103/$CE103</f>
        <v>0.49814366424535916</v>
      </c>
      <c r="BY122" s="178">
        <f t="shared" si="495"/>
        <v>0</v>
      </c>
      <c r="BZ122" s="179">
        <f t="shared" si="495"/>
        <v>0.49798224374495559</v>
      </c>
      <c r="CA122" s="180">
        <f t="shared" si="495"/>
        <v>0</v>
      </c>
      <c r="CB122" s="181">
        <f t="shared" si="495"/>
        <v>0</v>
      </c>
      <c r="CC122" s="182">
        <f t="shared" si="495"/>
        <v>0</v>
      </c>
      <c r="CD122" s="182">
        <f t="shared" si="495"/>
        <v>3.87409200968523E-3</v>
      </c>
      <c r="CE122" s="184">
        <f t="shared" si="429"/>
        <v>1</v>
      </c>
    </row>
    <row r="123" spans="1:83">
      <c r="A123" s="12">
        <v>2019</v>
      </c>
      <c r="B123" s="178">
        <f>IFERROR(B104/$I104,0)</f>
        <v>0</v>
      </c>
      <c r="C123" s="179">
        <f>IFERROR(C104/$I104,0)</f>
        <v>0.51741871267418715</v>
      </c>
      <c r="D123" s="180">
        <f>IFERROR(D104/$I104,0)</f>
        <v>0</v>
      </c>
      <c r="E123" s="181">
        <f>IFERROR(E104/$I104,0)</f>
        <v>0</v>
      </c>
      <c r="F123" s="182">
        <f>IFERROR(F104/$I104,0)</f>
        <v>0</v>
      </c>
      <c r="G123" s="177">
        <f>IFERROR(G104/$I104,0)</f>
        <v>0.47848927228489274</v>
      </c>
      <c r="H123" s="182">
        <f>IFERROR(H104/$I104,0)</f>
        <v>4.0920150409201501E-3</v>
      </c>
      <c r="I123" s="183">
        <f>SUM(C123:H123)</f>
        <v>1</v>
      </c>
      <c r="K123" s="12">
        <v>2019</v>
      </c>
      <c r="L123" s="177">
        <f t="shared" ref="L123:S123" si="496">(L19-L59)/($T19-$T59)</f>
        <v>0.48301792204536909</v>
      </c>
      <c r="M123" s="178">
        <f t="shared" si="496"/>
        <v>0</v>
      </c>
      <c r="N123" s="179">
        <f t="shared" si="496"/>
        <v>0.51234490537661359</v>
      </c>
      <c r="O123" s="180">
        <f t="shared" si="496"/>
        <v>0</v>
      </c>
      <c r="P123" s="181">
        <f t="shared" si="496"/>
        <v>0</v>
      </c>
      <c r="Q123" s="182">
        <f t="shared" si="496"/>
        <v>0</v>
      </c>
      <c r="R123" s="182">
        <f t="shared" si="496"/>
        <v>4.6371725780172957E-3</v>
      </c>
      <c r="S123" s="183">
        <f t="shared" si="496"/>
        <v>0</v>
      </c>
      <c r="T123" s="184">
        <f t="shared" si="410"/>
        <v>1</v>
      </c>
      <c r="V123" s="12">
        <v>2019</v>
      </c>
      <c r="W123" s="177">
        <f t="shared" ref="W123:AD123" si="497">(W19-W59)/($AE19-$AE59)</f>
        <v>0.49183427883788894</v>
      </c>
      <c r="X123" s="178">
        <f t="shared" si="497"/>
        <v>0</v>
      </c>
      <c r="Y123" s="179">
        <f t="shared" si="497"/>
        <v>0.50421179302045727</v>
      </c>
      <c r="Z123" s="180">
        <f t="shared" si="497"/>
        <v>0</v>
      </c>
      <c r="AA123" s="181">
        <f t="shared" si="497"/>
        <v>0</v>
      </c>
      <c r="AB123" s="182">
        <f t="shared" si="497"/>
        <v>0</v>
      </c>
      <c r="AC123" s="182">
        <f t="shared" si="497"/>
        <v>3.9539281416537736E-3</v>
      </c>
      <c r="AD123" s="183">
        <f t="shared" si="497"/>
        <v>0</v>
      </c>
      <c r="AE123" s="184">
        <f t="shared" si="412"/>
        <v>1</v>
      </c>
      <c r="AG123" s="12">
        <v>2019</v>
      </c>
      <c r="AH123" s="177">
        <f t="shared" ref="AH123:AO123" si="498">(AH19-AH59)/($AP19-$AP59)</f>
        <v>0.37448800468110005</v>
      </c>
      <c r="AI123" s="178">
        <f t="shared" si="498"/>
        <v>0</v>
      </c>
      <c r="AJ123" s="179">
        <f t="shared" si="498"/>
        <v>0.62141603276770041</v>
      </c>
      <c r="AK123" s="180">
        <f t="shared" si="498"/>
        <v>0</v>
      </c>
      <c r="AL123" s="181">
        <f t="shared" si="498"/>
        <v>0</v>
      </c>
      <c r="AM123" s="182">
        <f t="shared" si="498"/>
        <v>0</v>
      </c>
      <c r="AN123" s="182">
        <f t="shared" si="498"/>
        <v>4.0959625511995321E-3</v>
      </c>
      <c r="AO123" s="183">
        <f t="shared" si="498"/>
        <v>0</v>
      </c>
      <c r="AP123" s="184">
        <f t="shared" si="421"/>
        <v>0.99999999999999989</v>
      </c>
      <c r="AR123" s="12">
        <v>2019</v>
      </c>
      <c r="AS123" s="177">
        <f t="shared" ref="AS123:AZ123" si="499">IFERROR((AS19-AS59)/($BA19-$BA59),0)</f>
        <v>0.7563218390804598</v>
      </c>
      <c r="AT123" s="178">
        <f t="shared" si="499"/>
        <v>0</v>
      </c>
      <c r="AU123" s="179">
        <f t="shared" si="499"/>
        <v>0.24367816091954023</v>
      </c>
      <c r="AV123" s="180">
        <f t="shared" si="499"/>
        <v>0</v>
      </c>
      <c r="AW123" s="181">
        <f t="shared" si="499"/>
        <v>0</v>
      </c>
      <c r="AX123" s="182">
        <f t="shared" si="499"/>
        <v>0</v>
      </c>
      <c r="AY123" s="182">
        <f t="shared" si="499"/>
        <v>0</v>
      </c>
      <c r="AZ123" s="183">
        <f t="shared" si="499"/>
        <v>0</v>
      </c>
      <c r="BA123" s="184">
        <f t="shared" si="423"/>
        <v>1</v>
      </c>
      <c r="BC123" s="12">
        <v>2019</v>
      </c>
      <c r="BD123" s="177">
        <f t="shared" si="424"/>
        <v>0.47848927228489274</v>
      </c>
      <c r="BE123" s="178">
        <f t="shared" si="424"/>
        <v>0</v>
      </c>
      <c r="BF123" s="179">
        <f t="shared" si="424"/>
        <v>0.51741871267418715</v>
      </c>
      <c r="BG123" s="180">
        <f t="shared" si="424"/>
        <v>0</v>
      </c>
      <c r="BH123" s="181">
        <f t="shared" si="424"/>
        <v>0</v>
      </c>
      <c r="BI123" s="182">
        <f t="shared" si="424"/>
        <v>0</v>
      </c>
      <c r="BJ123" s="182">
        <f t="shared" si="424"/>
        <v>4.0920150409201501E-3</v>
      </c>
      <c r="BK123" s="184">
        <f t="shared" si="425"/>
        <v>1</v>
      </c>
      <c r="BM123" s="12">
        <v>2019</v>
      </c>
      <c r="BN123" s="177">
        <f t="shared" ref="BN123:BT123" si="500">BN104/$BU104</f>
        <v>0.47216108257927775</v>
      </c>
      <c r="BO123" s="178">
        <f t="shared" si="500"/>
        <v>0</v>
      </c>
      <c r="BP123" s="179">
        <f t="shared" si="500"/>
        <v>0.52368142170049725</v>
      </c>
      <c r="BQ123" s="180">
        <f t="shared" si="500"/>
        <v>0</v>
      </c>
      <c r="BR123" s="181">
        <f t="shared" si="500"/>
        <v>0</v>
      </c>
      <c r="BS123" s="182">
        <f t="shared" si="500"/>
        <v>0</v>
      </c>
      <c r="BT123" s="182">
        <f t="shared" si="500"/>
        <v>4.157495720224994E-3</v>
      </c>
      <c r="BU123" s="184">
        <f t="shared" si="427"/>
        <v>0.99999999999999989</v>
      </c>
      <c r="BW123" s="12">
        <v>2019</v>
      </c>
      <c r="BX123" s="177">
        <f t="shared" ref="BX123:CD123" si="501">BX104/$CE104</f>
        <v>0.49183427883788894</v>
      </c>
      <c r="BY123" s="178">
        <f t="shared" si="501"/>
        <v>0</v>
      </c>
      <c r="BZ123" s="179">
        <f t="shared" si="501"/>
        <v>0.50421179302045727</v>
      </c>
      <c r="CA123" s="180">
        <f t="shared" si="501"/>
        <v>0</v>
      </c>
      <c r="CB123" s="181">
        <f t="shared" si="501"/>
        <v>0</v>
      </c>
      <c r="CC123" s="182">
        <f t="shared" si="501"/>
        <v>0</v>
      </c>
      <c r="CD123" s="182">
        <f t="shared" si="501"/>
        <v>3.9539281416537736E-3</v>
      </c>
      <c r="CE123" s="184">
        <f t="shared" si="429"/>
        <v>0.99999999999999989</v>
      </c>
    </row>
    <row r="124" spans="1:83">
      <c r="A124" s="12">
        <v>2020</v>
      </c>
      <c r="B124" s="178">
        <f>IFERROR(B105/$I105,0)</f>
        <v>0</v>
      </c>
      <c r="C124" s="179">
        <f>IFERROR(C105/$I105,0)</f>
        <v>0.5226466713952781</v>
      </c>
      <c r="D124" s="180">
        <f>IFERROR(D105/$I105,0)</f>
        <v>0</v>
      </c>
      <c r="E124" s="181">
        <f>IFERROR(E105/$I105,0)</f>
        <v>0</v>
      </c>
      <c r="F124" s="182">
        <f>IFERROR(F105/$I105,0)</f>
        <v>0</v>
      </c>
      <c r="G124" s="177">
        <f>IFERROR(G105/$I105,0)</f>
        <v>0.47324956935859763</v>
      </c>
      <c r="H124" s="182">
        <f>IFERROR(H105/$I105,0)</f>
        <v>4.1037592461242271E-3</v>
      </c>
      <c r="I124" s="183">
        <f>SUM(C124:H124)</f>
        <v>1</v>
      </c>
      <c r="K124" s="12">
        <v>2020</v>
      </c>
      <c r="L124" s="177">
        <f t="shared" ref="L124:S124" si="502">(L20-L60)/($T20-$T60)</f>
        <v>0.47574925646305194</v>
      </c>
      <c r="M124" s="178">
        <f t="shared" si="502"/>
        <v>0</v>
      </c>
      <c r="N124" s="179">
        <f t="shared" si="502"/>
        <v>0.51956074124914209</v>
      </c>
      <c r="O124" s="180">
        <f t="shared" si="502"/>
        <v>0</v>
      </c>
      <c r="P124" s="181">
        <f t="shared" si="502"/>
        <v>0</v>
      </c>
      <c r="Q124" s="182">
        <f t="shared" si="502"/>
        <v>0</v>
      </c>
      <c r="R124" s="182">
        <f t="shared" si="502"/>
        <v>4.6900022878059939E-3</v>
      </c>
      <c r="S124" s="183">
        <f t="shared" si="502"/>
        <v>0</v>
      </c>
      <c r="T124" s="184">
        <f t="shared" si="410"/>
        <v>1</v>
      </c>
      <c r="V124" s="12">
        <v>2020</v>
      </c>
      <c r="W124" s="177">
        <f t="shared" ref="W124:AD124" si="503">(W20-W60)/($AE20-$AE60)</f>
        <v>0.48962590380383525</v>
      </c>
      <c r="X124" s="178">
        <f t="shared" si="503"/>
        <v>0</v>
      </c>
      <c r="Y124" s="179">
        <f t="shared" si="503"/>
        <v>0.50644451430367809</v>
      </c>
      <c r="Z124" s="180">
        <f t="shared" si="503"/>
        <v>0</v>
      </c>
      <c r="AA124" s="181">
        <f t="shared" si="503"/>
        <v>0</v>
      </c>
      <c r="AB124" s="182">
        <f t="shared" si="503"/>
        <v>0</v>
      </c>
      <c r="AC124" s="182">
        <f t="shared" si="503"/>
        <v>3.9295818924866398E-3</v>
      </c>
      <c r="AD124" s="183">
        <f t="shared" si="503"/>
        <v>0</v>
      </c>
      <c r="AE124" s="184">
        <f t="shared" si="412"/>
        <v>1</v>
      </c>
      <c r="AG124" s="12">
        <v>2020</v>
      </c>
      <c r="AH124" s="177">
        <f t="shared" ref="AH124:AO124" si="504">(AH20-AH60)/($AP20-$AP60)</f>
        <v>0.37460063897763579</v>
      </c>
      <c r="AI124" s="178">
        <f t="shared" si="504"/>
        <v>0</v>
      </c>
      <c r="AJ124" s="179">
        <f t="shared" si="504"/>
        <v>0.62140575079872207</v>
      </c>
      <c r="AK124" s="180">
        <f t="shared" si="504"/>
        <v>0</v>
      </c>
      <c r="AL124" s="181">
        <f t="shared" si="504"/>
        <v>0</v>
      </c>
      <c r="AM124" s="182">
        <f t="shared" si="504"/>
        <v>0</v>
      </c>
      <c r="AN124" s="182">
        <f t="shared" si="504"/>
        <v>3.9936102236421724E-3</v>
      </c>
      <c r="AO124" s="183">
        <f t="shared" si="504"/>
        <v>0</v>
      </c>
      <c r="AP124" s="184">
        <f t="shared" si="421"/>
        <v>1</v>
      </c>
      <c r="AR124" s="12">
        <v>2020</v>
      </c>
      <c r="AS124" s="177">
        <f t="shared" ref="AS124:AZ124" si="505">IFERROR((AS20-AS60)/($BA20-$BA60),0)</f>
        <v>0.75170842824601369</v>
      </c>
      <c r="AT124" s="178">
        <f t="shared" si="505"/>
        <v>0</v>
      </c>
      <c r="AU124" s="179">
        <f t="shared" si="505"/>
        <v>0.24829157175398633</v>
      </c>
      <c r="AV124" s="180">
        <f t="shared" si="505"/>
        <v>0</v>
      </c>
      <c r="AW124" s="181">
        <f t="shared" si="505"/>
        <v>0</v>
      </c>
      <c r="AX124" s="182">
        <f t="shared" si="505"/>
        <v>0</v>
      </c>
      <c r="AY124" s="182">
        <f t="shared" si="505"/>
        <v>0</v>
      </c>
      <c r="AZ124" s="183">
        <f t="shared" si="505"/>
        <v>0</v>
      </c>
      <c r="BA124" s="184">
        <f t="shared" si="423"/>
        <v>1</v>
      </c>
      <c r="BC124" s="12">
        <v>2020</v>
      </c>
      <c r="BD124" s="177">
        <f t="shared" si="424"/>
        <v>0.47324956935859763</v>
      </c>
      <c r="BE124" s="178">
        <f t="shared" si="424"/>
        <v>0</v>
      </c>
      <c r="BF124" s="179">
        <f t="shared" si="424"/>
        <v>0.5226466713952781</v>
      </c>
      <c r="BG124" s="180">
        <f t="shared" si="424"/>
        <v>0</v>
      </c>
      <c r="BH124" s="181">
        <f t="shared" si="424"/>
        <v>0</v>
      </c>
      <c r="BI124" s="182">
        <f t="shared" si="424"/>
        <v>0</v>
      </c>
      <c r="BJ124" s="182">
        <f t="shared" si="424"/>
        <v>4.1037592461242271E-3</v>
      </c>
      <c r="BK124" s="184">
        <f t="shared" si="425"/>
        <v>1</v>
      </c>
      <c r="BM124" s="12">
        <v>2020</v>
      </c>
      <c r="BN124" s="177">
        <f t="shared" ref="BN124:BT125" si="506">BN105/$BU105</f>
        <v>0.46546052631578949</v>
      </c>
      <c r="BO124" s="178">
        <f t="shared" si="506"/>
        <v>0</v>
      </c>
      <c r="BP124" s="179">
        <f t="shared" si="506"/>
        <v>0.5303528708133971</v>
      </c>
      <c r="BQ124" s="180">
        <f t="shared" si="506"/>
        <v>0</v>
      </c>
      <c r="BR124" s="181">
        <f t="shared" si="506"/>
        <v>0</v>
      </c>
      <c r="BS124" s="182">
        <f t="shared" si="506"/>
        <v>0</v>
      </c>
      <c r="BT124" s="182">
        <f t="shared" si="506"/>
        <v>4.1866028708133973E-3</v>
      </c>
      <c r="BU124" s="184">
        <f t="shared" si="427"/>
        <v>1</v>
      </c>
      <c r="BW124" s="12">
        <v>2020</v>
      </c>
      <c r="BX124" s="177">
        <f t="shared" ref="BX124:CD124" si="507">BX105/$CE105</f>
        <v>0.48962590380383525</v>
      </c>
      <c r="BY124" s="178">
        <f t="shared" si="507"/>
        <v>0</v>
      </c>
      <c r="BZ124" s="179">
        <f t="shared" si="507"/>
        <v>0.50644451430367809</v>
      </c>
      <c r="CA124" s="180">
        <f t="shared" si="507"/>
        <v>0</v>
      </c>
      <c r="CB124" s="181">
        <f t="shared" si="507"/>
        <v>0</v>
      </c>
      <c r="CC124" s="182">
        <f t="shared" si="507"/>
        <v>0</v>
      </c>
      <c r="CD124" s="182">
        <f t="shared" si="507"/>
        <v>3.9295818924866398E-3</v>
      </c>
      <c r="CE124" s="184">
        <f t="shared" si="429"/>
        <v>0.99999999999999989</v>
      </c>
    </row>
    <row r="125" spans="1:83">
      <c r="A125" s="12">
        <v>2021</v>
      </c>
      <c r="B125" s="178">
        <f>IFERROR(B106/$I106,0)</f>
        <v>0</v>
      </c>
      <c r="C125" s="179">
        <f>IFERROR(C106/$I106,0)</f>
        <v>0.51796655935195768</v>
      </c>
      <c r="D125" s="180">
        <f>IFERROR(D106/$I106,0)</f>
        <v>0</v>
      </c>
      <c r="E125" s="181">
        <f>IFERROR(E106/$I106,0)</f>
        <v>0</v>
      </c>
      <c r="F125" s="182">
        <f>IFERROR(F106/$I106,0)</f>
        <v>0</v>
      </c>
      <c r="G125" s="177">
        <f>IFERROR(G106/$I106,0)</f>
        <v>0.47793124935091907</v>
      </c>
      <c r="H125" s="182">
        <f>IFERROR(H106/$I106,0)</f>
        <v>4.1021912971232737E-3</v>
      </c>
      <c r="I125" s="183">
        <f>SUM(C125:H125)</f>
        <v>1</v>
      </c>
      <c r="K125" s="12">
        <v>2021</v>
      </c>
      <c r="L125" s="177">
        <f t="shared" ref="L125:S125" si="508">(L21-L61)/($T21-$T61)</f>
        <v>0.48118311891306964</v>
      </c>
      <c r="M125" s="178">
        <f t="shared" si="508"/>
        <v>0</v>
      </c>
      <c r="N125" s="179">
        <f t="shared" si="508"/>
        <v>0.51412769027293492</v>
      </c>
      <c r="O125" s="180">
        <f t="shared" si="508"/>
        <v>0</v>
      </c>
      <c r="P125" s="181">
        <f t="shared" si="508"/>
        <v>0</v>
      </c>
      <c r="Q125" s="182">
        <f t="shared" si="508"/>
        <v>0</v>
      </c>
      <c r="R125" s="182">
        <f t="shared" si="508"/>
        <v>4.6891908139954312E-3</v>
      </c>
      <c r="S125" s="183">
        <f t="shared" si="508"/>
        <v>0</v>
      </c>
      <c r="T125" s="184">
        <f t="shared" si="410"/>
        <v>1</v>
      </c>
      <c r="V125" s="12">
        <v>2021</v>
      </c>
      <c r="W125" s="177">
        <f t="shared" ref="W125:AD125" si="509">(W21-W61)/($AE21-$AE61)</f>
        <v>0.49126462574130469</v>
      </c>
      <c r="X125" s="178">
        <f t="shared" si="509"/>
        <v>0</v>
      </c>
      <c r="Y125" s="179">
        <f t="shared" si="509"/>
        <v>0.50472832184644978</v>
      </c>
      <c r="Z125" s="180">
        <f t="shared" si="509"/>
        <v>0</v>
      </c>
      <c r="AA125" s="181">
        <f t="shared" si="509"/>
        <v>0</v>
      </c>
      <c r="AB125" s="182">
        <f t="shared" si="509"/>
        <v>0</v>
      </c>
      <c r="AC125" s="182">
        <f t="shared" si="509"/>
        <v>4.0070524122455525E-3</v>
      </c>
      <c r="AD125" s="183">
        <f t="shared" si="509"/>
        <v>0</v>
      </c>
      <c r="AE125" s="184">
        <f t="shared" si="412"/>
        <v>1</v>
      </c>
      <c r="AG125" s="12">
        <v>2021</v>
      </c>
      <c r="AH125" s="177">
        <f t="shared" ref="AH125:AO125" si="510">(AH21-AH61)/($AP21-$AP61)</f>
        <v>0.37476459510357818</v>
      </c>
      <c r="AI125" s="178">
        <f t="shared" si="510"/>
        <v>0</v>
      </c>
      <c r="AJ125" s="179">
        <f t="shared" si="510"/>
        <v>0.62119989238633311</v>
      </c>
      <c r="AK125" s="180">
        <f t="shared" si="510"/>
        <v>0</v>
      </c>
      <c r="AL125" s="181">
        <f t="shared" si="510"/>
        <v>0</v>
      </c>
      <c r="AM125" s="182">
        <f t="shared" si="510"/>
        <v>0</v>
      </c>
      <c r="AN125" s="182">
        <f t="shared" si="510"/>
        <v>4.0355125100887809E-3</v>
      </c>
      <c r="AO125" s="183">
        <f t="shared" si="510"/>
        <v>0</v>
      </c>
      <c r="AP125" s="184">
        <f t="shared" si="421"/>
        <v>1</v>
      </c>
      <c r="AR125" s="12">
        <v>2021</v>
      </c>
      <c r="AS125" s="177">
        <f t="shared" ref="AS125:AZ125" si="511">IFERROR((AS21-AS61)/($BA21-$BA61),0)</f>
        <v>0.75532994923857866</v>
      </c>
      <c r="AT125" s="178">
        <f t="shared" si="511"/>
        <v>0</v>
      </c>
      <c r="AU125" s="179">
        <f t="shared" si="511"/>
        <v>0.24467005076142131</v>
      </c>
      <c r="AV125" s="180">
        <f t="shared" si="511"/>
        <v>0</v>
      </c>
      <c r="AW125" s="181">
        <f t="shared" si="511"/>
        <v>0</v>
      </c>
      <c r="AX125" s="182">
        <f t="shared" si="511"/>
        <v>0</v>
      </c>
      <c r="AY125" s="182">
        <f t="shared" si="511"/>
        <v>0</v>
      </c>
      <c r="AZ125" s="183">
        <f t="shared" si="511"/>
        <v>0</v>
      </c>
      <c r="BA125" s="184">
        <f t="shared" si="423"/>
        <v>1</v>
      </c>
      <c r="BC125" s="12">
        <v>2021</v>
      </c>
      <c r="BD125" s="177">
        <f t="shared" si="424"/>
        <v>0.47793124935091907</v>
      </c>
      <c r="BE125" s="178">
        <f t="shared" si="424"/>
        <v>0</v>
      </c>
      <c r="BF125" s="179">
        <f t="shared" si="424"/>
        <v>0.51796655935195768</v>
      </c>
      <c r="BG125" s="180">
        <f t="shared" si="424"/>
        <v>0</v>
      </c>
      <c r="BH125" s="181">
        <f t="shared" si="424"/>
        <v>0</v>
      </c>
      <c r="BI125" s="182">
        <f t="shared" si="424"/>
        <v>0</v>
      </c>
      <c r="BJ125" s="182">
        <f t="shared" si="424"/>
        <v>4.1021912971232737E-3</v>
      </c>
      <c r="BK125" s="184">
        <f t="shared" si="425"/>
        <v>1</v>
      </c>
      <c r="BM125" s="12">
        <v>2021</v>
      </c>
      <c r="BN125" s="177">
        <f>BN106/$BU106</f>
        <v>0.47154159305630233</v>
      </c>
      <c r="BO125" s="178">
        <f t="shared" si="506"/>
        <v>0</v>
      </c>
      <c r="BP125" s="179">
        <f t="shared" si="506"/>
        <v>0.5243106229357094</v>
      </c>
      <c r="BQ125" s="180">
        <f t="shared" si="506"/>
        <v>0</v>
      </c>
      <c r="BR125" s="181">
        <f t="shared" si="506"/>
        <v>0</v>
      </c>
      <c r="BS125" s="182">
        <f t="shared" si="506"/>
        <v>0</v>
      </c>
      <c r="BT125" s="182">
        <f t="shared" si="506"/>
        <v>4.1477840079883251E-3</v>
      </c>
      <c r="BU125" s="184">
        <f t="shared" si="427"/>
        <v>1.0000000000000002</v>
      </c>
      <c r="BW125" s="12">
        <v>2021</v>
      </c>
      <c r="BX125" s="177">
        <f t="shared" ref="BX125:CD125" si="512">BX106/$CE106</f>
        <v>0.49126462574130469</v>
      </c>
      <c r="BY125" s="178">
        <f t="shared" si="512"/>
        <v>0</v>
      </c>
      <c r="BZ125" s="179">
        <f t="shared" si="512"/>
        <v>0.50472832184644978</v>
      </c>
      <c r="CA125" s="180">
        <f t="shared" si="512"/>
        <v>0</v>
      </c>
      <c r="CB125" s="181">
        <f t="shared" si="512"/>
        <v>0</v>
      </c>
      <c r="CC125" s="182">
        <f t="shared" si="512"/>
        <v>0</v>
      </c>
      <c r="CD125" s="182">
        <f t="shared" si="512"/>
        <v>4.0070524122455525E-3</v>
      </c>
      <c r="CE125" s="184">
        <f t="shared" si="429"/>
        <v>1</v>
      </c>
    </row>
    <row r="126" spans="1:83">
      <c r="B126" s="17"/>
      <c r="C126" s="17"/>
      <c r="D126" s="17"/>
      <c r="E126" s="17"/>
      <c r="F126" s="17"/>
      <c r="G126" s="17"/>
      <c r="H126" s="17"/>
      <c r="I126" s="17"/>
    </row>
    <row r="127" spans="1:83">
      <c r="B127" s="17"/>
      <c r="C127" s="17"/>
      <c r="D127" s="17"/>
      <c r="E127" s="17"/>
      <c r="F127" s="17"/>
      <c r="G127" s="17"/>
      <c r="H127" s="17"/>
      <c r="I127" s="17"/>
      <c r="L127" s="538"/>
    </row>
    <row r="128" spans="1:83">
      <c r="B128" s="17"/>
      <c r="C128" s="17"/>
      <c r="D128" s="17"/>
      <c r="E128" s="17"/>
      <c r="F128" s="17"/>
      <c r="G128" s="17"/>
      <c r="H128" s="17"/>
      <c r="I128" s="17"/>
    </row>
    <row r="129" spans="1:9">
      <c r="B129" s="17"/>
      <c r="C129" s="17"/>
      <c r="D129" s="17"/>
      <c r="E129" s="17"/>
      <c r="F129" s="17"/>
      <c r="G129" s="17"/>
      <c r="H129" s="17"/>
      <c r="I129" s="17"/>
    </row>
    <row r="132" spans="1:9" ht="15" customHeight="1"/>
    <row r="133" spans="1:9" s="56" customFormat="1">
      <c r="A133" s="150" t="s">
        <v>580</v>
      </c>
    </row>
    <row r="134" spans="1:9">
      <c r="A134" s="150" t="s">
        <v>509</v>
      </c>
    </row>
    <row r="135" spans="1:9">
      <c r="A135" t="s">
        <v>581</v>
      </c>
    </row>
    <row r="136" spans="1:9">
      <c r="A136" t="s">
        <v>582</v>
      </c>
      <c r="H136" t="s">
        <v>583</v>
      </c>
    </row>
    <row r="137" spans="1:9">
      <c r="A137" s="48" t="s">
        <v>584</v>
      </c>
    </row>
    <row r="138" spans="1:9" ht="35">
      <c r="A138" s="2" t="s">
        <v>496</v>
      </c>
      <c r="B138" s="152" t="s">
        <v>567</v>
      </c>
      <c r="C138" s="153" t="s">
        <v>568</v>
      </c>
      <c r="D138" s="154" t="s">
        <v>569</v>
      </c>
      <c r="E138" s="155" t="s">
        <v>570</v>
      </c>
      <c r="F138" s="156" t="s">
        <v>571</v>
      </c>
      <c r="G138" s="151" t="s">
        <v>566</v>
      </c>
      <c r="H138" s="157" t="s">
        <v>572</v>
      </c>
      <c r="I138" s="158" t="s">
        <v>500</v>
      </c>
    </row>
    <row r="139" spans="1:9">
      <c r="A139" s="12">
        <v>2006</v>
      </c>
      <c r="B139" s="160">
        <v>2849</v>
      </c>
      <c r="C139" s="161">
        <v>3509</v>
      </c>
      <c r="D139" s="162">
        <v>1035</v>
      </c>
      <c r="E139" s="163">
        <v>1770</v>
      </c>
      <c r="F139" s="164">
        <v>1367</v>
      </c>
      <c r="G139" s="159">
        <v>4396</v>
      </c>
      <c r="H139" s="165">
        <v>563</v>
      </c>
      <c r="I139" s="166">
        <v>15489</v>
      </c>
    </row>
    <row r="140" spans="1:9">
      <c r="A140" s="12">
        <v>2007</v>
      </c>
      <c r="B140" s="160">
        <v>2773</v>
      </c>
      <c r="C140" s="161">
        <v>3509</v>
      </c>
      <c r="D140" s="162">
        <v>1009</v>
      </c>
      <c r="E140" s="163">
        <v>1826</v>
      </c>
      <c r="F140" s="164">
        <v>1414</v>
      </c>
      <c r="G140" s="159">
        <v>4402</v>
      </c>
      <c r="H140" s="165">
        <v>589</v>
      </c>
      <c r="I140" s="166">
        <v>15521</v>
      </c>
    </row>
    <row r="141" spans="1:9">
      <c r="A141" s="12">
        <v>2008</v>
      </c>
      <c r="B141" s="160">
        <v>2620</v>
      </c>
      <c r="C141" s="161">
        <v>3567</v>
      </c>
      <c r="D141" s="167">
        <v>952</v>
      </c>
      <c r="E141" s="163">
        <v>1825</v>
      </c>
      <c r="F141" s="164">
        <v>1421</v>
      </c>
      <c r="G141" s="159">
        <v>4467</v>
      </c>
      <c r="H141" s="165">
        <v>599</v>
      </c>
      <c r="I141" s="166">
        <v>15451</v>
      </c>
    </row>
    <row r="142" spans="1:9">
      <c r="A142" s="12">
        <v>2009</v>
      </c>
      <c r="B142" s="160">
        <v>2801</v>
      </c>
      <c r="C142" s="161">
        <v>3566</v>
      </c>
      <c r="D142" s="167">
        <v>963</v>
      </c>
      <c r="E142" s="163">
        <v>1863</v>
      </c>
      <c r="F142" s="164">
        <v>1505</v>
      </c>
      <c r="G142" s="159">
        <v>4546</v>
      </c>
      <c r="H142" s="165">
        <v>671</v>
      </c>
      <c r="I142" s="166">
        <v>15915</v>
      </c>
    </row>
    <row r="143" spans="1:9">
      <c r="A143" s="12">
        <v>2010</v>
      </c>
      <c r="B143" s="160">
        <v>2870</v>
      </c>
      <c r="C143" s="161">
        <v>3557</v>
      </c>
      <c r="D143" s="167">
        <v>947</v>
      </c>
      <c r="E143" s="163">
        <v>1818</v>
      </c>
      <c r="F143" s="164">
        <v>1558</v>
      </c>
      <c r="G143" s="159">
        <v>4661</v>
      </c>
      <c r="H143" s="165">
        <v>742</v>
      </c>
      <c r="I143" s="166">
        <v>16152</v>
      </c>
    </row>
    <row r="144" spans="1:9">
      <c r="A144" s="12">
        <v>2011</v>
      </c>
      <c r="B144" s="160">
        <v>2931</v>
      </c>
      <c r="C144" s="161">
        <v>3565</v>
      </c>
      <c r="D144" s="167">
        <v>942</v>
      </c>
      <c r="E144" s="163">
        <v>1763</v>
      </c>
      <c r="F144" s="164">
        <v>1642</v>
      </c>
      <c r="G144" s="159">
        <v>4740</v>
      </c>
      <c r="H144" s="165">
        <v>841</v>
      </c>
      <c r="I144" s="166">
        <v>16425</v>
      </c>
    </row>
    <row r="145" spans="1:9">
      <c r="A145" s="12">
        <v>2012</v>
      </c>
      <c r="B145" s="160">
        <v>3029</v>
      </c>
      <c r="C145" s="161">
        <v>3549</v>
      </c>
      <c r="D145" s="167">
        <v>970</v>
      </c>
      <c r="E145" s="163">
        <v>1725</v>
      </c>
      <c r="F145" s="164">
        <v>1794</v>
      </c>
      <c r="G145" s="159">
        <v>4804</v>
      </c>
      <c r="H145" s="165">
        <v>995</v>
      </c>
      <c r="I145" s="166">
        <v>16866</v>
      </c>
    </row>
    <row r="146" spans="1:9">
      <c r="A146" s="12">
        <v>2013</v>
      </c>
      <c r="B146" s="160">
        <v>2883</v>
      </c>
      <c r="C146" s="161">
        <v>3661</v>
      </c>
      <c r="D146" s="167">
        <v>823</v>
      </c>
      <c r="E146" s="163">
        <v>1544</v>
      </c>
      <c r="F146" s="164">
        <v>1573</v>
      </c>
      <c r="G146" s="159">
        <v>5085</v>
      </c>
      <c r="H146" s="165">
        <v>1035</v>
      </c>
      <c r="I146" s="166">
        <v>16604</v>
      </c>
    </row>
    <row r="147" spans="1:9">
      <c r="A147" s="12">
        <v>2014</v>
      </c>
      <c r="B147" s="160">
        <v>2496</v>
      </c>
      <c r="C147" s="161">
        <v>3866</v>
      </c>
      <c r="D147" s="167">
        <v>775</v>
      </c>
      <c r="E147" s="163">
        <v>1495</v>
      </c>
      <c r="F147" s="164">
        <v>1489</v>
      </c>
      <c r="G147" s="159">
        <v>5083</v>
      </c>
      <c r="H147" s="165">
        <v>1168</v>
      </c>
      <c r="I147" s="166">
        <v>17371</v>
      </c>
    </row>
    <row r="148" spans="1:9">
      <c r="A148" s="12">
        <v>2015</v>
      </c>
      <c r="B148" s="160">
        <v>3580</v>
      </c>
      <c r="C148" s="161">
        <v>3866</v>
      </c>
      <c r="D148" s="167">
        <v>691</v>
      </c>
      <c r="E148" s="163">
        <v>1349</v>
      </c>
      <c r="F148" s="164">
        <v>1338</v>
      </c>
      <c r="G148" s="159">
        <v>4912</v>
      </c>
      <c r="H148" s="165">
        <v>1235</v>
      </c>
      <c r="I148" s="166">
        <v>16970</v>
      </c>
    </row>
    <row r="149" spans="1:9">
      <c r="A149" s="497">
        <v>2016</v>
      </c>
      <c r="B149" s="160">
        <v>3758</v>
      </c>
      <c r="C149" s="161">
        <v>4079</v>
      </c>
      <c r="D149" s="167">
        <v>633</v>
      </c>
      <c r="E149" s="163">
        <v>1226</v>
      </c>
      <c r="F149" s="164">
        <v>1231</v>
      </c>
      <c r="G149" s="498">
        <v>4942</v>
      </c>
      <c r="H149" s="165">
        <v>1320</v>
      </c>
      <c r="I149" s="166">
        <v>17190</v>
      </c>
    </row>
    <row r="150" spans="1:9">
      <c r="A150" s="499">
        <v>2017</v>
      </c>
      <c r="B150" s="501">
        <v>3821</v>
      </c>
      <c r="C150" s="502">
        <v>4041</v>
      </c>
      <c r="D150" s="503">
        <v>570</v>
      </c>
      <c r="E150" s="504">
        <v>1053</v>
      </c>
      <c r="F150" s="505">
        <v>1080</v>
      </c>
      <c r="G150" s="500">
        <v>4777</v>
      </c>
      <c r="H150" s="506">
        <v>549</v>
      </c>
      <c r="I150" s="507">
        <v>16681</v>
      </c>
    </row>
    <row r="151" spans="1:9">
      <c r="A151" s="499">
        <v>2018</v>
      </c>
      <c r="B151" s="501">
        <v>3767</v>
      </c>
      <c r="C151" s="502">
        <v>4124</v>
      </c>
      <c r="D151" s="503">
        <v>568</v>
      </c>
      <c r="E151" s="504">
        <v>1050</v>
      </c>
      <c r="F151" s="505">
        <v>1076</v>
      </c>
      <c r="G151" s="500">
        <v>4941</v>
      </c>
      <c r="H151" s="506">
        <v>547</v>
      </c>
      <c r="I151" s="507">
        <v>16859</v>
      </c>
    </row>
    <row r="152" spans="1:9">
      <c r="A152" s="499">
        <v>2019</v>
      </c>
      <c r="B152" s="501">
        <v>3819</v>
      </c>
      <c r="C152" s="502">
        <v>3961</v>
      </c>
      <c r="D152" s="503">
        <v>584</v>
      </c>
      <c r="E152" s="504">
        <v>1093</v>
      </c>
      <c r="F152" s="505">
        <v>1106</v>
      </c>
      <c r="G152" s="500">
        <v>4768</v>
      </c>
      <c r="H152" s="506">
        <v>563</v>
      </c>
      <c r="I152" s="507">
        <v>16701</v>
      </c>
    </row>
    <row r="153" spans="1:9">
      <c r="A153" s="499">
        <v>2020</v>
      </c>
      <c r="B153" s="501">
        <v>4280</v>
      </c>
      <c r="C153" s="502">
        <v>4318</v>
      </c>
      <c r="D153" s="503">
        <v>617</v>
      </c>
      <c r="E153" s="504">
        <v>1153</v>
      </c>
      <c r="F153" s="505">
        <v>1169</v>
      </c>
      <c r="G153" s="500">
        <v>5131</v>
      </c>
      <c r="H153" s="506">
        <v>595</v>
      </c>
      <c r="I153" s="507">
        <v>18119</v>
      </c>
    </row>
    <row r="154" spans="1:9">
      <c r="A154" s="499">
        <v>2021</v>
      </c>
      <c r="B154" s="501">
        <v>4466</v>
      </c>
      <c r="C154" s="502">
        <v>4249</v>
      </c>
      <c r="D154" s="503">
        <v>630</v>
      </c>
      <c r="E154" s="504">
        <v>1183</v>
      </c>
      <c r="F154" s="505">
        <v>1193</v>
      </c>
      <c r="G154" s="500">
        <v>5121</v>
      </c>
      <c r="H154" s="506">
        <v>607</v>
      </c>
      <c r="I154" s="507">
        <v>18298</v>
      </c>
    </row>
    <row r="156" spans="1:9">
      <c r="A156" s="150" t="s">
        <v>525</v>
      </c>
    </row>
    <row r="157" spans="1:9">
      <c r="A157" s="48" t="s">
        <v>584</v>
      </c>
    </row>
    <row r="158" spans="1:9" ht="35">
      <c r="A158" s="2" t="s">
        <v>496</v>
      </c>
      <c r="B158" s="152" t="s">
        <v>567</v>
      </c>
      <c r="C158" s="153" t="s">
        <v>568</v>
      </c>
      <c r="D158" s="154" t="s">
        <v>569</v>
      </c>
      <c r="E158" s="155" t="s">
        <v>570</v>
      </c>
      <c r="F158" s="156" t="s">
        <v>571</v>
      </c>
      <c r="G158" s="151" t="s">
        <v>566</v>
      </c>
      <c r="H158" s="157" t="s">
        <v>572</v>
      </c>
      <c r="I158" s="158" t="s">
        <v>500</v>
      </c>
    </row>
    <row r="159" spans="1:9">
      <c r="A159" s="12">
        <v>2006</v>
      </c>
      <c r="B159" s="160">
        <v>2849</v>
      </c>
      <c r="C159" s="161">
        <v>1070</v>
      </c>
      <c r="D159" s="162">
        <v>1035</v>
      </c>
      <c r="E159" s="163">
        <v>1770</v>
      </c>
      <c r="F159" s="164">
        <v>1367</v>
      </c>
      <c r="G159" s="185">
        <v>813</v>
      </c>
      <c r="H159" s="165">
        <v>539</v>
      </c>
      <c r="I159" s="166">
        <v>9442</v>
      </c>
    </row>
    <row r="160" spans="1:9">
      <c r="A160" s="12">
        <v>2007</v>
      </c>
      <c r="B160" s="160">
        <v>2773</v>
      </c>
      <c r="C160" s="161">
        <v>1181</v>
      </c>
      <c r="D160" s="162">
        <v>1009</v>
      </c>
      <c r="E160" s="163">
        <v>1826</v>
      </c>
      <c r="F160" s="164">
        <v>1414</v>
      </c>
      <c r="G160" s="185">
        <v>850</v>
      </c>
      <c r="H160" s="165">
        <v>563</v>
      </c>
      <c r="I160" s="166">
        <v>9615</v>
      </c>
    </row>
    <row r="161" spans="1:9">
      <c r="A161" s="12">
        <v>2008</v>
      </c>
      <c r="B161" s="160">
        <v>2620</v>
      </c>
      <c r="C161" s="161">
        <v>1264</v>
      </c>
      <c r="D161" s="167">
        <v>952</v>
      </c>
      <c r="E161" s="163">
        <v>1825</v>
      </c>
      <c r="F161" s="164">
        <v>1421</v>
      </c>
      <c r="G161" s="185">
        <v>862</v>
      </c>
      <c r="H161" s="165">
        <v>570</v>
      </c>
      <c r="I161" s="166">
        <v>9514</v>
      </c>
    </row>
    <row r="162" spans="1:9">
      <c r="A162" s="12">
        <v>2009</v>
      </c>
      <c r="B162" s="160">
        <v>2801</v>
      </c>
      <c r="C162" s="161">
        <v>1252</v>
      </c>
      <c r="D162" s="167">
        <v>963</v>
      </c>
      <c r="E162" s="163">
        <v>1863</v>
      </c>
      <c r="F162" s="164">
        <v>1505</v>
      </c>
      <c r="G162" s="185">
        <v>951</v>
      </c>
      <c r="H162" s="165">
        <v>644</v>
      </c>
      <c r="I162" s="166">
        <v>9979</v>
      </c>
    </row>
    <row r="163" spans="1:9">
      <c r="A163" s="12">
        <v>2010</v>
      </c>
      <c r="B163" s="160">
        <v>2870</v>
      </c>
      <c r="C163" s="161">
        <v>1187</v>
      </c>
      <c r="D163" s="167">
        <v>947</v>
      </c>
      <c r="E163" s="163">
        <v>1818</v>
      </c>
      <c r="F163" s="164">
        <v>1558</v>
      </c>
      <c r="G163" s="186">
        <v>1004</v>
      </c>
      <c r="H163" s="165">
        <v>717</v>
      </c>
      <c r="I163" s="166">
        <v>10100</v>
      </c>
    </row>
    <row r="164" spans="1:9">
      <c r="A164" s="12">
        <v>2011</v>
      </c>
      <c r="B164" s="160">
        <v>2931</v>
      </c>
      <c r="C164" s="161">
        <v>1118</v>
      </c>
      <c r="D164" s="167">
        <v>942</v>
      </c>
      <c r="E164" s="163">
        <v>1763</v>
      </c>
      <c r="F164" s="164">
        <v>1642</v>
      </c>
      <c r="G164" s="186">
        <v>1055</v>
      </c>
      <c r="H164" s="165">
        <v>817</v>
      </c>
      <c r="I164" s="166">
        <v>10269</v>
      </c>
    </row>
    <row r="165" spans="1:9">
      <c r="A165" s="12">
        <v>2012</v>
      </c>
      <c r="B165" s="160">
        <v>3029</v>
      </c>
      <c r="C165" s="161">
        <v>1062</v>
      </c>
      <c r="D165" s="167">
        <v>970</v>
      </c>
      <c r="E165" s="163">
        <v>1725</v>
      </c>
      <c r="F165" s="164">
        <v>1794</v>
      </c>
      <c r="G165" s="186">
        <v>1120</v>
      </c>
      <c r="H165" s="165">
        <v>974</v>
      </c>
      <c r="I165" s="166">
        <v>10674</v>
      </c>
    </row>
    <row r="166" spans="1:9">
      <c r="A166" s="12">
        <v>2013</v>
      </c>
      <c r="B166" s="160">
        <v>2883</v>
      </c>
      <c r="C166" s="161">
        <v>1072</v>
      </c>
      <c r="D166" s="167">
        <v>823</v>
      </c>
      <c r="E166" s="163">
        <v>1544</v>
      </c>
      <c r="F166" s="164">
        <v>1573</v>
      </c>
      <c r="G166" s="186">
        <v>1587</v>
      </c>
      <c r="H166" s="165">
        <v>10143</v>
      </c>
      <c r="I166" s="166">
        <v>10496</v>
      </c>
    </row>
    <row r="167" spans="1:9">
      <c r="A167" s="12">
        <v>2014</v>
      </c>
      <c r="B167" s="160">
        <v>3496</v>
      </c>
      <c r="C167" s="161">
        <v>1146</v>
      </c>
      <c r="D167" s="167">
        <v>775</v>
      </c>
      <c r="E167" s="163">
        <v>1495</v>
      </c>
      <c r="F167" s="164">
        <v>1489</v>
      </c>
      <c r="G167" s="186">
        <v>1728</v>
      </c>
      <c r="H167" s="165">
        <v>1145</v>
      </c>
      <c r="I167" s="166">
        <v>11272</v>
      </c>
    </row>
    <row r="168" spans="1:9">
      <c r="A168" s="12">
        <v>2015</v>
      </c>
      <c r="B168" s="160">
        <v>3580</v>
      </c>
      <c r="C168" s="161">
        <v>1090</v>
      </c>
      <c r="D168" s="167">
        <v>691</v>
      </c>
      <c r="E168" s="163">
        <v>1349</v>
      </c>
      <c r="F168" s="164">
        <v>1338</v>
      </c>
      <c r="G168" s="186">
        <v>1773</v>
      </c>
      <c r="H168" s="165">
        <v>1212</v>
      </c>
      <c r="I168" s="166">
        <v>11033</v>
      </c>
    </row>
    <row r="169" spans="1:9">
      <c r="A169" s="12">
        <v>2016</v>
      </c>
      <c r="B169" s="160">
        <v>3758</v>
      </c>
      <c r="C169" s="161">
        <v>1130</v>
      </c>
      <c r="D169" s="167">
        <v>633</v>
      </c>
      <c r="E169" s="163">
        <v>1226</v>
      </c>
      <c r="F169" s="164">
        <v>1231</v>
      </c>
      <c r="G169" s="186">
        <v>1856</v>
      </c>
      <c r="H169" s="165">
        <v>1297</v>
      </c>
      <c r="I169" s="166">
        <v>11131</v>
      </c>
    </row>
    <row r="170" spans="1:9">
      <c r="A170" s="12">
        <v>2017</v>
      </c>
      <c r="B170" s="160">
        <v>3829</v>
      </c>
      <c r="C170" s="161">
        <v>1053</v>
      </c>
      <c r="D170" s="167">
        <v>571</v>
      </c>
      <c r="E170" s="163">
        <v>1055</v>
      </c>
      <c r="F170" s="164">
        <v>1082</v>
      </c>
      <c r="G170" s="186">
        <v>1866</v>
      </c>
      <c r="H170" s="168">
        <v>550</v>
      </c>
      <c r="I170" s="166">
        <v>10774</v>
      </c>
    </row>
    <row r="171" spans="1:9">
      <c r="A171" s="12">
        <v>2018</v>
      </c>
      <c r="B171" s="160">
        <v>3783</v>
      </c>
      <c r="C171" s="161">
        <v>1042</v>
      </c>
      <c r="D171" s="167">
        <v>570</v>
      </c>
      <c r="E171" s="163">
        <v>1054</v>
      </c>
      <c r="F171" s="164">
        <v>1080</v>
      </c>
      <c r="G171" s="186">
        <v>1862</v>
      </c>
      <c r="H171" s="168">
        <v>549</v>
      </c>
      <c r="I171" s="166">
        <v>10706</v>
      </c>
    </row>
    <row r="172" spans="1:9">
      <c r="A172" s="12">
        <v>2019</v>
      </c>
      <c r="B172" s="160">
        <v>3839</v>
      </c>
      <c r="C172" s="187">
        <v>1033</v>
      </c>
      <c r="D172" s="167">
        <v>587</v>
      </c>
      <c r="E172" s="163">
        <v>1098</v>
      </c>
      <c r="F172" s="164">
        <v>1111</v>
      </c>
      <c r="G172" s="186">
        <v>1916</v>
      </c>
      <c r="H172" s="168">
        <v>565</v>
      </c>
      <c r="I172" s="166">
        <v>10939</v>
      </c>
    </row>
    <row r="173" spans="1:9">
      <c r="A173" s="12">
        <v>2020</v>
      </c>
      <c r="B173" s="160">
        <v>4280</v>
      </c>
      <c r="C173" s="161">
        <v>1096</v>
      </c>
      <c r="D173" s="167">
        <v>617</v>
      </c>
      <c r="E173" s="163">
        <v>1153</v>
      </c>
      <c r="F173" s="164">
        <v>1169</v>
      </c>
      <c r="G173" s="186">
        <v>2027</v>
      </c>
      <c r="H173" s="168">
        <v>595</v>
      </c>
      <c r="I173" s="166">
        <v>11757</v>
      </c>
    </row>
    <row r="174" spans="1:9">
      <c r="A174" s="12">
        <v>2021</v>
      </c>
      <c r="B174" s="160">
        <v>4466</v>
      </c>
      <c r="C174" s="161">
        <v>1100</v>
      </c>
      <c r="D174" s="167">
        <v>630</v>
      </c>
      <c r="E174" s="163">
        <v>1183</v>
      </c>
      <c r="F174" s="164">
        <v>1193</v>
      </c>
      <c r="G174" s="186">
        <v>2056</v>
      </c>
      <c r="H174" s="168">
        <v>607</v>
      </c>
      <c r="I174" s="166">
        <v>12061</v>
      </c>
    </row>
  </sheetData>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4"/>
  <sheetViews>
    <sheetView showGridLines="0" zoomScale="82" workbookViewId="0">
      <selection activeCell="J5" sqref="J5"/>
    </sheetView>
  </sheetViews>
  <sheetFormatPr baseColWidth="10" defaultColWidth="8.796875" defaultRowHeight="14"/>
  <cols>
    <col min="1" max="1" width="3.19921875" bestFit="1" customWidth="1"/>
    <col min="2" max="2" width="25.796875" customWidth="1"/>
    <col min="3" max="3" width="17.19921875" customWidth="1"/>
    <col min="4" max="4" width="22.796875" customWidth="1"/>
    <col min="5" max="5" width="33.3984375" bestFit="1" customWidth="1"/>
    <col min="6" max="6" width="28.796875" customWidth="1"/>
    <col min="7" max="7" width="7.796875" customWidth="1"/>
    <col min="8" max="8" width="8.19921875" customWidth="1"/>
  </cols>
  <sheetData>
    <row r="1" spans="1:10" ht="60" customHeight="1" thickBot="1">
      <c r="A1" s="608" t="s">
        <v>602</v>
      </c>
      <c r="B1" s="608"/>
      <c r="C1" s="608"/>
      <c r="D1" s="608"/>
      <c r="E1" s="608"/>
      <c r="F1" s="608"/>
      <c r="J1" t="s">
        <v>603</v>
      </c>
    </row>
    <row r="2" spans="1:10" ht="18.75" customHeight="1" thickBot="1">
      <c r="A2" s="609"/>
      <c r="B2" s="610"/>
      <c r="C2" s="611"/>
      <c r="D2" s="615" t="s">
        <v>604</v>
      </c>
      <c r="E2" s="616"/>
      <c r="F2" s="616"/>
      <c r="G2" s="616"/>
      <c r="H2" s="617"/>
    </row>
    <row r="3" spans="1:10" ht="17" thickBot="1">
      <c r="A3" s="612"/>
      <c r="B3" s="613"/>
      <c r="C3" s="614"/>
      <c r="D3" s="615" t="s">
        <v>605</v>
      </c>
      <c r="E3" s="616"/>
      <c r="F3" s="616"/>
      <c r="G3" s="616"/>
      <c r="H3" s="617"/>
    </row>
    <row r="4" spans="1:10" ht="17" thickBot="1">
      <c r="A4" s="618" t="s">
        <v>481</v>
      </c>
      <c r="B4" s="619"/>
      <c r="C4" s="620"/>
      <c r="D4" s="618" t="s">
        <v>606</v>
      </c>
      <c r="E4" s="619"/>
      <c r="F4" s="619"/>
      <c r="G4" s="619"/>
      <c r="H4" s="620"/>
    </row>
    <row r="5" spans="1:10" ht="35" thickBot="1">
      <c r="A5" s="618" t="s">
        <v>607</v>
      </c>
      <c r="B5" s="619"/>
      <c r="C5" s="620"/>
      <c r="D5" s="118" t="s">
        <v>608</v>
      </c>
      <c r="E5" s="118" t="s">
        <v>609</v>
      </c>
      <c r="F5" s="118" t="s">
        <v>610</v>
      </c>
      <c r="G5" s="118" t="s">
        <v>543</v>
      </c>
      <c r="H5" s="119" t="s">
        <v>611</v>
      </c>
    </row>
    <row r="6" spans="1:10" ht="35" thickBot="1">
      <c r="A6" s="621" t="s">
        <v>612</v>
      </c>
      <c r="B6" s="622"/>
      <c r="C6" s="120" t="s">
        <v>613</v>
      </c>
      <c r="D6" s="623"/>
      <c r="E6" s="624"/>
      <c r="F6" s="624"/>
      <c r="G6" s="624"/>
      <c r="H6" s="625"/>
    </row>
    <row r="7" spans="1:10" ht="18" thickBot="1">
      <c r="A7" s="595" t="s">
        <v>614</v>
      </c>
      <c r="B7" s="596"/>
      <c r="C7" s="120" t="s">
        <v>615</v>
      </c>
      <c r="D7" s="121">
        <v>25</v>
      </c>
      <c r="E7" s="121" t="s">
        <v>485</v>
      </c>
      <c r="F7" s="121">
        <v>35</v>
      </c>
      <c r="G7" s="121">
        <v>19</v>
      </c>
      <c r="H7" s="122">
        <v>34</v>
      </c>
    </row>
    <row r="8" spans="1:10" ht="18" thickBot="1">
      <c r="A8" s="597"/>
      <c r="B8" s="598"/>
      <c r="C8" s="120" t="s">
        <v>616</v>
      </c>
      <c r="D8" s="121">
        <v>13.5</v>
      </c>
      <c r="E8" s="121" t="s">
        <v>485</v>
      </c>
      <c r="F8" s="121">
        <v>20</v>
      </c>
      <c r="G8" s="121">
        <v>21.5</v>
      </c>
      <c r="H8" s="122">
        <v>19.5</v>
      </c>
    </row>
    <row r="9" spans="1:10" ht="18" thickBot="1">
      <c r="A9" s="597"/>
      <c r="B9" s="598"/>
      <c r="C9" s="120" t="s">
        <v>617</v>
      </c>
      <c r="D9" s="121">
        <v>11.3</v>
      </c>
      <c r="E9" s="121" t="s">
        <v>485</v>
      </c>
      <c r="F9" s="121">
        <v>14.3</v>
      </c>
      <c r="G9" s="121">
        <v>12</v>
      </c>
      <c r="H9" s="122">
        <v>14.3</v>
      </c>
    </row>
    <row r="10" spans="1:10" ht="18" thickBot="1">
      <c r="A10" s="597"/>
      <c r="B10" s="598"/>
      <c r="C10" s="120" t="s">
        <v>618</v>
      </c>
      <c r="D10" s="121">
        <v>8.8000000000000007</v>
      </c>
      <c r="E10" s="121" t="s">
        <v>485</v>
      </c>
      <c r="F10" s="121">
        <v>12.3</v>
      </c>
      <c r="G10" s="121">
        <v>13.5</v>
      </c>
      <c r="H10" s="122">
        <v>11.8</v>
      </c>
    </row>
    <row r="11" spans="1:10" ht="18" thickBot="1">
      <c r="A11" s="597"/>
      <c r="B11" s="598"/>
      <c r="C11" s="120" t="s">
        <v>619</v>
      </c>
      <c r="D11" s="121">
        <v>7.2</v>
      </c>
      <c r="E11" s="121" t="s">
        <v>485</v>
      </c>
      <c r="F11" s="121">
        <v>14</v>
      </c>
      <c r="G11" s="121">
        <v>14.8</v>
      </c>
      <c r="H11" s="122">
        <v>13.2</v>
      </c>
    </row>
    <row r="12" spans="1:10" ht="18" thickBot="1">
      <c r="A12" s="597"/>
      <c r="B12" s="598"/>
      <c r="C12" s="120" t="s">
        <v>620</v>
      </c>
      <c r="D12" s="121">
        <v>5.7</v>
      </c>
      <c r="E12" s="121" t="s">
        <v>485</v>
      </c>
      <c r="F12" s="121">
        <v>17.3</v>
      </c>
      <c r="G12" s="121">
        <v>23.3</v>
      </c>
      <c r="H12" s="122">
        <v>16.7</v>
      </c>
    </row>
    <row r="13" spans="1:10" ht="18" thickBot="1">
      <c r="A13" s="599"/>
      <c r="B13" s="600"/>
      <c r="C13" s="123" t="s">
        <v>621</v>
      </c>
      <c r="D13" s="122">
        <v>11.5</v>
      </c>
      <c r="E13" s="122" t="s">
        <v>485</v>
      </c>
      <c r="F13" s="122">
        <v>20.5</v>
      </c>
      <c r="G13" s="122">
        <v>18.600000000000001</v>
      </c>
      <c r="H13" s="122">
        <v>20</v>
      </c>
    </row>
    <row r="14" spans="1:10" ht="18" thickBot="1">
      <c r="A14" s="595" t="s">
        <v>622</v>
      </c>
      <c r="B14" s="596"/>
      <c r="C14" s="120" t="s">
        <v>615</v>
      </c>
      <c r="D14" s="121">
        <v>28</v>
      </c>
      <c r="E14" s="121" t="s">
        <v>485</v>
      </c>
      <c r="F14" s="121">
        <v>38</v>
      </c>
      <c r="G14" s="121">
        <v>15</v>
      </c>
      <c r="H14" s="122">
        <v>37</v>
      </c>
    </row>
    <row r="15" spans="1:10" ht="18" thickBot="1">
      <c r="A15" s="597"/>
      <c r="B15" s="598"/>
      <c r="C15" s="120" t="s">
        <v>616</v>
      </c>
      <c r="D15" s="121">
        <v>14</v>
      </c>
      <c r="E15" s="121" t="s">
        <v>485</v>
      </c>
      <c r="F15" s="121">
        <v>22.5</v>
      </c>
      <c r="G15" s="121">
        <v>8.5</v>
      </c>
      <c r="H15" s="122">
        <v>21.5</v>
      </c>
    </row>
    <row r="16" spans="1:10" ht="18" thickBot="1">
      <c r="A16" s="597"/>
      <c r="B16" s="598"/>
      <c r="C16" s="120" t="s">
        <v>617</v>
      </c>
      <c r="D16" s="121">
        <v>10.7</v>
      </c>
      <c r="E16" s="121" t="s">
        <v>485</v>
      </c>
      <c r="F16" s="121">
        <v>17</v>
      </c>
      <c r="G16" s="121">
        <v>11.3</v>
      </c>
      <c r="H16" s="122">
        <v>16.7</v>
      </c>
    </row>
    <row r="17" spans="1:8" ht="18" thickBot="1">
      <c r="A17" s="597"/>
      <c r="B17" s="598"/>
      <c r="C17" s="120" t="s">
        <v>618</v>
      </c>
      <c r="D17" s="121">
        <v>8.5</v>
      </c>
      <c r="E17" s="121" t="s">
        <v>485</v>
      </c>
      <c r="F17" s="121">
        <v>15</v>
      </c>
      <c r="G17" s="121">
        <v>11.5</v>
      </c>
      <c r="H17" s="122">
        <v>14.5</v>
      </c>
    </row>
    <row r="18" spans="1:8" ht="18" thickBot="1">
      <c r="A18" s="597"/>
      <c r="B18" s="598"/>
      <c r="C18" s="120" t="s">
        <v>619</v>
      </c>
      <c r="D18" s="121">
        <v>6.8</v>
      </c>
      <c r="E18" s="121" t="s">
        <v>485</v>
      </c>
      <c r="F18" s="121">
        <v>18</v>
      </c>
      <c r="G18" s="121">
        <v>11.2</v>
      </c>
      <c r="H18" s="122">
        <v>17.600000000000001</v>
      </c>
    </row>
    <row r="19" spans="1:8" ht="18" thickBot="1">
      <c r="A19" s="597"/>
      <c r="B19" s="598"/>
      <c r="C19" s="120" t="s">
        <v>620</v>
      </c>
      <c r="D19" s="121">
        <v>6.5</v>
      </c>
      <c r="E19" s="121" t="s">
        <v>485</v>
      </c>
      <c r="F19" s="121">
        <v>16.100000000000001</v>
      </c>
      <c r="G19" s="121">
        <v>9.3000000000000007</v>
      </c>
      <c r="H19" s="122">
        <v>15.7</v>
      </c>
    </row>
    <row r="20" spans="1:8" ht="18" thickBot="1">
      <c r="A20" s="599"/>
      <c r="B20" s="600"/>
      <c r="C20" s="123" t="s">
        <v>621</v>
      </c>
      <c r="D20" s="122">
        <v>12.5</v>
      </c>
      <c r="E20" s="122" t="s">
        <v>485</v>
      </c>
      <c r="F20" s="122">
        <v>23.3</v>
      </c>
      <c r="G20" s="122">
        <v>11.3</v>
      </c>
      <c r="H20" s="122">
        <v>22.4</v>
      </c>
    </row>
    <row r="21" spans="1:8" ht="18" thickBot="1">
      <c r="A21" s="595" t="s">
        <v>623</v>
      </c>
      <c r="B21" s="596"/>
      <c r="C21" s="120" t="s">
        <v>615</v>
      </c>
      <c r="D21" s="121">
        <v>22</v>
      </c>
      <c r="E21" s="121">
        <v>45</v>
      </c>
      <c r="F21" s="121">
        <v>37</v>
      </c>
      <c r="G21" s="121">
        <v>21</v>
      </c>
      <c r="H21" s="122">
        <v>35</v>
      </c>
    </row>
    <row r="22" spans="1:8" ht="18" thickBot="1">
      <c r="A22" s="597"/>
      <c r="B22" s="598"/>
      <c r="C22" s="120" t="s">
        <v>616</v>
      </c>
      <c r="D22" s="121">
        <v>15.5</v>
      </c>
      <c r="E22" s="121">
        <v>25</v>
      </c>
      <c r="F22" s="121">
        <v>22.5</v>
      </c>
      <c r="G22" s="121">
        <v>9.5</v>
      </c>
      <c r="H22" s="122">
        <v>21</v>
      </c>
    </row>
    <row r="23" spans="1:8" ht="18" thickBot="1">
      <c r="A23" s="597"/>
      <c r="B23" s="598"/>
      <c r="C23" s="120" t="s">
        <v>617</v>
      </c>
      <c r="D23" s="121">
        <v>11.3</v>
      </c>
      <c r="E23" s="121">
        <v>16.7</v>
      </c>
      <c r="F23" s="121">
        <v>16.3</v>
      </c>
      <c r="G23" s="121">
        <v>18.7</v>
      </c>
      <c r="H23" s="122">
        <v>15</v>
      </c>
    </row>
    <row r="24" spans="1:8" ht="18" thickBot="1">
      <c r="A24" s="597"/>
      <c r="B24" s="598"/>
      <c r="C24" s="120" t="s">
        <v>618</v>
      </c>
      <c r="D24" s="121">
        <v>8.8000000000000007</v>
      </c>
      <c r="E24" s="121">
        <v>13</v>
      </c>
      <c r="F24" s="121">
        <v>13.5</v>
      </c>
      <c r="G24" s="121">
        <v>9.5</v>
      </c>
      <c r="H24" s="122">
        <v>12.3</v>
      </c>
    </row>
    <row r="25" spans="1:8" ht="18" thickBot="1">
      <c r="A25" s="597"/>
      <c r="B25" s="598"/>
      <c r="C25" s="120" t="s">
        <v>619</v>
      </c>
      <c r="D25" s="121">
        <v>8</v>
      </c>
      <c r="E25" s="121">
        <v>10.8</v>
      </c>
      <c r="F25" s="121">
        <v>12.2</v>
      </c>
      <c r="G25" s="121">
        <v>3</v>
      </c>
      <c r="H25" s="122">
        <v>11</v>
      </c>
    </row>
    <row r="26" spans="1:8" ht="18" thickBot="1">
      <c r="A26" s="597"/>
      <c r="B26" s="598"/>
      <c r="C26" s="120" t="s">
        <v>620</v>
      </c>
      <c r="D26" s="121">
        <v>7.2</v>
      </c>
      <c r="E26" s="121">
        <v>8.6999999999999993</v>
      </c>
      <c r="F26" s="121">
        <v>10.7</v>
      </c>
      <c r="G26" s="121">
        <v>5.4</v>
      </c>
      <c r="H26" s="122">
        <v>9.1999999999999993</v>
      </c>
    </row>
    <row r="27" spans="1:8" ht="18" thickBot="1">
      <c r="A27" s="599"/>
      <c r="B27" s="600"/>
      <c r="C27" s="123" t="s">
        <v>621</v>
      </c>
      <c r="D27" s="122">
        <v>11.5</v>
      </c>
      <c r="E27" s="122">
        <v>17.3</v>
      </c>
      <c r="F27" s="122">
        <v>17.7</v>
      </c>
      <c r="G27" s="122">
        <v>11.5</v>
      </c>
      <c r="H27" s="122">
        <v>16</v>
      </c>
    </row>
    <row r="28" spans="1:8" ht="18" thickBot="1">
      <c r="A28" s="595" t="s">
        <v>624</v>
      </c>
      <c r="B28" s="596"/>
      <c r="C28" s="120" t="s">
        <v>615</v>
      </c>
      <c r="D28" s="121">
        <v>24</v>
      </c>
      <c r="E28" s="121">
        <v>38</v>
      </c>
      <c r="F28" s="121">
        <v>46</v>
      </c>
      <c r="G28" s="121">
        <v>25</v>
      </c>
      <c r="H28" s="122">
        <v>35</v>
      </c>
    </row>
    <row r="29" spans="1:8" ht="18" thickBot="1">
      <c r="A29" s="597"/>
      <c r="B29" s="598"/>
      <c r="C29" s="120" t="s">
        <v>616</v>
      </c>
      <c r="D29" s="121">
        <v>15</v>
      </c>
      <c r="E29" s="121">
        <v>19.5</v>
      </c>
      <c r="F29" s="121">
        <v>25.5</v>
      </c>
      <c r="G29" s="121">
        <v>16.5</v>
      </c>
      <c r="H29" s="122">
        <v>19</v>
      </c>
    </row>
    <row r="30" spans="1:8" ht="18" thickBot="1">
      <c r="A30" s="597"/>
      <c r="B30" s="598"/>
      <c r="C30" s="120" t="s">
        <v>617</v>
      </c>
      <c r="D30" s="121">
        <v>11</v>
      </c>
      <c r="E30" s="121">
        <v>13</v>
      </c>
      <c r="F30" s="121">
        <v>18.3</v>
      </c>
      <c r="G30" s="121">
        <v>11.3</v>
      </c>
      <c r="H30" s="122">
        <v>13</v>
      </c>
    </row>
    <row r="31" spans="1:8" ht="18" thickBot="1">
      <c r="A31" s="597"/>
      <c r="B31" s="598"/>
      <c r="C31" s="120" t="s">
        <v>618</v>
      </c>
      <c r="D31" s="121">
        <v>8.8000000000000007</v>
      </c>
      <c r="E31" s="121">
        <v>11</v>
      </c>
      <c r="F31" s="121">
        <v>14.3</v>
      </c>
      <c r="G31" s="121">
        <v>13.8</v>
      </c>
      <c r="H31" s="122">
        <v>10.8</v>
      </c>
    </row>
    <row r="32" spans="1:8" ht="18" thickBot="1">
      <c r="A32" s="597"/>
      <c r="B32" s="598"/>
      <c r="C32" s="120" t="s">
        <v>619</v>
      </c>
      <c r="D32" s="121">
        <v>7.2</v>
      </c>
      <c r="E32" s="121">
        <v>9.1999999999999993</v>
      </c>
      <c r="F32" s="121">
        <v>13.8</v>
      </c>
      <c r="G32" s="121">
        <v>3.6</v>
      </c>
      <c r="H32" s="122">
        <v>11</v>
      </c>
    </row>
    <row r="33" spans="1:8" ht="18" thickBot="1">
      <c r="A33" s="597"/>
      <c r="B33" s="598"/>
      <c r="C33" s="120" t="s">
        <v>620</v>
      </c>
      <c r="D33" s="121">
        <v>6</v>
      </c>
      <c r="E33" s="121">
        <v>7.7</v>
      </c>
      <c r="F33" s="121">
        <v>20.8</v>
      </c>
      <c r="G33" s="121">
        <v>12.1</v>
      </c>
      <c r="H33" s="122">
        <v>14</v>
      </c>
    </row>
    <row r="34" spans="1:8" ht="18" thickBot="1">
      <c r="A34" s="599"/>
      <c r="B34" s="600"/>
      <c r="C34" s="123" t="s">
        <v>621</v>
      </c>
      <c r="D34" s="122">
        <v>11.5</v>
      </c>
      <c r="E34" s="122">
        <v>14.7</v>
      </c>
      <c r="F34" s="122">
        <v>20.5</v>
      </c>
      <c r="G34" s="122">
        <v>16.8</v>
      </c>
      <c r="H34" s="122">
        <v>16</v>
      </c>
    </row>
    <row r="35" spans="1:8" ht="18" thickBot="1">
      <c r="A35" s="595" t="s">
        <v>625</v>
      </c>
      <c r="B35" s="596"/>
      <c r="C35" s="120" t="s">
        <v>615</v>
      </c>
      <c r="D35" s="121">
        <v>19</v>
      </c>
      <c r="E35" s="121">
        <v>45</v>
      </c>
      <c r="F35" s="121">
        <v>33</v>
      </c>
      <c r="G35" s="121">
        <v>46</v>
      </c>
      <c r="H35" s="122">
        <v>34</v>
      </c>
    </row>
    <row r="36" spans="1:8" ht="18" thickBot="1">
      <c r="A36" s="597"/>
      <c r="B36" s="598"/>
      <c r="C36" s="120" t="s">
        <v>616</v>
      </c>
      <c r="D36" s="121">
        <v>11.5</v>
      </c>
      <c r="E36" s="121">
        <v>24.8</v>
      </c>
      <c r="F36" s="121">
        <v>18.5</v>
      </c>
      <c r="G36" s="121">
        <v>23</v>
      </c>
      <c r="H36" s="122">
        <v>19</v>
      </c>
    </row>
    <row r="37" spans="1:8" ht="18" thickBot="1">
      <c r="A37" s="597"/>
      <c r="B37" s="598"/>
      <c r="C37" s="120" t="s">
        <v>617</v>
      </c>
      <c r="D37" s="121">
        <v>11.3</v>
      </c>
      <c r="E37" s="121">
        <v>18.3</v>
      </c>
      <c r="F37" s="121">
        <v>13.3</v>
      </c>
      <c r="G37" s="121">
        <v>18.3</v>
      </c>
      <c r="H37" s="122">
        <v>13.3</v>
      </c>
    </row>
    <row r="38" spans="1:8" ht="18" thickBot="1">
      <c r="A38" s="597"/>
      <c r="B38" s="598"/>
      <c r="C38" s="120" t="s">
        <v>618</v>
      </c>
      <c r="D38" s="121">
        <v>10</v>
      </c>
      <c r="E38" s="121">
        <v>13.8</v>
      </c>
      <c r="F38" s="121">
        <v>11</v>
      </c>
      <c r="G38" s="121">
        <v>11.3</v>
      </c>
      <c r="H38" s="122">
        <v>11</v>
      </c>
    </row>
    <row r="39" spans="1:8" ht="18" thickBot="1">
      <c r="A39" s="597"/>
      <c r="B39" s="598"/>
      <c r="C39" s="120" t="s">
        <v>619</v>
      </c>
      <c r="D39" s="121">
        <v>8</v>
      </c>
      <c r="E39" s="121">
        <v>11</v>
      </c>
      <c r="F39" s="121">
        <v>11.2</v>
      </c>
      <c r="G39" s="121">
        <v>2.4</v>
      </c>
      <c r="H39" s="122">
        <v>11</v>
      </c>
    </row>
    <row r="40" spans="1:8" ht="18" thickBot="1">
      <c r="A40" s="597"/>
      <c r="B40" s="598"/>
      <c r="C40" s="120" t="s">
        <v>620</v>
      </c>
      <c r="D40" s="121">
        <v>7.2</v>
      </c>
      <c r="E40" s="121">
        <v>7.9</v>
      </c>
      <c r="F40" s="121">
        <v>10.199999999999999</v>
      </c>
      <c r="G40" s="121">
        <v>29.8</v>
      </c>
      <c r="H40" s="122">
        <v>9.6999999999999993</v>
      </c>
    </row>
    <row r="41" spans="1:8" ht="18" thickBot="1">
      <c r="A41" s="599"/>
      <c r="B41" s="600"/>
      <c r="C41" s="123" t="s">
        <v>621</v>
      </c>
      <c r="D41" s="122">
        <v>11.3</v>
      </c>
      <c r="E41" s="122">
        <v>18.3</v>
      </c>
      <c r="F41" s="122">
        <v>16</v>
      </c>
      <c r="G41" s="122">
        <v>26</v>
      </c>
      <c r="H41" s="122">
        <v>16</v>
      </c>
    </row>
    <row r="42" spans="1:8" ht="18" thickBot="1">
      <c r="A42" s="595" t="s">
        <v>626</v>
      </c>
      <c r="B42" s="596"/>
      <c r="C42" s="120" t="s">
        <v>615</v>
      </c>
      <c r="D42" s="121">
        <v>18</v>
      </c>
      <c r="E42" s="121">
        <v>40</v>
      </c>
      <c r="F42" s="121">
        <v>30</v>
      </c>
      <c r="G42" s="121">
        <v>10</v>
      </c>
      <c r="H42" s="122">
        <v>23</v>
      </c>
    </row>
    <row r="43" spans="1:8" ht="18" thickBot="1">
      <c r="A43" s="597"/>
      <c r="B43" s="598"/>
      <c r="C43" s="120" t="s">
        <v>616</v>
      </c>
      <c r="D43" s="121">
        <v>13</v>
      </c>
      <c r="E43" s="121">
        <v>20.5</v>
      </c>
      <c r="F43" s="121">
        <v>20.5</v>
      </c>
      <c r="G43" s="121">
        <v>7</v>
      </c>
      <c r="H43" s="122">
        <v>17</v>
      </c>
    </row>
    <row r="44" spans="1:8" ht="18" thickBot="1">
      <c r="A44" s="597"/>
      <c r="B44" s="598"/>
      <c r="C44" s="120" t="s">
        <v>617</v>
      </c>
      <c r="D44" s="121">
        <v>11.3</v>
      </c>
      <c r="E44" s="121">
        <v>13.7</v>
      </c>
      <c r="F44" s="121">
        <v>14</v>
      </c>
      <c r="G44" s="121">
        <v>9.3000000000000007</v>
      </c>
      <c r="H44" s="122">
        <v>11.7</v>
      </c>
    </row>
    <row r="45" spans="1:8" ht="18" thickBot="1">
      <c r="A45" s="597"/>
      <c r="B45" s="598"/>
      <c r="C45" s="120" t="s">
        <v>618</v>
      </c>
      <c r="D45" s="121">
        <v>9.5</v>
      </c>
      <c r="E45" s="121">
        <v>10.8</v>
      </c>
      <c r="F45" s="121">
        <v>12</v>
      </c>
      <c r="G45" s="121">
        <v>4.8</v>
      </c>
      <c r="H45" s="122">
        <v>10.8</v>
      </c>
    </row>
    <row r="46" spans="1:8" ht="18" thickBot="1">
      <c r="A46" s="597"/>
      <c r="B46" s="598"/>
      <c r="C46" s="120" t="s">
        <v>619</v>
      </c>
      <c r="D46" s="121">
        <v>7.8</v>
      </c>
      <c r="E46" s="121">
        <v>9.1999999999999993</v>
      </c>
      <c r="F46" s="121">
        <v>11.4</v>
      </c>
      <c r="G46" s="121">
        <v>3.8</v>
      </c>
      <c r="H46" s="122">
        <v>9.1999999999999993</v>
      </c>
    </row>
    <row r="47" spans="1:8" ht="18" thickBot="1">
      <c r="A47" s="597"/>
      <c r="B47" s="598"/>
      <c r="C47" s="120" t="s">
        <v>620</v>
      </c>
      <c r="D47" s="121">
        <v>7.2</v>
      </c>
      <c r="E47" s="121">
        <v>8.6999999999999993</v>
      </c>
      <c r="F47" s="121">
        <v>9.6999999999999993</v>
      </c>
      <c r="G47" s="121">
        <v>3</v>
      </c>
      <c r="H47" s="122">
        <v>8</v>
      </c>
    </row>
    <row r="48" spans="1:8" ht="18" thickBot="1">
      <c r="A48" s="599"/>
      <c r="B48" s="600"/>
      <c r="C48" s="123" t="s">
        <v>621</v>
      </c>
      <c r="D48" s="122">
        <v>11.5</v>
      </c>
      <c r="E48" s="122">
        <v>16.3</v>
      </c>
      <c r="F48" s="122">
        <v>15.5</v>
      </c>
      <c r="G48" s="122">
        <v>9</v>
      </c>
      <c r="H48" s="122">
        <v>14</v>
      </c>
    </row>
    <row r="49" spans="1:8" ht="18" thickBot="1">
      <c r="A49" s="595" t="s">
        <v>627</v>
      </c>
      <c r="B49" s="596"/>
      <c r="C49" s="120" t="s">
        <v>615</v>
      </c>
      <c r="D49" s="121">
        <v>18</v>
      </c>
      <c r="E49" s="121">
        <v>40</v>
      </c>
      <c r="F49" s="121">
        <v>37</v>
      </c>
      <c r="G49" s="121">
        <v>37</v>
      </c>
      <c r="H49" s="122">
        <v>31</v>
      </c>
    </row>
    <row r="50" spans="1:8" ht="18" thickBot="1">
      <c r="A50" s="597"/>
      <c r="B50" s="598"/>
      <c r="C50" s="120" t="s">
        <v>616</v>
      </c>
      <c r="D50" s="121">
        <v>13</v>
      </c>
      <c r="E50" s="121">
        <v>22.5</v>
      </c>
      <c r="F50" s="121">
        <v>21.5</v>
      </c>
      <c r="G50" s="121">
        <v>14</v>
      </c>
      <c r="H50" s="122">
        <v>17</v>
      </c>
    </row>
    <row r="51" spans="1:8" ht="18" thickBot="1">
      <c r="A51" s="597"/>
      <c r="B51" s="598"/>
      <c r="C51" s="120" t="s">
        <v>617</v>
      </c>
      <c r="D51" s="121">
        <v>10</v>
      </c>
      <c r="E51" s="121">
        <v>17</v>
      </c>
      <c r="F51" s="121">
        <v>15.7</v>
      </c>
      <c r="G51" s="121">
        <v>26.3</v>
      </c>
      <c r="H51" s="122">
        <v>13</v>
      </c>
    </row>
    <row r="52" spans="1:8" ht="18" thickBot="1">
      <c r="A52" s="597"/>
      <c r="B52" s="598"/>
      <c r="C52" s="120" t="s">
        <v>618</v>
      </c>
      <c r="D52" s="121">
        <v>8.5</v>
      </c>
      <c r="E52" s="121">
        <v>13.8</v>
      </c>
      <c r="F52" s="121">
        <v>13.8</v>
      </c>
      <c r="G52" s="121">
        <v>6.3</v>
      </c>
      <c r="H52" s="122">
        <v>12.3</v>
      </c>
    </row>
    <row r="53" spans="1:8" ht="18" thickBot="1">
      <c r="A53" s="597"/>
      <c r="B53" s="598"/>
      <c r="C53" s="120" t="s">
        <v>619</v>
      </c>
      <c r="D53" s="121">
        <v>7.4</v>
      </c>
      <c r="E53" s="121">
        <v>11</v>
      </c>
      <c r="F53" s="121">
        <v>13.2</v>
      </c>
      <c r="G53" s="121">
        <v>11.2</v>
      </c>
      <c r="H53" s="122">
        <v>12</v>
      </c>
    </row>
    <row r="54" spans="1:8" ht="18" thickBot="1">
      <c r="A54" s="597"/>
      <c r="B54" s="598"/>
      <c r="C54" s="120" t="s">
        <v>620</v>
      </c>
      <c r="D54" s="121">
        <v>6.5</v>
      </c>
      <c r="E54" s="121">
        <v>8.1999999999999993</v>
      </c>
      <c r="F54" s="121">
        <v>12.9</v>
      </c>
      <c r="G54" s="121">
        <v>26.7</v>
      </c>
      <c r="H54" s="122">
        <v>11.8</v>
      </c>
    </row>
    <row r="55" spans="1:8" ht="18" thickBot="1">
      <c r="A55" s="599"/>
      <c r="B55" s="600"/>
      <c r="C55" s="123" t="s">
        <v>621</v>
      </c>
      <c r="D55" s="122">
        <v>11</v>
      </c>
      <c r="E55" s="122">
        <v>20</v>
      </c>
      <c r="F55" s="122">
        <v>18</v>
      </c>
      <c r="G55" s="122">
        <v>25</v>
      </c>
      <c r="H55" s="122">
        <v>15.5</v>
      </c>
    </row>
    <row r="56" spans="1:8" ht="18" thickBot="1">
      <c r="A56" s="595" t="s">
        <v>628</v>
      </c>
      <c r="B56" s="596"/>
      <c r="C56" s="120" t="s">
        <v>615</v>
      </c>
      <c r="D56" s="121">
        <v>22</v>
      </c>
      <c r="E56" s="121">
        <v>40</v>
      </c>
      <c r="F56" s="121">
        <v>36</v>
      </c>
      <c r="G56" s="121">
        <v>14</v>
      </c>
      <c r="H56" s="122">
        <v>31</v>
      </c>
    </row>
    <row r="57" spans="1:8" ht="18" thickBot="1">
      <c r="A57" s="597"/>
      <c r="B57" s="598"/>
      <c r="C57" s="120" t="s">
        <v>616</v>
      </c>
      <c r="D57" s="121">
        <v>16.5</v>
      </c>
      <c r="E57" s="121">
        <v>20.5</v>
      </c>
      <c r="F57" s="121">
        <v>19.5</v>
      </c>
      <c r="G57" s="121">
        <v>5.5</v>
      </c>
      <c r="H57" s="122">
        <v>18</v>
      </c>
    </row>
    <row r="58" spans="1:8" ht="18" thickBot="1">
      <c r="A58" s="597"/>
      <c r="B58" s="598"/>
      <c r="C58" s="120" t="s">
        <v>617</v>
      </c>
      <c r="D58" s="121">
        <v>11.3</v>
      </c>
      <c r="E58" s="121">
        <v>13.7</v>
      </c>
      <c r="F58" s="121">
        <v>14</v>
      </c>
      <c r="G58" s="121">
        <v>5</v>
      </c>
      <c r="H58" s="122">
        <v>12.7</v>
      </c>
    </row>
    <row r="59" spans="1:8" ht="18" thickBot="1">
      <c r="A59" s="597"/>
      <c r="B59" s="598"/>
      <c r="C59" s="120" t="s">
        <v>618</v>
      </c>
      <c r="D59" s="121">
        <v>9</v>
      </c>
      <c r="E59" s="121">
        <v>11.3</v>
      </c>
      <c r="F59" s="121">
        <v>11.8</v>
      </c>
      <c r="G59" s="121">
        <v>3</v>
      </c>
      <c r="H59" s="122">
        <v>10.3</v>
      </c>
    </row>
    <row r="60" spans="1:8" ht="18" thickBot="1">
      <c r="A60" s="597"/>
      <c r="B60" s="598"/>
      <c r="C60" s="120" t="s">
        <v>619</v>
      </c>
      <c r="D60" s="121">
        <v>8</v>
      </c>
      <c r="E60" s="121">
        <v>10.4</v>
      </c>
      <c r="F60" s="121">
        <v>11</v>
      </c>
      <c r="G60" s="121">
        <v>17</v>
      </c>
      <c r="H60" s="122">
        <v>8.8000000000000007</v>
      </c>
    </row>
    <row r="61" spans="1:8" ht="18" thickBot="1">
      <c r="A61" s="597"/>
      <c r="B61" s="598"/>
      <c r="C61" s="120" t="s">
        <v>620</v>
      </c>
      <c r="D61" s="121">
        <v>7.2</v>
      </c>
      <c r="E61" s="121">
        <v>7.8</v>
      </c>
      <c r="F61" s="121">
        <v>9.4</v>
      </c>
      <c r="G61" s="121">
        <v>12.1</v>
      </c>
      <c r="H61" s="122">
        <v>7.3</v>
      </c>
    </row>
    <row r="62" spans="1:8" ht="18" thickBot="1">
      <c r="A62" s="599"/>
      <c r="B62" s="600"/>
      <c r="C62" s="123" t="s">
        <v>621</v>
      </c>
      <c r="D62" s="122">
        <v>11.7</v>
      </c>
      <c r="E62" s="122">
        <v>15.7</v>
      </c>
      <c r="F62" s="122">
        <v>15.3</v>
      </c>
      <c r="G62" s="122">
        <v>8</v>
      </c>
      <c r="H62" s="122">
        <v>13.7</v>
      </c>
    </row>
    <row r="63" spans="1:8" ht="18" thickBot="1">
      <c r="A63" s="595" t="s">
        <v>629</v>
      </c>
      <c r="B63" s="596"/>
      <c r="C63" s="120" t="s">
        <v>615</v>
      </c>
      <c r="D63" s="121">
        <v>18</v>
      </c>
      <c r="E63" s="121">
        <v>41</v>
      </c>
      <c r="F63" s="121">
        <v>37</v>
      </c>
      <c r="G63" s="121">
        <v>8</v>
      </c>
      <c r="H63" s="122">
        <v>23</v>
      </c>
    </row>
    <row r="64" spans="1:8" ht="18" thickBot="1">
      <c r="A64" s="597"/>
      <c r="B64" s="598"/>
      <c r="C64" s="120" t="s">
        <v>616</v>
      </c>
      <c r="D64" s="121">
        <v>14</v>
      </c>
      <c r="E64" s="121">
        <v>20.5</v>
      </c>
      <c r="F64" s="121">
        <v>20.5</v>
      </c>
      <c r="G64" s="121">
        <v>4.5</v>
      </c>
      <c r="H64" s="122">
        <v>16.5</v>
      </c>
    </row>
    <row r="65" spans="1:8" ht="18" thickBot="1">
      <c r="A65" s="597"/>
      <c r="B65" s="598"/>
      <c r="C65" s="120" t="s">
        <v>617</v>
      </c>
      <c r="D65" s="121">
        <v>10.7</v>
      </c>
      <c r="E65" s="121">
        <v>14.3</v>
      </c>
      <c r="F65" s="121">
        <v>15</v>
      </c>
      <c r="G65" s="121">
        <v>4.7</v>
      </c>
      <c r="H65" s="122">
        <v>11.7</v>
      </c>
    </row>
    <row r="66" spans="1:8" ht="18" thickBot="1">
      <c r="A66" s="597"/>
      <c r="B66" s="598"/>
      <c r="C66" s="120" t="s">
        <v>618</v>
      </c>
      <c r="D66" s="121">
        <v>9.5</v>
      </c>
      <c r="E66" s="121">
        <v>11.5</v>
      </c>
      <c r="F66" s="121">
        <v>12.3</v>
      </c>
      <c r="G66" s="121">
        <v>3.8</v>
      </c>
      <c r="H66" s="122">
        <v>10</v>
      </c>
    </row>
    <row r="67" spans="1:8" ht="18" thickBot="1">
      <c r="A67" s="597"/>
      <c r="B67" s="598"/>
      <c r="C67" s="120" t="s">
        <v>619</v>
      </c>
      <c r="D67" s="121">
        <v>7.8</v>
      </c>
      <c r="E67" s="121">
        <v>10.199999999999999</v>
      </c>
      <c r="F67" s="121">
        <v>10.199999999999999</v>
      </c>
      <c r="G67" s="121">
        <v>6.8</v>
      </c>
      <c r="H67" s="122">
        <v>8.8000000000000007</v>
      </c>
    </row>
    <row r="68" spans="1:8" ht="18" thickBot="1">
      <c r="A68" s="597"/>
      <c r="B68" s="598"/>
      <c r="C68" s="120" t="s">
        <v>620</v>
      </c>
      <c r="D68" s="121">
        <v>7.3</v>
      </c>
      <c r="E68" s="121">
        <v>8.3000000000000007</v>
      </c>
      <c r="F68" s="121">
        <v>8.1999999999999993</v>
      </c>
      <c r="G68" s="121">
        <v>17</v>
      </c>
      <c r="H68" s="122">
        <v>7.7</v>
      </c>
    </row>
    <row r="69" spans="1:8" ht="18" thickBot="1">
      <c r="A69" s="599"/>
      <c r="B69" s="600"/>
      <c r="C69" s="123" t="s">
        <v>621</v>
      </c>
      <c r="D69" s="122">
        <v>11.3</v>
      </c>
      <c r="E69" s="122">
        <v>16.3</v>
      </c>
      <c r="F69" s="122">
        <v>15.3</v>
      </c>
      <c r="G69" s="122">
        <v>8</v>
      </c>
      <c r="H69" s="122">
        <v>13</v>
      </c>
    </row>
    <row r="70" spans="1:8" ht="18" thickBot="1">
      <c r="A70" s="595" t="s">
        <v>630</v>
      </c>
      <c r="B70" s="596"/>
      <c r="C70" s="120" t="s">
        <v>615</v>
      </c>
      <c r="D70" s="121">
        <v>17</v>
      </c>
      <c r="E70" s="121">
        <v>41</v>
      </c>
      <c r="F70" s="121">
        <v>46</v>
      </c>
      <c r="G70" s="121">
        <v>23</v>
      </c>
      <c r="H70" s="122">
        <v>36</v>
      </c>
    </row>
    <row r="71" spans="1:8" ht="18" thickBot="1">
      <c r="A71" s="597"/>
      <c r="B71" s="598"/>
      <c r="C71" s="120" t="s">
        <v>616</v>
      </c>
      <c r="D71" s="121">
        <v>15</v>
      </c>
      <c r="E71" s="121">
        <v>22.5</v>
      </c>
      <c r="F71" s="121">
        <v>23</v>
      </c>
      <c r="G71" s="121">
        <v>35</v>
      </c>
      <c r="H71" s="122">
        <v>22</v>
      </c>
    </row>
    <row r="72" spans="1:8" ht="18" thickBot="1">
      <c r="A72" s="597"/>
      <c r="B72" s="598"/>
      <c r="C72" s="120" t="s">
        <v>617</v>
      </c>
      <c r="D72" s="121">
        <v>10.7</v>
      </c>
      <c r="E72" s="121">
        <v>15</v>
      </c>
      <c r="F72" s="121">
        <v>16.7</v>
      </c>
      <c r="G72" s="121" t="s">
        <v>485</v>
      </c>
      <c r="H72" s="122">
        <v>14.7</v>
      </c>
    </row>
    <row r="73" spans="1:8" ht="18" thickBot="1">
      <c r="A73" s="597"/>
      <c r="B73" s="598"/>
      <c r="C73" s="120" t="s">
        <v>618</v>
      </c>
      <c r="D73" s="121">
        <v>9.4</v>
      </c>
      <c r="E73" s="121">
        <v>11.8</v>
      </c>
      <c r="F73" s="121">
        <v>14.5</v>
      </c>
      <c r="G73" s="121">
        <v>13.8</v>
      </c>
      <c r="H73" s="122">
        <v>12</v>
      </c>
    </row>
    <row r="74" spans="1:8" ht="18" thickBot="1">
      <c r="A74" s="597"/>
      <c r="B74" s="598"/>
      <c r="C74" s="120" t="s">
        <v>619</v>
      </c>
      <c r="D74" s="121">
        <v>8.6</v>
      </c>
      <c r="E74" s="121">
        <v>10.4</v>
      </c>
      <c r="F74" s="121">
        <v>12</v>
      </c>
      <c r="G74" s="121" t="s">
        <v>485</v>
      </c>
      <c r="H74" s="122">
        <v>10.4</v>
      </c>
    </row>
    <row r="75" spans="1:8" ht="18" thickBot="1">
      <c r="A75" s="597"/>
      <c r="B75" s="598"/>
      <c r="C75" s="120" t="s">
        <v>620</v>
      </c>
      <c r="D75" s="121">
        <v>7</v>
      </c>
      <c r="E75" s="121">
        <v>8.1999999999999993</v>
      </c>
      <c r="F75" s="121">
        <v>10</v>
      </c>
      <c r="G75" s="121" t="s">
        <v>485</v>
      </c>
      <c r="H75" s="122">
        <v>8.1999999999999993</v>
      </c>
    </row>
    <row r="76" spans="1:8" ht="18" thickBot="1">
      <c r="A76" s="599"/>
      <c r="B76" s="600"/>
      <c r="C76" s="123" t="s">
        <v>621</v>
      </c>
      <c r="D76" s="122">
        <v>11</v>
      </c>
      <c r="E76" s="122">
        <v>15</v>
      </c>
      <c r="F76" s="122">
        <v>17.8</v>
      </c>
      <c r="G76" s="122">
        <v>23</v>
      </c>
      <c r="H76" s="122">
        <v>15</v>
      </c>
    </row>
    <row r="77" spans="1:8" ht="18" thickBot="1">
      <c r="A77" s="595" t="s">
        <v>631</v>
      </c>
      <c r="B77" s="596"/>
      <c r="C77" s="120" t="s">
        <v>615</v>
      </c>
      <c r="D77" s="121">
        <v>23</v>
      </c>
      <c r="E77" s="121">
        <v>43</v>
      </c>
      <c r="F77" s="121">
        <v>42</v>
      </c>
      <c r="G77" s="121">
        <v>19</v>
      </c>
      <c r="H77" s="122">
        <v>35</v>
      </c>
    </row>
    <row r="78" spans="1:8" ht="18" thickBot="1">
      <c r="A78" s="597"/>
      <c r="B78" s="598"/>
      <c r="C78" s="120" t="s">
        <v>616</v>
      </c>
      <c r="D78" s="121">
        <v>14.5</v>
      </c>
      <c r="E78" s="121">
        <v>22.5</v>
      </c>
      <c r="F78" s="121">
        <v>22.5</v>
      </c>
      <c r="G78" s="121">
        <v>15.5</v>
      </c>
      <c r="H78" s="122">
        <v>20</v>
      </c>
    </row>
    <row r="79" spans="1:8" ht="18" thickBot="1">
      <c r="A79" s="597"/>
      <c r="B79" s="598"/>
      <c r="C79" s="120" t="s">
        <v>617</v>
      </c>
      <c r="D79" s="121">
        <v>10.7</v>
      </c>
      <c r="E79" s="121">
        <v>15</v>
      </c>
      <c r="F79" s="121">
        <v>16</v>
      </c>
      <c r="G79" s="121">
        <v>4.7</v>
      </c>
      <c r="H79" s="122">
        <v>14.3</v>
      </c>
    </row>
    <row r="80" spans="1:8" ht="18" thickBot="1">
      <c r="A80" s="597"/>
      <c r="B80" s="598"/>
      <c r="C80" s="120" t="s">
        <v>618</v>
      </c>
      <c r="D80" s="121">
        <v>8.8000000000000007</v>
      </c>
      <c r="E80" s="121">
        <v>13.8</v>
      </c>
      <c r="F80" s="121">
        <v>12.8</v>
      </c>
      <c r="G80" s="121">
        <v>5.8</v>
      </c>
      <c r="H80" s="122">
        <v>11.5</v>
      </c>
    </row>
    <row r="81" spans="1:8" ht="18" thickBot="1">
      <c r="A81" s="597"/>
      <c r="B81" s="598"/>
      <c r="C81" s="120" t="s">
        <v>619</v>
      </c>
      <c r="D81" s="121">
        <v>7.6</v>
      </c>
      <c r="E81" s="121">
        <v>9.1999999999999993</v>
      </c>
      <c r="F81" s="121">
        <v>11.4</v>
      </c>
      <c r="G81" s="121">
        <v>7.4</v>
      </c>
      <c r="H81" s="122">
        <v>10.4</v>
      </c>
    </row>
    <row r="82" spans="1:8" ht="18" thickBot="1">
      <c r="A82" s="597"/>
      <c r="B82" s="598"/>
      <c r="C82" s="120" t="s">
        <v>620</v>
      </c>
      <c r="D82" s="121">
        <v>7.1</v>
      </c>
      <c r="E82" s="121">
        <v>8</v>
      </c>
      <c r="F82" s="121">
        <v>9.5</v>
      </c>
      <c r="G82" s="121">
        <v>21.7</v>
      </c>
      <c r="H82" s="122">
        <v>9</v>
      </c>
    </row>
    <row r="83" spans="1:8" ht="18" thickBot="1">
      <c r="A83" s="599"/>
      <c r="B83" s="600"/>
      <c r="C83" s="123" t="s">
        <v>621</v>
      </c>
      <c r="D83" s="122">
        <v>11.7</v>
      </c>
      <c r="E83" s="122">
        <v>15.5</v>
      </c>
      <c r="F83" s="122">
        <v>17</v>
      </c>
      <c r="G83" s="122">
        <v>15</v>
      </c>
      <c r="H83" s="122">
        <v>16</v>
      </c>
    </row>
    <row r="84" spans="1:8" ht="18" thickBot="1">
      <c r="A84" s="595" t="s">
        <v>632</v>
      </c>
      <c r="B84" s="596"/>
      <c r="C84" s="120" t="s">
        <v>615</v>
      </c>
      <c r="D84" s="121">
        <v>23</v>
      </c>
      <c r="E84" s="121">
        <v>41</v>
      </c>
      <c r="F84" s="121">
        <v>42</v>
      </c>
      <c r="G84" s="121">
        <v>37</v>
      </c>
      <c r="H84" s="122">
        <v>31</v>
      </c>
    </row>
    <row r="85" spans="1:8" ht="18" thickBot="1">
      <c r="A85" s="597"/>
      <c r="B85" s="598"/>
      <c r="C85" s="120" t="s">
        <v>616</v>
      </c>
      <c r="D85" s="121">
        <v>12.5</v>
      </c>
      <c r="E85" s="121">
        <v>22</v>
      </c>
      <c r="F85" s="121">
        <v>22.5</v>
      </c>
      <c r="G85" s="121">
        <v>23</v>
      </c>
      <c r="H85" s="122">
        <v>19</v>
      </c>
    </row>
    <row r="86" spans="1:8" ht="18" thickBot="1">
      <c r="A86" s="597"/>
      <c r="B86" s="598"/>
      <c r="C86" s="120" t="s">
        <v>617</v>
      </c>
      <c r="D86" s="121">
        <v>10.3</v>
      </c>
      <c r="E86" s="121">
        <v>15</v>
      </c>
      <c r="F86" s="121">
        <v>15.7</v>
      </c>
      <c r="G86" s="121">
        <v>12.3</v>
      </c>
      <c r="H86" s="122">
        <v>13.3</v>
      </c>
    </row>
    <row r="87" spans="1:8" ht="18" thickBot="1">
      <c r="A87" s="597"/>
      <c r="B87" s="598"/>
      <c r="C87" s="120" t="s">
        <v>618</v>
      </c>
      <c r="D87" s="121">
        <v>8.8000000000000007</v>
      </c>
      <c r="E87" s="121">
        <v>11.3</v>
      </c>
      <c r="F87" s="121">
        <v>12.5</v>
      </c>
      <c r="G87" s="121">
        <v>9.5</v>
      </c>
      <c r="H87" s="122">
        <v>10.8</v>
      </c>
    </row>
    <row r="88" spans="1:8" ht="18" thickBot="1">
      <c r="A88" s="597"/>
      <c r="B88" s="598"/>
      <c r="C88" s="120" t="s">
        <v>619</v>
      </c>
      <c r="D88" s="121">
        <v>7.4</v>
      </c>
      <c r="E88" s="121">
        <v>10.4</v>
      </c>
      <c r="F88" s="121">
        <v>11</v>
      </c>
      <c r="G88" s="121">
        <v>11</v>
      </c>
      <c r="H88" s="122">
        <v>10.4</v>
      </c>
    </row>
    <row r="89" spans="1:8" ht="18" thickBot="1">
      <c r="A89" s="597"/>
      <c r="B89" s="598"/>
      <c r="C89" s="120" t="s">
        <v>620</v>
      </c>
      <c r="D89" s="121">
        <v>6.5</v>
      </c>
      <c r="E89" s="121">
        <v>8.3000000000000007</v>
      </c>
      <c r="F89" s="121">
        <v>10.3</v>
      </c>
      <c r="G89" s="121">
        <v>12.1</v>
      </c>
      <c r="H89" s="122">
        <v>8.6999999999999993</v>
      </c>
    </row>
    <row r="90" spans="1:8" ht="18" thickBot="1">
      <c r="A90" s="599"/>
      <c r="B90" s="600"/>
      <c r="C90" s="123" t="s">
        <v>621</v>
      </c>
      <c r="D90" s="122">
        <v>11.7</v>
      </c>
      <c r="E90" s="122">
        <v>15</v>
      </c>
      <c r="F90" s="122">
        <v>18</v>
      </c>
      <c r="G90" s="122">
        <v>17</v>
      </c>
      <c r="H90" s="122">
        <v>15</v>
      </c>
    </row>
    <row r="91" spans="1:8" ht="18" thickBot="1">
      <c r="A91" s="595" t="s">
        <v>633</v>
      </c>
      <c r="B91" s="596"/>
      <c r="C91" s="120" t="s">
        <v>615</v>
      </c>
      <c r="D91" s="121">
        <v>29</v>
      </c>
      <c r="E91" s="121">
        <v>33</v>
      </c>
      <c r="F91" s="121">
        <v>36</v>
      </c>
      <c r="G91" s="121">
        <v>42</v>
      </c>
      <c r="H91" s="122">
        <v>34</v>
      </c>
    </row>
    <row r="92" spans="1:8" ht="18" thickBot="1">
      <c r="A92" s="597"/>
      <c r="B92" s="598"/>
      <c r="C92" s="120" t="s">
        <v>616</v>
      </c>
      <c r="D92" s="121">
        <v>15</v>
      </c>
      <c r="E92" s="121">
        <v>17.5</v>
      </c>
      <c r="F92" s="121">
        <v>20.5</v>
      </c>
      <c r="G92" s="121">
        <v>18.5</v>
      </c>
      <c r="H92" s="122">
        <v>19.5</v>
      </c>
    </row>
    <row r="93" spans="1:8" ht="18" thickBot="1">
      <c r="A93" s="597"/>
      <c r="B93" s="598"/>
      <c r="C93" s="120" t="s">
        <v>617</v>
      </c>
      <c r="D93" s="121">
        <v>10</v>
      </c>
      <c r="E93" s="121">
        <v>11.7</v>
      </c>
      <c r="F93" s="121">
        <v>14.3</v>
      </c>
      <c r="G93" s="121">
        <v>9.3000000000000007</v>
      </c>
      <c r="H93" s="122">
        <v>13.3</v>
      </c>
    </row>
    <row r="94" spans="1:8" ht="18" thickBot="1">
      <c r="A94" s="597"/>
      <c r="B94" s="598"/>
      <c r="C94" s="120" t="s">
        <v>618</v>
      </c>
      <c r="D94" s="121">
        <v>8.5</v>
      </c>
      <c r="E94" s="121">
        <v>9.8000000000000007</v>
      </c>
      <c r="F94" s="121">
        <v>11.8</v>
      </c>
      <c r="G94" s="121">
        <v>9.5</v>
      </c>
      <c r="H94" s="122">
        <v>10.8</v>
      </c>
    </row>
    <row r="95" spans="1:8" ht="18" thickBot="1">
      <c r="A95" s="597"/>
      <c r="B95" s="598"/>
      <c r="C95" s="120" t="s">
        <v>619</v>
      </c>
      <c r="D95" s="121">
        <v>7</v>
      </c>
      <c r="E95" s="121">
        <v>8.1999999999999993</v>
      </c>
      <c r="F95" s="121">
        <v>11.2</v>
      </c>
      <c r="G95" s="121">
        <v>3.7</v>
      </c>
      <c r="H95" s="122">
        <v>10.6</v>
      </c>
    </row>
    <row r="96" spans="1:8" ht="18" thickBot="1">
      <c r="A96" s="597"/>
      <c r="B96" s="598"/>
      <c r="C96" s="120" t="s">
        <v>620</v>
      </c>
      <c r="D96" s="121">
        <v>5.8</v>
      </c>
      <c r="E96" s="121">
        <v>7.7</v>
      </c>
      <c r="F96" s="121">
        <v>8.5</v>
      </c>
      <c r="G96" s="121">
        <v>10.8</v>
      </c>
      <c r="H96" s="122">
        <v>8</v>
      </c>
    </row>
    <row r="97" spans="1:8" ht="18" thickBot="1">
      <c r="A97" s="599"/>
      <c r="B97" s="600"/>
      <c r="C97" s="123" t="s">
        <v>621</v>
      </c>
      <c r="D97" s="122">
        <v>11.5</v>
      </c>
      <c r="E97" s="122">
        <v>13</v>
      </c>
      <c r="F97" s="122">
        <v>16.5</v>
      </c>
      <c r="G97" s="122">
        <v>14</v>
      </c>
      <c r="H97" s="122">
        <v>15.4</v>
      </c>
    </row>
    <row r="98" spans="1:8" ht="18" thickBot="1">
      <c r="A98" s="595" t="s">
        <v>634</v>
      </c>
      <c r="B98" s="596"/>
      <c r="C98" s="120" t="s">
        <v>615</v>
      </c>
      <c r="D98" s="121">
        <v>17</v>
      </c>
      <c r="E98" s="121">
        <v>49</v>
      </c>
      <c r="F98" s="121">
        <v>51</v>
      </c>
      <c r="G98" s="121">
        <v>38</v>
      </c>
      <c r="H98" s="122">
        <v>22</v>
      </c>
    </row>
    <row r="99" spans="1:8" ht="18" thickBot="1">
      <c r="A99" s="597"/>
      <c r="B99" s="598"/>
      <c r="C99" s="120" t="s">
        <v>616</v>
      </c>
      <c r="D99" s="121">
        <v>17</v>
      </c>
      <c r="E99" s="121">
        <v>28</v>
      </c>
      <c r="F99" s="121">
        <v>25.5</v>
      </c>
      <c r="G99" s="121">
        <v>16</v>
      </c>
      <c r="H99" s="122">
        <v>21</v>
      </c>
    </row>
    <row r="100" spans="1:8" ht="18" thickBot="1">
      <c r="A100" s="597"/>
      <c r="B100" s="598"/>
      <c r="C100" s="120" t="s">
        <v>617</v>
      </c>
      <c r="D100" s="121">
        <v>11.7</v>
      </c>
      <c r="E100" s="121">
        <v>19.7</v>
      </c>
      <c r="F100" s="121">
        <v>17</v>
      </c>
      <c r="G100" s="121" t="s">
        <v>485</v>
      </c>
      <c r="H100" s="122">
        <v>14.3</v>
      </c>
    </row>
    <row r="101" spans="1:8" ht="18" thickBot="1">
      <c r="A101" s="597"/>
      <c r="B101" s="598"/>
      <c r="C101" s="120" t="s">
        <v>618</v>
      </c>
      <c r="D101" s="121">
        <v>10.8</v>
      </c>
      <c r="E101" s="121">
        <v>14.8</v>
      </c>
      <c r="F101" s="121">
        <v>12.8</v>
      </c>
      <c r="G101" s="121" t="s">
        <v>485</v>
      </c>
      <c r="H101" s="122">
        <v>11</v>
      </c>
    </row>
    <row r="102" spans="1:8" ht="18" thickBot="1">
      <c r="A102" s="597"/>
      <c r="B102" s="598"/>
      <c r="C102" s="120" t="s">
        <v>619</v>
      </c>
      <c r="D102" s="121">
        <v>8.8000000000000007</v>
      </c>
      <c r="E102" s="121">
        <v>11.8</v>
      </c>
      <c r="F102" s="121">
        <v>10.199999999999999</v>
      </c>
      <c r="G102" s="121" t="s">
        <v>485</v>
      </c>
      <c r="H102" s="122">
        <v>9.8000000000000007</v>
      </c>
    </row>
    <row r="103" spans="1:8" ht="18" thickBot="1">
      <c r="A103" s="597"/>
      <c r="B103" s="598"/>
      <c r="C103" s="120" t="s">
        <v>620</v>
      </c>
      <c r="D103" s="121">
        <v>7.5</v>
      </c>
      <c r="E103" s="121">
        <v>9.8000000000000007</v>
      </c>
      <c r="F103" s="121">
        <v>8.5</v>
      </c>
      <c r="G103" s="121" t="s">
        <v>485</v>
      </c>
      <c r="H103" s="122">
        <v>8.4</v>
      </c>
    </row>
    <row r="104" spans="1:8" ht="18" thickBot="1">
      <c r="A104" s="599"/>
      <c r="B104" s="600"/>
      <c r="C104" s="123" t="s">
        <v>621</v>
      </c>
      <c r="D104" s="122">
        <v>11.3</v>
      </c>
      <c r="E104" s="122">
        <v>18.3</v>
      </c>
      <c r="F104" s="122">
        <v>19.7</v>
      </c>
      <c r="G104" s="122">
        <v>16</v>
      </c>
      <c r="H104" s="122">
        <v>14</v>
      </c>
    </row>
    <row r="105" spans="1:8" ht="18" thickBot="1">
      <c r="A105" s="595" t="s">
        <v>635</v>
      </c>
      <c r="B105" s="596"/>
      <c r="C105" s="120" t="s">
        <v>615</v>
      </c>
      <c r="D105" s="121">
        <v>18</v>
      </c>
      <c r="E105" s="121">
        <v>40</v>
      </c>
      <c r="F105" s="121">
        <v>37</v>
      </c>
      <c r="G105" s="121">
        <v>28</v>
      </c>
      <c r="H105" s="122">
        <v>34</v>
      </c>
    </row>
    <row r="106" spans="1:8" ht="18" thickBot="1">
      <c r="A106" s="597"/>
      <c r="B106" s="598"/>
      <c r="C106" s="120" t="s">
        <v>616</v>
      </c>
      <c r="D106" s="121">
        <v>11.5</v>
      </c>
      <c r="E106" s="121">
        <v>20.5</v>
      </c>
      <c r="F106" s="121">
        <v>19.5</v>
      </c>
      <c r="G106" s="121">
        <v>16.5</v>
      </c>
      <c r="H106" s="122">
        <v>18.5</v>
      </c>
    </row>
    <row r="107" spans="1:8" ht="18" thickBot="1">
      <c r="A107" s="597"/>
      <c r="B107" s="598"/>
      <c r="C107" s="120" t="s">
        <v>617</v>
      </c>
      <c r="D107" s="121">
        <v>10</v>
      </c>
      <c r="E107" s="121">
        <v>13.7</v>
      </c>
      <c r="F107" s="121">
        <v>13.7</v>
      </c>
      <c r="G107" s="121">
        <v>11.3</v>
      </c>
      <c r="H107" s="122">
        <v>13</v>
      </c>
    </row>
    <row r="108" spans="1:8" ht="18" thickBot="1">
      <c r="A108" s="597"/>
      <c r="B108" s="598"/>
      <c r="C108" s="120" t="s">
        <v>618</v>
      </c>
      <c r="D108" s="121">
        <v>9.3000000000000007</v>
      </c>
      <c r="E108" s="121">
        <v>11.3</v>
      </c>
      <c r="F108" s="121">
        <v>11.8</v>
      </c>
      <c r="G108" s="121">
        <v>8.5</v>
      </c>
      <c r="H108" s="122">
        <v>10.3</v>
      </c>
    </row>
    <row r="109" spans="1:8" ht="18" thickBot="1">
      <c r="A109" s="597"/>
      <c r="B109" s="598"/>
      <c r="C109" s="120" t="s">
        <v>619</v>
      </c>
      <c r="D109" s="121">
        <v>8</v>
      </c>
      <c r="E109" s="121">
        <v>9.1999999999999993</v>
      </c>
      <c r="F109" s="121">
        <v>10</v>
      </c>
      <c r="G109" s="121">
        <v>7.6</v>
      </c>
      <c r="H109" s="122">
        <v>9</v>
      </c>
    </row>
    <row r="110" spans="1:8" ht="18" thickBot="1">
      <c r="A110" s="597"/>
      <c r="B110" s="598"/>
      <c r="C110" s="120" t="s">
        <v>620</v>
      </c>
      <c r="D110" s="121">
        <v>7.2</v>
      </c>
      <c r="E110" s="121">
        <v>7.7</v>
      </c>
      <c r="F110" s="121">
        <v>9.4</v>
      </c>
      <c r="G110" s="121">
        <v>3.2</v>
      </c>
      <c r="H110" s="122">
        <v>7.5</v>
      </c>
    </row>
    <row r="111" spans="1:8" ht="18" thickBot="1">
      <c r="A111" s="599"/>
      <c r="B111" s="600"/>
      <c r="C111" s="123" t="s">
        <v>621</v>
      </c>
      <c r="D111" s="122">
        <v>11</v>
      </c>
      <c r="E111" s="122">
        <v>15</v>
      </c>
      <c r="F111" s="122">
        <v>16.3</v>
      </c>
      <c r="G111" s="122">
        <v>12</v>
      </c>
      <c r="H111" s="122">
        <v>13.8</v>
      </c>
    </row>
    <row r="112" spans="1:8" ht="18" thickBot="1">
      <c r="A112" s="595" t="s">
        <v>636</v>
      </c>
      <c r="B112" s="596"/>
      <c r="C112" s="120" t="s">
        <v>615</v>
      </c>
      <c r="D112" s="121">
        <v>24</v>
      </c>
      <c r="E112" s="121">
        <v>40</v>
      </c>
      <c r="F112" s="121">
        <v>38</v>
      </c>
      <c r="G112" s="121">
        <v>33</v>
      </c>
      <c r="H112" s="122">
        <v>35</v>
      </c>
    </row>
    <row r="113" spans="1:8" ht="18" thickBot="1">
      <c r="A113" s="597"/>
      <c r="B113" s="598"/>
      <c r="C113" s="120" t="s">
        <v>616</v>
      </c>
      <c r="D113" s="121">
        <v>15</v>
      </c>
      <c r="E113" s="121">
        <v>20.5</v>
      </c>
      <c r="F113" s="121">
        <v>21</v>
      </c>
      <c r="G113" s="121">
        <v>18.5</v>
      </c>
      <c r="H113" s="122">
        <v>18.5</v>
      </c>
    </row>
    <row r="114" spans="1:8" ht="18" thickBot="1">
      <c r="A114" s="597"/>
      <c r="B114" s="598"/>
      <c r="C114" s="120" t="s">
        <v>617</v>
      </c>
      <c r="D114" s="121">
        <v>10.7</v>
      </c>
      <c r="E114" s="121">
        <v>13.7</v>
      </c>
      <c r="F114" s="121">
        <v>14.7</v>
      </c>
      <c r="G114" s="121">
        <v>12.3</v>
      </c>
      <c r="H114" s="122">
        <v>13.7</v>
      </c>
    </row>
    <row r="115" spans="1:8" ht="18" thickBot="1">
      <c r="A115" s="597"/>
      <c r="B115" s="598"/>
      <c r="C115" s="120" t="s">
        <v>618</v>
      </c>
      <c r="D115" s="121">
        <v>8.8000000000000007</v>
      </c>
      <c r="E115" s="121">
        <v>10.3</v>
      </c>
      <c r="F115" s="121">
        <v>13.8</v>
      </c>
      <c r="G115" s="121">
        <v>9.3000000000000007</v>
      </c>
      <c r="H115" s="122">
        <v>10.3</v>
      </c>
    </row>
    <row r="116" spans="1:8" ht="18" thickBot="1">
      <c r="A116" s="597"/>
      <c r="B116" s="598"/>
      <c r="C116" s="120" t="s">
        <v>619</v>
      </c>
      <c r="D116" s="121">
        <v>7.4</v>
      </c>
      <c r="E116" s="121">
        <v>8.1999999999999993</v>
      </c>
      <c r="F116" s="121">
        <v>13.4</v>
      </c>
      <c r="G116" s="121">
        <v>6.6</v>
      </c>
      <c r="H116" s="122">
        <v>10.4</v>
      </c>
    </row>
    <row r="117" spans="1:8" ht="18" thickBot="1">
      <c r="A117" s="597"/>
      <c r="B117" s="598"/>
      <c r="C117" s="120" t="s">
        <v>620</v>
      </c>
      <c r="D117" s="121">
        <v>5.8</v>
      </c>
      <c r="E117" s="121">
        <v>6.8</v>
      </c>
      <c r="F117" s="121">
        <v>13.5</v>
      </c>
      <c r="G117" s="121">
        <v>9.3000000000000007</v>
      </c>
      <c r="H117" s="122">
        <v>9</v>
      </c>
    </row>
    <row r="118" spans="1:8" ht="18" thickBot="1">
      <c r="A118" s="599"/>
      <c r="B118" s="600"/>
      <c r="C118" s="123" t="s">
        <v>621</v>
      </c>
      <c r="D118" s="122">
        <v>11.5</v>
      </c>
      <c r="E118" s="122">
        <v>13.7</v>
      </c>
      <c r="F118" s="122">
        <v>17.5</v>
      </c>
      <c r="G118" s="122">
        <v>12.3</v>
      </c>
      <c r="H118" s="122">
        <v>15</v>
      </c>
    </row>
    <row r="119" spans="1:8" ht="18" thickBot="1">
      <c r="A119" s="595" t="s">
        <v>637</v>
      </c>
      <c r="B119" s="596"/>
      <c r="C119" s="120" t="s">
        <v>615</v>
      </c>
      <c r="D119" s="121">
        <v>23</v>
      </c>
      <c r="E119" s="121">
        <v>38</v>
      </c>
      <c r="F119" s="121">
        <v>33</v>
      </c>
      <c r="G119" s="121">
        <v>19</v>
      </c>
      <c r="H119" s="122">
        <v>28</v>
      </c>
    </row>
    <row r="120" spans="1:8" ht="18" thickBot="1">
      <c r="A120" s="597"/>
      <c r="B120" s="598"/>
      <c r="C120" s="120" t="s">
        <v>616</v>
      </c>
      <c r="D120" s="121">
        <v>12</v>
      </c>
      <c r="E120" s="121">
        <v>20</v>
      </c>
      <c r="F120" s="121">
        <v>21</v>
      </c>
      <c r="G120" s="121">
        <v>9.5</v>
      </c>
      <c r="H120" s="122">
        <v>17.5</v>
      </c>
    </row>
    <row r="121" spans="1:8" ht="18" thickBot="1">
      <c r="A121" s="597"/>
      <c r="B121" s="598"/>
      <c r="C121" s="120" t="s">
        <v>617</v>
      </c>
      <c r="D121" s="121">
        <v>10.3</v>
      </c>
      <c r="E121" s="121">
        <v>13.7</v>
      </c>
      <c r="F121" s="121">
        <v>15.7</v>
      </c>
      <c r="G121" s="121">
        <v>15.3</v>
      </c>
      <c r="H121" s="122">
        <v>12.3</v>
      </c>
    </row>
    <row r="122" spans="1:8" ht="18" thickBot="1">
      <c r="A122" s="597"/>
      <c r="B122" s="598"/>
      <c r="C122" s="120" t="s">
        <v>618</v>
      </c>
      <c r="D122" s="121">
        <v>8.8000000000000007</v>
      </c>
      <c r="E122" s="121">
        <v>10.5</v>
      </c>
      <c r="F122" s="121">
        <v>14.5</v>
      </c>
      <c r="G122" s="121">
        <v>9.5</v>
      </c>
      <c r="H122" s="122">
        <v>10.3</v>
      </c>
    </row>
    <row r="123" spans="1:8" ht="18" thickBot="1">
      <c r="A123" s="597"/>
      <c r="B123" s="598"/>
      <c r="C123" s="120" t="s">
        <v>619</v>
      </c>
      <c r="D123" s="121">
        <v>7.4</v>
      </c>
      <c r="E123" s="121">
        <v>9.6</v>
      </c>
      <c r="F123" s="121">
        <v>13.6</v>
      </c>
      <c r="G123" s="121">
        <v>13</v>
      </c>
      <c r="H123" s="122">
        <v>10.4</v>
      </c>
    </row>
    <row r="124" spans="1:8" ht="18" thickBot="1">
      <c r="A124" s="597"/>
      <c r="B124" s="598"/>
      <c r="C124" s="120" t="s">
        <v>620</v>
      </c>
      <c r="D124" s="121">
        <v>6</v>
      </c>
      <c r="E124" s="121">
        <v>7.6</v>
      </c>
      <c r="F124" s="121">
        <v>12.8</v>
      </c>
      <c r="G124" s="121">
        <v>6.3</v>
      </c>
      <c r="H124" s="122">
        <v>9.3000000000000007</v>
      </c>
    </row>
    <row r="125" spans="1:8" ht="18" thickBot="1">
      <c r="A125" s="599"/>
      <c r="B125" s="600"/>
      <c r="C125" s="123" t="s">
        <v>621</v>
      </c>
      <c r="D125" s="122">
        <v>11.5</v>
      </c>
      <c r="E125" s="122">
        <v>15</v>
      </c>
      <c r="F125" s="122">
        <v>17.8</v>
      </c>
      <c r="G125" s="122">
        <v>13</v>
      </c>
      <c r="H125" s="122">
        <v>14.5</v>
      </c>
    </row>
    <row r="126" spans="1:8" ht="18" thickBot="1">
      <c r="A126" s="595" t="s">
        <v>638</v>
      </c>
      <c r="B126" s="596"/>
      <c r="C126" s="120" t="s">
        <v>615</v>
      </c>
      <c r="D126" s="121">
        <v>16</v>
      </c>
      <c r="E126" s="121">
        <v>45</v>
      </c>
      <c r="F126" s="121">
        <v>46</v>
      </c>
      <c r="G126" s="121">
        <v>32</v>
      </c>
      <c r="H126" s="122">
        <v>41</v>
      </c>
    </row>
    <row r="127" spans="1:8" ht="18" thickBot="1">
      <c r="A127" s="597"/>
      <c r="B127" s="598"/>
      <c r="C127" s="120" t="s">
        <v>616</v>
      </c>
      <c r="D127" s="121">
        <v>16</v>
      </c>
      <c r="E127" s="121">
        <v>22.5</v>
      </c>
      <c r="F127" s="121">
        <v>24.5</v>
      </c>
      <c r="G127" s="121">
        <v>14</v>
      </c>
      <c r="H127" s="122">
        <v>22.5</v>
      </c>
    </row>
    <row r="128" spans="1:8" ht="18" thickBot="1">
      <c r="A128" s="597"/>
      <c r="B128" s="598"/>
      <c r="C128" s="120" t="s">
        <v>617</v>
      </c>
      <c r="D128" s="121">
        <v>11.7</v>
      </c>
      <c r="E128" s="121">
        <v>15</v>
      </c>
      <c r="F128" s="121">
        <v>17.3</v>
      </c>
      <c r="G128" s="121">
        <v>37</v>
      </c>
      <c r="H128" s="122">
        <v>15</v>
      </c>
    </row>
    <row r="129" spans="1:8" ht="18" thickBot="1">
      <c r="A129" s="597"/>
      <c r="B129" s="598"/>
      <c r="C129" s="120" t="s">
        <v>618</v>
      </c>
      <c r="D129" s="121">
        <v>8.8000000000000007</v>
      </c>
      <c r="E129" s="121">
        <v>12.3</v>
      </c>
      <c r="F129" s="121">
        <v>15</v>
      </c>
      <c r="G129" s="121" t="s">
        <v>485</v>
      </c>
      <c r="H129" s="122">
        <v>12.5</v>
      </c>
    </row>
    <row r="130" spans="1:8" ht="18" thickBot="1">
      <c r="A130" s="597"/>
      <c r="B130" s="598"/>
      <c r="C130" s="120" t="s">
        <v>619</v>
      </c>
      <c r="D130" s="121">
        <v>8</v>
      </c>
      <c r="E130" s="121">
        <v>10.8</v>
      </c>
      <c r="F130" s="121">
        <v>13</v>
      </c>
      <c r="G130" s="121" t="s">
        <v>485</v>
      </c>
      <c r="H130" s="122">
        <v>11</v>
      </c>
    </row>
    <row r="131" spans="1:8" ht="18" thickBot="1">
      <c r="A131" s="597"/>
      <c r="B131" s="598"/>
      <c r="C131" s="120" t="s">
        <v>620</v>
      </c>
      <c r="D131" s="121">
        <v>7.2</v>
      </c>
      <c r="E131" s="121">
        <v>8.1999999999999993</v>
      </c>
      <c r="F131" s="121">
        <v>11.7</v>
      </c>
      <c r="G131" s="121" t="s">
        <v>485</v>
      </c>
      <c r="H131" s="122">
        <v>9.1999999999999993</v>
      </c>
    </row>
    <row r="132" spans="1:8" ht="18" thickBot="1">
      <c r="A132" s="599"/>
      <c r="B132" s="600"/>
      <c r="C132" s="123" t="s">
        <v>621</v>
      </c>
      <c r="D132" s="122">
        <v>11</v>
      </c>
      <c r="E132" s="122">
        <v>16</v>
      </c>
      <c r="F132" s="122">
        <v>18.3</v>
      </c>
      <c r="G132" s="122">
        <v>28</v>
      </c>
      <c r="H132" s="122">
        <v>16</v>
      </c>
    </row>
    <row r="133" spans="1:8" ht="18" thickBot="1">
      <c r="A133" s="595" t="s">
        <v>639</v>
      </c>
      <c r="B133" s="596"/>
      <c r="C133" s="120" t="s">
        <v>615</v>
      </c>
      <c r="D133" s="121">
        <v>18</v>
      </c>
      <c r="E133" s="121">
        <v>44</v>
      </c>
      <c r="F133" s="121">
        <v>35</v>
      </c>
      <c r="G133" s="121">
        <v>12</v>
      </c>
      <c r="H133" s="122">
        <v>23</v>
      </c>
    </row>
    <row r="134" spans="1:8" ht="18" thickBot="1">
      <c r="A134" s="597"/>
      <c r="B134" s="598"/>
      <c r="C134" s="120" t="s">
        <v>616</v>
      </c>
      <c r="D134" s="121">
        <v>16.5</v>
      </c>
      <c r="E134" s="121">
        <v>23.5</v>
      </c>
      <c r="F134" s="121">
        <v>19</v>
      </c>
      <c r="G134" s="121">
        <v>15.5</v>
      </c>
      <c r="H134" s="122">
        <v>17</v>
      </c>
    </row>
    <row r="135" spans="1:8" ht="18" thickBot="1">
      <c r="A135" s="597"/>
      <c r="B135" s="598"/>
      <c r="C135" s="120" t="s">
        <v>617</v>
      </c>
      <c r="D135" s="121">
        <v>11.3</v>
      </c>
      <c r="E135" s="121">
        <v>16.3</v>
      </c>
      <c r="F135" s="121">
        <v>13</v>
      </c>
      <c r="G135" s="121">
        <v>10.3</v>
      </c>
      <c r="H135" s="122">
        <v>11.7</v>
      </c>
    </row>
    <row r="136" spans="1:8" ht="18" thickBot="1">
      <c r="A136" s="597"/>
      <c r="B136" s="598"/>
      <c r="C136" s="120" t="s">
        <v>618</v>
      </c>
      <c r="D136" s="121">
        <v>9.3000000000000007</v>
      </c>
      <c r="E136" s="121">
        <v>13</v>
      </c>
      <c r="F136" s="121">
        <v>10.5</v>
      </c>
      <c r="G136" s="121">
        <v>8.5</v>
      </c>
      <c r="H136" s="122">
        <v>9.8000000000000007</v>
      </c>
    </row>
    <row r="137" spans="1:8" ht="18" thickBot="1">
      <c r="A137" s="597"/>
      <c r="B137" s="598"/>
      <c r="C137" s="120" t="s">
        <v>619</v>
      </c>
      <c r="D137" s="121">
        <v>8.4</v>
      </c>
      <c r="E137" s="121">
        <v>10.6</v>
      </c>
      <c r="F137" s="121">
        <v>9.6</v>
      </c>
      <c r="G137" s="121">
        <v>6.2</v>
      </c>
      <c r="H137" s="122">
        <v>8.6</v>
      </c>
    </row>
    <row r="138" spans="1:8" ht="18" thickBot="1">
      <c r="A138" s="597"/>
      <c r="B138" s="598"/>
      <c r="C138" s="120" t="s">
        <v>620</v>
      </c>
      <c r="D138" s="121">
        <v>7.2</v>
      </c>
      <c r="E138" s="121">
        <v>9.1999999999999993</v>
      </c>
      <c r="F138" s="121">
        <v>7.5</v>
      </c>
      <c r="G138" s="121">
        <v>5.7</v>
      </c>
      <c r="H138" s="122">
        <v>7.2</v>
      </c>
    </row>
    <row r="139" spans="1:8" ht="18" thickBot="1">
      <c r="A139" s="599"/>
      <c r="B139" s="600"/>
      <c r="C139" s="123" t="s">
        <v>621</v>
      </c>
      <c r="D139" s="122">
        <v>11.3</v>
      </c>
      <c r="E139" s="122">
        <v>17.3</v>
      </c>
      <c r="F139" s="122">
        <v>13.8</v>
      </c>
      <c r="G139" s="122">
        <v>10.5</v>
      </c>
      <c r="H139" s="122">
        <v>11.7</v>
      </c>
    </row>
    <row r="140" spans="1:8" ht="18" thickBot="1">
      <c r="A140" s="595" t="s">
        <v>640</v>
      </c>
      <c r="B140" s="596"/>
      <c r="C140" s="120" t="s">
        <v>615</v>
      </c>
      <c r="D140" s="121">
        <v>22</v>
      </c>
      <c r="E140" s="121">
        <v>39</v>
      </c>
      <c r="F140" s="121">
        <v>37</v>
      </c>
      <c r="G140" s="121">
        <v>23</v>
      </c>
      <c r="H140" s="122">
        <v>33</v>
      </c>
    </row>
    <row r="141" spans="1:8" ht="18" thickBot="1">
      <c r="A141" s="597"/>
      <c r="B141" s="598"/>
      <c r="C141" s="120" t="s">
        <v>616</v>
      </c>
      <c r="D141" s="121">
        <v>15</v>
      </c>
      <c r="E141" s="121">
        <v>20.5</v>
      </c>
      <c r="F141" s="121">
        <v>22.5</v>
      </c>
      <c r="G141" s="121">
        <v>6</v>
      </c>
      <c r="H141" s="122">
        <v>17.5</v>
      </c>
    </row>
    <row r="142" spans="1:8" ht="18" thickBot="1">
      <c r="A142" s="597"/>
      <c r="B142" s="598"/>
      <c r="C142" s="120" t="s">
        <v>617</v>
      </c>
      <c r="D142" s="121">
        <v>11</v>
      </c>
      <c r="E142" s="121">
        <v>13.7</v>
      </c>
      <c r="F142" s="121">
        <v>15.7</v>
      </c>
      <c r="G142" s="121">
        <v>43.3</v>
      </c>
      <c r="H142" s="122">
        <v>12.3</v>
      </c>
    </row>
    <row r="143" spans="1:8" ht="18" thickBot="1">
      <c r="A143" s="597"/>
      <c r="B143" s="598"/>
      <c r="C143" s="120" t="s">
        <v>618</v>
      </c>
      <c r="D143" s="121">
        <v>8.5</v>
      </c>
      <c r="E143" s="121">
        <v>10.3</v>
      </c>
      <c r="F143" s="121">
        <v>12.8</v>
      </c>
      <c r="G143" s="121">
        <v>3.8</v>
      </c>
      <c r="H143" s="122">
        <v>10.3</v>
      </c>
    </row>
    <row r="144" spans="1:8" ht="18" thickBot="1">
      <c r="A144" s="597"/>
      <c r="B144" s="598"/>
      <c r="C144" s="120" t="s">
        <v>619</v>
      </c>
      <c r="D144" s="121">
        <v>7.4</v>
      </c>
      <c r="E144" s="121">
        <v>9</v>
      </c>
      <c r="F144" s="121">
        <v>12.4</v>
      </c>
      <c r="G144" s="121" t="s">
        <v>485</v>
      </c>
      <c r="H144" s="122">
        <v>9</v>
      </c>
    </row>
    <row r="145" spans="1:8" ht="18" thickBot="1">
      <c r="A145" s="597"/>
      <c r="B145" s="598"/>
      <c r="C145" s="120" t="s">
        <v>620</v>
      </c>
      <c r="D145" s="121">
        <v>6.2</v>
      </c>
      <c r="E145" s="121">
        <v>7.5</v>
      </c>
      <c r="F145" s="121">
        <v>10.3</v>
      </c>
      <c r="G145" s="121" t="s">
        <v>485</v>
      </c>
      <c r="H145" s="122">
        <v>7.5</v>
      </c>
    </row>
    <row r="146" spans="1:8" ht="18" thickBot="1">
      <c r="A146" s="599"/>
      <c r="B146" s="600"/>
      <c r="C146" s="123" t="s">
        <v>621</v>
      </c>
      <c r="D146" s="122">
        <v>11.5</v>
      </c>
      <c r="E146" s="122">
        <v>15</v>
      </c>
      <c r="F146" s="122">
        <v>17</v>
      </c>
      <c r="G146" s="122">
        <v>15</v>
      </c>
      <c r="H146" s="122">
        <v>14</v>
      </c>
    </row>
    <row r="147" spans="1:8" ht="18" thickBot="1">
      <c r="A147" s="595" t="s">
        <v>641</v>
      </c>
      <c r="B147" s="596"/>
      <c r="C147" s="120" t="s">
        <v>615</v>
      </c>
      <c r="D147" s="121">
        <v>16</v>
      </c>
      <c r="E147" s="121">
        <v>49</v>
      </c>
      <c r="F147" s="121">
        <v>52</v>
      </c>
      <c r="G147" s="121" t="s">
        <v>485</v>
      </c>
      <c r="H147" s="122">
        <v>45</v>
      </c>
    </row>
    <row r="148" spans="1:8" ht="18" thickBot="1">
      <c r="A148" s="597"/>
      <c r="B148" s="598"/>
      <c r="C148" s="120" t="s">
        <v>616</v>
      </c>
      <c r="D148" s="121">
        <v>11</v>
      </c>
      <c r="E148" s="121">
        <v>24.5</v>
      </c>
      <c r="F148" s="121">
        <v>28</v>
      </c>
      <c r="G148" s="121">
        <v>32.5</v>
      </c>
      <c r="H148" s="122">
        <v>25.5</v>
      </c>
    </row>
    <row r="149" spans="1:8" ht="18" thickBot="1">
      <c r="A149" s="597"/>
      <c r="B149" s="598"/>
      <c r="C149" s="120" t="s">
        <v>617</v>
      </c>
      <c r="D149" s="121">
        <v>13</v>
      </c>
      <c r="E149" s="121">
        <v>18.3</v>
      </c>
      <c r="F149" s="121">
        <v>21.7</v>
      </c>
      <c r="G149" s="121" t="s">
        <v>485</v>
      </c>
      <c r="H149" s="122">
        <v>16</v>
      </c>
    </row>
    <row r="150" spans="1:8" ht="18" thickBot="1">
      <c r="A150" s="597"/>
      <c r="B150" s="598"/>
      <c r="C150" s="120" t="s">
        <v>618</v>
      </c>
      <c r="D150" s="121">
        <v>11.5</v>
      </c>
      <c r="E150" s="121">
        <v>13.8</v>
      </c>
      <c r="F150" s="121">
        <v>17.5</v>
      </c>
      <c r="G150" s="121">
        <v>40</v>
      </c>
      <c r="H150" s="122">
        <v>11.5</v>
      </c>
    </row>
    <row r="151" spans="1:8" ht="18" thickBot="1">
      <c r="A151" s="597"/>
      <c r="B151" s="598"/>
      <c r="C151" s="120" t="s">
        <v>619</v>
      </c>
      <c r="D151" s="121">
        <v>9.1999999999999993</v>
      </c>
      <c r="E151" s="121">
        <v>11</v>
      </c>
      <c r="F151" s="121">
        <v>14.6</v>
      </c>
      <c r="G151" s="121" t="s">
        <v>485</v>
      </c>
      <c r="H151" s="122">
        <v>10.4</v>
      </c>
    </row>
    <row r="152" spans="1:8" ht="18" thickBot="1">
      <c r="A152" s="597"/>
      <c r="B152" s="598"/>
      <c r="C152" s="120" t="s">
        <v>620</v>
      </c>
      <c r="D152" s="121">
        <v>8.6999999999999993</v>
      </c>
      <c r="E152" s="121">
        <v>6.7</v>
      </c>
      <c r="F152" s="121">
        <v>12</v>
      </c>
      <c r="G152" s="121" t="s">
        <v>485</v>
      </c>
      <c r="H152" s="122">
        <v>8.6999999999999993</v>
      </c>
    </row>
    <row r="153" spans="1:8" ht="18" thickBot="1">
      <c r="A153" s="599"/>
      <c r="B153" s="600"/>
      <c r="C153" s="123" t="s">
        <v>621</v>
      </c>
      <c r="D153" s="122">
        <v>11.5</v>
      </c>
      <c r="E153" s="122">
        <v>19.7</v>
      </c>
      <c r="F153" s="122">
        <v>25.5</v>
      </c>
      <c r="G153" s="122">
        <v>32.5</v>
      </c>
      <c r="H153" s="122">
        <v>16</v>
      </c>
    </row>
    <row r="154" spans="1:8" ht="18" thickBot="1">
      <c r="A154" s="595" t="s">
        <v>642</v>
      </c>
      <c r="B154" s="596"/>
      <c r="C154" s="120" t="s">
        <v>615</v>
      </c>
      <c r="D154" s="121">
        <v>14</v>
      </c>
      <c r="E154" s="121">
        <v>41</v>
      </c>
      <c r="F154" s="121">
        <v>55</v>
      </c>
      <c r="G154" s="121">
        <v>37</v>
      </c>
      <c r="H154" s="122">
        <v>49</v>
      </c>
    </row>
    <row r="155" spans="1:8" ht="18" thickBot="1">
      <c r="A155" s="597"/>
      <c r="B155" s="598"/>
      <c r="C155" s="120" t="s">
        <v>616</v>
      </c>
      <c r="D155" s="121">
        <v>11</v>
      </c>
      <c r="E155" s="121">
        <v>21</v>
      </c>
      <c r="F155" s="121">
        <v>30</v>
      </c>
      <c r="G155" s="121">
        <v>19</v>
      </c>
      <c r="H155" s="122">
        <v>28</v>
      </c>
    </row>
    <row r="156" spans="1:8" ht="18" thickBot="1">
      <c r="A156" s="597"/>
      <c r="B156" s="598"/>
      <c r="C156" s="120" t="s">
        <v>617</v>
      </c>
      <c r="D156" s="121">
        <v>10</v>
      </c>
      <c r="E156" s="121">
        <v>13.7</v>
      </c>
      <c r="F156" s="121">
        <v>21.7</v>
      </c>
      <c r="G156" s="121">
        <v>12.7</v>
      </c>
      <c r="H156" s="122">
        <v>21</v>
      </c>
    </row>
    <row r="157" spans="1:8" ht="18" thickBot="1">
      <c r="A157" s="597"/>
      <c r="B157" s="598"/>
      <c r="C157" s="120" t="s">
        <v>618</v>
      </c>
      <c r="D157" s="121">
        <v>8.5</v>
      </c>
      <c r="E157" s="121">
        <v>10.3</v>
      </c>
      <c r="F157" s="121">
        <v>16.3</v>
      </c>
      <c r="G157" s="121">
        <v>11.5</v>
      </c>
      <c r="H157" s="122">
        <v>16.3</v>
      </c>
    </row>
    <row r="158" spans="1:8" ht="18" thickBot="1">
      <c r="A158" s="597"/>
      <c r="B158" s="598"/>
      <c r="C158" s="120" t="s">
        <v>619</v>
      </c>
      <c r="D158" s="121">
        <v>7.4</v>
      </c>
      <c r="E158" s="121">
        <v>8.4</v>
      </c>
      <c r="F158" s="121">
        <v>13</v>
      </c>
      <c r="G158" s="121">
        <v>7.6</v>
      </c>
      <c r="H158" s="122">
        <v>13</v>
      </c>
    </row>
    <row r="159" spans="1:8" ht="18" thickBot="1">
      <c r="A159" s="597"/>
      <c r="B159" s="598"/>
      <c r="C159" s="120" t="s">
        <v>620</v>
      </c>
      <c r="D159" s="121">
        <v>7.2</v>
      </c>
      <c r="E159" s="121">
        <v>8.3000000000000007</v>
      </c>
      <c r="F159" s="121">
        <v>12</v>
      </c>
      <c r="G159" s="121">
        <v>9.1999999999999993</v>
      </c>
      <c r="H159" s="122">
        <v>10.8</v>
      </c>
    </row>
    <row r="160" spans="1:8" ht="18" thickBot="1">
      <c r="A160" s="599"/>
      <c r="B160" s="600"/>
      <c r="C160" s="123" t="s">
        <v>621</v>
      </c>
      <c r="D160" s="122">
        <v>11</v>
      </c>
      <c r="E160" s="122">
        <v>20</v>
      </c>
      <c r="F160" s="122">
        <v>23</v>
      </c>
      <c r="G160" s="122">
        <v>18.5</v>
      </c>
      <c r="H160" s="122">
        <v>21.7</v>
      </c>
    </row>
    <row r="161" spans="1:8" ht="18" thickBot="1">
      <c r="A161" s="601" t="s">
        <v>643</v>
      </c>
      <c r="B161" s="602"/>
      <c r="C161" s="123" t="s">
        <v>615</v>
      </c>
      <c r="D161" s="122">
        <v>19</v>
      </c>
      <c r="E161" s="122">
        <v>41</v>
      </c>
      <c r="F161" s="122">
        <v>39</v>
      </c>
      <c r="G161" s="122">
        <v>28</v>
      </c>
      <c r="H161" s="122">
        <v>32</v>
      </c>
    </row>
    <row r="162" spans="1:8" ht="18" thickBot="1">
      <c r="A162" s="603"/>
      <c r="B162" s="604"/>
      <c r="C162" s="123" t="s">
        <v>616</v>
      </c>
      <c r="D162" s="122">
        <v>15</v>
      </c>
      <c r="E162" s="122">
        <v>21</v>
      </c>
      <c r="F162" s="122">
        <v>22</v>
      </c>
      <c r="G162" s="122">
        <v>18.5</v>
      </c>
      <c r="H162" s="122">
        <v>18.5</v>
      </c>
    </row>
    <row r="163" spans="1:8" ht="18" thickBot="1">
      <c r="A163" s="603"/>
      <c r="B163" s="604"/>
      <c r="C163" s="123" t="s">
        <v>617</v>
      </c>
      <c r="D163" s="122">
        <v>11</v>
      </c>
      <c r="E163" s="122">
        <v>15</v>
      </c>
      <c r="F163" s="122">
        <v>16</v>
      </c>
      <c r="G163" s="122">
        <v>12.7</v>
      </c>
      <c r="H163" s="122">
        <v>13.3</v>
      </c>
    </row>
    <row r="164" spans="1:8" ht="18" thickBot="1">
      <c r="A164" s="603"/>
      <c r="B164" s="604"/>
      <c r="C164" s="123" t="s">
        <v>618</v>
      </c>
      <c r="D164" s="122">
        <v>9</v>
      </c>
      <c r="E164" s="122">
        <v>11.3</v>
      </c>
      <c r="F164" s="122">
        <v>13.3</v>
      </c>
      <c r="G164" s="122">
        <v>9.5</v>
      </c>
      <c r="H164" s="122">
        <v>11</v>
      </c>
    </row>
    <row r="165" spans="1:8" ht="18" thickBot="1">
      <c r="A165" s="603"/>
      <c r="B165" s="604"/>
      <c r="C165" s="123" t="s">
        <v>619</v>
      </c>
      <c r="D165" s="122">
        <v>7.8</v>
      </c>
      <c r="E165" s="122">
        <v>10</v>
      </c>
      <c r="F165" s="122">
        <v>12.4</v>
      </c>
      <c r="G165" s="122">
        <v>7.6</v>
      </c>
      <c r="H165" s="122">
        <v>10.4</v>
      </c>
    </row>
    <row r="166" spans="1:8" ht="18" thickBot="1">
      <c r="A166" s="603"/>
      <c r="B166" s="604"/>
      <c r="C166" s="123" t="s">
        <v>620</v>
      </c>
      <c r="D166" s="122">
        <v>7.2</v>
      </c>
      <c r="E166" s="122">
        <v>8</v>
      </c>
      <c r="F166" s="122">
        <v>11.2</v>
      </c>
      <c r="G166" s="122">
        <v>9.1999999999999993</v>
      </c>
      <c r="H166" s="122">
        <v>9</v>
      </c>
    </row>
    <row r="167" spans="1:8" ht="18" thickBot="1">
      <c r="A167" s="605"/>
      <c r="B167" s="606"/>
      <c r="C167" s="123" t="s">
        <v>611</v>
      </c>
      <c r="D167" s="122">
        <v>11.5</v>
      </c>
      <c r="E167" s="122">
        <v>15.3</v>
      </c>
      <c r="F167" s="122">
        <v>18</v>
      </c>
      <c r="G167" s="122">
        <v>18</v>
      </c>
      <c r="H167" s="122">
        <v>15</v>
      </c>
    </row>
    <row r="168" spans="1:8" ht="15">
      <c r="A168" s="124"/>
    </row>
    <row r="169" spans="1:8" ht="15.75" customHeight="1">
      <c r="A169" s="594" t="s">
        <v>644</v>
      </c>
      <c r="B169" s="594"/>
      <c r="C169" s="594"/>
      <c r="D169" s="594"/>
    </row>
    <row r="170" spans="1:8" ht="31.5" customHeight="1">
      <c r="A170" s="125" t="s">
        <v>645</v>
      </c>
      <c r="B170" s="607" t="s">
        <v>646</v>
      </c>
      <c r="C170" s="607"/>
      <c r="D170" s="607"/>
      <c r="E170" s="607"/>
      <c r="F170" s="607"/>
      <c r="G170" s="607"/>
    </row>
    <row r="171" spans="1:8" ht="15">
      <c r="A171" s="125"/>
    </row>
    <row r="172" spans="1:8" ht="15.75" customHeight="1">
      <c r="A172" s="594" t="s">
        <v>647</v>
      </c>
      <c r="B172" s="594"/>
      <c r="C172" s="594"/>
      <c r="D172" s="594"/>
    </row>
    <row r="173" spans="1:8" ht="15">
      <c r="A173" s="125"/>
      <c r="B173" s="125"/>
      <c r="C173" s="125"/>
      <c r="D173" s="125"/>
    </row>
    <row r="174" spans="1:8" ht="15">
      <c r="A174" s="594"/>
      <c r="B174" s="594"/>
      <c r="C174" s="594"/>
      <c r="D174" s="594"/>
    </row>
    <row r="175" spans="1:8" ht="15">
      <c r="A175" s="125"/>
      <c r="B175" s="125"/>
      <c r="C175" s="125"/>
      <c r="D175" s="125"/>
    </row>
    <row r="176" spans="1:8" ht="15.75" customHeight="1">
      <c r="A176" s="594" t="s">
        <v>470</v>
      </c>
      <c r="B176" s="594"/>
      <c r="C176" s="594"/>
      <c r="D176" s="594"/>
    </row>
    <row r="177" spans="1:4" ht="15.75" customHeight="1">
      <c r="A177" s="594" t="s">
        <v>648</v>
      </c>
      <c r="B177" s="594"/>
      <c r="C177" s="594"/>
      <c r="D177" s="594"/>
    </row>
    <row r="178" spans="1:4" ht="15.75" customHeight="1">
      <c r="A178" s="594" t="s">
        <v>649</v>
      </c>
      <c r="B178" s="594"/>
      <c r="C178" s="594"/>
      <c r="D178" s="594"/>
    </row>
    <row r="179" spans="1:4" ht="15.75" customHeight="1">
      <c r="A179" s="594" t="s">
        <v>650</v>
      </c>
      <c r="B179" s="594"/>
      <c r="C179" s="594"/>
      <c r="D179" s="594"/>
    </row>
    <row r="180" spans="1:4" ht="15.75" customHeight="1">
      <c r="A180" s="594" t="s">
        <v>651</v>
      </c>
      <c r="B180" s="594"/>
      <c r="C180" s="594"/>
      <c r="D180" s="594"/>
    </row>
    <row r="181" spans="1:4" ht="15.75" customHeight="1">
      <c r="A181" s="594" t="s">
        <v>652</v>
      </c>
      <c r="B181" s="594"/>
      <c r="C181" s="594"/>
      <c r="D181" s="594"/>
    </row>
    <row r="182" spans="1:4" ht="15">
      <c r="A182" s="125"/>
    </row>
    <row r="183" spans="1:4" ht="15.75" customHeight="1">
      <c r="A183" s="594" t="s">
        <v>653</v>
      </c>
      <c r="B183" s="594"/>
      <c r="C183" s="594"/>
      <c r="D183" s="594"/>
    </row>
    <row r="184" spans="1:4" ht="15.75" customHeight="1">
      <c r="A184" s="594" t="s">
        <v>654</v>
      </c>
      <c r="B184" s="594"/>
      <c r="C184" s="594"/>
      <c r="D184" s="594"/>
    </row>
  </sheetData>
  <mergeCells count="44">
    <mergeCell ref="A21:B27"/>
    <mergeCell ref="A1:F1"/>
    <mergeCell ref="A2:C3"/>
    <mergeCell ref="D2:H2"/>
    <mergeCell ref="D3:H3"/>
    <mergeCell ref="A4:C4"/>
    <mergeCell ref="D4:H4"/>
    <mergeCell ref="A5:C5"/>
    <mergeCell ref="A6:B6"/>
    <mergeCell ref="D6:H6"/>
    <mergeCell ref="A7:B13"/>
    <mergeCell ref="A14:B20"/>
    <mergeCell ref="A105:B111"/>
    <mergeCell ref="A28:B34"/>
    <mergeCell ref="A35:B41"/>
    <mergeCell ref="A42:B48"/>
    <mergeCell ref="A49:B55"/>
    <mergeCell ref="A56:B62"/>
    <mergeCell ref="A63:B69"/>
    <mergeCell ref="A70:B76"/>
    <mergeCell ref="A77:B83"/>
    <mergeCell ref="A84:B90"/>
    <mergeCell ref="A91:B97"/>
    <mergeCell ref="A98:B104"/>
    <mergeCell ref="A174:D174"/>
    <mergeCell ref="A112:B118"/>
    <mergeCell ref="A119:B125"/>
    <mergeCell ref="A126:B132"/>
    <mergeCell ref="A133:B139"/>
    <mergeCell ref="A140:B146"/>
    <mergeCell ref="A147:B153"/>
    <mergeCell ref="A154:B160"/>
    <mergeCell ref="A161:B167"/>
    <mergeCell ref="A169:D169"/>
    <mergeCell ref="B170:G170"/>
    <mergeCell ref="A172:D172"/>
    <mergeCell ref="A183:D183"/>
    <mergeCell ref="A184:D184"/>
    <mergeCell ref="A176:D176"/>
    <mergeCell ref="A177:D177"/>
    <mergeCell ref="A178:D178"/>
    <mergeCell ref="A179:D179"/>
    <mergeCell ref="A180:D180"/>
    <mergeCell ref="A181:D181"/>
  </mergeCells>
  <phoneticPr fontId="3" type="noConversion"/>
  <pageMargins left="0.75" right="0.75" top="1" bottom="1" header="0.5" footer="0.5"/>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P107"/>
  <sheetViews>
    <sheetView zoomScale="85" workbookViewId="0">
      <selection activeCell="E22" sqref="E22:E23"/>
    </sheetView>
  </sheetViews>
  <sheetFormatPr baseColWidth="10" defaultColWidth="8.796875" defaultRowHeight="14"/>
  <cols>
    <col min="1" max="1" width="42.3984375" customWidth="1"/>
    <col min="2" max="2" width="12.19921875" customWidth="1"/>
    <col min="3" max="3" width="9.3984375" customWidth="1"/>
    <col min="4" max="4" width="10" customWidth="1"/>
  </cols>
  <sheetData>
    <row r="1" spans="1:49" ht="30" customHeight="1">
      <c r="A1" s="626" t="s">
        <v>655</v>
      </c>
      <c r="B1" s="626"/>
      <c r="C1" s="626"/>
      <c r="D1" s="626"/>
      <c r="E1" s="626"/>
      <c r="F1" s="626"/>
      <c r="G1" s="626"/>
      <c r="H1" s="626"/>
      <c r="I1" s="626"/>
      <c r="J1" s="626"/>
      <c r="K1" s="626"/>
      <c r="L1" s="626"/>
      <c r="M1" s="626"/>
      <c r="N1" s="626"/>
      <c r="O1" s="626"/>
      <c r="P1" s="626"/>
      <c r="Q1" s="626"/>
      <c r="R1" s="626"/>
    </row>
    <row r="2" spans="1:49">
      <c r="A2" s="48" t="s">
        <v>656</v>
      </c>
      <c r="B2" s="56" t="s">
        <v>657</v>
      </c>
      <c r="C2" s="57" t="s">
        <v>658</v>
      </c>
      <c r="D2" s="57"/>
    </row>
    <row r="3" spans="1:49">
      <c r="A3" s="48" t="s">
        <v>659</v>
      </c>
      <c r="B3" t="s">
        <v>660</v>
      </c>
    </row>
    <row r="4" spans="1:49">
      <c r="B4" t="s">
        <v>661</v>
      </c>
    </row>
    <row r="5" spans="1:49">
      <c r="B5" t="s">
        <v>662</v>
      </c>
    </row>
    <row r="7" spans="1:49" s="145" customFormat="1">
      <c r="A7" s="145" t="s">
        <v>663</v>
      </c>
      <c r="B7" s="145" t="s">
        <v>664</v>
      </c>
      <c r="C7" s="145">
        <v>2005</v>
      </c>
      <c r="D7" s="145">
        <v>2006</v>
      </c>
      <c r="E7" s="145">
        <v>2007</v>
      </c>
      <c r="F7" s="145">
        <v>2008</v>
      </c>
      <c r="G7" s="145">
        <v>2009</v>
      </c>
      <c r="H7" s="145">
        <v>2010</v>
      </c>
      <c r="I7" s="145">
        <v>2011</v>
      </c>
      <c r="J7" s="145">
        <v>2012</v>
      </c>
      <c r="K7" s="145">
        <v>2013</v>
      </c>
      <c r="L7" s="145">
        <v>2014</v>
      </c>
      <c r="M7" s="145">
        <v>2015</v>
      </c>
      <c r="N7" s="145">
        <v>2016</v>
      </c>
      <c r="O7" s="145">
        <v>2017</v>
      </c>
      <c r="P7" s="145">
        <v>2018</v>
      </c>
      <c r="Q7" s="145">
        <v>2019</v>
      </c>
      <c r="R7" s="145">
        <v>2020</v>
      </c>
      <c r="S7" s="145">
        <v>2021</v>
      </c>
      <c r="T7" s="145">
        <v>2022</v>
      </c>
      <c r="U7" s="145">
        <v>2023</v>
      </c>
      <c r="V7" s="145">
        <v>2024</v>
      </c>
      <c r="W7" s="145">
        <v>2025</v>
      </c>
      <c r="X7" s="145">
        <v>2026</v>
      </c>
      <c r="Y7" s="145">
        <v>2027</v>
      </c>
      <c r="Z7" s="145">
        <v>2028</v>
      </c>
      <c r="AA7" s="145">
        <v>2029</v>
      </c>
      <c r="AB7" s="145">
        <v>2030</v>
      </c>
      <c r="AC7" s="145">
        <v>2031</v>
      </c>
      <c r="AD7" s="145">
        <v>2032</v>
      </c>
      <c r="AE7" s="145">
        <v>2033</v>
      </c>
      <c r="AF7" s="145">
        <v>2034</v>
      </c>
      <c r="AG7" s="145">
        <v>2035</v>
      </c>
      <c r="AH7" s="145">
        <v>2036</v>
      </c>
      <c r="AI7" s="145">
        <v>2037</v>
      </c>
      <c r="AJ7" s="145">
        <v>2038</v>
      </c>
      <c r="AK7" s="145">
        <v>2039</v>
      </c>
      <c r="AL7" s="145">
        <v>2040</v>
      </c>
      <c r="AM7" s="145">
        <v>2041</v>
      </c>
      <c r="AN7" s="145">
        <v>2042</v>
      </c>
      <c r="AO7" s="145">
        <v>2043</v>
      </c>
      <c r="AP7" s="145">
        <v>2044</v>
      </c>
      <c r="AQ7" s="145">
        <v>2045</v>
      </c>
      <c r="AR7" s="145">
        <v>2046</v>
      </c>
      <c r="AS7" s="145">
        <v>2047</v>
      </c>
      <c r="AT7" s="145">
        <v>2048</v>
      </c>
      <c r="AU7" s="145">
        <v>2049</v>
      </c>
      <c r="AV7" s="145">
        <v>2050</v>
      </c>
      <c r="AW7" s="145">
        <v>2051</v>
      </c>
    </row>
    <row r="8" spans="1:49">
      <c r="A8" s="47" t="s">
        <v>665</v>
      </c>
      <c r="B8" t="s">
        <v>666</v>
      </c>
      <c r="C8" s="58">
        <v>6813.2</v>
      </c>
      <c r="D8" s="58">
        <v>6857.1</v>
      </c>
      <c r="E8" s="58">
        <v>6916.3</v>
      </c>
      <c r="F8" s="58">
        <v>6957.8</v>
      </c>
      <c r="G8" s="58">
        <v>6972.8</v>
      </c>
      <c r="H8" s="58">
        <v>7024.2</v>
      </c>
      <c r="I8" s="58">
        <v>7071.6</v>
      </c>
      <c r="J8" s="58">
        <v>7150.1</v>
      </c>
      <c r="K8" s="58">
        <v>7178.9</v>
      </c>
      <c r="L8" s="58">
        <v>7229.5</v>
      </c>
      <c r="M8" s="58">
        <v>7291.3</v>
      </c>
      <c r="N8" s="58">
        <v>7336.6</v>
      </c>
      <c r="O8" s="58">
        <v>7391.7</v>
      </c>
      <c r="P8" s="58">
        <v>7451</v>
      </c>
      <c r="Q8" s="59">
        <v>7502.6</v>
      </c>
      <c r="R8" s="59">
        <v>7558.1</v>
      </c>
      <c r="S8" s="59">
        <v>7608.4</v>
      </c>
      <c r="T8" s="59">
        <v>7657.7</v>
      </c>
      <c r="U8" s="59">
        <v>7705.4</v>
      </c>
      <c r="V8" s="59">
        <v>7748.4</v>
      </c>
      <c r="W8" s="59">
        <v>7788.7</v>
      </c>
      <c r="X8" s="59">
        <v>7825.2</v>
      </c>
      <c r="Y8" s="59">
        <v>7859.6</v>
      </c>
      <c r="Z8" s="59">
        <v>7895.2</v>
      </c>
      <c r="AA8" s="59">
        <v>7930.5</v>
      </c>
      <c r="AB8" s="59">
        <v>7963.8</v>
      </c>
      <c r="AC8" s="59">
        <v>7996.2</v>
      </c>
      <c r="AD8" s="59">
        <v>8028</v>
      </c>
      <c r="AE8" s="59">
        <v>8060</v>
      </c>
      <c r="AF8" s="59">
        <v>8090.2</v>
      </c>
      <c r="AG8" s="59">
        <v>8117.2</v>
      </c>
      <c r="AH8" s="59">
        <v>8141.7</v>
      </c>
      <c r="AI8" s="59">
        <v>8163.5</v>
      </c>
      <c r="AJ8" s="59">
        <v>8182</v>
      </c>
      <c r="AK8" s="59">
        <v>8196.2000000000007</v>
      </c>
      <c r="AL8" s="59">
        <v>8207</v>
      </c>
      <c r="AM8" s="59">
        <v>8213.7999999999993</v>
      </c>
      <c r="AN8" s="59">
        <v>8217.1</v>
      </c>
      <c r="AO8" s="59">
        <v>8218.5</v>
      </c>
      <c r="AP8" s="59">
        <v>8217.6</v>
      </c>
      <c r="AQ8" s="59">
        <v>8213.7000000000007</v>
      </c>
      <c r="AR8" s="59">
        <v>8207.2000000000007</v>
      </c>
      <c r="AS8" s="59">
        <v>8197.1</v>
      </c>
      <c r="AT8" s="59">
        <v>8185</v>
      </c>
      <c r="AU8" s="59">
        <v>8170</v>
      </c>
      <c r="AV8" s="59">
        <v>8152.3</v>
      </c>
    </row>
    <row r="9" spans="1:49">
      <c r="A9" s="47" t="s">
        <v>667</v>
      </c>
      <c r="B9" t="s">
        <v>668</v>
      </c>
      <c r="C9" s="58">
        <v>196.28290661555027</v>
      </c>
      <c r="D9" s="58">
        <v>210.08695475935278</v>
      </c>
      <c r="E9" s="58">
        <v>223.66872639495065</v>
      </c>
      <c r="F9" s="58">
        <v>228.42826443840249</v>
      </c>
      <c r="G9" s="58">
        <v>222.81110013156828</v>
      </c>
      <c r="H9" s="58">
        <v>237.89024818360531</v>
      </c>
      <c r="I9" s="58">
        <v>249.34391970689373</v>
      </c>
      <c r="J9" s="58">
        <v>253.58353381643323</v>
      </c>
      <c r="K9" s="58">
        <v>261.4483987932918</v>
      </c>
      <c r="L9" s="58">
        <v>268.67069284922229</v>
      </c>
      <c r="M9" s="58">
        <v>275.08613446344197</v>
      </c>
      <c r="N9" s="58">
        <v>281.03603654829504</v>
      </c>
      <c r="O9" s="58">
        <v>291.69109227205433</v>
      </c>
      <c r="P9" s="58">
        <v>301.90028050157622</v>
      </c>
      <c r="Q9" s="49">
        <v>310.65538863612193</v>
      </c>
      <c r="R9" s="59">
        <v>319.97505029520562</v>
      </c>
      <c r="S9" s="49">
        <v>329.89427685435697</v>
      </c>
      <c r="T9" s="49">
        <v>340.120999436842</v>
      </c>
      <c r="U9" s="49">
        <v>350.66475041938406</v>
      </c>
      <c r="V9" s="49">
        <v>359.7489652122822</v>
      </c>
      <c r="W9" s="59">
        <v>369.9529423926142</v>
      </c>
      <c r="X9" s="49">
        <v>380.0592250894515</v>
      </c>
      <c r="Y9" s="49">
        <v>390.01400505105994</v>
      </c>
      <c r="Z9" s="49">
        <v>399.87872419310224</v>
      </c>
      <c r="AA9" s="49">
        <v>409.75022916782473</v>
      </c>
      <c r="AB9" s="59">
        <v>419.87452636513262</v>
      </c>
      <c r="AC9" s="49">
        <v>429.77617383383767</v>
      </c>
      <c r="AD9" s="49">
        <v>439.69592854728762</v>
      </c>
      <c r="AE9" s="49">
        <v>449.65422421977564</v>
      </c>
      <c r="AF9" s="49">
        <v>459.63325896187598</v>
      </c>
      <c r="AG9" s="59">
        <v>469.59812324072118</v>
      </c>
      <c r="AH9" s="49">
        <v>479.52012607155848</v>
      </c>
      <c r="AI9" s="49">
        <v>489.48684381360727</v>
      </c>
      <c r="AJ9" s="49">
        <v>499.44979875905119</v>
      </c>
      <c r="AK9" s="49">
        <v>509.40312551934039</v>
      </c>
      <c r="AL9" s="59">
        <v>519.35232043612632</v>
      </c>
      <c r="AM9" s="49">
        <v>529.30668356665046</v>
      </c>
      <c r="AN9" s="49">
        <v>539.26807077138801</v>
      </c>
      <c r="AO9" s="49">
        <v>549.22040555720741</v>
      </c>
      <c r="AP9" s="49">
        <v>559.17362405603853</v>
      </c>
      <c r="AQ9" s="59">
        <v>569.12918517627259</v>
      </c>
      <c r="AR9" s="49">
        <v>579.08546292275059</v>
      </c>
      <c r="AS9" s="49">
        <v>589.04028452444982</v>
      </c>
      <c r="AT9" s="49">
        <v>598.99401903290345</v>
      </c>
      <c r="AU9" s="49">
        <v>608.94959619795554</v>
      </c>
      <c r="AV9" s="59">
        <v>618.90494703984587</v>
      </c>
    </row>
    <row r="10" spans="1:49">
      <c r="A10" s="47" t="s">
        <v>669</v>
      </c>
      <c r="B10" t="s">
        <v>670</v>
      </c>
      <c r="C10" s="49">
        <f>C9/C8*1000</f>
        <v>28.809209566070319</v>
      </c>
      <c r="D10" s="49">
        <f>D9/D8*1000</f>
        <v>30.637872389108043</v>
      </c>
      <c r="E10" s="49">
        <f t="shared" ref="E10:W10" si="0">E9/E8*1000</f>
        <v>32.339361565425243</v>
      </c>
      <c r="F10" s="49">
        <f t="shared" si="0"/>
        <v>32.830530403058795</v>
      </c>
      <c r="G10" s="49">
        <f t="shared" si="0"/>
        <v>31.954322529194627</v>
      </c>
      <c r="H10" s="49">
        <f t="shared" si="0"/>
        <v>33.86723729159268</v>
      </c>
      <c r="I10" s="49">
        <f t="shared" si="0"/>
        <v>35.259901536695189</v>
      </c>
      <c r="J10" s="49">
        <f t="shared" si="0"/>
        <v>35.465732481564345</v>
      </c>
      <c r="K10" s="49">
        <f t="shared" si="0"/>
        <v>36.419005529160707</v>
      </c>
      <c r="L10" s="49">
        <f t="shared" si="0"/>
        <v>37.163108492872574</v>
      </c>
      <c r="M10" s="49">
        <f t="shared" si="0"/>
        <v>37.727995619908931</v>
      </c>
      <c r="N10" s="49">
        <f t="shared" si="0"/>
        <v>38.306032296744412</v>
      </c>
      <c r="O10" s="49">
        <f t="shared" si="0"/>
        <v>39.461976578061119</v>
      </c>
      <c r="P10" s="49">
        <f t="shared" si="0"/>
        <v>40.518088914451248</v>
      </c>
      <c r="Q10" s="49">
        <f t="shared" si="0"/>
        <v>41.406364278533033</v>
      </c>
      <c r="R10" s="49">
        <f t="shared" si="0"/>
        <v>42.335381947209697</v>
      </c>
      <c r="S10" s="49">
        <f t="shared" si="0"/>
        <v>43.359218344771172</v>
      </c>
      <c r="T10" s="49">
        <f t="shared" si="0"/>
        <v>44.415555511033602</v>
      </c>
      <c r="U10" s="49">
        <f t="shared" si="0"/>
        <v>45.50896130238327</v>
      </c>
      <c r="V10" s="49">
        <f t="shared" si="0"/>
        <v>46.428806619725648</v>
      </c>
      <c r="W10" s="49">
        <f t="shared" si="0"/>
        <v>47.498676594632506</v>
      </c>
      <c r="X10" s="49">
        <f t="shared" ref="X10:AV10" si="1">X9/X8*1000</f>
        <v>48.568627650341398</v>
      </c>
      <c r="Y10" s="49">
        <f t="shared" si="1"/>
        <v>49.622627748366313</v>
      </c>
      <c r="Z10" s="49">
        <f t="shared" si="1"/>
        <v>50.648333695549482</v>
      </c>
      <c r="AA10" s="49">
        <f t="shared" si="1"/>
        <v>51.667641279594569</v>
      </c>
      <c r="AB10" s="49">
        <f t="shared" si="1"/>
        <v>52.722886858677093</v>
      </c>
      <c r="AC10" s="49">
        <f t="shared" si="1"/>
        <v>53.747551816342472</v>
      </c>
      <c r="AD10" s="49">
        <f t="shared" si="1"/>
        <v>54.770295035785708</v>
      </c>
      <c r="AE10" s="49">
        <f t="shared" si="1"/>
        <v>55.788365287813356</v>
      </c>
      <c r="AF10" s="49">
        <f t="shared" si="1"/>
        <v>56.813584208286073</v>
      </c>
      <c r="AG10" s="49">
        <f t="shared" si="1"/>
        <v>57.852230232188589</v>
      </c>
      <c r="AH10" s="49">
        <f t="shared" si="1"/>
        <v>58.896806081231006</v>
      </c>
      <c r="AI10" s="49">
        <f t="shared" si="1"/>
        <v>59.960414505249865</v>
      </c>
      <c r="AJ10" s="49">
        <f t="shared" si="1"/>
        <v>61.04250779259975</v>
      </c>
      <c r="AK10" s="49">
        <f t="shared" si="1"/>
        <v>62.151134125489904</v>
      </c>
      <c r="AL10" s="49">
        <f t="shared" si="1"/>
        <v>63.281627931780953</v>
      </c>
      <c r="AM10" s="49">
        <f t="shared" si="1"/>
        <v>64.44114582369312</v>
      </c>
      <c r="AN10" s="49">
        <f t="shared" si="1"/>
        <v>65.627541440579762</v>
      </c>
      <c r="AO10" s="49">
        <f t="shared" si="1"/>
        <v>66.827329264124529</v>
      </c>
      <c r="AP10" s="49">
        <f t="shared" si="1"/>
        <v>68.045855731118394</v>
      </c>
      <c r="AQ10" s="49">
        <f t="shared" si="1"/>
        <v>69.290232803276538</v>
      </c>
      <c r="AR10" s="49">
        <f t="shared" si="1"/>
        <v>70.55822484193763</v>
      </c>
      <c r="AS10" s="49">
        <f t="shared" si="1"/>
        <v>71.859594798703171</v>
      </c>
      <c r="AT10" s="49">
        <f t="shared" si="1"/>
        <v>73.181920468283863</v>
      </c>
      <c r="AU10" s="49">
        <f t="shared" si="1"/>
        <v>74.534834295955392</v>
      </c>
      <c r="AV10" s="49">
        <f t="shared" si="1"/>
        <v>75.917832641076245</v>
      </c>
    </row>
    <row r="11" spans="1:49">
      <c r="A11" s="47" t="s">
        <v>671</v>
      </c>
      <c r="B11" t="s">
        <v>672</v>
      </c>
      <c r="C11" s="87">
        <f>Household_Histo!C27/1000</f>
        <v>2.1970999999999998</v>
      </c>
      <c r="D11" s="87">
        <f>Household_Histo!C28/1000</f>
        <v>2.2208999999999999</v>
      </c>
      <c r="E11" s="87">
        <f>Household_Histo!C29/1000</f>
        <v>2.2499000000000002</v>
      </c>
      <c r="F11" s="87">
        <f>Household_Histo!C30/1000</f>
        <v>2.2791000000000001</v>
      </c>
      <c r="G11" s="87">
        <f>Household_Histo!C31/1000</f>
        <v>2.2971999999999997</v>
      </c>
      <c r="H11" s="87">
        <f>Household_Histo!C32/1000</f>
        <v>2.3250999999999999</v>
      </c>
      <c r="I11" s="87">
        <f>Household_Histo!C33/1000</f>
        <v>2.3593000000000002</v>
      </c>
      <c r="J11" s="87">
        <f>Household_Histo!C34/1000</f>
        <v>2.3861999999999997</v>
      </c>
      <c r="K11" s="87">
        <f>Household_Histo!C35/1000</f>
        <v>2.4073000000000002</v>
      </c>
      <c r="L11" s="87">
        <f>Household_Histo!C36/1000</f>
        <v>2.4323999999999999</v>
      </c>
      <c r="M11" s="87">
        <f>Household_Histo!C37/1000</f>
        <v>2.4710999999999999</v>
      </c>
      <c r="N11" s="87">
        <f>Household_Histo!C38/1000</f>
        <v>2.4988999999999999</v>
      </c>
      <c r="O11" s="87">
        <f>Household_Histo!C39/1000</f>
        <v>2.5347</v>
      </c>
      <c r="P11" s="96">
        <f t="shared" ref="P11:AO11" si="2">TREND($V$33:$V$34,$U$33:$U$34,P7)</f>
        <v>2.5493407407407389</v>
      </c>
      <c r="Q11" s="96">
        <f t="shared" si="2"/>
        <v>2.5639814814814805</v>
      </c>
      <c r="R11" s="96">
        <f t="shared" si="2"/>
        <v>2.5786222222222221</v>
      </c>
      <c r="S11" s="96">
        <f t="shared" si="2"/>
        <v>2.5932629629629638</v>
      </c>
      <c r="T11" s="96">
        <f t="shared" si="2"/>
        <v>2.6079037037037018</v>
      </c>
      <c r="U11" s="96">
        <f t="shared" si="2"/>
        <v>2.6225444444444435</v>
      </c>
      <c r="V11" s="96">
        <f t="shared" si="2"/>
        <v>2.6371851851851851</v>
      </c>
      <c r="W11" s="96">
        <f t="shared" si="2"/>
        <v>2.6518259259259267</v>
      </c>
      <c r="X11" s="96">
        <f t="shared" si="2"/>
        <v>2.6664666666666648</v>
      </c>
      <c r="Y11" s="96">
        <f t="shared" si="2"/>
        <v>2.6811074074074064</v>
      </c>
      <c r="Z11" s="96">
        <f t="shared" si="2"/>
        <v>2.695748148148148</v>
      </c>
      <c r="AA11" s="96">
        <f t="shared" si="2"/>
        <v>2.7103888888888896</v>
      </c>
      <c r="AB11" s="96">
        <f t="shared" si="2"/>
        <v>2.7250296296296277</v>
      </c>
      <c r="AC11" s="96">
        <f t="shared" si="2"/>
        <v>2.7396703703703693</v>
      </c>
      <c r="AD11" s="96">
        <f t="shared" si="2"/>
        <v>2.7543111111111109</v>
      </c>
      <c r="AE11" s="96">
        <f t="shared" si="2"/>
        <v>2.7689518518518526</v>
      </c>
      <c r="AF11" s="96">
        <f t="shared" si="2"/>
        <v>2.7835925925925906</v>
      </c>
      <c r="AG11" s="96">
        <f t="shared" si="2"/>
        <v>2.7982333333333322</v>
      </c>
      <c r="AH11" s="96">
        <f t="shared" si="2"/>
        <v>2.8128740740740739</v>
      </c>
      <c r="AI11" s="96">
        <f t="shared" si="2"/>
        <v>2.8275148148148155</v>
      </c>
      <c r="AJ11" s="96">
        <f t="shared" si="2"/>
        <v>2.8421555555555535</v>
      </c>
      <c r="AK11" s="96">
        <f t="shared" si="2"/>
        <v>2.8567962962962952</v>
      </c>
      <c r="AL11" s="96">
        <f t="shared" si="2"/>
        <v>2.8714370370370368</v>
      </c>
      <c r="AM11" s="96">
        <f t="shared" si="2"/>
        <v>2.8860777777777784</v>
      </c>
      <c r="AN11" s="96">
        <f t="shared" si="2"/>
        <v>2.9007185185185165</v>
      </c>
      <c r="AO11" s="96">
        <f t="shared" si="2"/>
        <v>2.9153592592592581</v>
      </c>
      <c r="AP11" s="86">
        <v>2.93</v>
      </c>
      <c r="AQ11" s="96">
        <f>TREND($V$34:$V$35,$U$34:$U$35,AQ7)</f>
        <v>2.9260000000000002</v>
      </c>
      <c r="AR11" s="96">
        <f>TREND($V$34:$V$35,$U$34:$U$35,AR7)</f>
        <v>2.9219999999999988</v>
      </c>
      <c r="AS11" s="96">
        <f>TREND($V$34:$V$35,$U$34:$U$35,AS7)</f>
        <v>2.9179999999999993</v>
      </c>
      <c r="AT11" s="96">
        <f>TREND($V$34:$V$35,$U$34:$U$35,AT7)</f>
        <v>2.9139999999999997</v>
      </c>
      <c r="AU11" s="86">
        <v>2.91</v>
      </c>
      <c r="AV11" s="96">
        <f>TREND($V$34:$V$35,$U$34:$U$35,AV7)</f>
        <v>2.9060000000000006</v>
      </c>
    </row>
    <row r="12" spans="1:49">
      <c r="A12" s="47" t="s">
        <v>673</v>
      </c>
      <c r="B12" t="s">
        <v>672</v>
      </c>
      <c r="C12" s="87">
        <f t="shared" ref="C12:O12" si="3">C11</f>
        <v>2.1970999999999998</v>
      </c>
      <c r="D12" s="87">
        <f t="shared" si="3"/>
        <v>2.2208999999999999</v>
      </c>
      <c r="E12" s="87">
        <f t="shared" si="3"/>
        <v>2.2499000000000002</v>
      </c>
      <c r="F12" s="87">
        <f t="shared" si="3"/>
        <v>2.2791000000000001</v>
      </c>
      <c r="G12" s="87">
        <f t="shared" si="3"/>
        <v>2.2971999999999997</v>
      </c>
      <c r="H12" s="87">
        <f t="shared" si="3"/>
        <v>2.3250999999999999</v>
      </c>
      <c r="I12" s="87">
        <f t="shared" si="3"/>
        <v>2.3593000000000002</v>
      </c>
      <c r="J12" s="87">
        <f t="shared" si="3"/>
        <v>2.3861999999999997</v>
      </c>
      <c r="K12" s="87">
        <f t="shared" si="3"/>
        <v>2.4073000000000002</v>
      </c>
      <c r="L12" s="87">
        <f t="shared" si="3"/>
        <v>2.4323999999999999</v>
      </c>
      <c r="M12" s="87">
        <f t="shared" si="3"/>
        <v>2.4710999999999999</v>
      </c>
      <c r="N12" s="87">
        <f t="shared" si="3"/>
        <v>2.4988999999999999</v>
      </c>
      <c r="O12" s="87">
        <f t="shared" si="3"/>
        <v>2.5347</v>
      </c>
      <c r="P12" s="96">
        <f t="shared" ref="P12:AV12" si="4">-0.00040693*P7*P7+1.6681351*P7-1706.5786</f>
        <v>2.5672264799998175</v>
      </c>
      <c r="Q12" s="96">
        <f t="shared" si="4"/>
        <v>2.5925851700001203</v>
      </c>
      <c r="R12" s="96">
        <f t="shared" si="4"/>
        <v>2.6171299999996336</v>
      </c>
      <c r="S12" s="96">
        <f t="shared" si="4"/>
        <v>2.6408609699999488</v>
      </c>
      <c r="T12" s="96">
        <f t="shared" si="4"/>
        <v>2.6637780799997017</v>
      </c>
      <c r="U12" s="96">
        <f t="shared" si="4"/>
        <v>2.6858813300000293</v>
      </c>
      <c r="V12" s="96">
        <f t="shared" si="4"/>
        <v>2.7071707200000219</v>
      </c>
      <c r="W12" s="96">
        <f t="shared" si="4"/>
        <v>2.7276462499996796</v>
      </c>
      <c r="X12" s="96">
        <f t="shared" si="4"/>
        <v>2.7473079200001393</v>
      </c>
      <c r="Y12" s="96">
        <f t="shared" si="4"/>
        <v>2.7661557299998094</v>
      </c>
      <c r="Z12" s="96">
        <f t="shared" si="4"/>
        <v>2.7841896800000541</v>
      </c>
      <c r="AA12" s="96">
        <f t="shared" si="4"/>
        <v>2.8014097699997365</v>
      </c>
      <c r="AB12" s="96">
        <f t="shared" si="4"/>
        <v>2.8178159999999934</v>
      </c>
      <c r="AC12" s="96">
        <f t="shared" si="4"/>
        <v>2.8334083699996881</v>
      </c>
      <c r="AD12" s="96">
        <f t="shared" si="4"/>
        <v>2.8481868799999575</v>
      </c>
      <c r="AE12" s="96">
        <f t="shared" si="4"/>
        <v>2.8621515299998919</v>
      </c>
      <c r="AF12" s="96">
        <f t="shared" si="4"/>
        <v>2.8753023199999461</v>
      </c>
      <c r="AG12" s="96">
        <f t="shared" si="4"/>
        <v>2.8876392500001202</v>
      </c>
      <c r="AH12" s="96">
        <f t="shared" si="4"/>
        <v>2.8991623199997321</v>
      </c>
      <c r="AI12" s="96">
        <f t="shared" si="4"/>
        <v>2.9098715299999185</v>
      </c>
      <c r="AJ12" s="96">
        <f t="shared" si="4"/>
        <v>2.91976687999977</v>
      </c>
      <c r="AK12" s="96">
        <f t="shared" si="4"/>
        <v>2.9288483699999688</v>
      </c>
      <c r="AL12" s="96">
        <f t="shared" si="4"/>
        <v>2.93711600000006</v>
      </c>
      <c r="AM12" s="96">
        <f t="shared" si="4"/>
        <v>2.9445697699998163</v>
      </c>
      <c r="AN12" s="96">
        <f t="shared" si="4"/>
        <v>2.9512096800001473</v>
      </c>
      <c r="AO12" s="96">
        <f t="shared" si="4"/>
        <v>2.9570357299999159</v>
      </c>
      <c r="AP12" s="96">
        <f t="shared" si="4"/>
        <v>2.9620479200000318</v>
      </c>
      <c r="AQ12" s="96">
        <f t="shared" si="4"/>
        <v>2.9662462499995854</v>
      </c>
      <c r="AR12" s="96">
        <f t="shared" si="4"/>
        <v>2.969630719999941</v>
      </c>
      <c r="AS12" s="96">
        <f t="shared" si="4"/>
        <v>2.9722013299997343</v>
      </c>
      <c r="AT12" s="96">
        <f t="shared" si="4"/>
        <v>2.9739580799998748</v>
      </c>
      <c r="AU12" s="96">
        <f t="shared" si="4"/>
        <v>2.9749009699999078</v>
      </c>
      <c r="AV12" s="96">
        <f t="shared" si="4"/>
        <v>2.9750299999996059</v>
      </c>
      <c r="AW12" s="86">
        <f>Household_Pred!B21/10^6</f>
        <v>2.9495</v>
      </c>
    </row>
    <row r="13" spans="1:49">
      <c r="A13" s="47" t="s">
        <v>674</v>
      </c>
      <c r="B13" t="s">
        <v>675</v>
      </c>
      <c r="F13" t="s">
        <v>676</v>
      </c>
    </row>
    <row r="14" spans="1:49">
      <c r="A14" s="47" t="s">
        <v>677</v>
      </c>
      <c r="B14" t="s">
        <v>678</v>
      </c>
      <c r="C14" s="96">
        <f t="shared" ref="C14:AV14" si="5">TREND($AA$48:$AA$50,$T$48:$T$50,C7)</f>
        <v>3.1823114754098398</v>
      </c>
      <c r="D14" s="96">
        <f t="shared" si="5"/>
        <v>3.1695081967213135</v>
      </c>
      <c r="E14" s="96">
        <f t="shared" si="5"/>
        <v>3.1567049180327906</v>
      </c>
      <c r="F14" s="96">
        <f t="shared" si="5"/>
        <v>3.1439016393442643</v>
      </c>
      <c r="G14" s="96">
        <f t="shared" si="5"/>
        <v>3.1310983606557414</v>
      </c>
      <c r="H14" s="87">
        <f t="shared" si="5"/>
        <v>3.1182950819672151</v>
      </c>
      <c r="I14" s="96">
        <f t="shared" si="5"/>
        <v>3.1054918032786922</v>
      </c>
      <c r="J14" s="96">
        <f t="shared" si="5"/>
        <v>3.0926885245901659</v>
      </c>
      <c r="K14" s="96">
        <f t="shared" si="5"/>
        <v>3.079885245901643</v>
      </c>
      <c r="L14" s="96">
        <f t="shared" si="5"/>
        <v>3.0670819672131167</v>
      </c>
      <c r="M14" s="96">
        <f t="shared" si="5"/>
        <v>3.0542786885245938</v>
      </c>
      <c r="N14" s="96">
        <f t="shared" si="5"/>
        <v>3.0414754098360675</v>
      </c>
      <c r="O14" s="96">
        <f t="shared" si="5"/>
        <v>3.0286721311475446</v>
      </c>
      <c r="P14" s="96">
        <f t="shared" si="5"/>
        <v>3.0158688524590183</v>
      </c>
      <c r="Q14" s="96">
        <f t="shared" si="5"/>
        <v>3.0030655737704954</v>
      </c>
      <c r="R14" s="96">
        <f t="shared" si="5"/>
        <v>2.9902622950819691</v>
      </c>
      <c r="S14" s="96">
        <f t="shared" si="5"/>
        <v>2.9774590163934462</v>
      </c>
      <c r="T14" s="96">
        <f t="shared" si="5"/>
        <v>2.9646557377049199</v>
      </c>
      <c r="U14" s="96">
        <f t="shared" si="5"/>
        <v>2.951852459016397</v>
      </c>
      <c r="V14" s="96">
        <f t="shared" si="5"/>
        <v>2.9390491803278707</v>
      </c>
      <c r="W14" s="96">
        <f t="shared" si="5"/>
        <v>2.9262459016393478</v>
      </c>
      <c r="X14" s="96">
        <f t="shared" si="5"/>
        <v>2.9134426229508215</v>
      </c>
      <c r="Y14" s="96">
        <f t="shared" si="5"/>
        <v>2.9006393442622986</v>
      </c>
      <c r="Z14" s="96">
        <f t="shared" si="5"/>
        <v>2.8878360655737723</v>
      </c>
      <c r="AA14" s="96">
        <f t="shared" si="5"/>
        <v>2.8750327868852494</v>
      </c>
      <c r="AB14" s="96">
        <f t="shared" si="5"/>
        <v>2.8622295081967231</v>
      </c>
      <c r="AC14" s="96">
        <f t="shared" si="5"/>
        <v>2.8494262295082002</v>
      </c>
      <c r="AD14" s="96">
        <f t="shared" si="5"/>
        <v>2.8366229508196739</v>
      </c>
      <c r="AE14" s="96">
        <f t="shared" si="5"/>
        <v>2.823819672131151</v>
      </c>
      <c r="AF14" s="96">
        <f t="shared" si="5"/>
        <v>2.8110163934426247</v>
      </c>
      <c r="AG14" s="96">
        <f t="shared" si="5"/>
        <v>2.7982131147541018</v>
      </c>
      <c r="AH14" s="96">
        <f t="shared" si="5"/>
        <v>2.7854098360655755</v>
      </c>
      <c r="AI14" s="96">
        <f t="shared" si="5"/>
        <v>2.7726065573770526</v>
      </c>
      <c r="AJ14" s="96">
        <f t="shared" si="5"/>
        <v>2.7598032786885263</v>
      </c>
      <c r="AK14" s="96">
        <f t="shared" si="5"/>
        <v>2.7470000000000034</v>
      </c>
      <c r="AL14" s="96">
        <f t="shared" si="5"/>
        <v>2.7341967213114771</v>
      </c>
      <c r="AM14" s="96">
        <f t="shared" si="5"/>
        <v>2.7213934426229542</v>
      </c>
      <c r="AN14" s="96">
        <f t="shared" si="5"/>
        <v>2.7085901639344279</v>
      </c>
      <c r="AO14" s="96">
        <f t="shared" si="5"/>
        <v>2.695786885245905</v>
      </c>
      <c r="AP14" s="96">
        <f t="shared" si="5"/>
        <v>2.6829836065573787</v>
      </c>
      <c r="AQ14" s="96">
        <f t="shared" si="5"/>
        <v>2.6701803278688558</v>
      </c>
      <c r="AR14" s="96">
        <f t="shared" si="5"/>
        <v>2.6573770491803295</v>
      </c>
      <c r="AS14" s="96">
        <f t="shared" si="5"/>
        <v>2.6445737704918066</v>
      </c>
      <c r="AT14" s="96">
        <f t="shared" si="5"/>
        <v>2.6317704918032803</v>
      </c>
      <c r="AU14" s="96">
        <f t="shared" si="5"/>
        <v>2.6189672131147539</v>
      </c>
      <c r="AV14" s="96">
        <f t="shared" si="5"/>
        <v>2.6061639344262311</v>
      </c>
    </row>
    <row r="15" spans="1:49">
      <c r="A15" s="47" t="s">
        <v>679</v>
      </c>
      <c r="B15" t="s">
        <v>678</v>
      </c>
      <c r="C15" s="96">
        <f>C8/C11/1000</f>
        <v>3.1009967684675259</v>
      </c>
      <c r="D15" s="96">
        <f t="shared" ref="D15:AV15" si="6">D8/D11/1000</f>
        <v>3.0875320815885456</v>
      </c>
      <c r="E15" s="96">
        <f t="shared" si="6"/>
        <v>3.0740477354549087</v>
      </c>
      <c r="F15" s="96">
        <f t="shared" si="6"/>
        <v>3.0528717476196743</v>
      </c>
      <c r="G15" s="96">
        <f t="shared" si="6"/>
        <v>3.0353473794184227</v>
      </c>
      <c r="H15" s="96">
        <f t="shared" si="6"/>
        <v>3.0210313534901725</v>
      </c>
      <c r="I15" s="96">
        <f t="shared" si="6"/>
        <v>2.9973297164413175</v>
      </c>
      <c r="J15" s="96">
        <f t="shared" si="6"/>
        <v>2.9964378509764482</v>
      </c>
      <c r="K15" s="96">
        <f t="shared" si="6"/>
        <v>2.9821376646034974</v>
      </c>
      <c r="L15" s="96">
        <f t="shared" si="6"/>
        <v>2.9721674066765336</v>
      </c>
      <c r="M15" s="96">
        <f t="shared" si="6"/>
        <v>2.9506292744122051</v>
      </c>
      <c r="N15" s="96">
        <f t="shared" si="6"/>
        <v>2.9359318099963989</v>
      </c>
      <c r="O15" s="96">
        <f t="shared" si="6"/>
        <v>2.9162031009586937</v>
      </c>
      <c r="P15" s="96">
        <f t="shared" si="6"/>
        <v>2.9227164030787933</v>
      </c>
      <c r="Q15" s="96">
        <f t="shared" si="6"/>
        <v>2.9261521794084735</v>
      </c>
      <c r="R15" s="96">
        <f t="shared" si="6"/>
        <v>2.9310613764456477</v>
      </c>
      <c r="S15" s="96">
        <f t="shared" si="6"/>
        <v>2.9339099461424962</v>
      </c>
      <c r="T15" s="96">
        <f t="shared" si="6"/>
        <v>2.9363430824246541</v>
      </c>
      <c r="U15" s="96">
        <f t="shared" si="6"/>
        <v>2.938138957500986</v>
      </c>
      <c r="V15" s="96">
        <f t="shared" si="6"/>
        <v>2.9381326891747652</v>
      </c>
      <c r="W15" s="96">
        <f t="shared" si="6"/>
        <v>2.9371083236847282</v>
      </c>
      <c r="X15" s="96">
        <f t="shared" si="6"/>
        <v>2.9346701002575215</v>
      </c>
      <c r="Y15" s="96">
        <f t="shared" si="6"/>
        <v>2.9314752472375303</v>
      </c>
      <c r="Z15" s="96">
        <f t="shared" si="6"/>
        <v>2.9287602424668755</v>
      </c>
      <c r="AA15" s="96">
        <f t="shared" si="6"/>
        <v>2.9259638838215092</v>
      </c>
      <c r="AB15" s="96">
        <f t="shared" si="6"/>
        <v>2.9224636361412335</v>
      </c>
      <c r="AC15" s="96">
        <f t="shared" si="6"/>
        <v>2.9186722922871242</v>
      </c>
      <c r="AD15" s="96">
        <f t="shared" si="6"/>
        <v>2.9147034144452335</v>
      </c>
      <c r="AE15" s="96">
        <f t="shared" si="6"/>
        <v>2.9108487367194695</v>
      </c>
      <c r="AF15" s="96">
        <f t="shared" si="6"/>
        <v>2.9063879612012204</v>
      </c>
      <c r="AG15" s="96">
        <f t="shared" si="6"/>
        <v>2.9008302857755499</v>
      </c>
      <c r="AH15" s="96">
        <f t="shared" si="6"/>
        <v>2.894441694010081</v>
      </c>
      <c r="AI15" s="96">
        <f t="shared" si="6"/>
        <v>2.8871643597505456</v>
      </c>
      <c r="AJ15" s="96">
        <f t="shared" si="6"/>
        <v>2.8788009101073539</v>
      </c>
      <c r="AK15" s="96">
        <f t="shared" si="6"/>
        <v>2.8690180012575617</v>
      </c>
      <c r="AL15" s="96">
        <f t="shared" si="6"/>
        <v>2.8581507775175163</v>
      </c>
      <c r="AM15" s="96">
        <f t="shared" si="6"/>
        <v>2.8460078460963927</v>
      </c>
      <c r="AN15" s="96">
        <f t="shared" si="6"/>
        <v>2.832780894644241</v>
      </c>
      <c r="AO15" s="96">
        <f t="shared" si="6"/>
        <v>2.8190350722292039</v>
      </c>
      <c r="AP15" s="96">
        <f t="shared" si="6"/>
        <v>2.8046416382252559</v>
      </c>
      <c r="AQ15" s="96">
        <f t="shared" si="6"/>
        <v>2.8071428571428574</v>
      </c>
      <c r="AR15" s="96">
        <f t="shared" si="6"/>
        <v>2.8087611225188245</v>
      </c>
      <c r="AS15" s="96">
        <f t="shared" si="6"/>
        <v>2.8091501028101447</v>
      </c>
      <c r="AT15" s="96">
        <f t="shared" si="6"/>
        <v>2.8088538091969806</v>
      </c>
      <c r="AU15" s="96">
        <f t="shared" si="6"/>
        <v>2.8075601374570445</v>
      </c>
      <c r="AV15" s="96">
        <f t="shared" si="6"/>
        <v>2.8053337921541632</v>
      </c>
    </row>
    <row r="16" spans="1:49">
      <c r="A16" s="47" t="s">
        <v>680</v>
      </c>
      <c r="B16" t="s">
        <v>678</v>
      </c>
      <c r="C16" s="96">
        <f t="shared" ref="C16:AV16" si="7">C8/C12/1000</f>
        <v>3.1009967684675259</v>
      </c>
      <c r="D16" s="96">
        <f t="shared" si="7"/>
        <v>3.0875320815885456</v>
      </c>
      <c r="E16" s="96">
        <f t="shared" si="7"/>
        <v>3.0740477354549087</v>
      </c>
      <c r="F16" s="96">
        <f t="shared" si="7"/>
        <v>3.0528717476196743</v>
      </c>
      <c r="G16" s="96">
        <f t="shared" si="7"/>
        <v>3.0353473794184227</v>
      </c>
      <c r="H16" s="96">
        <f t="shared" si="7"/>
        <v>3.0210313534901725</v>
      </c>
      <c r="I16" s="96">
        <f t="shared" si="7"/>
        <v>2.9973297164413175</v>
      </c>
      <c r="J16" s="96">
        <f t="shared" si="7"/>
        <v>2.9964378509764482</v>
      </c>
      <c r="K16" s="96">
        <f t="shared" si="7"/>
        <v>2.9821376646034974</v>
      </c>
      <c r="L16" s="96">
        <f t="shared" si="7"/>
        <v>2.9721674066765336</v>
      </c>
      <c r="M16" s="96">
        <f t="shared" si="7"/>
        <v>2.9506292744122051</v>
      </c>
      <c r="N16" s="96">
        <f t="shared" si="7"/>
        <v>2.9359318099963989</v>
      </c>
      <c r="O16" s="96">
        <f t="shared" si="7"/>
        <v>2.9162031009586937</v>
      </c>
      <c r="P16" s="96">
        <f t="shared" si="7"/>
        <v>2.9023539831984477</v>
      </c>
      <c r="Q16" s="96">
        <f t="shared" si="7"/>
        <v>2.8938682851447659</v>
      </c>
      <c r="R16" s="96">
        <f t="shared" si="7"/>
        <v>2.8879344931283732</v>
      </c>
      <c r="S16" s="96">
        <f t="shared" si="7"/>
        <v>2.8810301210215346</v>
      </c>
      <c r="T16" s="96">
        <f t="shared" si="7"/>
        <v>2.8747514883074858</v>
      </c>
      <c r="U16" s="96">
        <f t="shared" si="7"/>
        <v>2.8688534798370693</v>
      </c>
      <c r="V16" s="96">
        <f t="shared" si="7"/>
        <v>2.8621763462335088</v>
      </c>
      <c r="W16" s="96">
        <f t="shared" si="7"/>
        <v>2.855465586859335</v>
      </c>
      <c r="X16" s="96">
        <f t="shared" si="7"/>
        <v>2.8483155976195063</v>
      </c>
      <c r="Y16" s="96">
        <f t="shared" si="7"/>
        <v>2.8413440048802103</v>
      </c>
      <c r="Z16" s="96">
        <f t="shared" si="7"/>
        <v>2.8357263360015925</v>
      </c>
      <c r="AA16" s="96">
        <f t="shared" si="7"/>
        <v>2.8308961027150077</v>
      </c>
      <c r="AB16" s="96">
        <f t="shared" si="7"/>
        <v>2.8262313791958094</v>
      </c>
      <c r="AC16" s="96">
        <f t="shared" si="7"/>
        <v>2.8221134957686593</v>
      </c>
      <c r="AD16" s="96">
        <f t="shared" si="7"/>
        <v>2.8186352715732332</v>
      </c>
      <c r="AE16" s="96">
        <f t="shared" si="7"/>
        <v>2.8160633409930971</v>
      </c>
      <c r="AF16" s="96">
        <f t="shared" si="7"/>
        <v>2.8136867360786435</v>
      </c>
      <c r="AG16" s="96">
        <f t="shared" si="7"/>
        <v>2.811015953602813</v>
      </c>
      <c r="AH16" s="96">
        <f t="shared" si="7"/>
        <v>2.8082939488537342</v>
      </c>
      <c r="AI16" s="96">
        <f t="shared" si="7"/>
        <v>2.8054503148461092</v>
      </c>
      <c r="AJ16" s="96">
        <f t="shared" si="7"/>
        <v>2.8022785161535375</v>
      </c>
      <c r="AK16" s="96">
        <f t="shared" si="7"/>
        <v>2.798437803729692</v>
      </c>
      <c r="AL16" s="96">
        <f t="shared" si="7"/>
        <v>2.7942376126785025</v>
      </c>
      <c r="AM16" s="96">
        <f t="shared" si="7"/>
        <v>2.7894737233550124</v>
      </c>
      <c r="AN16" s="96">
        <f t="shared" si="7"/>
        <v>2.7843158877140812</v>
      </c>
      <c r="AO16" s="96">
        <f t="shared" si="7"/>
        <v>2.7793035831867456</v>
      </c>
      <c r="AP16" s="96">
        <f t="shared" si="7"/>
        <v>2.7742967777509531</v>
      </c>
      <c r="AQ16" s="96">
        <f t="shared" si="7"/>
        <v>2.7690553338250825</v>
      </c>
      <c r="AR16" s="96">
        <f t="shared" si="7"/>
        <v>2.7637106340279787</v>
      </c>
      <c r="AS16" s="96">
        <f t="shared" si="7"/>
        <v>2.7579221896118096</v>
      </c>
      <c r="AT16" s="96">
        <f t="shared" si="7"/>
        <v>2.7522244025713851</v>
      </c>
      <c r="AU16" s="96">
        <f t="shared" si="7"/>
        <v>2.7463099048975246</v>
      </c>
      <c r="AV16" s="96">
        <f t="shared" si="7"/>
        <v>2.7402412748782634</v>
      </c>
    </row>
    <row r="17" spans="1:48">
      <c r="A17" s="47" t="s">
        <v>681</v>
      </c>
      <c r="B17" t="s">
        <v>682</v>
      </c>
      <c r="C17" s="96">
        <f t="shared" ref="C17:AV17" si="8">C11*$R$105</f>
        <v>95.573849999999993</v>
      </c>
      <c r="D17" s="96">
        <f t="shared" si="8"/>
        <v>96.60915</v>
      </c>
      <c r="E17" s="96">
        <f t="shared" si="8"/>
        <v>97.870650000000012</v>
      </c>
      <c r="F17" s="96">
        <f t="shared" si="8"/>
        <v>99.14085</v>
      </c>
      <c r="G17" s="96">
        <f t="shared" si="8"/>
        <v>99.92819999999999</v>
      </c>
      <c r="H17" s="96">
        <f t="shared" si="8"/>
        <v>101.14184999999999</v>
      </c>
      <c r="I17" s="96">
        <f t="shared" si="8"/>
        <v>102.62955000000001</v>
      </c>
      <c r="J17" s="96">
        <f t="shared" si="8"/>
        <v>103.79969999999999</v>
      </c>
      <c r="K17" s="96">
        <f t="shared" si="8"/>
        <v>104.71755</v>
      </c>
      <c r="L17" s="96">
        <f t="shared" si="8"/>
        <v>105.8094</v>
      </c>
      <c r="M17" s="96">
        <f t="shared" si="8"/>
        <v>107.49284999999999</v>
      </c>
      <c r="N17" s="96">
        <f t="shared" si="8"/>
        <v>108.70214999999999</v>
      </c>
      <c r="O17" s="96">
        <f t="shared" si="8"/>
        <v>110.25945</v>
      </c>
      <c r="P17" s="96">
        <f t="shared" si="8"/>
        <v>110.89632222222214</v>
      </c>
      <c r="Q17" s="96">
        <f t="shared" si="8"/>
        <v>111.5331944444444</v>
      </c>
      <c r="R17" s="96">
        <f t="shared" si="8"/>
        <v>112.17006666666666</v>
      </c>
      <c r="S17" s="96">
        <f t="shared" si="8"/>
        <v>112.80693888888892</v>
      </c>
      <c r="T17" s="96">
        <f t="shared" si="8"/>
        <v>113.44381111111103</v>
      </c>
      <c r="U17" s="96">
        <f t="shared" si="8"/>
        <v>114.0806833333333</v>
      </c>
      <c r="V17" s="96">
        <f t="shared" si="8"/>
        <v>114.71755555555555</v>
      </c>
      <c r="W17" s="96">
        <f t="shared" si="8"/>
        <v>115.35442777777781</v>
      </c>
      <c r="X17" s="96">
        <f t="shared" si="8"/>
        <v>115.99129999999991</v>
      </c>
      <c r="Y17" s="96">
        <f t="shared" si="8"/>
        <v>116.62817222222218</v>
      </c>
      <c r="Z17" s="96">
        <f t="shared" si="8"/>
        <v>117.26504444444444</v>
      </c>
      <c r="AA17" s="96">
        <f t="shared" si="8"/>
        <v>117.90191666666669</v>
      </c>
      <c r="AB17" s="96">
        <f t="shared" si="8"/>
        <v>118.5387888888888</v>
      </c>
      <c r="AC17" s="96">
        <f t="shared" si="8"/>
        <v>119.17566111111107</v>
      </c>
      <c r="AD17" s="96">
        <f t="shared" si="8"/>
        <v>119.81253333333332</v>
      </c>
      <c r="AE17" s="96">
        <f t="shared" si="8"/>
        <v>120.44940555555559</v>
      </c>
      <c r="AF17" s="96">
        <f t="shared" si="8"/>
        <v>121.0862777777777</v>
      </c>
      <c r="AG17" s="96">
        <f t="shared" si="8"/>
        <v>121.72314999999995</v>
      </c>
      <c r="AH17" s="96">
        <f t="shared" si="8"/>
        <v>122.36002222222221</v>
      </c>
      <c r="AI17" s="96">
        <f t="shared" si="8"/>
        <v>122.99689444444448</v>
      </c>
      <c r="AJ17" s="96">
        <f t="shared" si="8"/>
        <v>123.63376666666657</v>
      </c>
      <c r="AK17" s="96">
        <f t="shared" si="8"/>
        <v>124.27063888888884</v>
      </c>
      <c r="AL17" s="96">
        <f t="shared" si="8"/>
        <v>124.90751111111111</v>
      </c>
      <c r="AM17" s="96">
        <f t="shared" si="8"/>
        <v>125.54438333333336</v>
      </c>
      <c r="AN17" s="96">
        <f t="shared" si="8"/>
        <v>126.18125555555547</v>
      </c>
      <c r="AO17" s="96">
        <f t="shared" si="8"/>
        <v>126.81812777777773</v>
      </c>
      <c r="AP17" s="96">
        <f t="shared" si="8"/>
        <v>127.45500000000001</v>
      </c>
      <c r="AQ17" s="96">
        <f t="shared" si="8"/>
        <v>127.28100000000001</v>
      </c>
      <c r="AR17" s="96">
        <f t="shared" si="8"/>
        <v>127.10699999999994</v>
      </c>
      <c r="AS17" s="96">
        <f t="shared" si="8"/>
        <v>126.93299999999996</v>
      </c>
      <c r="AT17" s="96">
        <f t="shared" si="8"/>
        <v>126.75899999999999</v>
      </c>
      <c r="AU17" s="96">
        <f t="shared" si="8"/>
        <v>126.58500000000001</v>
      </c>
      <c r="AV17" s="96">
        <f t="shared" si="8"/>
        <v>126.41100000000003</v>
      </c>
    </row>
    <row r="18" spans="1:48">
      <c r="A18" s="47" t="s">
        <v>683</v>
      </c>
      <c r="B18" t="s">
        <v>682</v>
      </c>
      <c r="C18" s="96">
        <f t="shared" ref="C18:AV18" si="9">C8*$R$106/1000</f>
        <v>102.19799999999999</v>
      </c>
      <c r="D18" s="96">
        <f t="shared" si="9"/>
        <v>102.8565</v>
      </c>
      <c r="E18" s="96">
        <f t="shared" si="9"/>
        <v>103.7445</v>
      </c>
      <c r="F18" s="96">
        <f t="shared" si="9"/>
        <v>104.367</v>
      </c>
      <c r="G18" s="96">
        <f t="shared" si="9"/>
        <v>104.592</v>
      </c>
      <c r="H18" s="96">
        <f t="shared" si="9"/>
        <v>105.363</v>
      </c>
      <c r="I18" s="96">
        <f t="shared" si="9"/>
        <v>106.074</v>
      </c>
      <c r="J18" s="96">
        <f t="shared" si="9"/>
        <v>107.25149999999999</v>
      </c>
      <c r="K18" s="96">
        <f t="shared" si="9"/>
        <v>107.6835</v>
      </c>
      <c r="L18" s="96">
        <f t="shared" si="9"/>
        <v>108.4425</v>
      </c>
      <c r="M18" s="96">
        <f t="shared" si="9"/>
        <v>109.3695</v>
      </c>
      <c r="N18" s="96">
        <f t="shared" si="9"/>
        <v>110.04900000000001</v>
      </c>
      <c r="O18" s="96">
        <f t="shared" si="9"/>
        <v>110.8755</v>
      </c>
      <c r="P18" s="96">
        <f t="shared" si="9"/>
        <v>111.765</v>
      </c>
      <c r="Q18" s="96">
        <f t="shared" si="9"/>
        <v>112.539</v>
      </c>
      <c r="R18" s="96">
        <f t="shared" si="9"/>
        <v>113.3715</v>
      </c>
      <c r="S18" s="96">
        <f t="shared" si="9"/>
        <v>114.126</v>
      </c>
      <c r="T18" s="96">
        <f t="shared" si="9"/>
        <v>114.8655</v>
      </c>
      <c r="U18" s="96">
        <f t="shared" si="9"/>
        <v>115.581</v>
      </c>
      <c r="V18" s="96">
        <f t="shared" si="9"/>
        <v>116.226</v>
      </c>
      <c r="W18" s="96">
        <f t="shared" si="9"/>
        <v>116.8305</v>
      </c>
      <c r="X18" s="96">
        <f t="shared" si="9"/>
        <v>117.378</v>
      </c>
      <c r="Y18" s="96">
        <f t="shared" si="9"/>
        <v>117.89400000000001</v>
      </c>
      <c r="Z18" s="96">
        <f t="shared" si="9"/>
        <v>118.428</v>
      </c>
      <c r="AA18" s="96">
        <f t="shared" si="9"/>
        <v>118.9575</v>
      </c>
      <c r="AB18" s="96">
        <f t="shared" si="9"/>
        <v>119.45699999999999</v>
      </c>
      <c r="AC18" s="96">
        <f t="shared" si="9"/>
        <v>119.943</v>
      </c>
      <c r="AD18" s="96">
        <f t="shared" si="9"/>
        <v>120.42</v>
      </c>
      <c r="AE18" s="96">
        <f t="shared" si="9"/>
        <v>120.9</v>
      </c>
      <c r="AF18" s="96">
        <f t="shared" si="9"/>
        <v>121.35299999999999</v>
      </c>
      <c r="AG18" s="96">
        <f t="shared" si="9"/>
        <v>121.758</v>
      </c>
      <c r="AH18" s="96">
        <f t="shared" si="9"/>
        <v>122.1255</v>
      </c>
      <c r="AI18" s="96">
        <f t="shared" si="9"/>
        <v>122.4525</v>
      </c>
      <c r="AJ18" s="96">
        <f t="shared" si="9"/>
        <v>122.73</v>
      </c>
      <c r="AK18" s="96">
        <f t="shared" si="9"/>
        <v>122.94300000000001</v>
      </c>
      <c r="AL18" s="96">
        <f t="shared" si="9"/>
        <v>123.105</v>
      </c>
      <c r="AM18" s="96">
        <f t="shared" si="9"/>
        <v>123.20699999999998</v>
      </c>
      <c r="AN18" s="96">
        <f t="shared" si="9"/>
        <v>123.2565</v>
      </c>
      <c r="AO18" s="96">
        <f t="shared" si="9"/>
        <v>123.2775</v>
      </c>
      <c r="AP18" s="96">
        <f t="shared" si="9"/>
        <v>123.264</v>
      </c>
      <c r="AQ18" s="96">
        <f t="shared" si="9"/>
        <v>123.20550000000001</v>
      </c>
      <c r="AR18" s="96">
        <f t="shared" si="9"/>
        <v>123.10800000000002</v>
      </c>
      <c r="AS18" s="96">
        <f t="shared" si="9"/>
        <v>122.95650000000001</v>
      </c>
      <c r="AT18" s="96">
        <f t="shared" si="9"/>
        <v>122.77500000000001</v>
      </c>
      <c r="AU18" s="96">
        <f t="shared" si="9"/>
        <v>122.55</v>
      </c>
      <c r="AV18" s="96">
        <f t="shared" si="9"/>
        <v>122.28449999999999</v>
      </c>
    </row>
    <row r="19" spans="1:48">
      <c r="A19" s="47" t="s">
        <v>684</v>
      </c>
      <c r="B19" t="s">
        <v>685</v>
      </c>
      <c r="C19" s="49">
        <f>N74</f>
        <v>42.557142857142935</v>
      </c>
      <c r="D19" s="49">
        <f t="shared" ref="D19:AV19" si="10">O74</f>
        <v>43.285714285714448</v>
      </c>
      <c r="E19" s="49">
        <f t="shared" si="10"/>
        <v>44.014285714285734</v>
      </c>
      <c r="F19" s="49">
        <f t="shared" si="10"/>
        <v>44.742857142857247</v>
      </c>
      <c r="G19" s="49">
        <f t="shared" si="10"/>
        <v>45.471428571428532</v>
      </c>
      <c r="H19" s="58">
        <f t="shared" si="10"/>
        <v>46.200000000000045</v>
      </c>
      <c r="I19" s="49">
        <f t="shared" si="10"/>
        <v>46.370000000000005</v>
      </c>
      <c r="J19" s="49">
        <f t="shared" si="10"/>
        <v>46.539999999999964</v>
      </c>
      <c r="K19" s="49">
        <f t="shared" si="10"/>
        <v>46.70999999999998</v>
      </c>
      <c r="L19" s="49">
        <f t="shared" si="10"/>
        <v>46.879999999999995</v>
      </c>
      <c r="M19" s="49">
        <f t="shared" si="10"/>
        <v>47.050000000000011</v>
      </c>
      <c r="N19" s="49">
        <f t="shared" si="10"/>
        <v>47.21999999999997</v>
      </c>
      <c r="O19" s="49">
        <f t="shared" si="10"/>
        <v>47.389999999999986</v>
      </c>
      <c r="P19" s="49">
        <f t="shared" si="10"/>
        <v>47.56</v>
      </c>
      <c r="Q19" s="49">
        <f t="shared" si="10"/>
        <v>47.729999999999961</v>
      </c>
      <c r="R19" s="59">
        <f t="shared" si="10"/>
        <v>47.899999999999977</v>
      </c>
      <c r="S19" s="49">
        <f t="shared" si="10"/>
        <v>48.269999999999982</v>
      </c>
      <c r="T19" s="49">
        <f t="shared" si="10"/>
        <v>48.639999999999986</v>
      </c>
      <c r="U19" s="49">
        <f t="shared" si="10"/>
        <v>49.009999999999991</v>
      </c>
      <c r="V19" s="49">
        <f t="shared" si="10"/>
        <v>49.379999999999995</v>
      </c>
      <c r="W19" s="49">
        <f t="shared" si="10"/>
        <v>49.75</v>
      </c>
      <c r="X19" s="49">
        <f t="shared" si="10"/>
        <v>50.120000000000005</v>
      </c>
      <c r="Y19" s="49">
        <f t="shared" si="10"/>
        <v>50.490000000000009</v>
      </c>
      <c r="Z19" s="49">
        <f t="shared" si="10"/>
        <v>50.860000000000014</v>
      </c>
      <c r="AA19" s="49">
        <f t="shared" si="10"/>
        <v>51.230000000000018</v>
      </c>
      <c r="AB19" s="59">
        <f t="shared" si="10"/>
        <v>51.600000000000023</v>
      </c>
      <c r="AC19" s="49">
        <f t="shared" si="10"/>
        <v>51.970000000000027</v>
      </c>
      <c r="AD19" s="49">
        <f t="shared" si="10"/>
        <v>52.340000000000032</v>
      </c>
      <c r="AE19" s="49">
        <f t="shared" si="10"/>
        <v>52.710000000000036</v>
      </c>
      <c r="AF19" s="49">
        <f t="shared" si="10"/>
        <v>53.080000000000041</v>
      </c>
      <c r="AG19" s="49">
        <f t="shared" si="10"/>
        <v>53.450000000000045</v>
      </c>
      <c r="AH19" s="49">
        <f t="shared" si="10"/>
        <v>53.819999999999936</v>
      </c>
      <c r="AI19" s="49">
        <f t="shared" si="10"/>
        <v>54.189999999999941</v>
      </c>
      <c r="AJ19" s="49">
        <f t="shared" si="10"/>
        <v>54.559999999999945</v>
      </c>
      <c r="AK19" s="49">
        <f t="shared" si="10"/>
        <v>54.92999999999995</v>
      </c>
      <c r="AL19" s="49">
        <f t="shared" si="10"/>
        <v>55.299999999999955</v>
      </c>
      <c r="AM19" s="49">
        <f t="shared" si="10"/>
        <v>55.669999999999959</v>
      </c>
      <c r="AN19" s="49">
        <f t="shared" si="10"/>
        <v>56.039999999999964</v>
      </c>
      <c r="AO19" s="49">
        <f t="shared" si="10"/>
        <v>56.409999999999968</v>
      </c>
      <c r="AP19" s="49">
        <f t="shared" si="10"/>
        <v>56.779999999999973</v>
      </c>
      <c r="AQ19" s="49">
        <f t="shared" si="10"/>
        <v>57.149999999999977</v>
      </c>
      <c r="AR19" s="49">
        <f t="shared" si="10"/>
        <v>57.519999999999982</v>
      </c>
      <c r="AS19" s="49">
        <f t="shared" si="10"/>
        <v>57.889999999999986</v>
      </c>
      <c r="AT19" s="49">
        <f t="shared" si="10"/>
        <v>58.259999999999991</v>
      </c>
      <c r="AU19" s="49">
        <f t="shared" si="10"/>
        <v>58.629999999999995</v>
      </c>
      <c r="AV19" s="49">
        <f t="shared" si="10"/>
        <v>59</v>
      </c>
    </row>
    <row r="21" spans="1:48" s="48" customFormat="1">
      <c r="A21" s="48" t="s">
        <v>686</v>
      </c>
      <c r="B21" s="48" t="s">
        <v>664</v>
      </c>
      <c r="C21" s="48">
        <v>2005</v>
      </c>
      <c r="D21" s="48">
        <v>2006</v>
      </c>
      <c r="E21" s="48">
        <v>2007</v>
      </c>
      <c r="F21" s="48">
        <v>2008</v>
      </c>
      <c r="G21" s="48">
        <v>2009</v>
      </c>
      <c r="H21" s="48">
        <v>2010</v>
      </c>
      <c r="I21" s="48">
        <v>2011</v>
      </c>
      <c r="J21" s="48">
        <v>2012</v>
      </c>
      <c r="K21" s="48">
        <v>2013</v>
      </c>
      <c r="L21" s="48">
        <v>2014</v>
      </c>
      <c r="M21" s="48">
        <v>2015</v>
      </c>
      <c r="N21" s="48">
        <v>2016</v>
      </c>
      <c r="O21" s="48">
        <v>2017</v>
      </c>
      <c r="P21" s="48">
        <v>2018</v>
      </c>
      <c r="Q21" s="48">
        <v>2019</v>
      </c>
      <c r="R21" s="48">
        <v>2020</v>
      </c>
      <c r="S21" s="48">
        <v>2021</v>
      </c>
      <c r="T21" s="48">
        <v>2022</v>
      </c>
      <c r="U21" s="48">
        <v>2023</v>
      </c>
      <c r="V21" s="48">
        <v>2024</v>
      </c>
      <c r="W21" s="48">
        <v>2025</v>
      </c>
      <c r="X21" s="48">
        <v>2026</v>
      </c>
      <c r="Y21" s="48">
        <v>2027</v>
      </c>
      <c r="Z21" s="48">
        <v>2028</v>
      </c>
      <c r="AA21" s="48">
        <v>2029</v>
      </c>
      <c r="AB21" s="48">
        <v>2030</v>
      </c>
      <c r="AC21" s="48">
        <v>2031</v>
      </c>
      <c r="AD21" s="48">
        <v>2032</v>
      </c>
      <c r="AE21" s="48">
        <v>2033</v>
      </c>
      <c r="AF21" s="48">
        <v>2034</v>
      </c>
      <c r="AG21" s="48">
        <v>2035</v>
      </c>
      <c r="AH21" s="48">
        <v>2036</v>
      </c>
      <c r="AI21" s="48">
        <v>2037</v>
      </c>
      <c r="AJ21" s="48">
        <v>2038</v>
      </c>
      <c r="AK21" s="48">
        <v>2039</v>
      </c>
      <c r="AL21" s="48">
        <v>2040</v>
      </c>
      <c r="AM21" s="48">
        <v>2041</v>
      </c>
      <c r="AN21" s="48">
        <v>2042</v>
      </c>
      <c r="AO21" s="48">
        <v>2043</v>
      </c>
      <c r="AP21" s="48">
        <v>2044</v>
      </c>
      <c r="AQ21" s="48">
        <v>2045</v>
      </c>
      <c r="AR21" s="48">
        <v>2046</v>
      </c>
      <c r="AS21" s="48">
        <v>2047</v>
      </c>
      <c r="AT21" s="48">
        <v>2048</v>
      </c>
      <c r="AU21" s="48">
        <v>2049</v>
      </c>
      <c r="AV21" s="48">
        <v>2050</v>
      </c>
    </row>
    <row r="22" spans="1:48">
      <c r="A22" s="47" t="s">
        <v>687</v>
      </c>
      <c r="B22" t="s">
        <v>688</v>
      </c>
      <c r="D22" s="56">
        <v>53982</v>
      </c>
      <c r="E22" s="56">
        <v>54717</v>
      </c>
      <c r="F22" s="56">
        <v>55849</v>
      </c>
      <c r="G22" s="56">
        <v>57731</v>
      </c>
      <c r="H22" s="56">
        <v>58396</v>
      </c>
      <c r="I22" s="56">
        <v>58826</v>
      </c>
      <c r="J22" s="56">
        <v>59932</v>
      </c>
      <c r="K22" s="56">
        <v>58394</v>
      </c>
      <c r="L22" s="56">
        <v>61910</v>
      </c>
      <c r="M22" s="56">
        <v>60214</v>
      </c>
      <c r="N22" s="56">
        <v>61439</v>
      </c>
    </row>
    <row r="23" spans="1:48">
      <c r="A23" s="47" t="s">
        <v>689</v>
      </c>
      <c r="B23" s="47" t="s">
        <v>688</v>
      </c>
      <c r="D23" s="56">
        <v>111884</v>
      </c>
      <c r="E23" s="56">
        <v>113914</v>
      </c>
      <c r="F23" s="56">
        <v>113753</v>
      </c>
      <c r="G23" s="56">
        <v>114297</v>
      </c>
      <c r="H23" s="56">
        <v>116391</v>
      </c>
      <c r="I23" s="56">
        <v>118558</v>
      </c>
      <c r="J23" s="56">
        <v>120970</v>
      </c>
      <c r="K23" s="56">
        <v>121215</v>
      </c>
      <c r="L23" s="56">
        <v>122711</v>
      </c>
      <c r="M23" s="56">
        <v>123674</v>
      </c>
      <c r="N23" s="56">
        <v>123969</v>
      </c>
    </row>
    <row r="27" spans="1:48" s="97" customFormat="1">
      <c r="A27" s="104" t="s">
        <v>690</v>
      </c>
    </row>
    <row r="31" spans="1:48">
      <c r="U31" t="s">
        <v>691</v>
      </c>
    </row>
    <row r="32" spans="1:48">
      <c r="U32" t="s">
        <v>554</v>
      </c>
      <c r="V32" t="s">
        <v>692</v>
      </c>
    </row>
    <row r="33" spans="20:27">
      <c r="U33">
        <v>2017</v>
      </c>
      <c r="V33" s="56">
        <v>2.5347</v>
      </c>
    </row>
    <row r="34" spans="20:27">
      <c r="U34">
        <v>2044</v>
      </c>
      <c r="V34" s="60">
        <v>2.93</v>
      </c>
    </row>
    <row r="35" spans="20:27">
      <c r="U35">
        <v>2049</v>
      </c>
      <c r="V35" s="60">
        <v>2.91</v>
      </c>
    </row>
    <row r="46" spans="20:27">
      <c r="T46" t="s">
        <v>693</v>
      </c>
      <c r="Z46" t="s">
        <v>694</v>
      </c>
    </row>
    <row r="47" spans="20:27">
      <c r="U47">
        <v>1</v>
      </c>
      <c r="V47">
        <v>2</v>
      </c>
      <c r="W47">
        <v>3</v>
      </c>
      <c r="X47">
        <v>4</v>
      </c>
      <c r="Y47" t="s">
        <v>695</v>
      </c>
      <c r="Z47">
        <v>7</v>
      </c>
      <c r="AA47" t="s">
        <v>696</v>
      </c>
    </row>
    <row r="48" spans="20:27">
      <c r="T48">
        <v>2014</v>
      </c>
      <c r="U48" s="95">
        <v>0.17299999999999999</v>
      </c>
      <c r="V48" s="95">
        <v>0.26300000000000001</v>
      </c>
      <c r="W48" s="95">
        <v>0.24399999999999999</v>
      </c>
      <c r="X48" s="95">
        <v>0.20100000000000001</v>
      </c>
      <c r="Y48" s="95">
        <v>0.11899999999999999</v>
      </c>
      <c r="Z48" s="95">
        <f>Y48</f>
        <v>0.11899999999999999</v>
      </c>
      <c r="AA48">
        <f>U$47*U48+V$47*V48+W$47*W48+X$47*X48+Z$47*Z48</f>
        <v>3.0680000000000005</v>
      </c>
    </row>
    <row r="49" spans="13:68">
      <c r="T49">
        <v>2019</v>
      </c>
      <c r="U49" s="95">
        <v>0.18099999999999999</v>
      </c>
      <c r="V49" s="95">
        <v>0.27400000000000002</v>
      </c>
      <c r="W49" s="95">
        <v>0.24399999999999999</v>
      </c>
      <c r="X49" s="95">
        <v>0.189</v>
      </c>
      <c r="Y49" s="95">
        <v>0.112</v>
      </c>
      <c r="Z49" s="95">
        <f>Y49</f>
        <v>0.112</v>
      </c>
      <c r="AA49">
        <f>U$47*U49+V$47*V49+W$47*W49+X$47*X49+Z$47*Z49</f>
        <v>3.0010000000000003</v>
      </c>
    </row>
    <row r="50" spans="13:68">
      <c r="T50">
        <v>2023</v>
      </c>
      <c r="U50" s="95">
        <v>0.186</v>
      </c>
      <c r="V50" s="95">
        <v>0.28599999999999998</v>
      </c>
      <c r="W50" s="95">
        <v>0.24099999999999999</v>
      </c>
      <c r="X50" s="95">
        <v>0.17899999999999999</v>
      </c>
      <c r="Y50" s="95">
        <v>0.108</v>
      </c>
      <c r="Z50" s="95">
        <f>Y50</f>
        <v>0.108</v>
      </c>
      <c r="AA50">
        <f>U$47*U50+V$47*V50+W$47*W50+X$47*X50+Z$47*Z50</f>
        <v>2.9530000000000003</v>
      </c>
    </row>
    <row r="52" spans="13:68">
      <c r="T52" t="s">
        <v>697</v>
      </c>
    </row>
    <row r="53" spans="13:68">
      <c r="W53">
        <v>2005</v>
      </c>
      <c r="X53">
        <v>2006</v>
      </c>
      <c r="Y53">
        <v>2007</v>
      </c>
      <c r="Z53">
        <v>2008</v>
      </c>
      <c r="AA53">
        <v>2009</v>
      </c>
      <c r="AB53">
        <v>2010</v>
      </c>
      <c r="AC53">
        <v>2011</v>
      </c>
      <c r="AD53">
        <v>2012</v>
      </c>
      <c r="AE53">
        <v>2013</v>
      </c>
      <c r="AF53">
        <v>2014</v>
      </c>
      <c r="AG53">
        <v>2015</v>
      </c>
      <c r="AH53">
        <v>2016</v>
      </c>
      <c r="AI53">
        <v>2017</v>
      </c>
      <c r="AJ53">
        <v>2018</v>
      </c>
      <c r="AK53">
        <v>2019</v>
      </c>
      <c r="AL53">
        <v>2020</v>
      </c>
      <c r="AM53">
        <v>2021</v>
      </c>
      <c r="AN53">
        <v>2022</v>
      </c>
      <c r="AO53">
        <v>2023</v>
      </c>
      <c r="AP53">
        <v>2024</v>
      </c>
      <c r="AQ53">
        <v>2025</v>
      </c>
      <c r="AR53">
        <v>2026</v>
      </c>
      <c r="AS53">
        <v>2027</v>
      </c>
      <c r="AT53">
        <v>2028</v>
      </c>
      <c r="AU53">
        <v>2029</v>
      </c>
      <c r="AV53">
        <v>2030</v>
      </c>
      <c r="AW53">
        <v>2031</v>
      </c>
      <c r="AX53">
        <v>2032</v>
      </c>
      <c r="AY53">
        <v>2033</v>
      </c>
      <c r="AZ53">
        <v>2034</v>
      </c>
      <c r="BA53">
        <v>2035</v>
      </c>
      <c r="BB53">
        <v>2036</v>
      </c>
      <c r="BC53">
        <v>2037</v>
      </c>
      <c r="BD53">
        <v>2038</v>
      </c>
      <c r="BE53">
        <v>2039</v>
      </c>
      <c r="BF53">
        <v>2040</v>
      </c>
      <c r="BG53">
        <v>2041</v>
      </c>
      <c r="BH53">
        <v>2042</v>
      </c>
      <c r="BI53">
        <v>2043</v>
      </c>
      <c r="BJ53">
        <v>2044</v>
      </c>
      <c r="BK53">
        <v>2045</v>
      </c>
      <c r="BL53">
        <v>2046</v>
      </c>
      <c r="BM53">
        <v>2047</v>
      </c>
      <c r="BN53">
        <v>2048</v>
      </c>
      <c r="BO53">
        <v>2049</v>
      </c>
      <c r="BP53">
        <v>2050</v>
      </c>
    </row>
    <row r="54" spans="13:68">
      <c r="W54">
        <f t="shared" ref="W54:BP54" si="11">TREND($AA$48:$AA$50,$T$48:$T$50,W53)</f>
        <v>3.1823114754098398</v>
      </c>
      <c r="X54">
        <f t="shared" si="11"/>
        <v>3.1695081967213135</v>
      </c>
      <c r="Y54">
        <f t="shared" si="11"/>
        <v>3.1567049180327906</v>
      </c>
      <c r="Z54">
        <f t="shared" si="11"/>
        <v>3.1439016393442643</v>
      </c>
      <c r="AA54">
        <f t="shared" si="11"/>
        <v>3.1310983606557414</v>
      </c>
      <c r="AB54">
        <f t="shared" si="11"/>
        <v>3.1182950819672151</v>
      </c>
      <c r="AC54">
        <f t="shared" si="11"/>
        <v>3.1054918032786922</v>
      </c>
      <c r="AD54">
        <f t="shared" si="11"/>
        <v>3.0926885245901659</v>
      </c>
      <c r="AE54">
        <f t="shared" si="11"/>
        <v>3.079885245901643</v>
      </c>
      <c r="AF54">
        <f t="shared" si="11"/>
        <v>3.0670819672131167</v>
      </c>
      <c r="AG54">
        <f t="shared" si="11"/>
        <v>3.0542786885245938</v>
      </c>
      <c r="AH54">
        <f t="shared" si="11"/>
        <v>3.0414754098360675</v>
      </c>
      <c r="AI54">
        <f t="shared" si="11"/>
        <v>3.0286721311475446</v>
      </c>
      <c r="AJ54">
        <f t="shared" si="11"/>
        <v>3.0158688524590183</v>
      </c>
      <c r="AK54">
        <f t="shared" si="11"/>
        <v>3.0030655737704954</v>
      </c>
      <c r="AL54">
        <f t="shared" si="11"/>
        <v>2.9902622950819691</v>
      </c>
      <c r="AM54">
        <f t="shared" si="11"/>
        <v>2.9774590163934462</v>
      </c>
      <c r="AN54">
        <f t="shared" si="11"/>
        <v>2.9646557377049199</v>
      </c>
      <c r="AO54">
        <f t="shared" si="11"/>
        <v>2.951852459016397</v>
      </c>
      <c r="AP54">
        <f t="shared" si="11"/>
        <v>2.9390491803278707</v>
      </c>
      <c r="AQ54">
        <f t="shared" si="11"/>
        <v>2.9262459016393478</v>
      </c>
      <c r="AR54">
        <f t="shared" si="11"/>
        <v>2.9134426229508215</v>
      </c>
      <c r="AS54">
        <f t="shared" si="11"/>
        <v>2.9006393442622986</v>
      </c>
      <c r="AT54">
        <f t="shared" si="11"/>
        <v>2.8878360655737723</v>
      </c>
      <c r="AU54">
        <f t="shared" si="11"/>
        <v>2.8750327868852494</v>
      </c>
      <c r="AV54">
        <f t="shared" si="11"/>
        <v>2.8622295081967231</v>
      </c>
      <c r="AW54">
        <f t="shared" si="11"/>
        <v>2.8494262295082002</v>
      </c>
      <c r="AX54">
        <f t="shared" si="11"/>
        <v>2.8366229508196739</v>
      </c>
      <c r="AY54">
        <f t="shared" si="11"/>
        <v>2.823819672131151</v>
      </c>
      <c r="AZ54">
        <f t="shared" si="11"/>
        <v>2.8110163934426247</v>
      </c>
      <c r="BA54">
        <f t="shared" si="11"/>
        <v>2.7982131147541018</v>
      </c>
      <c r="BB54">
        <f t="shared" si="11"/>
        <v>2.7854098360655755</v>
      </c>
      <c r="BC54">
        <f t="shared" si="11"/>
        <v>2.7726065573770526</v>
      </c>
      <c r="BD54">
        <f t="shared" si="11"/>
        <v>2.7598032786885263</v>
      </c>
      <c r="BE54">
        <f t="shared" si="11"/>
        <v>2.7470000000000034</v>
      </c>
      <c r="BF54">
        <f t="shared" si="11"/>
        <v>2.7341967213114771</v>
      </c>
      <c r="BG54">
        <f t="shared" si="11"/>
        <v>2.7213934426229542</v>
      </c>
      <c r="BH54">
        <f t="shared" si="11"/>
        <v>2.7085901639344279</v>
      </c>
      <c r="BI54">
        <f t="shared" si="11"/>
        <v>2.695786885245905</v>
      </c>
      <c r="BJ54">
        <f t="shared" si="11"/>
        <v>2.6829836065573787</v>
      </c>
      <c r="BK54">
        <f t="shared" si="11"/>
        <v>2.6701803278688558</v>
      </c>
      <c r="BL54">
        <f t="shared" si="11"/>
        <v>2.6573770491803295</v>
      </c>
      <c r="BM54">
        <f t="shared" si="11"/>
        <v>2.6445737704918066</v>
      </c>
      <c r="BN54">
        <f t="shared" si="11"/>
        <v>2.6317704918032803</v>
      </c>
      <c r="BO54">
        <f t="shared" si="11"/>
        <v>2.6189672131147539</v>
      </c>
      <c r="BP54">
        <f t="shared" si="11"/>
        <v>2.6061639344262311</v>
      </c>
    </row>
    <row r="56" spans="13:68" s="92" customFormat="1"/>
    <row r="59" spans="13:68">
      <c r="M59" t="s">
        <v>698</v>
      </c>
    </row>
    <row r="61" spans="13:68">
      <c r="M61" t="s">
        <v>699</v>
      </c>
      <c r="N61" t="s">
        <v>700</v>
      </c>
    </row>
    <row r="62" spans="13:68">
      <c r="M62">
        <v>2003</v>
      </c>
      <c r="N62">
        <v>41.1</v>
      </c>
    </row>
    <row r="63" spans="13:68">
      <c r="M63">
        <v>2010</v>
      </c>
      <c r="N63">
        <v>46.2</v>
      </c>
    </row>
    <row r="64" spans="13:68">
      <c r="M64">
        <v>2020</v>
      </c>
      <c r="N64">
        <v>47.9</v>
      </c>
    </row>
    <row r="65" spans="12:59">
      <c r="M65">
        <v>2030</v>
      </c>
      <c r="N65">
        <v>51.6</v>
      </c>
    </row>
    <row r="72" spans="12:59">
      <c r="M72" t="s">
        <v>701</v>
      </c>
    </row>
    <row r="73" spans="12:59">
      <c r="N73">
        <v>2005</v>
      </c>
      <c r="O73">
        <v>2006</v>
      </c>
      <c r="P73">
        <v>2007</v>
      </c>
      <c r="Q73">
        <v>2008</v>
      </c>
      <c r="R73">
        <v>2009</v>
      </c>
      <c r="S73">
        <v>2010</v>
      </c>
      <c r="T73">
        <v>2011</v>
      </c>
      <c r="U73">
        <v>2012</v>
      </c>
      <c r="V73">
        <v>2013</v>
      </c>
      <c r="W73">
        <v>2014</v>
      </c>
      <c r="X73">
        <v>2015</v>
      </c>
      <c r="Y73">
        <v>2016</v>
      </c>
      <c r="Z73">
        <v>2017</v>
      </c>
      <c r="AA73">
        <v>2018</v>
      </c>
      <c r="AB73">
        <v>2019</v>
      </c>
      <c r="AC73">
        <v>2020</v>
      </c>
      <c r="AD73">
        <v>2021</v>
      </c>
      <c r="AE73">
        <v>2022</v>
      </c>
      <c r="AF73">
        <v>2023</v>
      </c>
      <c r="AG73">
        <v>2024</v>
      </c>
      <c r="AH73">
        <v>2025</v>
      </c>
      <c r="AI73">
        <v>2026</v>
      </c>
      <c r="AJ73">
        <v>2027</v>
      </c>
      <c r="AK73">
        <v>2028</v>
      </c>
      <c r="AL73">
        <v>2029</v>
      </c>
      <c r="AM73">
        <v>2030</v>
      </c>
      <c r="AN73">
        <v>2031</v>
      </c>
      <c r="AO73">
        <v>2032</v>
      </c>
      <c r="AP73">
        <v>2033</v>
      </c>
      <c r="AQ73">
        <v>2034</v>
      </c>
      <c r="AR73">
        <v>2035</v>
      </c>
      <c r="AS73">
        <v>2036</v>
      </c>
      <c r="AT73">
        <v>2037</v>
      </c>
      <c r="AU73">
        <v>2038</v>
      </c>
      <c r="AV73">
        <v>2039</v>
      </c>
      <c r="AW73">
        <v>2040</v>
      </c>
      <c r="AX73">
        <v>2041</v>
      </c>
      <c r="AY73">
        <v>2042</v>
      </c>
      <c r="AZ73">
        <v>2043</v>
      </c>
      <c r="BA73">
        <v>2044</v>
      </c>
      <c r="BB73">
        <v>2045</v>
      </c>
      <c r="BC73">
        <v>2046</v>
      </c>
      <c r="BD73">
        <v>2047</v>
      </c>
      <c r="BE73">
        <v>2048</v>
      </c>
      <c r="BF73">
        <v>2049</v>
      </c>
      <c r="BG73">
        <v>2050</v>
      </c>
    </row>
    <row r="74" spans="12:59">
      <c r="L74" t="s">
        <v>700</v>
      </c>
      <c r="M74" t="s">
        <v>702</v>
      </c>
      <c r="N74">
        <f t="shared" ref="N74:S74" si="12">TREND($N$62:$N$63,$M$62:$M$63,N73)</f>
        <v>42.557142857142935</v>
      </c>
      <c r="O74">
        <f t="shared" si="12"/>
        <v>43.285714285714448</v>
      </c>
      <c r="P74">
        <f t="shared" si="12"/>
        <v>44.014285714285734</v>
      </c>
      <c r="Q74">
        <f t="shared" si="12"/>
        <v>44.742857142857247</v>
      </c>
      <c r="R74">
        <f t="shared" si="12"/>
        <v>45.471428571428532</v>
      </c>
      <c r="S74">
        <f t="shared" si="12"/>
        <v>46.200000000000045</v>
      </c>
      <c r="T74">
        <f>TREND($N$63:$N$64,$M$63:$M$64,T73)</f>
        <v>46.370000000000005</v>
      </c>
      <c r="U74">
        <f t="shared" ref="U74:Z74" si="13">TREND($N$63:$N$64,$M$63:$M$64,U73)</f>
        <v>46.539999999999964</v>
      </c>
      <c r="V74">
        <f t="shared" si="13"/>
        <v>46.70999999999998</v>
      </c>
      <c r="W74">
        <f t="shared" si="13"/>
        <v>46.879999999999995</v>
      </c>
      <c r="X74">
        <f t="shared" si="13"/>
        <v>47.050000000000011</v>
      </c>
      <c r="Y74">
        <f t="shared" si="13"/>
        <v>47.21999999999997</v>
      </c>
      <c r="Z74">
        <f t="shared" si="13"/>
        <v>47.389999999999986</v>
      </c>
      <c r="AA74">
        <f>TREND($N$63:$N$64,$M$63:$M$64,AA73)</f>
        <v>47.56</v>
      </c>
      <c r="AB74">
        <f>TREND($N$63:$N$64,$M$63:$M$64,AB73)</f>
        <v>47.729999999999961</v>
      </c>
      <c r="AC74">
        <f>TREND($N$63:$N$64,$M$63:$M$64,AC73)</f>
        <v>47.899999999999977</v>
      </c>
      <c r="AD74">
        <f>TREND($N$64:$N$65,$M$64:$M$65,AD73)</f>
        <v>48.269999999999982</v>
      </c>
      <c r="AE74">
        <f t="shared" ref="AE74:BG74" si="14">TREND($N$64:$N$65,$M$64:$M$65,AE73)</f>
        <v>48.639999999999986</v>
      </c>
      <c r="AF74">
        <f t="shared" si="14"/>
        <v>49.009999999999991</v>
      </c>
      <c r="AG74">
        <f t="shared" si="14"/>
        <v>49.379999999999995</v>
      </c>
      <c r="AH74">
        <f t="shared" si="14"/>
        <v>49.75</v>
      </c>
      <c r="AI74">
        <f t="shared" si="14"/>
        <v>50.120000000000005</v>
      </c>
      <c r="AJ74">
        <f t="shared" si="14"/>
        <v>50.490000000000009</v>
      </c>
      <c r="AK74">
        <f t="shared" si="14"/>
        <v>50.860000000000014</v>
      </c>
      <c r="AL74">
        <f t="shared" si="14"/>
        <v>51.230000000000018</v>
      </c>
      <c r="AM74">
        <f t="shared" si="14"/>
        <v>51.600000000000023</v>
      </c>
      <c r="AN74">
        <f t="shared" si="14"/>
        <v>51.970000000000027</v>
      </c>
      <c r="AO74">
        <f t="shared" si="14"/>
        <v>52.340000000000032</v>
      </c>
      <c r="AP74">
        <f t="shared" si="14"/>
        <v>52.710000000000036</v>
      </c>
      <c r="AQ74">
        <f t="shared" si="14"/>
        <v>53.080000000000041</v>
      </c>
      <c r="AR74">
        <f t="shared" si="14"/>
        <v>53.450000000000045</v>
      </c>
      <c r="AS74">
        <f t="shared" si="14"/>
        <v>53.819999999999936</v>
      </c>
      <c r="AT74">
        <f t="shared" si="14"/>
        <v>54.189999999999941</v>
      </c>
      <c r="AU74">
        <f t="shared" si="14"/>
        <v>54.559999999999945</v>
      </c>
      <c r="AV74">
        <f t="shared" si="14"/>
        <v>54.92999999999995</v>
      </c>
      <c r="AW74">
        <f t="shared" si="14"/>
        <v>55.299999999999955</v>
      </c>
      <c r="AX74">
        <f t="shared" si="14"/>
        <v>55.669999999999959</v>
      </c>
      <c r="AY74">
        <f t="shared" si="14"/>
        <v>56.039999999999964</v>
      </c>
      <c r="AZ74">
        <f t="shared" si="14"/>
        <v>56.409999999999968</v>
      </c>
      <c r="BA74">
        <f t="shared" si="14"/>
        <v>56.779999999999973</v>
      </c>
      <c r="BB74">
        <f t="shared" si="14"/>
        <v>57.149999999999977</v>
      </c>
      <c r="BC74">
        <f t="shared" si="14"/>
        <v>57.519999999999982</v>
      </c>
      <c r="BD74">
        <f t="shared" si="14"/>
        <v>57.889999999999986</v>
      </c>
      <c r="BE74">
        <f t="shared" si="14"/>
        <v>58.259999999999991</v>
      </c>
      <c r="BF74">
        <f t="shared" si="14"/>
        <v>58.629999999999995</v>
      </c>
      <c r="BG74">
        <f t="shared" si="14"/>
        <v>59</v>
      </c>
    </row>
    <row r="87" s="92" customFormat="1"/>
    <row r="104" spans="15:18">
      <c r="O104" t="s">
        <v>703</v>
      </c>
      <c r="R104" t="s">
        <v>704</v>
      </c>
    </row>
    <row r="105" spans="15:18">
      <c r="O105" t="s">
        <v>705</v>
      </c>
      <c r="R105">
        <v>43.5</v>
      </c>
    </row>
    <row r="106" spans="15:18">
      <c r="O106" t="s">
        <v>706</v>
      </c>
      <c r="R106">
        <v>15</v>
      </c>
    </row>
    <row r="107" spans="15:18">
      <c r="O107" t="s">
        <v>707</v>
      </c>
      <c r="R107">
        <f>FloorAreaPer!H167</f>
        <v>15</v>
      </c>
    </row>
  </sheetData>
  <mergeCells count="1">
    <mergeCell ref="A1:R1"/>
  </mergeCells>
  <phoneticPr fontId="3" type="noConversion"/>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71"/>
  <sheetViews>
    <sheetView zoomScale="125" workbookViewId="0">
      <selection activeCell="E14" sqref="E14"/>
    </sheetView>
  </sheetViews>
  <sheetFormatPr baseColWidth="10" defaultColWidth="8.796875" defaultRowHeight="14"/>
  <cols>
    <col min="3" max="3" width="16.19921875" bestFit="1" customWidth="1"/>
    <col min="8" max="8" width="11.796875" customWidth="1"/>
    <col min="17" max="17" width="14.19921875" customWidth="1"/>
    <col min="25" max="25" width="7.3984375" customWidth="1"/>
  </cols>
  <sheetData>
    <row r="1" spans="1:15" ht="20">
      <c r="A1" s="99" t="s">
        <v>504</v>
      </c>
    </row>
    <row r="2" spans="1:15">
      <c r="A2" t="s">
        <v>493</v>
      </c>
      <c r="B2" t="s">
        <v>505</v>
      </c>
      <c r="D2" t="s">
        <v>506</v>
      </c>
    </row>
    <row r="4" spans="1:15">
      <c r="B4" s="30" t="s">
        <v>507</v>
      </c>
      <c r="C4" s="31"/>
      <c r="D4" s="32"/>
      <c r="E4" s="33"/>
      <c r="G4" s="30" t="s">
        <v>508</v>
      </c>
      <c r="H4" s="31"/>
      <c r="I4" s="31"/>
      <c r="J4" s="31"/>
      <c r="K4" s="31"/>
      <c r="L4" s="31"/>
      <c r="M4" s="31"/>
      <c r="N4" s="31"/>
      <c r="O4" s="34"/>
    </row>
    <row r="5" spans="1:15">
      <c r="B5" s="23" t="s">
        <v>509</v>
      </c>
      <c r="E5" s="24"/>
      <c r="G5" s="23" t="s">
        <v>509</v>
      </c>
      <c r="H5" s="668"/>
      <c r="I5" s="668"/>
      <c r="J5" s="668"/>
      <c r="K5" s="668"/>
      <c r="L5" s="668"/>
      <c r="M5" s="668"/>
      <c r="N5" s="668"/>
      <c r="O5" s="24"/>
    </row>
    <row r="6" spans="1:15" ht="24">
      <c r="B6" s="23"/>
      <c r="D6">
        <v>2016</v>
      </c>
      <c r="E6" s="24">
        <v>2021</v>
      </c>
      <c r="G6" s="20"/>
      <c r="H6" s="682" t="s">
        <v>510</v>
      </c>
      <c r="I6" s="683" t="s">
        <v>511</v>
      </c>
      <c r="J6" s="684" t="s">
        <v>512</v>
      </c>
      <c r="K6" s="685" t="s">
        <v>513</v>
      </c>
      <c r="L6" s="686" t="s">
        <v>514</v>
      </c>
      <c r="M6" s="687" t="s">
        <v>515</v>
      </c>
      <c r="N6" s="688" t="s">
        <v>516</v>
      </c>
      <c r="O6" s="689" t="s">
        <v>517</v>
      </c>
    </row>
    <row r="7" spans="1:15">
      <c r="B7" s="23" t="s">
        <v>518</v>
      </c>
      <c r="C7" t="s">
        <v>510</v>
      </c>
      <c r="D7" s="17">
        <v>0.25</v>
      </c>
      <c r="E7" s="129">
        <v>0.28000000000000003</v>
      </c>
      <c r="G7" s="23">
        <v>2005</v>
      </c>
      <c r="H7" s="566">
        <v>0.23</v>
      </c>
      <c r="I7" s="567">
        <v>0.21</v>
      </c>
      <c r="J7" s="568">
        <v>0.08</v>
      </c>
      <c r="K7" s="569">
        <v>0.11</v>
      </c>
      <c r="L7" s="570">
        <v>0.08</v>
      </c>
      <c r="M7" s="565">
        <v>0.26</v>
      </c>
      <c r="N7" s="571">
        <v>0.03</v>
      </c>
      <c r="O7" s="690">
        <f>SUM(H7:N7)</f>
        <v>1</v>
      </c>
    </row>
    <row r="8" spans="1:15">
      <c r="B8" s="23" t="s">
        <v>519</v>
      </c>
      <c r="C8" t="s">
        <v>511</v>
      </c>
      <c r="D8" s="17">
        <v>0.18</v>
      </c>
      <c r="E8" s="25">
        <v>0.23</v>
      </c>
      <c r="G8" s="23">
        <v>2006</v>
      </c>
      <c r="H8" s="566">
        <f>'Private,Public8EndUse'!B26</f>
        <v>0.21902924786493883</v>
      </c>
      <c r="I8" s="567">
        <f>'Private,Public8EndUse'!C26</f>
        <v>0.20666402875325618</v>
      </c>
      <c r="J8" s="568">
        <f>'Private,Public8EndUse'!D26</f>
        <v>7.6384080192567677E-2</v>
      </c>
      <c r="K8" s="569">
        <f>'Private,Public8EndUse'!E26</f>
        <v>0.10505490157285587</v>
      </c>
      <c r="L8" s="570">
        <f>'Private,Public8EndUse'!F26</f>
        <v>8.8469021004385529E-2</v>
      </c>
      <c r="M8" s="565">
        <f>'Private,Public8EndUse'!G26</f>
        <v>0.26761631549444387</v>
      </c>
      <c r="N8" s="571">
        <f>'Private,Public8EndUse'!H26</f>
        <v>3.6782405117552021E-2</v>
      </c>
      <c r="O8" s="690">
        <f>SUM(H8:N8)</f>
        <v>1</v>
      </c>
    </row>
    <row r="9" spans="1:15">
      <c r="B9" s="23" t="s">
        <v>520</v>
      </c>
      <c r="C9" t="s">
        <v>512</v>
      </c>
      <c r="D9" s="17">
        <v>0.06</v>
      </c>
      <c r="E9" s="25">
        <v>0.04</v>
      </c>
      <c r="G9" s="23">
        <v>2007</v>
      </c>
      <c r="H9" s="566">
        <f>'Private,Public8EndUse'!B27</f>
        <v>0.21644663126613728</v>
      </c>
      <c r="I9" s="567">
        <f>'Private,Public8EndUse'!C27</f>
        <v>0.20244880726198017</v>
      </c>
      <c r="J9" s="568">
        <f>'Private,Public8EndUse'!D27</f>
        <v>7.3220636235202419E-2</v>
      </c>
      <c r="K9" s="569">
        <f>'Private,Public8EndUse'!E27</f>
        <v>0.10746821259804161</v>
      </c>
      <c r="L9" s="570">
        <f>'Private,Public8EndUse'!F27</f>
        <v>9.2577255971809491E-2</v>
      </c>
      <c r="M9" s="565">
        <f>'Private,Public8EndUse'!G27</f>
        <v>0.2698559620662217</v>
      </c>
      <c r="N9" s="571">
        <f>'Private,Public8EndUse'!H27</f>
        <v>3.7982494600607333E-2</v>
      </c>
      <c r="O9" s="690">
        <f t="shared" ref="O9:O12" si="0">SUM(H9:N9)</f>
        <v>1</v>
      </c>
    </row>
    <row r="10" spans="1:15">
      <c r="B10" s="23" t="s">
        <v>521</v>
      </c>
      <c r="C10" t="s">
        <v>513</v>
      </c>
      <c r="D10" s="17">
        <v>0.09</v>
      </c>
      <c r="E10" s="25">
        <v>0.05</v>
      </c>
      <c r="G10" s="23">
        <v>2008</v>
      </c>
      <c r="H10" s="566">
        <f>'Private,Public8EndUse'!B28</f>
        <v>0.20992450803878834</v>
      </c>
      <c r="I10" s="567">
        <f>'Private,Public8EndUse'!C28</f>
        <v>0.20332290975709907</v>
      </c>
      <c r="J10" s="568">
        <f>'Private,Public8EndUse'!D28</f>
        <v>6.8748223254050986E-2</v>
      </c>
      <c r="K10" s="569">
        <f>'Private,Public8EndUse'!E28</f>
        <v>0.10748918159133264</v>
      </c>
      <c r="L10" s="570">
        <f>'Private,Public8EndUse'!F28</f>
        <v>9.5091443191509528E-2</v>
      </c>
      <c r="M10" s="565">
        <f>'Private,Public8EndUse'!G28</f>
        <v>0.27693546858713164</v>
      </c>
      <c r="N10" s="571">
        <f>'Private,Public8EndUse'!H28</f>
        <v>3.8488265580087812E-2</v>
      </c>
      <c r="O10" s="690">
        <f t="shared" si="0"/>
        <v>1</v>
      </c>
    </row>
    <row r="11" spans="1:15">
      <c r="B11" s="23" t="s">
        <v>522</v>
      </c>
      <c r="C11" t="s">
        <v>514</v>
      </c>
      <c r="D11" s="17">
        <v>0.11</v>
      </c>
      <c r="E11" s="25">
        <v>0.06</v>
      </c>
      <c r="G11" s="23">
        <v>2009</v>
      </c>
      <c r="H11" s="566">
        <f>'Private,Public8EndUse'!B29</f>
        <v>0.21840163048513109</v>
      </c>
      <c r="I11" s="567">
        <f>'Private,Public8EndUse'!C29</f>
        <v>0.19862273415063458</v>
      </c>
      <c r="J11" s="568">
        <f>'Private,Public8EndUse'!D29</f>
        <v>6.9202976870580246E-2</v>
      </c>
      <c r="K11" s="569">
        <f>'Private,Public8EndUse'!E29</f>
        <v>0.10664546212518915</v>
      </c>
      <c r="L11" s="570">
        <f>'Private,Public8EndUse'!F29</f>
        <v>9.7226940061143186E-2</v>
      </c>
      <c r="M11" s="565">
        <f>'Private,Public8EndUse'!G29</f>
        <v>0.26711546181638512</v>
      </c>
      <c r="N11" s="571">
        <f>'Private,Public8EndUse'!H29</f>
        <v>4.2784794490936605E-2</v>
      </c>
      <c r="O11" s="690">
        <f t="shared" si="0"/>
        <v>1</v>
      </c>
    </row>
    <row r="12" spans="1:15">
      <c r="B12" s="23" t="s">
        <v>523</v>
      </c>
      <c r="C12" t="s">
        <v>515</v>
      </c>
      <c r="D12" s="17">
        <v>0.24</v>
      </c>
      <c r="E12" s="25">
        <v>0.26</v>
      </c>
      <c r="G12" s="23">
        <v>2010</v>
      </c>
      <c r="H12" s="566">
        <f>'Private,Public8EndUse'!B30</f>
        <v>0.22020885638394644</v>
      </c>
      <c r="I12" s="567">
        <f>'Private,Public8EndUse'!C30</f>
        <v>0.19704908488884038</v>
      </c>
      <c r="J12" s="568">
        <f>'Private,Public8EndUse'!D30</f>
        <v>6.8587854309937052E-2</v>
      </c>
      <c r="K12" s="569">
        <f>'Private,Public8EndUse'!E30</f>
        <v>0.10455554342684568</v>
      </c>
      <c r="L12" s="570">
        <f>'Private,Public8EndUse'!F30</f>
        <v>9.8278936069570277E-2</v>
      </c>
      <c r="M12" s="565">
        <f>'Private,Public8EndUse'!G30</f>
        <v>0.26412691482007061</v>
      </c>
      <c r="N12" s="571">
        <f>'Private,Public8EndUse'!H30</f>
        <v>4.719281010078958E-2</v>
      </c>
      <c r="O12" s="690">
        <f t="shared" si="0"/>
        <v>1.0000000000000002</v>
      </c>
    </row>
    <row r="13" spans="1:15">
      <c r="B13" s="23" t="s">
        <v>524</v>
      </c>
      <c r="C13" t="s">
        <v>516</v>
      </c>
      <c r="D13" s="17">
        <v>7.0000000000000007E-2</v>
      </c>
      <c r="E13" s="25">
        <v>0.08</v>
      </c>
      <c r="G13" s="23">
        <v>2011</v>
      </c>
      <c r="H13" s="566">
        <f>'Private,Public8EndUse'!B31</f>
        <v>0.22806898309404469</v>
      </c>
      <c r="I13" s="567">
        <f>'Private,Public8EndUse'!C31</f>
        <v>0.19249001784045536</v>
      </c>
      <c r="J13" s="568">
        <f>'Private,Public8EndUse'!D31</f>
        <v>6.8677257667148078E-2</v>
      </c>
      <c r="K13" s="569">
        <f>'Private,Public8EndUse'!E31</f>
        <v>9.9532749978761367E-2</v>
      </c>
      <c r="L13" s="570">
        <f>'Private,Public8EndUse'!F31</f>
        <v>0.10038229547192253</v>
      </c>
      <c r="M13" s="565">
        <f>'Private,Public8EndUse'!G31</f>
        <v>0.25607000254863649</v>
      </c>
      <c r="N13" s="571">
        <f>'Private,Public8EndUse'!H31</f>
        <v>5.4778693399031519E-2</v>
      </c>
      <c r="O13" s="690">
        <f t="shared" ref="O13:O17" si="1">SUM(H13:N13)</f>
        <v>1</v>
      </c>
    </row>
    <row r="14" spans="1:15">
      <c r="B14" s="23" t="s">
        <v>517</v>
      </c>
      <c r="D14" s="17">
        <f>SUM(D7:D13)</f>
        <v>1</v>
      </c>
      <c r="E14" s="25">
        <f>SUM(E7:E13)</f>
        <v>1.0000000000000002</v>
      </c>
      <c r="G14" s="23">
        <v>2012</v>
      </c>
      <c r="H14" s="566">
        <f>'Private,Public8EndUse'!B32</f>
        <v>0.23063213125676688</v>
      </c>
      <c r="I14" s="567">
        <f>'Private,Public8EndUse'!C32</f>
        <v>0.18679103856083951</v>
      </c>
      <c r="J14" s="568">
        <f>'Private,Public8EndUse'!D32</f>
        <v>6.8060298159407007E-2</v>
      </c>
      <c r="K14" s="569">
        <f>'Private,Public8EndUse'!E32</f>
        <v>9.4361622386940958E-2</v>
      </c>
      <c r="L14" s="570">
        <f>'Private,Public8EndUse'!F32</f>
        <v>0.10588823186474557</v>
      </c>
      <c r="M14" s="565">
        <f>'Private,Public8EndUse'!G32</f>
        <v>0.24852169567752144</v>
      </c>
      <c r="N14" s="571">
        <f>'Private,Public8EndUse'!H32</f>
        <v>6.5744982093778631E-2</v>
      </c>
      <c r="O14" s="690">
        <f t="shared" si="1"/>
        <v>1</v>
      </c>
    </row>
    <row r="15" spans="1:15">
      <c r="B15" s="23"/>
      <c r="D15" s="17"/>
      <c r="E15" s="25"/>
      <c r="G15" s="23">
        <v>2013</v>
      </c>
      <c r="H15" s="566">
        <f>'Private,Public8EndUse'!B33</f>
        <v>0.22323120252624393</v>
      </c>
      <c r="I15" s="567">
        <f>'Private,Public8EndUse'!C33</f>
        <v>0.20126312195954596</v>
      </c>
      <c r="J15" s="568">
        <f>'Private,Public8EndUse'!D33</f>
        <v>5.9213109157634204E-2</v>
      </c>
      <c r="K15" s="569">
        <f>'Private,Public8EndUse'!E33</f>
        <v>8.5346078347699916E-2</v>
      </c>
      <c r="L15" s="570">
        <f>'Private,Public8EndUse'!F33</f>
        <v>9.0791158146283177E-2</v>
      </c>
      <c r="M15" s="565">
        <f>'Private,Public8EndUse'!G33</f>
        <v>0.27136639071434665</v>
      </c>
      <c r="N15" s="571">
        <f>'Private,Public8EndUse'!H33</f>
        <v>6.8788939148246145E-2</v>
      </c>
      <c r="O15" s="690">
        <f t="shared" si="1"/>
        <v>0.99999999999999989</v>
      </c>
    </row>
    <row r="16" spans="1:15">
      <c r="B16" s="23"/>
      <c r="E16" s="24"/>
      <c r="G16" s="23">
        <v>2014</v>
      </c>
      <c r="H16" s="566">
        <f>'Private,Public8EndUse'!B34</f>
        <v>0.25340546807071779</v>
      </c>
      <c r="I16" s="567">
        <f>'Private,Public8EndUse'!C34</f>
        <v>0.20564840756126623</v>
      </c>
      <c r="J16" s="568">
        <f>'Private,Public8EndUse'!D34</f>
        <v>5.2152771068817827E-2</v>
      </c>
      <c r="K16" s="569">
        <f>'Private,Public8EndUse'!E34</f>
        <v>7.6932985540849513E-2</v>
      </c>
      <c r="L16" s="570">
        <f>'Private,Public8EndUse'!F34</f>
        <v>8.0282098347985706E-2</v>
      </c>
      <c r="M16" s="565">
        <f>'Private,Public8EndUse'!G34</f>
        <v>0.25945963352977169</v>
      </c>
      <c r="N16" s="571">
        <f>'Private,Public8EndUse'!H34</f>
        <v>7.2118635880591253E-2</v>
      </c>
      <c r="O16" s="690">
        <f t="shared" si="1"/>
        <v>1</v>
      </c>
    </row>
    <row r="17" spans="2:15">
      <c r="B17" s="23"/>
      <c r="D17" s="17"/>
      <c r="E17" s="25"/>
      <c r="G17" s="23">
        <v>2015</v>
      </c>
      <c r="H17" s="566">
        <f>'Private,Public8EndUse'!B35</f>
        <v>0.25913731200052947</v>
      </c>
      <c r="I17" s="567">
        <f>'Private,Public8EndUse'!C35</f>
        <v>0.21438144244610269</v>
      </c>
      <c r="J17" s="568">
        <f>'Private,Public8EndUse'!D35</f>
        <v>4.6989526630156028E-2</v>
      </c>
      <c r="K17" s="569">
        <f>'Private,Public8EndUse'!E35</f>
        <v>6.9706646370720896E-2</v>
      </c>
      <c r="L17" s="570">
        <f>'Private,Public8EndUse'!F35</f>
        <v>7.2866857492678572E-2</v>
      </c>
      <c r="M17" s="565">
        <f>'Private,Public8EndUse'!G35</f>
        <v>0.26021277651847319</v>
      </c>
      <c r="N17" s="571">
        <f>'Private,Public8EndUse'!H35</f>
        <v>7.6705438541339196E-2</v>
      </c>
      <c r="O17" s="690">
        <f t="shared" si="1"/>
        <v>0.99999999999999989</v>
      </c>
    </row>
    <row r="18" spans="2:15">
      <c r="B18" s="23"/>
      <c r="D18" s="17"/>
      <c r="E18" s="25"/>
      <c r="G18" s="23">
        <v>2016</v>
      </c>
      <c r="H18" s="566">
        <f>'Private,Public8EndUse'!B36</f>
        <v>0.26063984959968883</v>
      </c>
      <c r="I18" s="567">
        <f>'Private,Public8EndUse'!C36</f>
        <v>0.22843667952416452</v>
      </c>
      <c r="J18" s="568">
        <f>'Private,Public8EndUse'!D36</f>
        <v>4.1830086545006646E-2</v>
      </c>
      <c r="K18" s="569">
        <f>'Private,Public8EndUse'!E36</f>
        <v>6.1310816505137596E-2</v>
      </c>
      <c r="L18" s="570">
        <f>'Private,Public8EndUse'!F36</f>
        <v>6.5103238144630649E-2</v>
      </c>
      <c r="M18" s="565">
        <f>'Private,Public8EndUse'!G36</f>
        <v>0.26313571683251757</v>
      </c>
      <c r="N18" s="571">
        <f>'Private,Public8EndUse'!H36</f>
        <v>7.9543612848854167E-2</v>
      </c>
      <c r="O18" s="690">
        <f>SUM(H18:N18)</f>
        <v>1</v>
      </c>
    </row>
    <row r="19" spans="2:15">
      <c r="B19" s="23"/>
      <c r="D19" s="17"/>
      <c r="E19" s="25"/>
      <c r="G19" s="23">
        <v>2017</v>
      </c>
      <c r="H19" s="566">
        <f>'Private,Public8EndUse'!B37</f>
        <v>0.26335720073421198</v>
      </c>
      <c r="I19" s="567">
        <f>'Private,Public8EndUse'!C37</f>
        <v>0.23772592727332859</v>
      </c>
      <c r="J19" s="568">
        <f>'Private,Public8EndUse'!D37</f>
        <v>3.7801994278438313E-2</v>
      </c>
      <c r="K19" s="569">
        <f>'Private,Public8EndUse'!E37</f>
        <v>5.3147685744051064E-2</v>
      </c>
      <c r="L19" s="570">
        <f>'Private,Public8EndUse'!F37</f>
        <v>5.7794387577927341E-2</v>
      </c>
      <c r="M19" s="565">
        <f>'Private,Public8EndUse'!G37</f>
        <v>0.26833462867726093</v>
      </c>
      <c r="N19" s="571">
        <f>'Private,Public8EndUse'!H37</f>
        <v>8.1838175714781802E-2</v>
      </c>
      <c r="O19" s="690">
        <f>SUM(H19:N19)</f>
        <v>0.99999999999999989</v>
      </c>
    </row>
    <row r="20" spans="2:15">
      <c r="B20" s="23"/>
      <c r="D20" s="17"/>
      <c r="E20" s="25"/>
      <c r="G20" s="23">
        <v>2018</v>
      </c>
      <c r="H20" s="566">
        <f>'Private,Public8EndUse'!B38</f>
        <v>0.25610409864028461</v>
      </c>
      <c r="I20" s="567">
        <f>'Private,Public8EndUse'!C38</f>
        <v>0.23867309972870673</v>
      </c>
      <c r="J20" s="568">
        <f>'Private,Public8EndUse'!D38</f>
        <v>3.7136312685803405E-2</v>
      </c>
      <c r="K20" s="569">
        <f>'Private,Public8EndUse'!E38</f>
        <v>5.216303588543951E-2</v>
      </c>
      <c r="L20" s="570">
        <f>'Private,Public8EndUse'!F38</f>
        <v>5.6679175398411226E-2</v>
      </c>
      <c r="M20" s="565">
        <f>'Private,Public8EndUse'!G38</f>
        <v>0.27874977662979028</v>
      </c>
      <c r="N20" s="571">
        <f>'Private,Public8EndUse'!H38</f>
        <v>8.0494501031564247E-2</v>
      </c>
      <c r="O20" s="690">
        <f t="shared" ref="O20:O23" si="2">SUM(H20:N20)</f>
        <v>1</v>
      </c>
    </row>
    <row r="21" spans="2:15">
      <c r="B21" s="23"/>
      <c r="D21" s="17"/>
      <c r="E21" s="25"/>
      <c r="G21" s="26">
        <v>2019</v>
      </c>
      <c r="H21" s="691">
        <f>'Private,Public8EndUse'!B39</f>
        <v>0.26405663623998293</v>
      </c>
      <c r="I21" s="692">
        <f>'Private,Public8EndUse'!C39</f>
        <v>0.23183821962930795</v>
      </c>
      <c r="J21" s="693">
        <f>'Private,Public8EndUse'!D39</f>
        <v>3.8576883368020842E-2</v>
      </c>
      <c r="K21" s="694">
        <f>'Private,Public8EndUse'!E39</f>
        <v>5.4882745284410284E-2</v>
      </c>
      <c r="L21" s="695">
        <f>'Private,Public8EndUse'!F39</f>
        <v>5.8897756510053918E-2</v>
      </c>
      <c r="M21" s="696">
        <f>'Private,Public8EndUse'!G39</f>
        <v>0.26818636207207353</v>
      </c>
      <c r="N21" s="697">
        <f>'Private,Public8EndUse'!H39</f>
        <v>8.3561396896150511E-2</v>
      </c>
      <c r="O21" s="698">
        <f t="shared" si="2"/>
        <v>0.99999999999999989</v>
      </c>
    </row>
    <row r="22" spans="2:15">
      <c r="B22" s="23"/>
      <c r="D22" s="17"/>
      <c r="E22" s="25"/>
      <c r="G22" s="699">
        <v>2020</v>
      </c>
      <c r="H22" s="682">
        <f>'Private,Public8EndUse'!B40</f>
        <v>0.2730982352586882</v>
      </c>
      <c r="I22" s="683">
        <f>'Private,Public8EndUse'!C40</f>
        <v>0.23262362223694513</v>
      </c>
      <c r="J22" s="684">
        <f>'Private,Public8EndUse'!D40</f>
        <v>3.7658856833102453E-2</v>
      </c>
      <c r="K22" s="685">
        <f>'Private,Public8EndUse'!E40</f>
        <v>5.3454195024995481E-2</v>
      </c>
      <c r="L22" s="686">
        <f>'Private,Public8EndUse'!F40</f>
        <v>5.750466783111486E-2</v>
      </c>
      <c r="M22" s="687">
        <f>'Private,Public8EndUse'!G40</f>
        <v>0.26403360838402701</v>
      </c>
      <c r="N22" s="688">
        <f>'Private,Public8EndUse'!H40</f>
        <v>8.1626814431126904E-2</v>
      </c>
      <c r="O22" s="689">
        <f t="shared" si="2"/>
        <v>1</v>
      </c>
    </row>
    <row r="23" spans="2:15">
      <c r="B23" s="23"/>
      <c r="D23" s="17"/>
      <c r="E23" s="25"/>
      <c r="G23" s="26">
        <v>2021</v>
      </c>
      <c r="H23" s="691">
        <f>'Private,Public8EndUse'!B41</f>
        <v>0.28021821560781141</v>
      </c>
      <c r="I23" s="692">
        <f>'Private,Public8EndUse'!C41</f>
        <v>0.2259190983618842</v>
      </c>
      <c r="J23" s="693">
        <f>'Private,Public8EndUse'!D41</f>
        <v>3.7858009981565577E-2</v>
      </c>
      <c r="K23" s="694">
        <f>'Private,Public8EndUse'!E41</f>
        <v>5.3999370531900542E-2</v>
      </c>
      <c r="L23" s="695">
        <f>'Private,Public8EndUse'!F41</f>
        <v>5.77761791286363E-2</v>
      </c>
      <c r="M23" s="696">
        <f>'Private,Public8EndUse'!G41</f>
        <v>0.26217346342340719</v>
      </c>
      <c r="N23" s="697">
        <f>'Private,Public8EndUse'!H41</f>
        <v>8.2055662964794746E-2</v>
      </c>
      <c r="O23" s="698">
        <f t="shared" si="2"/>
        <v>0.99999999999999989</v>
      </c>
    </row>
    <row r="24" spans="2:15">
      <c r="B24" s="23"/>
      <c r="D24" s="17"/>
      <c r="E24" s="25"/>
      <c r="G24" s="23"/>
      <c r="O24" s="24"/>
    </row>
    <row r="25" spans="2:15" ht="30">
      <c r="B25" s="23"/>
      <c r="E25" s="24"/>
      <c r="G25" s="681" t="s">
        <v>525</v>
      </c>
      <c r="H25" s="682"/>
      <c r="I25" s="683"/>
      <c r="J25" s="684"/>
      <c r="K25" s="685"/>
      <c r="L25" s="686"/>
      <c r="M25" s="687"/>
      <c r="N25" s="688"/>
      <c r="O25" s="689"/>
    </row>
    <row r="26" spans="2:15" ht="24">
      <c r="B26" s="23" t="s">
        <v>525</v>
      </c>
      <c r="E26" s="24"/>
      <c r="G26" s="23"/>
      <c r="H26" s="566" t="s">
        <v>510</v>
      </c>
      <c r="I26" s="567" t="s">
        <v>511</v>
      </c>
      <c r="J26" s="568" t="s">
        <v>512</v>
      </c>
      <c r="K26" s="569" t="s">
        <v>513</v>
      </c>
      <c r="L26" s="570" t="s">
        <v>514</v>
      </c>
      <c r="M26" s="565" t="s">
        <v>515</v>
      </c>
      <c r="N26" s="571" t="s">
        <v>516</v>
      </c>
      <c r="O26" s="690" t="s">
        <v>517</v>
      </c>
    </row>
    <row r="27" spans="2:15">
      <c r="B27" s="23"/>
      <c r="D27">
        <v>2016</v>
      </c>
      <c r="E27" s="24">
        <v>2021</v>
      </c>
      <c r="G27" s="23">
        <v>2005</v>
      </c>
      <c r="H27" s="566">
        <v>0.35</v>
      </c>
      <c r="I27" s="567">
        <v>0.1</v>
      </c>
      <c r="J27" s="568">
        <v>0.12</v>
      </c>
      <c r="K27" s="569">
        <v>0.16</v>
      </c>
      <c r="L27" s="570">
        <v>0.13</v>
      </c>
      <c r="M27" s="565">
        <v>0.09</v>
      </c>
      <c r="N27" s="571">
        <v>0.05</v>
      </c>
      <c r="O27" s="690">
        <f>SUM(H27:N27)</f>
        <v>1</v>
      </c>
    </row>
    <row r="28" spans="2:15">
      <c r="B28" s="23" t="s">
        <v>518</v>
      </c>
      <c r="C28" t="s">
        <v>510</v>
      </c>
      <c r="D28" s="17">
        <v>0.35</v>
      </c>
      <c r="E28" s="25">
        <v>0.39</v>
      </c>
      <c r="G28" s="23">
        <v>2006</v>
      </c>
      <c r="H28" s="566">
        <f>'Private,Public8EndUse'!B66</f>
        <v>0.34127983147943586</v>
      </c>
      <c r="I28" s="567">
        <f>'Private,Public8EndUse'!C66</f>
        <v>9.0811005214889412E-2</v>
      </c>
      <c r="J28" s="568">
        <f>'Private,Public8EndUse'!D66</f>
        <v>0.11901764841883526</v>
      </c>
      <c r="K28" s="569">
        <f>'Private,Public8EndUse'!E66</f>
        <v>0.16369101138027589</v>
      </c>
      <c r="L28" s="570">
        <f>'Private,Public8EndUse'!F66</f>
        <v>0.13784776633185192</v>
      </c>
      <c r="M28" s="565">
        <f>'Private,Public8EndUse'!G66</f>
        <v>9.1941326071878132E-2</v>
      </c>
      <c r="N28" s="571">
        <f>'Private,Public8EndUse'!H66</f>
        <v>5.5411411102833506E-2</v>
      </c>
      <c r="O28" s="690">
        <f>SUM(H28:N28)</f>
        <v>0.99999999999999989</v>
      </c>
    </row>
    <row r="29" spans="2:15">
      <c r="B29" s="23" t="s">
        <v>519</v>
      </c>
      <c r="C29" t="s">
        <v>511</v>
      </c>
      <c r="D29" s="17">
        <v>0.08</v>
      </c>
      <c r="E29" s="25">
        <v>0.11</v>
      </c>
      <c r="G29" s="23">
        <v>2007</v>
      </c>
      <c r="H29" s="566">
        <f>'Private,Public8EndUse'!B67</f>
        <v>0.33179000821447241</v>
      </c>
      <c r="I29" s="567">
        <f>'Private,Public8EndUse'!C67</f>
        <v>9.6781420356956166E-2</v>
      </c>
      <c r="J29" s="568">
        <f>'Private,Public8EndUse'!D67</f>
        <v>0.11223956388619222</v>
      </c>
      <c r="K29" s="569">
        <f>'Private,Public8EndUse'!E67</f>
        <v>0.1647375102680905</v>
      </c>
      <c r="L29" s="570">
        <f>'Private,Public8EndUse'!F67</f>
        <v>0.14191123391332486</v>
      </c>
      <c r="M29" s="565">
        <f>'Private,Public8EndUse'!G67</f>
        <v>9.6233788863166803E-2</v>
      </c>
      <c r="N29" s="571">
        <f>'Private,Public8EndUse'!H67</f>
        <v>5.6306474497797028E-2</v>
      </c>
      <c r="O29" s="690">
        <f t="shared" ref="O29:O33" si="3">SUM(H29:N29)</f>
        <v>0.99999999999999989</v>
      </c>
    </row>
    <row r="30" spans="2:15">
      <c r="B30" s="23" t="s">
        <v>520</v>
      </c>
      <c r="C30" t="s">
        <v>512</v>
      </c>
      <c r="D30" s="17">
        <v>0.09</v>
      </c>
      <c r="E30" s="25">
        <v>0.05</v>
      </c>
      <c r="G30" s="23">
        <v>2008</v>
      </c>
      <c r="H30" s="566">
        <f>'Private,Public8EndUse'!B68</f>
        <v>0.32234752031041591</v>
      </c>
      <c r="I30" s="567">
        <f>'Private,Public8EndUse'!C68</f>
        <v>0.10304353098096278</v>
      </c>
      <c r="J30" s="568">
        <f>'Private,Public8EndUse'!D68</f>
        <v>0.1055656602400873</v>
      </c>
      <c r="K30" s="569">
        <f>'Private,Public8EndUse'!E68</f>
        <v>0.16505395901539954</v>
      </c>
      <c r="L30" s="570">
        <f>'Private,Public8EndUse'!F68</f>
        <v>0.14601673335758458</v>
      </c>
      <c r="M30" s="565">
        <f>'Private,Public8EndUse'!G68</f>
        <v>0.1009336728507336</v>
      </c>
      <c r="N30" s="571">
        <f>'Private,Public8EndUse'!H68</f>
        <v>5.7038923244816297E-2</v>
      </c>
      <c r="O30" s="690">
        <f t="shared" si="3"/>
        <v>1</v>
      </c>
    </row>
    <row r="31" spans="2:15">
      <c r="B31" s="23" t="s">
        <v>521</v>
      </c>
      <c r="C31" t="s">
        <v>513</v>
      </c>
      <c r="D31" s="17">
        <v>0.14000000000000001</v>
      </c>
      <c r="E31" s="25">
        <v>0.08</v>
      </c>
      <c r="G31" s="23">
        <v>2009</v>
      </c>
      <c r="H31" s="566">
        <f>'Private,Public8EndUse'!B69</f>
        <v>0.33045977011494254</v>
      </c>
      <c r="I31" s="567">
        <f>'Private,Public8EndUse'!C69</f>
        <v>9.5668629100084099E-2</v>
      </c>
      <c r="J31" s="568">
        <f>'Private,Public8EndUse'!D69</f>
        <v>0.1047098402018503</v>
      </c>
      <c r="K31" s="569">
        <f>'Private,Public8EndUse'!E69</f>
        <v>0.16136342397906739</v>
      </c>
      <c r="L31" s="570">
        <f>'Private,Public8EndUse'!F69</f>
        <v>0.14711241940005607</v>
      </c>
      <c r="M31" s="565">
        <f>'Private,Public8EndUse'!G69</f>
        <v>9.7560975609756101E-2</v>
      </c>
      <c r="N31" s="571">
        <f>'Private,Public8EndUse'!H69</f>
        <v>6.3124941594243533E-2</v>
      </c>
      <c r="O31" s="690">
        <f t="shared" si="3"/>
        <v>0.99999999999999989</v>
      </c>
    </row>
    <row r="32" spans="2:15">
      <c r="B32" s="23" t="s">
        <v>522</v>
      </c>
      <c r="C32" t="s">
        <v>514</v>
      </c>
      <c r="D32" s="17">
        <v>0.15</v>
      </c>
      <c r="E32" s="25">
        <v>0.08</v>
      </c>
      <c r="G32" s="23">
        <v>2010</v>
      </c>
      <c r="H32" s="566">
        <f>'Private,Public8EndUse'!B70</f>
        <v>0.3326462747684612</v>
      </c>
      <c r="I32" s="567">
        <f>'Private,Public8EndUse'!C70</f>
        <v>9.2148294720641982E-2</v>
      </c>
      <c r="J32" s="568">
        <f>'Private,Public8EndUse'!D70</f>
        <v>0.1036084315827081</v>
      </c>
      <c r="K32" s="569">
        <f>'Private,Public8EndUse'!E70</f>
        <v>0.15794102289279138</v>
      </c>
      <c r="L32" s="570">
        <f>'Private,Public8EndUse'!F70</f>
        <v>0.14873443812350565</v>
      </c>
      <c r="M32" s="565">
        <f>'Private,Public8EndUse'!G70</f>
        <v>9.4814081952345614E-2</v>
      </c>
      <c r="N32" s="571">
        <f>'Private,Public8EndUse'!H70</f>
        <v>7.0107455959545997E-2</v>
      </c>
      <c r="O32" s="690">
        <f t="shared" si="3"/>
        <v>0.99999999999999989</v>
      </c>
    </row>
    <row r="33" spans="2:22">
      <c r="B33" s="23" t="s">
        <v>523</v>
      </c>
      <c r="C33" t="s">
        <v>515</v>
      </c>
      <c r="D33" s="17">
        <v>0.09</v>
      </c>
      <c r="E33" s="25">
        <v>0.17</v>
      </c>
      <c r="G33" s="23">
        <v>2011</v>
      </c>
      <c r="H33" s="566">
        <f>'Private,Public8EndUse'!B71</f>
        <v>0.33666073085701387</v>
      </c>
      <c r="I33" s="567">
        <f>'Private,Public8EndUse'!C71</f>
        <v>9.3050086529056206E-2</v>
      </c>
      <c r="J33" s="568">
        <f>'Private,Public8EndUse'!D71</f>
        <v>0.10137694063354317</v>
      </c>
      <c r="K33" s="569">
        <f>'Private,Public8EndUse'!E71</f>
        <v>0.14692382934965262</v>
      </c>
      <c r="L33" s="570">
        <f>'Private,Public8EndUse'!F71</f>
        <v>0.14817787364249704</v>
      </c>
      <c r="M33" s="565">
        <f>'Private,Public8EndUse'!G71</f>
        <v>9.3877755762333523E-2</v>
      </c>
      <c r="N33" s="571">
        <f>'Private,Public8EndUse'!H71</f>
        <v>7.9932783225903539E-2</v>
      </c>
      <c r="O33" s="690">
        <f t="shared" si="3"/>
        <v>1</v>
      </c>
    </row>
    <row r="34" spans="2:22">
      <c r="B34" s="23" t="s">
        <v>524</v>
      </c>
      <c r="C34" t="s">
        <v>516</v>
      </c>
      <c r="D34" s="17">
        <v>0.1</v>
      </c>
      <c r="E34" s="25">
        <v>0.11</v>
      </c>
      <c r="G34" s="23">
        <v>2012</v>
      </c>
      <c r="H34" s="566">
        <f>'Private,Public8EndUse'!B72</f>
        <v>0.33617403549663727</v>
      </c>
      <c r="I34" s="567">
        <f>'Private,Public8EndUse'!C72</f>
        <v>8.35457790079394E-2</v>
      </c>
      <c r="J34" s="568">
        <f>'Private,Public8EndUse'!D72</f>
        <v>9.9206060164615043E-2</v>
      </c>
      <c r="K34" s="569">
        <f>'Private,Public8EndUse'!E72</f>
        <v>0.13754339961638382</v>
      </c>
      <c r="L34" s="570">
        <f>'Private,Public8EndUse'!F72</f>
        <v>0.1543448175395149</v>
      </c>
      <c r="M34" s="565">
        <f>'Private,Public8EndUse'!G72</f>
        <v>9.4107363974069491E-2</v>
      </c>
      <c r="N34" s="571">
        <f>'Private,Public8EndUse'!H72</f>
        <v>9.5078544200840068E-2</v>
      </c>
      <c r="O34" s="690">
        <f>SUM(H34:N34)</f>
        <v>1</v>
      </c>
    </row>
    <row r="35" spans="2:22">
      <c r="B35" s="26" t="s">
        <v>517</v>
      </c>
      <c r="C35" s="27"/>
      <c r="D35" s="28">
        <f>SUM(D28:D34)</f>
        <v>1</v>
      </c>
      <c r="E35" s="29">
        <f>SUM(E28:E34)</f>
        <v>0.99</v>
      </c>
      <c r="G35" s="23">
        <v>2013</v>
      </c>
      <c r="H35" s="566">
        <f>'Private,Public8EndUse'!B73</f>
        <v>0.32742476591057035</v>
      </c>
      <c r="I35" s="567">
        <f>'Private,Public8EndUse'!C73</f>
        <v>9.3185118421711483E-2</v>
      </c>
      <c r="J35" s="568">
        <f>'Private,Public8EndUse'!D73</f>
        <v>8.685093385408843E-2</v>
      </c>
      <c r="K35" s="569">
        <f>'Private,Public8EndUse'!E73</f>
        <v>0.12518151319413148</v>
      </c>
      <c r="L35" s="570">
        <f>'Private,Public8EndUse'!F73</f>
        <v>0.13316809373591709</v>
      </c>
      <c r="M35" s="565">
        <f>'Private,Public8EndUse'!G73</f>
        <v>0.13414450953883131</v>
      </c>
      <c r="N35" s="571">
        <f>'Private,Public8EndUse'!H73</f>
        <v>0.10004506534474988</v>
      </c>
      <c r="O35" s="690">
        <f>SUM(H35:N35)</f>
        <v>1</v>
      </c>
    </row>
    <row r="36" spans="2:22">
      <c r="G36" s="23">
        <v>2014</v>
      </c>
      <c r="H36" s="566">
        <f>'Private,Public8EndUse'!B74</f>
        <v>0.36247639227969969</v>
      </c>
      <c r="I36" s="567">
        <f>'Private,Public8EndUse'!C74</f>
        <v>9.8185084527154631E-2</v>
      </c>
      <c r="J36" s="568">
        <f>'Private,Public8EndUse'!D74</f>
        <v>7.4600396149062595E-2</v>
      </c>
      <c r="K36" s="569">
        <f>'Private,Public8EndUse'!E74</f>
        <v>0.11004652448293334</v>
      </c>
      <c r="L36" s="570">
        <f>'Private,Public8EndUse'!F74</f>
        <v>0.11483716430973329</v>
      </c>
      <c r="M36" s="565">
        <f>'Private,Public8EndUse'!G74</f>
        <v>0.13759270348703304</v>
      </c>
      <c r="N36" s="571">
        <f>'Private,Public8EndUse'!H74</f>
        <v>0.10226173476438344</v>
      </c>
      <c r="O36" s="690">
        <f>SUM(H36:N36)</f>
        <v>1</v>
      </c>
    </row>
    <row r="37" spans="2:22">
      <c r="G37" s="23">
        <v>2015</v>
      </c>
      <c r="H37" s="566">
        <f>'Private,Public8EndUse'!B75</f>
        <v>0.36968323655761698</v>
      </c>
      <c r="I37" s="567">
        <f>'Private,Public8EndUse'!C75</f>
        <v>0.10232261719303215</v>
      </c>
      <c r="J37" s="568">
        <f>'Private,Public8EndUse'!D75</f>
        <v>6.7034886465562007E-2</v>
      </c>
      <c r="K37" s="569">
        <f>'Private,Public8EndUse'!E75</f>
        <v>9.9442949535004488E-2</v>
      </c>
      <c r="L37" s="570">
        <f>'Private,Public8EndUse'!F75</f>
        <v>0.10395128168814616</v>
      </c>
      <c r="M37" s="565">
        <f>'Private,Public8EndUse'!G75</f>
        <v>0.14917622621913798</v>
      </c>
      <c r="N37" s="571">
        <f>'Private,Public8EndUse'!H75</f>
        <v>0.10838880234150026</v>
      </c>
      <c r="O37" s="690">
        <f>SUM(H37:N37)</f>
        <v>1</v>
      </c>
    </row>
    <row r="38" spans="2:22">
      <c r="G38" s="23">
        <v>2016</v>
      </c>
      <c r="H38" s="566">
        <f>'Private,Public8EndUse'!B76</f>
        <v>0.37297648313929216</v>
      </c>
      <c r="I38" s="567">
        <f>'Private,Public8EndUse'!C76</f>
        <v>0.11222691219444315</v>
      </c>
      <c r="J38" s="568">
        <f>'Private,Public8EndUse'!D76</f>
        <v>5.9858991604434343E-2</v>
      </c>
      <c r="K38" s="569">
        <f>'Private,Public8EndUse'!E76</f>
        <v>8.7735980333039559E-2</v>
      </c>
      <c r="L38" s="570">
        <f>'Private,Public8EndUse'!F76</f>
        <v>9.3162948188691502E-2</v>
      </c>
      <c r="M38" s="565">
        <f>'Private,Public8EndUse'!G76</f>
        <v>0.16148708196112993</v>
      </c>
      <c r="N38" s="571">
        <f>'Private,Public8EndUse'!H76</f>
        <v>0.11255160257896935</v>
      </c>
      <c r="O38" s="690">
        <f>SUM(H38:N38)</f>
        <v>1</v>
      </c>
    </row>
    <row r="39" spans="2:22">
      <c r="G39" s="23">
        <v>2017</v>
      </c>
      <c r="H39" s="566">
        <f>'Private,Public8EndUse'!B77</f>
        <v>0.37808323243833536</v>
      </c>
      <c r="I39" s="567">
        <f>'Private,Public8EndUse'!C77</f>
        <v>0.11532891769342164</v>
      </c>
      <c r="J39" s="568">
        <f>'Private,Public8EndUse'!D77</f>
        <v>5.4269638914607218E-2</v>
      </c>
      <c r="K39" s="569">
        <f>'Private,Public8EndUse'!E77</f>
        <v>7.630035847399283E-2</v>
      </c>
      <c r="L39" s="570">
        <f>'Private,Public8EndUse'!F77</f>
        <v>8.297129834057404E-2</v>
      </c>
      <c r="M39" s="565">
        <f>'Private,Public8EndUse'!G77</f>
        <v>0.17733779645324407</v>
      </c>
      <c r="N39" s="571">
        <f>'Private,Public8EndUse'!H77</f>
        <v>0.11570875768582485</v>
      </c>
      <c r="O39" s="690">
        <f t="shared" ref="O39:O43" si="4">SUM(H39:N39)</f>
        <v>1</v>
      </c>
    </row>
    <row r="40" spans="2:22">
      <c r="G40" s="23">
        <v>2018</v>
      </c>
      <c r="H40" s="566">
        <f>'Private,Public8EndUse'!B78</f>
        <v>0.37567915356019443</v>
      </c>
      <c r="I40" s="567">
        <f>'Private,Public8EndUse'!C78</f>
        <v>0.11533695548565437</v>
      </c>
      <c r="J40" s="568">
        <f>'Private,Public8EndUse'!D78</f>
        <v>5.4475264512439232E-2</v>
      </c>
      <c r="K40" s="569">
        <f>'Private,Public8EndUse'!E78</f>
        <v>7.6517967781908308E-2</v>
      </c>
      <c r="L40" s="570">
        <f>'Private,Public8EndUse'!F78</f>
        <v>8.3142693737489282E-2</v>
      </c>
      <c r="M40" s="565">
        <f>'Private,Public8EndUse'!G78</f>
        <v>0.17858164140692021</v>
      </c>
      <c r="N40" s="571">
        <f>'Private,Public8EndUse'!H78</f>
        <v>0.11626632351539415</v>
      </c>
      <c r="O40" s="690">
        <f t="shared" si="4"/>
        <v>1</v>
      </c>
    </row>
    <row r="41" spans="2:22">
      <c r="G41" s="26">
        <v>2019</v>
      </c>
      <c r="H41" s="691">
        <f>'Private,Public8EndUse'!B79</f>
        <v>0.37527074551086476</v>
      </c>
      <c r="I41" s="692">
        <f>'Private,Public8EndUse'!C79</f>
        <v>0.11155879544448843</v>
      </c>
      <c r="J41" s="693">
        <f>'Private,Public8EndUse'!D79</f>
        <v>5.4824510329086799E-2</v>
      </c>
      <c r="K41" s="694">
        <f>'Private,Public8EndUse'!E79</f>
        <v>7.7997997065468005E-2</v>
      </c>
      <c r="L41" s="695">
        <f>'Private,Public8EndUse'!F79</f>
        <v>8.3704031487994032E-2</v>
      </c>
      <c r="M41" s="696">
        <f>'Private,Public8EndUse'!G79</f>
        <v>0.17961198965926822</v>
      </c>
      <c r="N41" s="697">
        <f>'Private,Public8EndUse'!H79</f>
        <v>0.11703193050282973</v>
      </c>
      <c r="O41" s="698">
        <f t="shared" si="4"/>
        <v>1</v>
      </c>
    </row>
    <row r="42" spans="2:22">
      <c r="G42" s="699">
        <v>2020</v>
      </c>
      <c r="H42" s="682">
        <f>'Private,Public8EndUse'!B80</f>
        <v>0.38858893602433903</v>
      </c>
      <c r="I42" s="683">
        <f>'Private,Public8EndUse'!C80</f>
        <v>0.1099755752667438</v>
      </c>
      <c r="J42" s="684">
        <f>'Private,Public8EndUse'!D80</f>
        <v>5.3584436731370783E-2</v>
      </c>
      <c r="K42" s="685">
        <f>'Private,Public8EndUse'!E80</f>
        <v>7.6059476367999312E-2</v>
      </c>
      <c r="L42" s="686">
        <f>'Private,Public8EndUse'!F80</f>
        <v>8.1822856408278702E-2</v>
      </c>
      <c r="M42" s="687">
        <f>'Private,Public8EndUse'!G80</f>
        <v>0.17555812658010883</v>
      </c>
      <c r="N42" s="688">
        <f>'Private,Public8EndUse'!H80</f>
        <v>0.11441059262115953</v>
      </c>
      <c r="O42" s="689">
        <f t="shared" si="4"/>
        <v>0.99999999999999989</v>
      </c>
    </row>
    <row r="43" spans="2:22">
      <c r="G43" s="26">
        <v>2021</v>
      </c>
      <c r="H43" s="691">
        <f>'Private,Public8EndUse'!B81</f>
        <v>0.39391130306541661</v>
      </c>
      <c r="I43" s="692">
        <f>'Private,Public8EndUse'!C81</f>
        <v>0.10742652480775308</v>
      </c>
      <c r="J43" s="693">
        <f>'Private,Public8EndUse'!D81</f>
        <v>5.3218160750026333E-2</v>
      </c>
      <c r="K43" s="694">
        <f>'Private,Public8EndUse'!E81</f>
        <v>7.5908564205203838E-2</v>
      </c>
      <c r="L43" s="695">
        <f>'Private,Public8EndUse'!F81</f>
        <v>8.1217739386916676E-2</v>
      </c>
      <c r="M43" s="696">
        <f>'Private,Public8EndUse'!G81</f>
        <v>0.1746339407984831</v>
      </c>
      <c r="N43" s="697">
        <f>'Private,Public8EndUse'!H81</f>
        <v>0.11368376698620036</v>
      </c>
      <c r="O43" s="698">
        <f t="shared" si="4"/>
        <v>1</v>
      </c>
    </row>
    <row r="44" spans="2:22">
      <c r="O44" s="24"/>
    </row>
    <row r="45" spans="2:22">
      <c r="G45" t="s">
        <v>527</v>
      </c>
      <c r="V45" t="s">
        <v>528</v>
      </c>
    </row>
    <row r="46" spans="2:22">
      <c r="G46" t="s">
        <v>529</v>
      </c>
      <c r="V46" t="s">
        <v>530</v>
      </c>
    </row>
    <row r="47" spans="2:22">
      <c r="H47" t="s">
        <v>531</v>
      </c>
    </row>
    <row r="48" spans="2:22">
      <c r="H48" t="s">
        <v>532</v>
      </c>
    </row>
    <row r="50" spans="7:26">
      <c r="H50" t="s">
        <v>533</v>
      </c>
    </row>
    <row r="51" spans="7:26">
      <c r="G51" t="s">
        <v>534</v>
      </c>
    </row>
    <row r="52" spans="7:26">
      <c r="G52" s="35" t="s">
        <v>535</v>
      </c>
      <c r="H52" s="36"/>
      <c r="I52" s="36"/>
      <c r="J52" s="36"/>
      <c r="K52" s="36"/>
      <c r="L52" s="36"/>
      <c r="M52" s="36"/>
      <c r="N52" s="36"/>
      <c r="O52" s="37"/>
      <c r="R52" s="20" t="s">
        <v>536</v>
      </c>
      <c r="S52" s="21"/>
      <c r="T52" s="21"/>
      <c r="U52" s="21"/>
      <c r="V52" s="21"/>
      <c r="W52" s="21"/>
      <c r="X52" s="21"/>
      <c r="Y52" s="21"/>
      <c r="Z52" s="22"/>
    </row>
    <row r="53" spans="7:26" ht="24">
      <c r="G53" s="23"/>
      <c r="H53" s="566" t="s">
        <v>510</v>
      </c>
      <c r="I53" s="567" t="s">
        <v>511</v>
      </c>
      <c r="J53" s="568" t="s">
        <v>512</v>
      </c>
      <c r="K53" s="569" t="s">
        <v>513</v>
      </c>
      <c r="L53" s="570" t="s">
        <v>514</v>
      </c>
      <c r="M53" s="565" t="s">
        <v>515</v>
      </c>
      <c r="N53" s="571" t="s">
        <v>516</v>
      </c>
      <c r="O53" s="690" t="s">
        <v>517</v>
      </c>
      <c r="P53" t="s">
        <v>537</v>
      </c>
      <c r="R53" s="23"/>
      <c r="S53" s="566" t="s">
        <v>510</v>
      </c>
      <c r="T53" s="567" t="s">
        <v>511</v>
      </c>
      <c r="U53" s="568" t="s">
        <v>512</v>
      </c>
      <c r="V53" s="569" t="s">
        <v>513</v>
      </c>
      <c r="W53" s="570" t="s">
        <v>514</v>
      </c>
      <c r="X53" s="565" t="s">
        <v>515</v>
      </c>
      <c r="Y53" s="571" t="s">
        <v>516</v>
      </c>
      <c r="Z53" s="690" t="s">
        <v>517</v>
      </c>
    </row>
    <row r="54" spans="7:26">
      <c r="G54" s="23">
        <v>2006</v>
      </c>
      <c r="H54" s="566">
        <f>'Private,Public8EndUse'!B110</f>
        <v>0</v>
      </c>
      <c r="I54" s="567">
        <f>'Private,Public8EndUse'!C110</f>
        <v>0.41423114097666497</v>
      </c>
      <c r="J54" s="568">
        <f>'Private,Public8EndUse'!D110</f>
        <v>0</v>
      </c>
      <c r="K54" s="569">
        <f>'Private,Public8EndUse'!E110</f>
        <v>0</v>
      </c>
      <c r="L54" s="570">
        <f>'Private,Public8EndUse'!F110</f>
        <v>0</v>
      </c>
      <c r="M54" s="565">
        <f>'Private,Public8EndUse'!G110</f>
        <v>0.58236295853086018</v>
      </c>
      <c r="N54" s="571">
        <f>'Private,Public8EndUse'!H110</f>
        <v>3.4059004924748009E-3</v>
      </c>
      <c r="O54" s="690">
        <f>(Residential8EndUse!O8*Energy8Sec!$B7-Residential8EndUse!O28*Energy8Sec!$B27)/(Energy8Sec!$B7-Energy8Sec!$B27)</f>
        <v>1.0000000000000004</v>
      </c>
      <c r="P54" t="s">
        <v>545</v>
      </c>
      <c r="R54" s="23">
        <v>2006</v>
      </c>
      <c r="S54" s="566">
        <f>H54</f>
        <v>0</v>
      </c>
      <c r="T54" s="567">
        <f t="shared" ref="T54:Y54" si="5">I54</f>
        <v>0.41423114097666497</v>
      </c>
      <c r="U54" s="568">
        <f t="shared" si="5"/>
        <v>0</v>
      </c>
      <c r="V54" s="569">
        <f t="shared" si="5"/>
        <v>0</v>
      </c>
      <c r="W54" s="570">
        <f t="shared" si="5"/>
        <v>0</v>
      </c>
      <c r="X54" s="565">
        <f t="shared" si="5"/>
        <v>0.58236295853086018</v>
      </c>
      <c r="Y54" s="571">
        <f t="shared" si="5"/>
        <v>3.4059004924748009E-3</v>
      </c>
      <c r="Z54" s="690">
        <v>1</v>
      </c>
    </row>
    <row r="55" spans="7:26">
      <c r="G55" s="23">
        <v>2007</v>
      </c>
      <c r="H55" s="566">
        <f>'Private,Public8EndUse'!B111</f>
        <v>0</v>
      </c>
      <c r="I55" s="567">
        <f>'Private,Public8EndUse'!C111</f>
        <v>0.40073804185351269</v>
      </c>
      <c r="J55" s="568">
        <f>'Private,Public8EndUse'!D111</f>
        <v>0</v>
      </c>
      <c r="K55" s="569">
        <f>'Private,Public8EndUse'!E111</f>
        <v>0</v>
      </c>
      <c r="L55" s="570">
        <f>'Private,Public8EndUse'!F111</f>
        <v>0</v>
      </c>
      <c r="M55" s="565">
        <f>'Private,Public8EndUse'!G111</f>
        <v>0.59566517189835577</v>
      </c>
      <c r="N55" s="571">
        <f>'Private,Public8EndUse'!H111</f>
        <v>3.5967862481315394E-3</v>
      </c>
      <c r="O55" s="690">
        <f>(Residential8EndUse!O9*Energy8Sec!$B8-Residential8EndUse!O29*Energy8Sec!$B28)/(Energy8Sec!$B8-Energy8Sec!$B28)</f>
        <v>1.0000000000000004</v>
      </c>
      <c r="R55" s="23">
        <v>2007</v>
      </c>
      <c r="S55" s="566">
        <f t="shared" ref="S55:S69" si="6">H55</f>
        <v>0</v>
      </c>
      <c r="T55" s="567">
        <f t="shared" ref="T55:T69" si="7">I55</f>
        <v>0.40073804185351269</v>
      </c>
      <c r="U55" s="568">
        <f t="shared" ref="U55:U69" si="8">J55</f>
        <v>0</v>
      </c>
      <c r="V55" s="569">
        <f t="shared" ref="V55:V69" si="9">K55</f>
        <v>0</v>
      </c>
      <c r="W55" s="570">
        <f t="shared" ref="W55:W69" si="10">L55</f>
        <v>0</v>
      </c>
      <c r="X55" s="565">
        <f t="shared" ref="X55:X69" si="11">M55</f>
        <v>0.59566517189835577</v>
      </c>
      <c r="Y55" s="571">
        <f t="shared" ref="Y55:Y69" si="12">N55</f>
        <v>3.5967862481315394E-3</v>
      </c>
      <c r="Z55" s="690"/>
    </row>
    <row r="56" spans="7:26">
      <c r="G56" s="23">
        <v>2008</v>
      </c>
      <c r="H56" s="566">
        <f>'Private,Public8EndUse'!B112</f>
        <v>0</v>
      </c>
      <c r="I56" s="567">
        <f>'Private,Public8EndUse'!C112</f>
        <v>0.39057193316125527</v>
      </c>
      <c r="J56" s="568">
        <f>'Private,Public8EndUse'!D112</f>
        <v>0</v>
      </c>
      <c r="K56" s="569">
        <f>'Private,Public8EndUse'!E112</f>
        <v>0</v>
      </c>
      <c r="L56" s="570">
        <f>'Private,Public8EndUse'!F112</f>
        <v>0</v>
      </c>
      <c r="M56" s="565">
        <f>'Private,Public8EndUse'!G112</f>
        <v>0.60557895213512658</v>
      </c>
      <c r="N56" s="571">
        <f>'Private,Public8EndUse'!H112</f>
        <v>3.8491147036181679E-3</v>
      </c>
      <c r="O56" s="690">
        <f>(Residential8EndUse!O10*Energy8Sec!$B9-Residential8EndUse!O30*Energy8Sec!$B29)/(Energy8Sec!$B9-Energy8Sec!$B29)</f>
        <v>1</v>
      </c>
      <c r="P56" t="s">
        <v>546</v>
      </c>
      <c r="R56" s="23">
        <v>2008</v>
      </c>
      <c r="S56" s="566">
        <f t="shared" si="6"/>
        <v>0</v>
      </c>
      <c r="T56" s="567">
        <f t="shared" si="7"/>
        <v>0.39057193316125527</v>
      </c>
      <c r="U56" s="568">
        <f t="shared" si="8"/>
        <v>0</v>
      </c>
      <c r="V56" s="569">
        <f t="shared" si="9"/>
        <v>0</v>
      </c>
      <c r="W56" s="570">
        <f t="shared" si="10"/>
        <v>0</v>
      </c>
      <c r="X56" s="565">
        <f t="shared" si="11"/>
        <v>0.60557895213512658</v>
      </c>
      <c r="Y56" s="571">
        <f t="shared" si="12"/>
        <v>3.8491147036181679E-3</v>
      </c>
      <c r="Z56" s="690"/>
    </row>
    <row r="57" spans="7:26">
      <c r="G57" s="23">
        <v>2009</v>
      </c>
      <c r="H57" s="566">
        <f>'Private,Public8EndUse'!B113</f>
        <v>0</v>
      </c>
      <c r="I57" s="567">
        <f>'Private,Public8EndUse'!C113</f>
        <v>0.39928057553956836</v>
      </c>
      <c r="J57" s="568">
        <f>'Private,Public8EndUse'!D113</f>
        <v>0</v>
      </c>
      <c r="K57" s="569">
        <f>'Private,Public8EndUse'!E113</f>
        <v>0</v>
      </c>
      <c r="L57" s="570">
        <f>'Private,Public8EndUse'!F113</f>
        <v>0</v>
      </c>
      <c r="M57" s="565">
        <f>'Private,Public8EndUse'!G113</f>
        <v>0.59757763409525544</v>
      </c>
      <c r="N57" s="571">
        <f>'Private,Public8EndUse'!H113</f>
        <v>3.1417903651762133E-3</v>
      </c>
      <c r="O57" s="690">
        <f>(Residential8EndUse!O11*Energy8Sec!$B10-Residential8EndUse!O31*Energy8Sec!$B30)/(Energy8Sec!$B10-Energy8Sec!$B30)</f>
        <v>1.0000000000000004</v>
      </c>
      <c r="P57" t="s">
        <v>547</v>
      </c>
      <c r="R57" s="23">
        <v>2009</v>
      </c>
      <c r="S57" s="566">
        <f t="shared" si="6"/>
        <v>0</v>
      </c>
      <c r="T57" s="567">
        <f t="shared" si="7"/>
        <v>0.39928057553956836</v>
      </c>
      <c r="U57" s="568">
        <f t="shared" si="8"/>
        <v>0</v>
      </c>
      <c r="V57" s="569">
        <f t="shared" si="9"/>
        <v>0</v>
      </c>
      <c r="W57" s="570">
        <f t="shared" si="10"/>
        <v>0</v>
      </c>
      <c r="X57" s="565">
        <f t="shared" si="11"/>
        <v>0.59757763409525544</v>
      </c>
      <c r="Y57" s="571">
        <f t="shared" si="12"/>
        <v>3.1417903651762133E-3</v>
      </c>
      <c r="Z57" s="690"/>
    </row>
    <row r="58" spans="7:26">
      <c r="G58" s="23">
        <v>2010</v>
      </c>
      <c r="H58" s="691">
        <f>'Private,Public8EndUse'!B114</f>
        <v>0</v>
      </c>
      <c r="I58" s="692">
        <f>'Private,Public8EndUse'!C114</f>
        <v>0.4022809188229598</v>
      </c>
      <c r="J58" s="693">
        <f>'Private,Public8EndUse'!D114</f>
        <v>0</v>
      </c>
      <c r="K58" s="694">
        <f>'Private,Public8EndUse'!E114</f>
        <v>0</v>
      </c>
      <c r="L58" s="695">
        <f>'Private,Public8EndUse'!F114</f>
        <v>0</v>
      </c>
      <c r="M58" s="696">
        <f>'Private,Public8EndUse'!G114</f>
        <v>0.5954058852009253</v>
      </c>
      <c r="N58" s="697">
        <f>'Private,Public8EndUse'!H114</f>
        <v>2.3131959761149069E-3</v>
      </c>
      <c r="O58" s="698">
        <f>(Residential8EndUse!O12*Energy8Sec!$B11-Residential8EndUse!O32*Energy8Sec!$B31)/(Energy8Sec!$B11-Energy8Sec!$B31)</f>
        <v>1.0000000000000011</v>
      </c>
      <c r="R58" s="23">
        <v>2010</v>
      </c>
      <c r="S58" s="566">
        <f t="shared" si="6"/>
        <v>0</v>
      </c>
      <c r="T58" s="567">
        <f t="shared" si="7"/>
        <v>0.4022809188229598</v>
      </c>
      <c r="U58" s="568">
        <f t="shared" si="8"/>
        <v>0</v>
      </c>
      <c r="V58" s="569">
        <f t="shared" si="9"/>
        <v>0</v>
      </c>
      <c r="W58" s="570">
        <f t="shared" si="10"/>
        <v>0</v>
      </c>
      <c r="X58" s="565">
        <f t="shared" si="11"/>
        <v>0.5954058852009253</v>
      </c>
      <c r="Y58" s="571">
        <f t="shared" si="12"/>
        <v>2.3131959761149069E-3</v>
      </c>
      <c r="Z58" s="698"/>
    </row>
    <row r="59" spans="7:26">
      <c r="G59" s="23">
        <v>2011</v>
      </c>
      <c r="H59" s="691">
        <f>'Private,Public8EndUse'!B115</f>
        <v>0</v>
      </c>
      <c r="I59" s="692">
        <f>'Private,Public8EndUse'!C115</f>
        <v>0.40133796881584494</v>
      </c>
      <c r="J59" s="693">
        <f>'Private,Public8EndUse'!D115</f>
        <v>0</v>
      </c>
      <c r="K59" s="694">
        <f>'Private,Public8EndUse'!E115</f>
        <v>0</v>
      </c>
      <c r="L59" s="695">
        <f>'Private,Public8EndUse'!F115</f>
        <v>0</v>
      </c>
      <c r="M59" s="696">
        <f>'Private,Public8EndUse'!G115</f>
        <v>0.59671302149178251</v>
      </c>
      <c r="N59" s="697">
        <f>'Private,Public8EndUse'!H115</f>
        <v>1.9490096923725241E-3</v>
      </c>
      <c r="O59" s="698">
        <f>(Residential8EndUse!O13*Energy8Sec!$B12-Residential8EndUse!O33*Energy8Sec!$B32)/(Energy8Sec!$B12-Energy8Sec!$B32)</f>
        <v>1</v>
      </c>
      <c r="R59" s="23">
        <v>2011</v>
      </c>
      <c r="S59" s="566">
        <f t="shared" si="6"/>
        <v>0</v>
      </c>
      <c r="T59" s="567">
        <f t="shared" si="7"/>
        <v>0.40133796881584494</v>
      </c>
      <c r="U59" s="568">
        <f t="shared" si="8"/>
        <v>0</v>
      </c>
      <c r="V59" s="569">
        <f t="shared" si="9"/>
        <v>0</v>
      </c>
      <c r="W59" s="570">
        <f t="shared" si="10"/>
        <v>0</v>
      </c>
      <c r="X59" s="565">
        <f t="shared" si="11"/>
        <v>0.59671302149178251</v>
      </c>
      <c r="Y59" s="571">
        <f t="shared" si="12"/>
        <v>1.9490096923725241E-3</v>
      </c>
      <c r="Z59" s="698"/>
    </row>
    <row r="60" spans="7:26">
      <c r="G60" s="23">
        <v>2012</v>
      </c>
      <c r="H60" s="691">
        <f>'Private,Public8EndUse'!B116</f>
        <v>0</v>
      </c>
      <c r="I60" s="692">
        <f>'Private,Public8EndUse'!C116</f>
        <v>0.41240449915110355</v>
      </c>
      <c r="J60" s="693">
        <f>'Private,Public8EndUse'!D116</f>
        <v>0</v>
      </c>
      <c r="K60" s="694">
        <f>'Private,Public8EndUse'!E116</f>
        <v>0</v>
      </c>
      <c r="L60" s="695">
        <f>'Private,Public8EndUse'!F116</f>
        <v>0</v>
      </c>
      <c r="M60" s="696">
        <f>'Private,Public8EndUse'!G116</f>
        <v>0.58595076400679114</v>
      </c>
      <c r="N60" s="697">
        <f>'Private,Public8EndUse'!H116</f>
        <v>1.6447368421052631E-3</v>
      </c>
      <c r="O60" s="698">
        <f>(Residential8EndUse!O14*Energy8Sec!$B13-Residential8EndUse!O34*Energy8Sec!$B33)/(Energy8Sec!$B13-Energy8Sec!$B33)</f>
        <v>1</v>
      </c>
      <c r="R60" s="23">
        <v>2012</v>
      </c>
      <c r="S60" s="566">
        <f t="shared" si="6"/>
        <v>0</v>
      </c>
      <c r="T60" s="567">
        <f t="shared" si="7"/>
        <v>0.41240449915110355</v>
      </c>
      <c r="U60" s="568">
        <f t="shared" si="8"/>
        <v>0</v>
      </c>
      <c r="V60" s="569">
        <f t="shared" si="9"/>
        <v>0</v>
      </c>
      <c r="W60" s="570">
        <f t="shared" si="10"/>
        <v>0</v>
      </c>
      <c r="X60" s="565">
        <f t="shared" si="11"/>
        <v>0.58595076400679114</v>
      </c>
      <c r="Y60" s="571">
        <f t="shared" si="12"/>
        <v>1.6447368421052631E-3</v>
      </c>
      <c r="Z60" s="698">
        <v>1</v>
      </c>
    </row>
    <row r="61" spans="7:26">
      <c r="G61" s="23">
        <v>2013</v>
      </c>
      <c r="H61" s="691">
        <f>'Private,Public8EndUse'!B117</f>
        <v>0</v>
      </c>
      <c r="I61" s="692">
        <f>'Private,Public8EndUse'!C117</f>
        <v>0.43281660676929679</v>
      </c>
      <c r="J61" s="693">
        <f>'Private,Public8EndUse'!D117</f>
        <v>0</v>
      </c>
      <c r="K61" s="694">
        <f>'Private,Public8EndUse'!E117</f>
        <v>0</v>
      </c>
      <c r="L61" s="695">
        <f>'Private,Public8EndUse'!F117</f>
        <v>0</v>
      </c>
      <c r="M61" s="696">
        <f>'Private,Public8EndUse'!G117</f>
        <v>0.56535965241645658</v>
      </c>
      <c r="N61" s="697">
        <f>'Private,Public8EndUse'!H117</f>
        <v>1.8237408142466342E-3</v>
      </c>
      <c r="O61" s="698">
        <f>(Residential8EndUse!O15*Energy8Sec!$B14-Residential8EndUse!O35*Energy8Sec!$B34)/(Energy8Sec!$B14-Energy8Sec!$B34)</f>
        <v>0.99999999999999956</v>
      </c>
      <c r="R61" s="23">
        <v>2013</v>
      </c>
      <c r="S61" s="566">
        <f t="shared" si="6"/>
        <v>0</v>
      </c>
      <c r="T61" s="567">
        <f t="shared" si="7"/>
        <v>0.43281660676929679</v>
      </c>
      <c r="U61" s="568">
        <f t="shared" si="8"/>
        <v>0</v>
      </c>
      <c r="V61" s="569">
        <f t="shared" si="9"/>
        <v>0</v>
      </c>
      <c r="W61" s="570">
        <f t="shared" si="10"/>
        <v>0</v>
      </c>
      <c r="X61" s="565">
        <f t="shared" si="11"/>
        <v>0.56535965241645658</v>
      </c>
      <c r="Y61" s="571">
        <f t="shared" si="12"/>
        <v>1.8237408142466342E-3</v>
      </c>
      <c r="Z61" s="698">
        <v>1</v>
      </c>
    </row>
    <row r="62" spans="7:26">
      <c r="G62" s="23">
        <v>2014</v>
      </c>
      <c r="H62" s="691">
        <f>'Private,Public8EndUse'!B118</f>
        <v>0</v>
      </c>
      <c r="I62" s="692">
        <f>'Private,Public8EndUse'!C118</f>
        <v>0.45531892123287671</v>
      </c>
      <c r="J62" s="693">
        <f>'Private,Public8EndUse'!D118</f>
        <v>0</v>
      </c>
      <c r="K62" s="694">
        <f>'Private,Public8EndUse'!E118</f>
        <v>0</v>
      </c>
      <c r="L62" s="695">
        <f>'Private,Public8EndUse'!F118</f>
        <v>0</v>
      </c>
      <c r="M62" s="696">
        <f>'Private,Public8EndUse'!G118</f>
        <v>0.54259417808219179</v>
      </c>
      <c r="N62" s="697">
        <f>'Private,Public8EndUse'!H118</f>
        <v>2.086900684931507E-3</v>
      </c>
      <c r="O62" s="698">
        <f>(Residential8EndUse!O16*Energy8Sec!$B15-Residential8EndUse!O36*Energy8Sec!$B35)/(Energy8Sec!$B15-Energy8Sec!$B35)</f>
        <v>1</v>
      </c>
      <c r="R62" s="23">
        <v>2014</v>
      </c>
      <c r="S62" s="566">
        <f t="shared" si="6"/>
        <v>0</v>
      </c>
      <c r="T62" s="567">
        <f t="shared" si="7"/>
        <v>0.45531892123287671</v>
      </c>
      <c r="U62" s="568">
        <f t="shared" si="8"/>
        <v>0</v>
      </c>
      <c r="V62" s="569">
        <f t="shared" si="9"/>
        <v>0</v>
      </c>
      <c r="W62" s="570">
        <f t="shared" si="10"/>
        <v>0</v>
      </c>
      <c r="X62" s="565">
        <f t="shared" si="11"/>
        <v>0.54259417808219179</v>
      </c>
      <c r="Y62" s="571">
        <f t="shared" si="12"/>
        <v>2.086900684931507E-3</v>
      </c>
      <c r="Z62" s="698">
        <v>1</v>
      </c>
    </row>
    <row r="63" spans="7:26">
      <c r="G63" s="23">
        <v>2015</v>
      </c>
      <c r="H63" s="691">
        <f>'Private,Public8EndUse'!B119</f>
        <v>0</v>
      </c>
      <c r="I63" s="692">
        <f>'Private,Public8EndUse'!C119</f>
        <v>0.47706523543407292</v>
      </c>
      <c r="J63" s="693">
        <f>'Private,Public8EndUse'!D119</f>
        <v>0</v>
      </c>
      <c r="K63" s="694">
        <f>'Private,Public8EndUse'!E119</f>
        <v>0</v>
      </c>
      <c r="L63" s="695">
        <f>'Private,Public8EndUse'!F119</f>
        <v>0</v>
      </c>
      <c r="M63" s="696">
        <f>'Private,Public8EndUse'!G119</f>
        <v>0.52050019365904943</v>
      </c>
      <c r="N63" s="697">
        <f>'Private,Public8EndUse'!H119</f>
        <v>2.4345709068776629E-3</v>
      </c>
      <c r="O63" s="698">
        <f>(Residential8EndUse!O17*Energy8Sec!$B16-Residential8EndUse!O37*Energy8Sec!$B36)/(Energy8Sec!$B16-Energy8Sec!$B36)</f>
        <v>0.99999999999999956</v>
      </c>
      <c r="R63" s="23">
        <v>2015</v>
      </c>
      <c r="S63" s="566">
        <f t="shared" si="6"/>
        <v>0</v>
      </c>
      <c r="T63" s="567">
        <f t="shared" si="7"/>
        <v>0.47706523543407292</v>
      </c>
      <c r="U63" s="568">
        <f t="shared" si="8"/>
        <v>0</v>
      </c>
      <c r="V63" s="569">
        <f t="shared" si="9"/>
        <v>0</v>
      </c>
      <c r="W63" s="570">
        <f t="shared" si="10"/>
        <v>0</v>
      </c>
      <c r="X63" s="565">
        <f t="shared" si="11"/>
        <v>0.52050019365904943</v>
      </c>
      <c r="Y63" s="571">
        <f t="shared" si="12"/>
        <v>2.4345709068776629E-3</v>
      </c>
      <c r="Z63" s="698">
        <v>1</v>
      </c>
    </row>
    <row r="64" spans="7:26">
      <c r="G64" s="23">
        <v>2016</v>
      </c>
      <c r="H64" s="691">
        <f>'Private,Public8EndUse'!B120</f>
        <v>0</v>
      </c>
      <c r="I64" s="692">
        <f>'Private,Public8EndUse'!C120</f>
        <v>0.49806284976323717</v>
      </c>
      <c r="J64" s="693">
        <f>'Private,Public8EndUse'!D120</f>
        <v>0</v>
      </c>
      <c r="K64" s="694">
        <f>'Private,Public8EndUse'!E120</f>
        <v>0</v>
      </c>
      <c r="L64" s="695">
        <f>'Private,Public8EndUse'!F120</f>
        <v>0</v>
      </c>
      <c r="M64" s="696">
        <f>'Private,Public8EndUse'!G120</f>
        <v>0.49897761515281963</v>
      </c>
      <c r="N64" s="697">
        <f>'Private,Public8EndUse'!H120</f>
        <v>2.9595350839431767E-3</v>
      </c>
      <c r="O64" s="698">
        <f>(Residential8EndUse!O18*Energy8Sec!$B17-Residential8EndUse!O38*Energy8Sec!$B37)/(Energy8Sec!$B17-Energy8Sec!$B37)</f>
        <v>1</v>
      </c>
      <c r="R64" s="23">
        <v>2016</v>
      </c>
      <c r="S64" s="566">
        <f t="shared" si="6"/>
        <v>0</v>
      </c>
      <c r="T64" s="567">
        <f t="shared" si="7"/>
        <v>0.49806284976323717</v>
      </c>
      <c r="U64" s="568">
        <f t="shared" si="8"/>
        <v>0</v>
      </c>
      <c r="V64" s="569">
        <f t="shared" si="9"/>
        <v>0</v>
      </c>
      <c r="W64" s="570">
        <f t="shared" si="10"/>
        <v>0</v>
      </c>
      <c r="X64" s="565">
        <f t="shared" si="11"/>
        <v>0.49897761515281963</v>
      </c>
      <c r="Y64" s="571">
        <f t="shared" si="12"/>
        <v>2.9595350839431767E-3</v>
      </c>
      <c r="Z64" s="698">
        <v>1</v>
      </c>
    </row>
    <row r="65" spans="7:26">
      <c r="G65" s="23">
        <v>2017</v>
      </c>
      <c r="H65" s="691">
        <f>'Private,Public8EndUse'!B121</f>
        <v>0</v>
      </c>
      <c r="I65" s="692">
        <f>'Private,Public8EndUse'!C121</f>
        <v>0.51869209809264305</v>
      </c>
      <c r="J65" s="693">
        <f>'Private,Public8EndUse'!D121</f>
        <v>0</v>
      </c>
      <c r="K65" s="694">
        <f>'Private,Public8EndUse'!E121</f>
        <v>0</v>
      </c>
      <c r="L65" s="695">
        <f>'Private,Public8EndUse'!F121</f>
        <v>0</v>
      </c>
      <c r="M65" s="696">
        <f>'Private,Public8EndUse'!G121</f>
        <v>0.47722070844686648</v>
      </c>
      <c r="N65" s="697">
        <f>'Private,Public8EndUse'!H121</f>
        <v>4.0871934604904629E-3</v>
      </c>
      <c r="O65" s="698">
        <f>(Residential8EndUse!O19*Energy8Sec!$B18-Residential8EndUse!O39*Energy8Sec!$B38)/(Energy8Sec!$B18-Energy8Sec!$B38)</f>
        <v>0.99999999999999956</v>
      </c>
      <c r="R65" s="23">
        <v>2017</v>
      </c>
      <c r="S65" s="566">
        <f t="shared" si="6"/>
        <v>0</v>
      </c>
      <c r="T65" s="567">
        <f t="shared" si="7"/>
        <v>0.51869209809264305</v>
      </c>
      <c r="U65" s="568">
        <f t="shared" si="8"/>
        <v>0</v>
      </c>
      <c r="V65" s="569">
        <f t="shared" si="9"/>
        <v>0</v>
      </c>
      <c r="W65" s="570">
        <f t="shared" si="10"/>
        <v>0</v>
      </c>
      <c r="X65" s="565">
        <f t="shared" si="11"/>
        <v>0.47722070844686648</v>
      </c>
      <c r="Y65" s="571">
        <f t="shared" si="12"/>
        <v>4.0871934604904629E-3</v>
      </c>
      <c r="Z65" s="698"/>
    </row>
    <row r="66" spans="7:26">
      <c r="G66" s="23">
        <v>2018</v>
      </c>
      <c r="H66" s="691">
        <f>'Private,Public8EndUse'!B122</f>
        <v>0</v>
      </c>
      <c r="I66" s="692">
        <f>'Private,Public8EndUse'!C122</f>
        <v>0.50283264431174401</v>
      </c>
      <c r="J66" s="693">
        <f>'Private,Public8EndUse'!D122</f>
        <v>0</v>
      </c>
      <c r="K66" s="694">
        <f>'Private,Public8EndUse'!E122</f>
        <v>0</v>
      </c>
      <c r="L66" s="695">
        <f>'Private,Public8EndUse'!F122</f>
        <v>0</v>
      </c>
      <c r="M66" s="696">
        <f>'Private,Public8EndUse'!G122</f>
        <v>0.49328841933343542</v>
      </c>
      <c r="N66" s="697">
        <f>'Private,Public8EndUse'!H122</f>
        <v>3.878936354820599E-3</v>
      </c>
      <c r="O66" s="698">
        <f>(Residential8EndUse!O20*Energy8Sec!$B19-Residential8EndUse!O40*Energy8Sec!$B39)/(Energy8Sec!$B19-Energy8Sec!$B39)</f>
        <v>1</v>
      </c>
      <c r="R66" s="23">
        <v>2018</v>
      </c>
      <c r="S66" s="566">
        <f t="shared" si="6"/>
        <v>0</v>
      </c>
      <c r="T66" s="567">
        <f t="shared" si="7"/>
        <v>0.50283264431174401</v>
      </c>
      <c r="U66" s="568">
        <f t="shared" si="8"/>
        <v>0</v>
      </c>
      <c r="V66" s="569">
        <f t="shared" si="9"/>
        <v>0</v>
      </c>
      <c r="W66" s="570">
        <f t="shared" si="10"/>
        <v>0</v>
      </c>
      <c r="X66" s="565">
        <f t="shared" si="11"/>
        <v>0.49328841933343542</v>
      </c>
      <c r="Y66" s="571">
        <f t="shared" si="12"/>
        <v>3.878936354820599E-3</v>
      </c>
      <c r="Z66" s="698"/>
    </row>
    <row r="67" spans="7:26">
      <c r="G67" s="23">
        <v>2019</v>
      </c>
      <c r="H67" s="691">
        <f>'Private,Public8EndUse'!B123</f>
        <v>0</v>
      </c>
      <c r="I67" s="692">
        <f>'Private,Public8EndUse'!C123</f>
        <v>0.51741871267418715</v>
      </c>
      <c r="J67" s="693">
        <f>'Private,Public8EndUse'!D123</f>
        <v>0</v>
      </c>
      <c r="K67" s="694">
        <f>'Private,Public8EndUse'!E123</f>
        <v>0</v>
      </c>
      <c r="L67" s="695">
        <f>'Private,Public8EndUse'!F123</f>
        <v>0</v>
      </c>
      <c r="M67" s="696">
        <f>'Private,Public8EndUse'!G123</f>
        <v>0.47848927228489274</v>
      </c>
      <c r="N67" s="697">
        <f>'Private,Public8EndUse'!H123</f>
        <v>4.0920150409201501E-3</v>
      </c>
      <c r="O67" s="698">
        <f>(Residential8EndUse!O21*Energy8Sec!$B20-Residential8EndUse!O41*Energy8Sec!$B40)/(Energy8Sec!$B20-Energy8Sec!$B40)</f>
        <v>0.99999999999999956</v>
      </c>
      <c r="R67" s="23">
        <v>2019</v>
      </c>
      <c r="S67" s="566">
        <f t="shared" si="6"/>
        <v>0</v>
      </c>
      <c r="T67" s="567">
        <f t="shared" si="7"/>
        <v>0.51741871267418715</v>
      </c>
      <c r="U67" s="568">
        <f t="shared" si="8"/>
        <v>0</v>
      </c>
      <c r="V67" s="569">
        <f t="shared" si="9"/>
        <v>0</v>
      </c>
      <c r="W67" s="570">
        <f t="shared" si="10"/>
        <v>0</v>
      </c>
      <c r="X67" s="565">
        <f t="shared" si="11"/>
        <v>0.47848927228489274</v>
      </c>
      <c r="Y67" s="571">
        <f t="shared" si="12"/>
        <v>4.0920150409201501E-3</v>
      </c>
      <c r="Z67" s="698"/>
    </row>
    <row r="68" spans="7:26">
      <c r="G68" s="26">
        <v>2020</v>
      </c>
      <c r="H68" s="691">
        <f>'Private,Public8EndUse'!B124</f>
        <v>0</v>
      </c>
      <c r="I68" s="692">
        <f>'Private,Public8EndUse'!C124</f>
        <v>0.5226466713952781</v>
      </c>
      <c r="J68" s="693">
        <f>'Private,Public8EndUse'!D124</f>
        <v>0</v>
      </c>
      <c r="K68" s="694">
        <f>'Private,Public8EndUse'!E124</f>
        <v>0</v>
      </c>
      <c r="L68" s="695">
        <f>'Private,Public8EndUse'!F124</f>
        <v>0</v>
      </c>
      <c r="M68" s="696">
        <f>'Private,Public8EndUse'!G124</f>
        <v>0.47324956935859763</v>
      </c>
      <c r="N68" s="697">
        <f>'Private,Public8EndUse'!H124</f>
        <v>4.1037592461242271E-3</v>
      </c>
      <c r="O68" s="698">
        <f>(Residential8EndUse!O22*Energy8Sec!$B21-Residential8EndUse!O42*Energy8Sec!$B41)/(Energy8Sec!$B21-Energy8Sec!$B41)</f>
        <v>1.0000000000000004</v>
      </c>
      <c r="R68" s="23">
        <v>2020</v>
      </c>
      <c r="S68" s="566">
        <f t="shared" si="6"/>
        <v>0</v>
      </c>
      <c r="T68" s="567">
        <f t="shared" si="7"/>
        <v>0.5226466713952781</v>
      </c>
      <c r="U68" s="568">
        <f t="shared" si="8"/>
        <v>0</v>
      </c>
      <c r="V68" s="569">
        <f t="shared" si="9"/>
        <v>0</v>
      </c>
      <c r="W68" s="570">
        <f t="shared" si="10"/>
        <v>0</v>
      </c>
      <c r="X68" s="565">
        <f t="shared" si="11"/>
        <v>0.47324956935859763</v>
      </c>
      <c r="Y68" s="571">
        <f t="shared" si="12"/>
        <v>4.1037592461242271E-3</v>
      </c>
      <c r="Z68" s="698"/>
    </row>
    <row r="69" spans="7:26">
      <c r="G69" s="699">
        <v>2021</v>
      </c>
      <c r="H69" s="691">
        <f>'Private,Public8EndUse'!B125</f>
        <v>0</v>
      </c>
      <c r="I69" s="692">
        <f>'Private,Public8EndUse'!C125</f>
        <v>0.51796655935195768</v>
      </c>
      <c r="J69" s="693">
        <f>'Private,Public8EndUse'!D125</f>
        <v>0</v>
      </c>
      <c r="K69" s="694">
        <f>'Private,Public8EndUse'!E125</f>
        <v>0</v>
      </c>
      <c r="L69" s="695">
        <f>'Private,Public8EndUse'!F125</f>
        <v>0</v>
      </c>
      <c r="M69" s="696">
        <f>'Private,Public8EndUse'!G125</f>
        <v>0.47793124935091907</v>
      </c>
      <c r="N69" s="697">
        <f>'Private,Public8EndUse'!H125</f>
        <v>4.1021912971232737E-3</v>
      </c>
      <c r="O69" s="698">
        <f>(Residential8EndUse!O23*Energy8Sec!$B22-Residential8EndUse!O43*Energy8Sec!$B42)/(Energy8Sec!$B22-Energy8Sec!$B42)</f>
        <v>0.99999999999999922</v>
      </c>
      <c r="R69" s="23">
        <v>2021</v>
      </c>
      <c r="S69" s="566">
        <f t="shared" si="6"/>
        <v>0</v>
      </c>
      <c r="T69" s="567">
        <f t="shared" si="7"/>
        <v>0.51796655935195768</v>
      </c>
      <c r="U69" s="568">
        <f t="shared" si="8"/>
        <v>0</v>
      </c>
      <c r="V69" s="569">
        <f t="shared" si="9"/>
        <v>0</v>
      </c>
      <c r="W69" s="570">
        <f t="shared" si="10"/>
        <v>0</v>
      </c>
      <c r="X69" s="565">
        <f t="shared" si="11"/>
        <v>0.47793124935091907</v>
      </c>
      <c r="Y69" s="571">
        <f t="shared" si="12"/>
        <v>4.1021912971232737E-3</v>
      </c>
      <c r="Z69" s="698"/>
    </row>
    <row r="71" spans="7:26" s="52" customFormat="1"/>
  </sheetData>
  <phoneticPr fontId="3" type="noConversion"/>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79998168889431442"/>
  </sheetPr>
  <dimension ref="A1:Y74"/>
  <sheetViews>
    <sheetView zoomScale="111" zoomScaleNormal="136" workbookViewId="0">
      <selection activeCell="H34" sqref="H34"/>
    </sheetView>
  </sheetViews>
  <sheetFormatPr baseColWidth="10" defaultColWidth="8.796875" defaultRowHeight="14"/>
  <cols>
    <col min="6" max="6" width="16.3984375" customWidth="1"/>
    <col min="8" max="8" width="14.3984375" bestFit="1" customWidth="1"/>
    <col min="9" max="9" width="26.59765625" bestFit="1" customWidth="1"/>
    <col min="10" max="10" width="9.3984375" bestFit="1" customWidth="1"/>
    <col min="11" max="11" width="17.796875" bestFit="1" customWidth="1"/>
    <col min="12" max="12" width="9.59765625" bestFit="1" customWidth="1"/>
    <col min="13" max="13" width="7.796875" bestFit="1" customWidth="1"/>
    <col min="17" max="17" width="14.796875" customWidth="1"/>
    <col min="20" max="20" width="8.796875" customWidth="1"/>
    <col min="24" max="24" width="9.19921875" customWidth="1"/>
  </cols>
  <sheetData>
    <row r="1" spans="1:17" ht="29.5" customHeight="1">
      <c r="A1" s="100" t="s">
        <v>586</v>
      </c>
    </row>
    <row r="2" spans="1:17">
      <c r="A2" t="s">
        <v>493</v>
      </c>
      <c r="B2" t="s">
        <v>587</v>
      </c>
      <c r="G2" t="s">
        <v>588</v>
      </c>
    </row>
    <row r="3" spans="1:17">
      <c r="B3" s="20"/>
      <c r="C3" s="21"/>
      <c r="D3" s="21"/>
      <c r="E3" s="22"/>
      <c r="G3" s="20"/>
      <c r="H3" s="21"/>
      <c r="I3" s="21"/>
      <c r="J3" s="21"/>
      <c r="K3" s="21"/>
      <c r="L3" s="21"/>
      <c r="M3" s="21"/>
      <c r="N3" s="22"/>
    </row>
    <row r="4" spans="1:17">
      <c r="B4" s="23" t="s">
        <v>509</v>
      </c>
      <c r="E4" s="24"/>
      <c r="G4" s="23" t="s">
        <v>509</v>
      </c>
      <c r="N4" s="24"/>
    </row>
    <row r="5" spans="1:17">
      <c r="B5" s="23"/>
      <c r="D5">
        <v>2021</v>
      </c>
      <c r="E5">
        <v>2016</v>
      </c>
      <c r="G5" s="23"/>
      <c r="H5" t="s">
        <v>510</v>
      </c>
      <c r="I5" t="s">
        <v>589</v>
      </c>
      <c r="J5" t="s">
        <v>512</v>
      </c>
      <c r="K5" t="s">
        <v>514</v>
      </c>
      <c r="L5" t="s">
        <v>515</v>
      </c>
      <c r="M5" t="s">
        <v>516</v>
      </c>
      <c r="N5" s="24" t="s">
        <v>517</v>
      </c>
      <c r="O5" t="s">
        <v>590</v>
      </c>
    </row>
    <row r="6" spans="1:17">
      <c r="B6" s="23"/>
      <c r="G6" s="23">
        <v>2005</v>
      </c>
      <c r="H6" s="17">
        <v>0.28000000000000003</v>
      </c>
      <c r="I6" s="17">
        <v>0.28000000000000003</v>
      </c>
      <c r="J6" s="17">
        <v>0.28000000000000003</v>
      </c>
      <c r="K6" s="17">
        <v>0.28000000000000003</v>
      </c>
      <c r="L6" s="17">
        <v>0.28000000000000003</v>
      </c>
      <c r="M6" s="17">
        <v>0.28000000000000003</v>
      </c>
      <c r="N6" s="25">
        <f t="shared" ref="N6:N11" si="0">SUM(H6:M6)</f>
        <v>1.6800000000000002</v>
      </c>
    </row>
    <row r="7" spans="1:17">
      <c r="B7" s="23" t="s">
        <v>518</v>
      </c>
      <c r="C7" t="s">
        <v>510</v>
      </c>
      <c r="D7" s="17">
        <v>0.25</v>
      </c>
      <c r="E7" s="17">
        <v>0.24</v>
      </c>
      <c r="G7" s="23">
        <v>2006</v>
      </c>
      <c r="H7" s="17">
        <f>'Private,Public8EndUse'!G26</f>
        <v>0.26761631549444387</v>
      </c>
      <c r="I7" s="17">
        <v>0.08</v>
      </c>
      <c r="J7" s="17">
        <v>0.15</v>
      </c>
      <c r="K7" s="17">
        <v>0.05</v>
      </c>
      <c r="L7" s="17">
        <v>0.15</v>
      </c>
      <c r="M7" s="17">
        <v>0.3</v>
      </c>
      <c r="N7" s="25">
        <f t="shared" si="0"/>
        <v>0.99761631549444396</v>
      </c>
    </row>
    <row r="8" spans="1:17">
      <c r="B8" s="23" t="s">
        <v>591</v>
      </c>
      <c r="C8" t="s">
        <v>589</v>
      </c>
      <c r="D8" s="17">
        <v>0.09</v>
      </c>
      <c r="E8" s="17">
        <v>0.12</v>
      </c>
      <c r="G8" s="23">
        <v>2007</v>
      </c>
      <c r="H8" s="17">
        <v>0.27</v>
      </c>
      <c r="I8" s="17">
        <v>0.06</v>
      </c>
      <c r="J8" s="17">
        <v>0.15</v>
      </c>
      <c r="K8" s="17">
        <v>0.04</v>
      </c>
      <c r="L8" s="17">
        <v>0.11</v>
      </c>
      <c r="M8" s="17">
        <v>0.37</v>
      </c>
      <c r="N8" s="25">
        <f t="shared" si="0"/>
        <v>1</v>
      </c>
    </row>
    <row r="9" spans="1:17">
      <c r="B9" s="23" t="s">
        <v>520</v>
      </c>
      <c r="C9" t="s">
        <v>512</v>
      </c>
      <c r="D9" s="17">
        <v>0.11</v>
      </c>
      <c r="E9" s="17">
        <v>0.12</v>
      </c>
      <c r="G9" s="23">
        <v>2008</v>
      </c>
      <c r="H9" s="17">
        <v>0.24</v>
      </c>
      <c r="I9" s="17">
        <v>0.1</v>
      </c>
      <c r="J9" s="17">
        <v>0.1</v>
      </c>
      <c r="K9" s="17">
        <v>0.05</v>
      </c>
      <c r="L9" s="17">
        <v>0.13</v>
      </c>
      <c r="M9" s="17">
        <v>0.38</v>
      </c>
      <c r="N9" s="25">
        <f t="shared" si="0"/>
        <v>0.99999999999999989</v>
      </c>
    </row>
    <row r="10" spans="1:17">
      <c r="B10" s="23" t="s">
        <v>522</v>
      </c>
      <c r="C10" t="s">
        <v>514</v>
      </c>
      <c r="D10" s="17">
        <v>0.05</v>
      </c>
      <c r="E10" s="17">
        <v>0.05</v>
      </c>
      <c r="G10" s="23">
        <v>2009</v>
      </c>
      <c r="H10" s="17">
        <v>0.24</v>
      </c>
      <c r="I10" s="17">
        <v>0.1</v>
      </c>
      <c r="J10" s="17">
        <v>0.1</v>
      </c>
      <c r="K10" s="17">
        <v>0.05</v>
      </c>
      <c r="L10" s="17">
        <v>0.13</v>
      </c>
      <c r="M10" s="17">
        <v>0.38</v>
      </c>
      <c r="N10" s="25">
        <f t="shared" si="0"/>
        <v>0.99999999999999989</v>
      </c>
    </row>
    <row r="11" spans="1:17">
      <c r="B11" s="23" t="s">
        <v>523</v>
      </c>
      <c r="C11" t="s">
        <v>515</v>
      </c>
      <c r="D11" s="17">
        <v>0.11</v>
      </c>
      <c r="E11" s="17">
        <v>0.14000000000000001</v>
      </c>
      <c r="G11" s="23">
        <v>2010</v>
      </c>
      <c r="H11" s="17">
        <v>0.25</v>
      </c>
      <c r="I11" s="17">
        <v>0.1</v>
      </c>
      <c r="J11" s="17">
        <v>0.12</v>
      </c>
      <c r="K11" s="17">
        <v>0.05</v>
      </c>
      <c r="L11" s="17">
        <v>0.13</v>
      </c>
      <c r="M11" s="17">
        <v>0.35</v>
      </c>
      <c r="N11" s="25">
        <f t="shared" si="0"/>
        <v>1</v>
      </c>
      <c r="Q11" t="s">
        <v>592</v>
      </c>
    </row>
    <row r="12" spans="1:17">
      <c r="B12" s="23" t="s">
        <v>524</v>
      </c>
      <c r="C12" t="s">
        <v>516</v>
      </c>
      <c r="D12" s="17">
        <v>0.32</v>
      </c>
      <c r="E12" s="17">
        <v>0.33</v>
      </c>
      <c r="G12" s="23">
        <v>2011</v>
      </c>
      <c r="H12" s="17">
        <f>Commerical_EndUSE!B17</f>
        <v>0.24622452849705204</v>
      </c>
      <c r="I12" s="17">
        <f>Commerical_EndUSE!C17</f>
        <v>6.1691893942005999E-2</v>
      </c>
      <c r="J12" s="17">
        <f>Commerical_EndUSE!D17</f>
        <v>0.11631555356342448</v>
      </c>
      <c r="K12" s="17">
        <f>Commerical_EndUSE!E17</f>
        <v>3.4298176050753373E-2</v>
      </c>
      <c r="L12" s="17">
        <f>Commerical_EndUSE!F17</f>
        <v>0.1115574250939558</v>
      </c>
      <c r="M12" s="17">
        <f>Commerical_EndUSE!H17+Commerical_EndUSE!G17</f>
        <v>0.42991242285280834</v>
      </c>
      <c r="N12" s="25">
        <f t="shared" ref="N12:N13" si="1">SUM(H12:M12)</f>
        <v>1</v>
      </c>
      <c r="Q12">
        <v>116013</v>
      </c>
    </row>
    <row r="13" spans="1:17">
      <c r="B13" s="23" t="s">
        <v>517</v>
      </c>
      <c r="D13" s="17"/>
      <c r="E13" s="17">
        <f>SUM(E7:E12)</f>
        <v>1</v>
      </c>
      <c r="G13" s="23">
        <v>2012</v>
      </c>
      <c r="H13" s="17">
        <f>Commerical_EndUSE!B18</f>
        <v>0.24324986689878392</v>
      </c>
      <c r="I13" s="17">
        <f>Commerical_EndUSE!C18</f>
        <v>6.276461789387397E-2</v>
      </c>
      <c r="J13" s="17">
        <f>Commerical_EndUSE!D18</f>
        <v>0.11570932384582232</v>
      </c>
      <c r="K13" s="17">
        <f>Commerical_EndUSE!E18</f>
        <v>3.4276732217254989E-2</v>
      </c>
      <c r="L13" s="17">
        <f>Commerical_EndUSE!F18</f>
        <v>0.1109176800669309</v>
      </c>
      <c r="M13" s="17">
        <f>Commerical_EndUSE!H18+Commerical_EndUSE!G18</f>
        <v>0.43308177907733392</v>
      </c>
      <c r="N13" s="25">
        <f t="shared" si="1"/>
        <v>1</v>
      </c>
      <c r="Q13">
        <v>118330</v>
      </c>
    </row>
    <row r="14" spans="1:17">
      <c r="B14" s="23"/>
      <c r="D14" s="17"/>
      <c r="E14" s="17"/>
      <c r="G14" s="23">
        <v>2013</v>
      </c>
      <c r="H14" s="17">
        <f>Commerical_EndUSE!B19</f>
        <v>0.2412716674985407</v>
      </c>
      <c r="I14" s="17">
        <f>Commerical_EndUSE!C19</f>
        <v>6.4801576894769342E-2</v>
      </c>
      <c r="J14" s="17">
        <f>Commerical_EndUSE!D19</f>
        <v>0.11539925723518912</v>
      </c>
      <c r="K14" s="17">
        <f>Commerical_EndUSE!E19</f>
        <v>3.4761054759870395E-2</v>
      </c>
      <c r="L14" s="17">
        <f>Commerical_EndUSE!F19</f>
        <v>0.11392726319084318</v>
      </c>
      <c r="M14" s="17">
        <f>Commerical_EndUSE!H19+Commerical_EndUSE!G19</f>
        <v>0.42983918042078728</v>
      </c>
      <c r="N14" s="25">
        <f t="shared" ref="N14:N22" si="2">SUM(H14:M14)</f>
        <v>1</v>
      </c>
      <c r="Q14">
        <v>118209</v>
      </c>
    </row>
    <row r="15" spans="1:17">
      <c r="B15" s="23"/>
      <c r="D15" s="17"/>
      <c r="E15" s="17"/>
      <c r="G15" s="23">
        <v>2014</v>
      </c>
      <c r="H15" s="17">
        <f>Commerical_EndUSE!B20</f>
        <v>0.24567358335980738</v>
      </c>
      <c r="I15" s="17">
        <f>Commerical_EndUSE!C20</f>
        <v>6.6957045161937567E-2</v>
      </c>
      <c r="J15" s="17">
        <f>Commerical_EndUSE!D20</f>
        <v>0.11296336549233367</v>
      </c>
      <c r="K15" s="17">
        <f>Commerical_EndUSE!E20</f>
        <v>3.5046064841908135E-2</v>
      </c>
      <c r="L15" s="17">
        <f>Commerical_EndUSE!F20</f>
        <v>0.11358202217131774</v>
      </c>
      <c r="M15" s="17">
        <f>Commerical_EndUSE!H20+Commerical_EndUSE!G20</f>
        <v>0.42577791897269551</v>
      </c>
      <c r="N15" s="25">
        <f t="shared" si="2"/>
        <v>1</v>
      </c>
      <c r="Q15">
        <v>119615</v>
      </c>
    </row>
    <row r="16" spans="1:17">
      <c r="B16" s="23"/>
      <c r="D16" s="17"/>
      <c r="E16" s="17"/>
      <c r="G16" s="23">
        <v>2015</v>
      </c>
      <c r="H16" s="17">
        <f>Commerical_EndUSE!B21</f>
        <v>0.24277077416247281</v>
      </c>
      <c r="I16" s="17">
        <f>Commerical_EndUSE!C21</f>
        <v>6.7284535020844749E-2</v>
      </c>
      <c r="J16" s="17">
        <f>Commerical_EndUSE!D21</f>
        <v>0.11193881110169913</v>
      </c>
      <c r="K16" s="17">
        <f>Commerical_EndUSE!E21</f>
        <v>3.5353032039463848E-2</v>
      </c>
      <c r="L16" s="17">
        <f>Commerical_EndUSE!F21</f>
        <v>0.11497002009733087</v>
      </c>
      <c r="M16" s="17">
        <f>Commerical_EndUSE!H21+Commerical_EndUSE!G21</f>
        <v>0.4276828275781886</v>
      </c>
      <c r="N16" s="25">
        <f t="shared" si="2"/>
        <v>1</v>
      </c>
      <c r="Q16">
        <v>120417</v>
      </c>
    </row>
    <row r="17" spans="2:17">
      <c r="B17" s="23"/>
      <c r="D17" s="17"/>
      <c r="E17" s="17"/>
      <c r="G17" s="23">
        <v>2016</v>
      </c>
      <c r="H17" s="17">
        <f>Commerical_EndUSE!B22</f>
        <v>0.23689584751531653</v>
      </c>
      <c r="I17" s="17">
        <f>Commerical_EndUSE!C22</f>
        <v>6.9393481545434926E-2</v>
      </c>
      <c r="J17" s="17">
        <f>Commerical_EndUSE!D22</f>
        <v>0.10996363877866144</v>
      </c>
      <c r="K17" s="17">
        <f>Commerical_EndUSE!E22</f>
        <v>3.6029155390260505E-2</v>
      </c>
      <c r="L17" s="17">
        <f>Commerical_EndUSE!F22</f>
        <v>0.11714456491059125</v>
      </c>
      <c r="M17" s="17">
        <f>Commerical_EndUSE!H22+Commerical_EndUSE!G22</f>
        <v>0.43057331185973535</v>
      </c>
      <c r="N17" s="25">
        <f t="shared" si="2"/>
        <v>1</v>
      </c>
      <c r="Q17">
        <v>120458</v>
      </c>
    </row>
    <row r="18" spans="2:17">
      <c r="B18" s="23"/>
      <c r="D18" s="17"/>
      <c r="E18" s="25"/>
      <c r="G18" s="23">
        <v>2017</v>
      </c>
      <c r="H18" s="17">
        <f>Commerical_EndUSE!B23</f>
        <v>0.23851207135679225</v>
      </c>
      <c r="I18" s="17">
        <f>Commerical_EndUSE!C23</f>
        <v>7.2353395510302385E-2</v>
      </c>
      <c r="J18" s="17">
        <f>Commerical_EndUSE!D23</f>
        <v>0.1090616149955568</v>
      </c>
      <c r="K18" s="17">
        <f>Commerical_EndUSE!E23</f>
        <v>3.6517203863498576E-2</v>
      </c>
      <c r="L18" s="17">
        <f>Commerical_EndUSE!F23</f>
        <v>0.11953425408399704</v>
      </c>
      <c r="M18" s="17">
        <f>Commerical_EndUSE!H23+Commerical_EndUSE!G23</f>
        <v>0.42402146018985293</v>
      </c>
      <c r="N18" s="25">
        <f t="shared" si="2"/>
        <v>1</v>
      </c>
      <c r="Q18">
        <v>120408</v>
      </c>
    </row>
    <row r="19" spans="2:17">
      <c r="B19" s="23"/>
      <c r="D19" s="17"/>
      <c r="E19" s="25"/>
      <c r="G19" s="23">
        <v>2018</v>
      </c>
      <c r="H19" s="17">
        <f>Commerical_EndUSE!B24</f>
        <v>0.24988340792498834</v>
      </c>
      <c r="I19" s="17">
        <f>Commerical_EndUSE!C24</f>
        <v>7.3023457507302339E-2</v>
      </c>
      <c r="J19" s="17">
        <f>Commerical_EndUSE!D24</f>
        <v>0.10926109261092611</v>
      </c>
      <c r="K19" s="17">
        <f>Commerical_EndUSE!E24</f>
        <v>3.7685831403768584E-2</v>
      </c>
      <c r="L19" s="17">
        <f>Commerical_EndUSE!F24</f>
        <v>0.1220330385122033</v>
      </c>
      <c r="M19" s="17">
        <f>Commerical_EndUSE!H24+Commerical_EndUSE!G24</f>
        <v>0.40811317204081132</v>
      </c>
      <c r="N19" s="25">
        <f t="shared" si="2"/>
        <v>1</v>
      </c>
      <c r="Q19">
        <v>122220</v>
      </c>
    </row>
    <row r="20" spans="2:17">
      <c r="B20" s="23"/>
      <c r="D20" s="17"/>
      <c r="E20" s="25"/>
      <c r="G20" s="23">
        <v>2019</v>
      </c>
      <c r="H20" s="17">
        <f>Commerical_EndUSE!B25</f>
        <v>0.24538425892051413</v>
      </c>
      <c r="I20" s="17">
        <f>Commerical_EndUSE!C25</f>
        <v>6.9640577872084428E-2</v>
      </c>
      <c r="J20" s="17">
        <f>Commerical_EndUSE!D25</f>
        <v>0.10716811785078413</v>
      </c>
      <c r="K20" s="17">
        <f>Commerical_EndUSE!E25</f>
        <v>3.8405567343885921E-2</v>
      </c>
      <c r="L20" s="17">
        <f>Commerical_EndUSE!F25</f>
        <v>0.11177776151801176</v>
      </c>
      <c r="M20" s="17">
        <f>Commerical_EndUSE!H25+Commerical_EndUSE!G25</f>
        <v>0.42762371649471964</v>
      </c>
      <c r="N20" s="25">
        <f t="shared" si="2"/>
        <v>1</v>
      </c>
      <c r="Q20">
        <v>123001</v>
      </c>
    </row>
    <row r="21" spans="2:17">
      <c r="B21" s="23"/>
      <c r="D21" s="17"/>
      <c r="E21" s="25"/>
      <c r="G21" s="23">
        <v>2020</v>
      </c>
      <c r="H21" s="17">
        <f>Commerical_EndUSE!B26</f>
        <v>0.25199318866524034</v>
      </c>
      <c r="I21" s="17">
        <f>Commerical_EndUSE!C26</f>
        <v>6.482993494302057E-2</v>
      </c>
      <c r="J21" s="17">
        <f>Commerical_EndUSE!D26</f>
        <v>0.11106841898441253</v>
      </c>
      <c r="K21" s="17">
        <f>Commerical_EndUSE!E26</f>
        <v>4.0492511898004631E-2</v>
      </c>
      <c r="L21" s="17">
        <f>Commerical_EndUSE!F26</f>
        <v>8.405885691830764E-2</v>
      </c>
      <c r="M21" s="17">
        <f>Commerical_EndUSE!H26+Commerical_EndUSE!G26</f>
        <v>0.44755708859101428</v>
      </c>
      <c r="N21" s="25">
        <f t="shared" si="2"/>
        <v>1</v>
      </c>
      <c r="Q21">
        <v>114512</v>
      </c>
    </row>
    <row r="22" spans="2:17">
      <c r="B22" s="23"/>
      <c r="D22" s="17"/>
      <c r="E22" s="25"/>
      <c r="G22" s="23">
        <v>2021</v>
      </c>
      <c r="H22" s="17">
        <f>Commerical_EndUSE!B27</f>
        <v>0.2474268012391326</v>
      </c>
      <c r="I22" s="17">
        <f>Commerical_EndUSE!C27</f>
        <v>6.5728989707204963E-2</v>
      </c>
      <c r="J22" s="17">
        <f>Commerical_EndUSE!D27</f>
        <v>0.10698344492188801</v>
      </c>
      <c r="K22" s="17">
        <f>Commerical_EndUSE!E27</f>
        <v>3.8914426568069017E-2</v>
      </c>
      <c r="L22" s="17">
        <f>Commerical_EndUSE!F27</f>
        <v>9.1502614836281276E-2</v>
      </c>
      <c r="M22" s="17">
        <f>Commerical_EndUSE!H27+Commerical_EndUSE!G27</f>
        <v>0.44944372272742411</v>
      </c>
      <c r="N22" s="25">
        <f t="shared" si="2"/>
        <v>1</v>
      </c>
      <c r="Q22">
        <v>120083</v>
      </c>
    </row>
    <row r="23" spans="2:17">
      <c r="B23" s="23"/>
      <c r="E23" s="24"/>
      <c r="G23" s="23"/>
      <c r="N23" s="24"/>
    </row>
    <row r="24" spans="2:17">
      <c r="B24" s="23"/>
      <c r="E24" s="24"/>
      <c r="G24" s="23"/>
      <c r="N24" s="24"/>
    </row>
    <row r="25" spans="2:17">
      <c r="B25" s="23" t="s">
        <v>525</v>
      </c>
      <c r="E25" s="24"/>
      <c r="G25" s="23" t="s">
        <v>525</v>
      </c>
      <c r="N25" s="24"/>
    </row>
    <row r="26" spans="2:17">
      <c r="B26" s="23"/>
      <c r="D26">
        <v>2021</v>
      </c>
      <c r="E26">
        <v>2016</v>
      </c>
      <c r="G26" s="20"/>
      <c r="H26" s="21" t="s">
        <v>510</v>
      </c>
      <c r="I26" s="21" t="s">
        <v>589</v>
      </c>
      <c r="J26" s="21" t="s">
        <v>512</v>
      </c>
      <c r="K26" s="21" t="s">
        <v>514</v>
      </c>
      <c r="L26" s="21" t="s">
        <v>515</v>
      </c>
      <c r="M26" s="21" t="s">
        <v>516</v>
      </c>
      <c r="N26" s="22" t="s">
        <v>517</v>
      </c>
    </row>
    <row r="27" spans="2:17">
      <c r="B27" s="23" t="s">
        <v>518</v>
      </c>
      <c r="C27" t="s">
        <v>510</v>
      </c>
      <c r="D27" s="17">
        <v>0.28000000000000003</v>
      </c>
      <c r="E27" s="17">
        <v>0.28999999999999998</v>
      </c>
      <c r="G27" s="23">
        <v>2005</v>
      </c>
      <c r="H27" s="669">
        <v>0.34</v>
      </c>
      <c r="I27" s="669">
        <v>0.03</v>
      </c>
      <c r="J27" s="669">
        <v>0.19</v>
      </c>
      <c r="K27" s="669">
        <v>7.0000000000000007E-2</v>
      </c>
      <c r="L27" s="669">
        <v>0.05</v>
      </c>
      <c r="M27" s="669">
        <v>0.32</v>
      </c>
      <c r="N27" s="25">
        <f t="shared" ref="N27:N34" si="3">SUM(H27:M27)</f>
        <v>1.0000000000000002</v>
      </c>
    </row>
    <row r="28" spans="2:17">
      <c r="B28" s="23" t="s">
        <v>591</v>
      </c>
      <c r="C28" t="s">
        <v>589</v>
      </c>
      <c r="D28" s="17">
        <v>0.06</v>
      </c>
      <c r="E28" s="17">
        <v>0.08</v>
      </c>
      <c r="G28" s="23">
        <v>2006</v>
      </c>
      <c r="H28" s="669">
        <v>0.33</v>
      </c>
      <c r="I28" s="669">
        <v>0.05</v>
      </c>
      <c r="J28" s="669">
        <v>0.17</v>
      </c>
      <c r="K28" s="669">
        <v>0.06</v>
      </c>
      <c r="L28" s="669">
        <v>0.06</v>
      </c>
      <c r="M28" s="669">
        <v>0.33</v>
      </c>
      <c r="N28" s="25">
        <f t="shared" si="3"/>
        <v>1.0000000000000002</v>
      </c>
    </row>
    <row r="29" spans="2:17">
      <c r="B29" s="23" t="s">
        <v>520</v>
      </c>
      <c r="C29" t="s">
        <v>512</v>
      </c>
      <c r="D29" s="17">
        <v>0.12</v>
      </c>
      <c r="E29" s="17">
        <v>0.15</v>
      </c>
      <c r="G29" s="23">
        <v>2007</v>
      </c>
      <c r="H29" s="676" t="s">
        <v>526</v>
      </c>
      <c r="I29" s="676"/>
      <c r="J29" s="676"/>
      <c r="K29" s="676"/>
      <c r="L29" s="676"/>
      <c r="M29" s="676"/>
      <c r="N29" s="44"/>
    </row>
    <row r="30" spans="2:17">
      <c r="B30" s="23" t="s">
        <v>522</v>
      </c>
      <c r="C30" t="s">
        <v>514</v>
      </c>
      <c r="D30" s="17">
        <v>0.06</v>
      </c>
      <c r="E30" s="17">
        <v>0.06</v>
      </c>
      <c r="G30" s="23">
        <v>2008</v>
      </c>
      <c r="H30" s="676"/>
      <c r="I30" s="676"/>
      <c r="J30" s="676"/>
      <c r="K30" s="676"/>
      <c r="L30" s="676"/>
      <c r="M30" s="676"/>
      <c r="N30" s="44"/>
    </row>
    <row r="31" spans="2:17">
      <c r="B31" s="23" t="s">
        <v>523</v>
      </c>
      <c r="C31" t="s">
        <v>515</v>
      </c>
      <c r="D31" s="17">
        <v>0.06</v>
      </c>
      <c r="E31" s="17">
        <v>7.0000000000000007E-2</v>
      </c>
      <c r="G31" s="23">
        <v>2009</v>
      </c>
      <c r="H31" s="676"/>
      <c r="I31" s="676"/>
      <c r="J31" s="676"/>
      <c r="K31" s="676"/>
      <c r="L31" s="676"/>
      <c r="M31" s="676"/>
      <c r="N31" s="44"/>
    </row>
    <row r="32" spans="2:17">
      <c r="B32" s="23" t="s">
        <v>524</v>
      </c>
      <c r="C32" t="s">
        <v>516</v>
      </c>
      <c r="D32" s="17">
        <v>0.34</v>
      </c>
      <c r="E32" s="17">
        <v>0.35</v>
      </c>
      <c r="G32" s="23">
        <v>2010</v>
      </c>
      <c r="H32" s="676"/>
      <c r="I32" s="676"/>
      <c r="J32" s="676"/>
      <c r="K32" s="676"/>
      <c r="L32" s="676"/>
      <c r="M32" s="676"/>
      <c r="N32" s="44"/>
    </row>
    <row r="33" spans="2:14">
      <c r="B33" s="26" t="s">
        <v>517</v>
      </c>
      <c r="C33" s="27"/>
      <c r="D33" s="28"/>
      <c r="E33" s="28">
        <f>SUM(E27:E32)</f>
        <v>1</v>
      </c>
      <c r="G33" s="23">
        <v>2011</v>
      </c>
      <c r="H33" s="669">
        <f>Commerical_EndUSE!B45</f>
        <v>0.28580723301602556</v>
      </c>
      <c r="I33" s="669">
        <f>Commerical_EndUSE!C45</f>
        <v>3.2992002242174912E-2</v>
      </c>
      <c r="J33" s="669">
        <f>Commerical_EndUSE!D45</f>
        <v>0.13507101888832168</v>
      </c>
      <c r="K33" s="669">
        <f>Commerical_EndUSE!E45</f>
        <v>3.9828633774761521E-2</v>
      </c>
      <c r="L33" s="669">
        <f>Commerical_EndUSE!F45</f>
        <v>4.1870614496061179E-2</v>
      </c>
      <c r="M33" s="669">
        <f>Commerical_EndUSE!H45+Commerical_EndUSE!G45</f>
        <v>0.4644304975826552</v>
      </c>
      <c r="N33" s="25">
        <f t="shared" si="3"/>
        <v>1</v>
      </c>
    </row>
    <row r="34" spans="2:14">
      <c r="G34" s="23">
        <v>2012</v>
      </c>
      <c r="H34" s="669">
        <f>Commerical_EndUSE!B46</f>
        <v>0.2810875766931103</v>
      </c>
      <c r="I34" s="669">
        <f>Commerical_EndUSE!C46</f>
        <v>3.3510492789870651E-2</v>
      </c>
      <c r="J34" s="669">
        <f>Commerical_EndUSE!D46</f>
        <v>0.13376841611629997</v>
      </c>
      <c r="K34" s="669">
        <f>Commerical_EndUSE!E46</f>
        <v>3.9626401969596312E-2</v>
      </c>
      <c r="L34" s="669">
        <f>Commerical_EndUSE!F46</f>
        <v>4.5292899292664814E-2</v>
      </c>
      <c r="M34" s="669">
        <f>Commerical_EndUSE!H46+Commerical_EndUSE!G46</f>
        <v>0.46671421313845796</v>
      </c>
      <c r="N34" s="25">
        <f t="shared" si="3"/>
        <v>1</v>
      </c>
    </row>
    <row r="35" spans="2:14">
      <c r="G35" s="23">
        <v>2013</v>
      </c>
      <c r="H35" s="669">
        <f>Commerical_EndUSE!B47</f>
        <v>0.27888980198794711</v>
      </c>
      <c r="I35" s="669">
        <f>Commerical_EndUSE!C47</f>
        <v>3.5669562495108401E-2</v>
      </c>
      <c r="J35" s="669">
        <f>Commerical_EndUSE!D47</f>
        <v>0.1334526884245128</v>
      </c>
      <c r="K35" s="669">
        <f>Commerical_EndUSE!E47</f>
        <v>4.0199186037410975E-2</v>
      </c>
      <c r="L35" s="669">
        <f>Commerical_EndUSE!F47</f>
        <v>4.9199733896845892E-2</v>
      </c>
      <c r="M35" s="669">
        <f>Commerical_EndUSE!H47+Commerical_EndUSE!G47</f>
        <v>0.46258902715817485</v>
      </c>
      <c r="N35" s="25">
        <f>SUM(H35:M35)</f>
        <v>1</v>
      </c>
    </row>
    <row r="36" spans="2:14">
      <c r="G36" s="23">
        <v>2014</v>
      </c>
      <c r="H36" s="669">
        <f>Commerical_EndUSE!B48</f>
        <v>0.28388630630804768</v>
      </c>
      <c r="I36" s="669">
        <f>Commerical_EndUSE!C48</f>
        <v>3.7440442249519187E-2</v>
      </c>
      <c r="J36" s="669">
        <f>Commerical_EndUSE!D48</f>
        <v>0.13058731431995438</v>
      </c>
      <c r="K36" s="669">
        <f>Commerical_EndUSE!E48</f>
        <v>4.0513767142484371E-2</v>
      </c>
      <c r="L36" s="669">
        <f>Commerical_EndUSE!F48</f>
        <v>5.0912816151385411E-2</v>
      </c>
      <c r="M36" s="669">
        <f>Commerical_EndUSE!H48+Commerical_EndUSE!G48</f>
        <v>0.456659353828609</v>
      </c>
      <c r="N36" s="25">
        <f>SUM(H36:M36)</f>
        <v>1</v>
      </c>
    </row>
    <row r="37" spans="2:14">
      <c r="G37" s="23">
        <v>2015</v>
      </c>
      <c r="H37" s="669">
        <f>Commerical_EndUSE!B49</f>
        <v>0.27923666456434071</v>
      </c>
      <c r="I37" s="669">
        <f>Commerical_EndUSE!C49</f>
        <v>3.8807025591040267E-2</v>
      </c>
      <c r="J37" s="669">
        <f>Commerical_EndUSE!D49</f>
        <v>0.1288056877472622</v>
      </c>
      <c r="K37" s="669">
        <f>Commerical_EndUSE!E49</f>
        <v>4.0680006880339431E-2</v>
      </c>
      <c r="L37" s="669">
        <f>Commerical_EndUSE!F49</f>
        <v>5.3637979473654035E-2</v>
      </c>
      <c r="M37" s="669">
        <f>Commerical_EndUSE!H49+Commerical_EndUSE!G49</f>
        <v>0.45883263574336336</v>
      </c>
      <c r="N37" s="25">
        <f>SUM(H37:M37)</f>
        <v>1</v>
      </c>
    </row>
    <row r="38" spans="2:14">
      <c r="G38" s="23">
        <v>2016</v>
      </c>
      <c r="H38" s="669">
        <f>Commerical_EndUSE!B50</f>
        <v>0.27206738014841947</v>
      </c>
      <c r="I38" s="669">
        <f>Commerical_EndUSE!C50</f>
        <v>4.0805814685514794E-2</v>
      </c>
      <c r="J38" s="669">
        <f>Commerical_EndUSE!D50</f>
        <v>0.12634731681260611</v>
      </c>
      <c r="K38" s="669">
        <f>Commerical_EndUSE!E50</f>
        <v>4.1397203304145445E-2</v>
      </c>
      <c r="L38" s="669">
        <f>Commerical_EndUSE!F50</f>
        <v>5.7202541063354893E-2</v>
      </c>
      <c r="M38" s="669">
        <f>Commerical_EndUSE!H50+Commerical_EndUSE!G50</f>
        <v>0.46217974398595929</v>
      </c>
      <c r="N38" s="25">
        <f>SUM(H38:M38)</f>
        <v>1</v>
      </c>
    </row>
    <row r="39" spans="2:14">
      <c r="G39" s="23">
        <v>2017</v>
      </c>
      <c r="H39" s="669">
        <f>Commerical_EndUSE!B51</f>
        <v>0.27424979220605517</v>
      </c>
      <c r="I39" s="669">
        <f>Commerical_EndUSE!C51</f>
        <v>4.2447287214223618E-2</v>
      </c>
      <c r="J39" s="669">
        <f>Commerical_EndUSE!D51</f>
        <v>0.12545977395840299</v>
      </c>
      <c r="K39" s="669">
        <f>Commerical_EndUSE!E51</f>
        <v>4.2007814963074777E-2</v>
      </c>
      <c r="L39" s="669">
        <f>Commerical_EndUSE!F51</f>
        <v>6.0876460528704227E-2</v>
      </c>
      <c r="M39" s="669">
        <f>Commerical_EndUSE!H51+Commerical_EndUSE!G51</f>
        <v>0.45495887112953926</v>
      </c>
      <c r="N39" s="25">
        <f>SUM(H39:M39)</f>
        <v>1</v>
      </c>
    </row>
    <row r="40" spans="2:14">
      <c r="G40" s="23">
        <v>2018</v>
      </c>
      <c r="H40" s="669">
        <f>Commerical_EndUSE!B52</f>
        <v>0.28720611893539555</v>
      </c>
      <c r="I40" s="669">
        <f>Commerical_EndUSE!C52</f>
        <v>4.3540026154121156E-2</v>
      </c>
      <c r="J40" s="669">
        <f>Commerical_EndUSE!D52</f>
        <v>0.12563386111973507</v>
      </c>
      <c r="K40" s="669">
        <f>Commerical_EndUSE!E52</f>
        <v>4.3333051094615826E-2</v>
      </c>
      <c r="L40" s="669">
        <f>Commerical_EndUSE!F52</f>
        <v>6.4914905026671563E-2</v>
      </c>
      <c r="M40" s="669">
        <f>Commerical_EndUSE!H52+Commerical_EndUSE!G52</f>
        <v>0.43537203766946087</v>
      </c>
      <c r="N40" s="25">
        <f t="shared" ref="N40:N43" si="4">SUM(H40:M40)</f>
        <v>1</v>
      </c>
    </row>
    <row r="41" spans="2:14">
      <c r="G41" s="23">
        <v>2019</v>
      </c>
      <c r="H41" s="669">
        <f>Commerical_EndUSE!B53</f>
        <v>0.27938548158574644</v>
      </c>
      <c r="I41" s="669">
        <f>Commerical_EndUSE!C53</f>
        <v>4.0440052969338905E-2</v>
      </c>
      <c r="J41" s="669">
        <f>Commerical_EndUSE!D53</f>
        <v>0.12207024919666257</v>
      </c>
      <c r="K41" s="669">
        <f>Commerical_EndUSE!E53</f>
        <v>4.3746006463741008E-2</v>
      </c>
      <c r="L41" s="669">
        <f>Commerical_EndUSE!F53</f>
        <v>5.5349255002917021E-2</v>
      </c>
      <c r="M41" s="669">
        <f>Commerical_EndUSE!H53+Commerical_EndUSE!G53</f>
        <v>0.45900895478159409</v>
      </c>
      <c r="N41" s="25">
        <f t="shared" si="4"/>
        <v>1</v>
      </c>
    </row>
    <row r="42" spans="2:14">
      <c r="G42" s="23">
        <v>2020</v>
      </c>
      <c r="H42" s="669">
        <f>Commerical_EndUSE!B54</f>
        <v>0.28235420785780008</v>
      </c>
      <c r="I42" s="669">
        <f>Commerical_EndUSE!C54</f>
        <v>3.4688643971575672E-2</v>
      </c>
      <c r="J42" s="669">
        <f>Commerical_EndUSE!D54</f>
        <v>0.12449347140927511</v>
      </c>
      <c r="K42" s="669">
        <f>Commerical_EndUSE!E54</f>
        <v>4.5386919327369185E-2</v>
      </c>
      <c r="L42" s="669">
        <f>Commerical_EndUSE!F54</f>
        <v>3.5412955386332046E-2</v>
      </c>
      <c r="M42" s="669">
        <f>Commerical_EndUSE!H54+Commerical_EndUSE!G54</f>
        <v>0.47766380204764797</v>
      </c>
      <c r="N42" s="25">
        <f t="shared" si="4"/>
        <v>1</v>
      </c>
    </row>
    <row r="43" spans="2:14">
      <c r="G43" s="26">
        <v>2021</v>
      </c>
      <c r="H43" s="669">
        <f>Commerical_EndUSE!B55</f>
        <v>0.27695305943566884</v>
      </c>
      <c r="I43" s="669">
        <f>Commerical_EndUSE!C55</f>
        <v>3.6067958449115083E-2</v>
      </c>
      <c r="J43" s="669">
        <f>Commerical_EndUSE!D55</f>
        <v>0.11979448350459708</v>
      </c>
      <c r="K43" s="669">
        <f>Commerical_EndUSE!E55</f>
        <v>4.3574345871953156E-2</v>
      </c>
      <c r="L43" s="669">
        <f>Commerical_EndUSE!F55</f>
        <v>4.3704891740176423E-2</v>
      </c>
      <c r="M43" s="669">
        <f>Commerical_EndUSE!H55+Commerical_EndUSE!G55</f>
        <v>0.4799052609984894</v>
      </c>
      <c r="N43" s="29">
        <f t="shared" si="4"/>
        <v>1</v>
      </c>
    </row>
    <row r="44" spans="2:14">
      <c r="H44" s="17"/>
      <c r="I44" s="17"/>
      <c r="J44" s="17"/>
      <c r="K44" s="17"/>
      <c r="L44" s="17"/>
      <c r="M44" s="17"/>
      <c r="N44" s="17"/>
    </row>
    <row r="45" spans="2:14">
      <c r="G45" t="s">
        <v>527</v>
      </c>
    </row>
    <row r="46" spans="2:14">
      <c r="G46" t="s">
        <v>529</v>
      </c>
    </row>
    <row r="47" spans="2:14">
      <c r="H47" t="s">
        <v>593</v>
      </c>
    </row>
    <row r="48" spans="2:14">
      <c r="H48" t="s">
        <v>594</v>
      </c>
    </row>
    <row r="50" spans="7:25">
      <c r="H50" t="s">
        <v>595</v>
      </c>
    </row>
    <row r="51" spans="7:25">
      <c r="G51" t="s">
        <v>534</v>
      </c>
    </row>
    <row r="52" spans="7:25">
      <c r="G52" s="35" t="s">
        <v>535</v>
      </c>
      <c r="H52" s="36"/>
      <c r="I52" s="36"/>
      <c r="J52" s="36"/>
      <c r="K52" s="36"/>
      <c r="L52" s="36"/>
      <c r="M52" s="36"/>
      <c r="N52" s="37"/>
      <c r="R52" s="20" t="s">
        <v>536</v>
      </c>
      <c r="S52" s="21"/>
      <c r="T52" s="21"/>
      <c r="U52" s="21"/>
      <c r="V52" s="21"/>
      <c r="W52" s="21"/>
      <c r="X52" s="21"/>
      <c r="Y52" s="22"/>
    </row>
    <row r="53" spans="7:25">
      <c r="G53" s="38"/>
      <c r="H53" s="668" t="s">
        <v>510</v>
      </c>
      <c r="I53" s="668" t="s">
        <v>589</v>
      </c>
      <c r="J53" s="668" t="s">
        <v>512</v>
      </c>
      <c r="K53" s="668" t="s">
        <v>514</v>
      </c>
      <c r="L53" s="668" t="s">
        <v>515</v>
      </c>
      <c r="M53" s="668" t="s">
        <v>516</v>
      </c>
      <c r="N53" s="24" t="s">
        <v>517</v>
      </c>
      <c r="R53" s="23"/>
      <c r="S53" s="668" t="s">
        <v>538</v>
      </c>
      <c r="T53" s="668" t="s">
        <v>596</v>
      </c>
      <c r="U53" s="668" t="s">
        <v>540</v>
      </c>
      <c r="V53" s="668" t="s">
        <v>541</v>
      </c>
      <c r="W53" s="668" t="s">
        <v>542</v>
      </c>
      <c r="X53" s="668" t="s">
        <v>543</v>
      </c>
      <c r="Y53" s="24" t="s">
        <v>544</v>
      </c>
    </row>
    <row r="54" spans="7:25">
      <c r="G54" s="38">
        <v>2006</v>
      </c>
      <c r="H54" s="670">
        <f>(H7*Energy8Sec!$C7-Commercial8EndUse!H28*Energy8Sec!$C27)/(Energy8Sec!$C7-Energy8Sec!$C27)</f>
        <v>-4.5921589767848429E-2</v>
      </c>
      <c r="I54" s="670">
        <f>(I7*Energy8Sec!$C7-Commercial8EndUse!I28*Energy8Sec!$C27)/(Energy8Sec!$C7-Energy8Sec!$C27)</f>
        <v>0.23077880109872348</v>
      </c>
      <c r="J54" s="670">
        <f>(J7*Energy8Sec!$C7-Commercial8EndUse!J28*Energy8Sec!$C27)/(Energy8Sec!$C7-Energy8Sec!$C27)</f>
        <v>4.9480799267517493E-2</v>
      </c>
      <c r="K54" s="670">
        <f>(K7*Energy8Sec!$C7-Commercial8EndUse!K28*Energy8Sec!$C27)/(Energy8Sec!$C7-Energy8Sec!$C27)</f>
        <v>-2.5960036624111591E-4</v>
      </c>
      <c r="L54" s="670">
        <f>(L7*Energy8Sec!$C7-Commercial8EndUse!L28*Energy8Sec!$C27)/(Energy8Sec!$C7-Energy8Sec!$C27)</f>
        <v>0.60233640329617055</v>
      </c>
      <c r="M54" s="670">
        <f>(M7*Energy8Sec!$C7-Commercial8EndUse!M28*Energy8Sec!$C27)/(Energy8Sec!$C7-Energy8Sec!$C27)</f>
        <v>0.14922119890127628</v>
      </c>
      <c r="N54" s="39">
        <f>(N7*Energy8Sec!$C7-Commercial8EndUse!N28*Energy8Sec!$C27)/(Energy8Sec!$C7-Energy8Sec!$C27)</f>
        <v>0.98563601242959853</v>
      </c>
      <c r="R54" s="23">
        <v>2006</v>
      </c>
      <c r="S54" s="42">
        <v>0</v>
      </c>
      <c r="T54" s="42">
        <v>0.23077880109872348</v>
      </c>
      <c r="U54" s="42">
        <v>4.9480799267517493E-2</v>
      </c>
      <c r="V54" s="42">
        <v>-2.5960036624111591E-4</v>
      </c>
      <c r="W54" s="42">
        <v>0.60233640329617055</v>
      </c>
      <c r="X54" s="42">
        <f>Y54-SUM(S54:W54)</f>
        <v>0.11766359670382953</v>
      </c>
      <c r="Y54" s="25">
        <v>1</v>
      </c>
    </row>
    <row r="55" spans="7:25">
      <c r="G55" s="38">
        <v>2007</v>
      </c>
      <c r="H55" s="677" t="s">
        <v>597</v>
      </c>
      <c r="I55" s="677"/>
      <c r="J55" s="677"/>
      <c r="K55" s="677"/>
      <c r="L55" s="677"/>
      <c r="M55" s="677"/>
      <c r="N55" s="40"/>
      <c r="P55" t="s">
        <v>537</v>
      </c>
      <c r="R55" s="23">
        <v>2007</v>
      </c>
      <c r="S55" s="677" t="s">
        <v>597</v>
      </c>
      <c r="T55" s="45"/>
      <c r="U55" s="45"/>
      <c r="V55" s="45"/>
      <c r="W55" s="45"/>
      <c r="X55" s="45"/>
      <c r="Y55" s="46"/>
    </row>
    <row r="56" spans="7:25">
      <c r="G56" s="38">
        <v>2008</v>
      </c>
      <c r="H56" s="677"/>
      <c r="I56" s="677"/>
      <c r="J56" s="677"/>
      <c r="K56" s="677"/>
      <c r="L56" s="677"/>
      <c r="M56" s="677"/>
      <c r="N56" s="40"/>
      <c r="P56" t="s">
        <v>545</v>
      </c>
      <c r="R56" s="23">
        <v>2008</v>
      </c>
      <c r="S56" s="45"/>
      <c r="T56" s="45"/>
      <c r="U56" s="45"/>
      <c r="V56" s="45"/>
      <c r="W56" s="45"/>
      <c r="X56" s="45"/>
      <c r="Y56" s="46"/>
    </row>
    <row r="57" spans="7:25">
      <c r="G57" s="38">
        <v>2009</v>
      </c>
      <c r="H57" s="677"/>
      <c r="I57" s="677"/>
      <c r="J57" s="677"/>
      <c r="K57" s="677"/>
      <c r="L57" s="677"/>
      <c r="M57" s="677"/>
      <c r="N57" s="40"/>
      <c r="R57" s="23">
        <v>2009</v>
      </c>
      <c r="S57" s="45"/>
      <c r="T57" s="45"/>
      <c r="U57" s="45"/>
      <c r="V57" s="45"/>
      <c r="W57" s="45"/>
      <c r="X57" s="45"/>
      <c r="Y57" s="46"/>
    </row>
    <row r="58" spans="7:25">
      <c r="G58" s="38">
        <v>2010</v>
      </c>
      <c r="H58" s="677"/>
      <c r="I58" s="677"/>
      <c r="J58" s="677"/>
      <c r="K58" s="677"/>
      <c r="L58" s="677"/>
      <c r="M58" s="677"/>
      <c r="N58" s="40"/>
      <c r="P58" t="s">
        <v>598</v>
      </c>
      <c r="R58" s="23">
        <v>2010</v>
      </c>
      <c r="S58" s="45"/>
      <c r="T58" s="45"/>
      <c r="U58" s="45"/>
      <c r="V58" s="45"/>
      <c r="W58" s="45"/>
      <c r="X58" s="45"/>
      <c r="Y58" s="46"/>
    </row>
    <row r="59" spans="7:25">
      <c r="G59" s="38">
        <v>2011</v>
      </c>
      <c r="H59" s="669">
        <f>Commerical_EndUSE!B73</f>
        <v>7.4492519709479178E-4</v>
      </c>
      <c r="I59" s="669">
        <f>Commerical_EndUSE!C73</f>
        <v>0.23967968216524924</v>
      </c>
      <c r="J59" s="669">
        <f>Commerical_EndUSE!D73</f>
        <v>0</v>
      </c>
      <c r="K59" s="669">
        <f>Commerical_EndUSE!E73</f>
        <v>0</v>
      </c>
      <c r="L59" s="669">
        <f>Commerical_EndUSE!F73</f>
        <v>0.54373331677944003</v>
      </c>
      <c r="M59" s="669">
        <f>Commerical_EndUSE!H73+Commerical_EndUSE!G73</f>
        <v>0.21584207585821591</v>
      </c>
      <c r="N59" s="39">
        <f>(N12*Energy8Sec!$C12-Commercial8EndUse!N33*Energy8Sec!$C32)/(Energy8Sec!$C12-Energy8Sec!$C32)</f>
        <v>1</v>
      </c>
      <c r="P59" t="s">
        <v>547</v>
      </c>
      <c r="R59" s="23">
        <v>2011</v>
      </c>
      <c r="S59" s="669">
        <f>H59</f>
        <v>7.4492519709479178E-4</v>
      </c>
      <c r="T59" s="669">
        <f t="shared" ref="T59:X59" si="5">I59</f>
        <v>0.23967968216524924</v>
      </c>
      <c r="U59" s="669">
        <f t="shared" si="5"/>
        <v>0</v>
      </c>
      <c r="V59" s="669">
        <f t="shared" si="5"/>
        <v>0</v>
      </c>
      <c r="W59" s="669">
        <f t="shared" si="5"/>
        <v>0.54373331677944003</v>
      </c>
      <c r="X59" s="669">
        <f t="shared" si="5"/>
        <v>0.21584207585821591</v>
      </c>
      <c r="Y59" s="25">
        <f>SUM(S59:X59)</f>
        <v>1</v>
      </c>
    </row>
    <row r="60" spans="7:25">
      <c r="G60" s="38">
        <v>2012</v>
      </c>
      <c r="H60" s="669">
        <f>Commerical_EndUSE!B74</f>
        <v>8.1377151799687014E-4</v>
      </c>
      <c r="I60" s="669">
        <f>Commerical_EndUSE!C74</f>
        <v>0.25020344287949919</v>
      </c>
      <c r="J60" s="669">
        <f>Commerical_EndUSE!D74</f>
        <v>0</v>
      </c>
      <c r="K60" s="669">
        <f>Commerical_EndUSE!E74</f>
        <v>0</v>
      </c>
      <c r="L60" s="669">
        <f>Commerical_EndUSE!F74</f>
        <v>0.5313928012519562</v>
      </c>
      <c r="M60" s="669">
        <f>Commerical_EndUSE!H74+Commerical_EndUSE!G74</f>
        <v>0.21758998435054774</v>
      </c>
      <c r="N60" s="39">
        <f>(N13*Energy8Sec!$C13-Commercial8EndUse!N34*Energy8Sec!$C33)/(Energy8Sec!$C13-Energy8Sec!$C33)</f>
        <v>1</v>
      </c>
      <c r="R60" s="23">
        <v>2012</v>
      </c>
      <c r="S60" s="669">
        <f t="shared" ref="S60:S69" si="6">H60</f>
        <v>8.1377151799687014E-4</v>
      </c>
      <c r="T60" s="669">
        <f t="shared" ref="T60:T69" si="7">I60</f>
        <v>0.25020344287949919</v>
      </c>
      <c r="U60" s="669">
        <f t="shared" ref="U60:U69" si="8">J60</f>
        <v>0</v>
      </c>
      <c r="V60" s="669">
        <f t="shared" ref="V60:V69" si="9">K60</f>
        <v>0</v>
      </c>
      <c r="W60" s="669">
        <f t="shared" ref="W60:W69" si="10">L60</f>
        <v>0.5313928012519562</v>
      </c>
      <c r="X60" s="669">
        <f t="shared" ref="X60:X69" si="11">M60</f>
        <v>0.21758998435054774</v>
      </c>
      <c r="Y60" s="25">
        <f t="shared" ref="Y60:Y69" si="12">SUM(S60:X60)</f>
        <v>1</v>
      </c>
    </row>
    <row r="61" spans="7:25">
      <c r="G61" s="38">
        <v>2013</v>
      </c>
      <c r="H61" s="669">
        <f>Commerical_EndUSE!B75</f>
        <v>8.1295728847476708E-4</v>
      </c>
      <c r="I61" s="669">
        <f>Commerical_EndUSE!C75</f>
        <v>0.25101619661059343</v>
      </c>
      <c r="J61" s="669">
        <f>Commerical_EndUSE!D75</f>
        <v>0</v>
      </c>
      <c r="K61" s="669">
        <f>Commerical_EndUSE!E75</f>
        <v>0</v>
      </c>
      <c r="L61" s="669">
        <f>Commerical_EndUSE!F75</f>
        <v>0.52767181539616037</v>
      </c>
      <c r="M61" s="669">
        <f>Commerical_EndUSE!H75+Commerical_EndUSE!G75</f>
        <v>0.22049903070477142</v>
      </c>
      <c r="N61" s="39">
        <f>(N14*Energy8Sec!$C14-Commercial8EndUse!N35*Energy8Sec!$C34)/(Energy8Sec!$C14-Energy8Sec!$C34)</f>
        <v>1</v>
      </c>
      <c r="R61" s="23">
        <v>2013</v>
      </c>
      <c r="S61" s="669">
        <f t="shared" si="6"/>
        <v>8.1295728847476708E-4</v>
      </c>
      <c r="T61" s="669">
        <f t="shared" si="7"/>
        <v>0.25101619661059343</v>
      </c>
      <c r="U61" s="669">
        <f t="shared" si="8"/>
        <v>0</v>
      </c>
      <c r="V61" s="669">
        <f t="shared" si="9"/>
        <v>0</v>
      </c>
      <c r="W61" s="669">
        <f t="shared" si="10"/>
        <v>0.52767181539616037</v>
      </c>
      <c r="X61" s="669">
        <f t="shared" si="11"/>
        <v>0.22049903070477142</v>
      </c>
      <c r="Y61" s="25">
        <f t="shared" si="12"/>
        <v>1</v>
      </c>
    </row>
    <row r="62" spans="7:25">
      <c r="G62" s="38">
        <v>2014</v>
      </c>
      <c r="H62" s="669">
        <f>Commerical_EndUSE!B76</f>
        <v>7.4335625348448246E-4</v>
      </c>
      <c r="I62" s="669">
        <f>Commerical_EndUSE!C76</f>
        <v>0.25614817567986126</v>
      </c>
      <c r="J62" s="669">
        <f>Commerical_EndUSE!D76</f>
        <v>0</v>
      </c>
      <c r="K62" s="669">
        <f>Commerical_EndUSE!E76</f>
        <v>0</v>
      </c>
      <c r="L62" s="669">
        <f>Commerical_EndUSE!F76</f>
        <v>0.51526977637366045</v>
      </c>
      <c r="M62" s="669">
        <f>Commerical_EndUSE!H76+Commerical_EndUSE!G76</f>
        <v>0.22783869169299387</v>
      </c>
      <c r="N62" s="39">
        <f>(N15*Energy8Sec!$C15-Commercial8EndUse!N36*Energy8Sec!$C35)/(Energy8Sec!$C15-Energy8Sec!$C35)</f>
        <v>1</v>
      </c>
      <c r="R62" s="23">
        <v>2014</v>
      </c>
      <c r="S62" s="669">
        <f t="shared" si="6"/>
        <v>7.4335625348448246E-4</v>
      </c>
      <c r="T62" s="669">
        <f t="shared" si="7"/>
        <v>0.25614817567986126</v>
      </c>
      <c r="U62" s="669">
        <f t="shared" si="8"/>
        <v>0</v>
      </c>
      <c r="V62" s="669">
        <f t="shared" si="9"/>
        <v>0</v>
      </c>
      <c r="W62" s="669">
        <f t="shared" si="10"/>
        <v>0.51526977637366045</v>
      </c>
      <c r="X62" s="669">
        <f t="shared" si="11"/>
        <v>0.22783869169299387</v>
      </c>
      <c r="Y62" s="25">
        <f t="shared" si="12"/>
        <v>1</v>
      </c>
    </row>
    <row r="63" spans="7:25">
      <c r="G63" s="38">
        <v>2015</v>
      </c>
      <c r="H63" s="669">
        <f>Commerical_EndUSE!B77</f>
        <v>7.6103500761035003E-4</v>
      </c>
      <c r="I63" s="669">
        <f>Commerical_EndUSE!C77</f>
        <v>0.25627853881278539</v>
      </c>
      <c r="J63" s="669">
        <f>Commerical_EndUSE!D77</f>
        <v>0</v>
      </c>
      <c r="K63" s="669">
        <f>Commerical_EndUSE!E77</f>
        <v>0</v>
      </c>
      <c r="L63" s="669">
        <f>Commerical_EndUSE!F77</f>
        <v>0.52200659563673257</v>
      </c>
      <c r="M63" s="669">
        <f>Commerical_EndUSE!H77+Commerical_EndUSE!G77</f>
        <v>0.22095383054287163</v>
      </c>
      <c r="N63" s="39">
        <f>(N16*Energy8Sec!$C16-Commercial8EndUse!N37*Energy8Sec!$C36)/(Energy8Sec!$C16-Energy8Sec!$C36)</f>
        <v>1</v>
      </c>
      <c r="R63" s="23">
        <v>2015</v>
      </c>
      <c r="S63" s="669">
        <f t="shared" si="6"/>
        <v>7.6103500761035003E-4</v>
      </c>
      <c r="T63" s="669">
        <f t="shared" si="7"/>
        <v>0.25627853881278539</v>
      </c>
      <c r="U63" s="669">
        <f t="shared" si="8"/>
        <v>0</v>
      </c>
      <c r="V63" s="669">
        <f t="shared" si="9"/>
        <v>0</v>
      </c>
      <c r="W63" s="669">
        <f t="shared" si="10"/>
        <v>0.52200659563673257</v>
      </c>
      <c r="X63" s="669">
        <f t="shared" si="11"/>
        <v>0.22095383054287163</v>
      </c>
      <c r="Y63" s="25">
        <f t="shared" si="12"/>
        <v>1</v>
      </c>
    </row>
    <row r="64" spans="7:25">
      <c r="G64" s="38">
        <v>2016</v>
      </c>
      <c r="H64" s="669">
        <f>Commerical_EndUSE!B78</f>
        <v>8.3226632522407165E-4</v>
      </c>
      <c r="I64" s="669">
        <f>Commerical_EndUSE!C78</f>
        <v>0.2612676056338028</v>
      </c>
      <c r="J64" s="669">
        <f>Commerical_EndUSE!D78</f>
        <v>0</v>
      </c>
      <c r="K64" s="669">
        <f>Commerical_EndUSE!E78</f>
        <v>0</v>
      </c>
      <c r="L64" s="669">
        <f>Commerical_EndUSE!F78</f>
        <v>0.51946222791293217</v>
      </c>
      <c r="M64" s="669">
        <f>Commerical_EndUSE!H78+Commerical_EndUSE!G78</f>
        <v>0.21843790012804098</v>
      </c>
      <c r="N64" s="39">
        <f>(N17*Energy8Sec!$C17-Commercial8EndUse!N38*Energy8Sec!$C37)/(Energy8Sec!$C17-Energy8Sec!$C37)</f>
        <v>1</v>
      </c>
      <c r="R64" s="23">
        <v>2016</v>
      </c>
      <c r="S64" s="669">
        <f t="shared" si="6"/>
        <v>8.3226632522407165E-4</v>
      </c>
      <c r="T64" s="669">
        <f t="shared" si="7"/>
        <v>0.2612676056338028</v>
      </c>
      <c r="U64" s="669">
        <f t="shared" si="8"/>
        <v>0</v>
      </c>
      <c r="V64" s="669">
        <f t="shared" si="9"/>
        <v>0</v>
      </c>
      <c r="W64" s="669">
        <f t="shared" si="10"/>
        <v>0.51946222791293217</v>
      </c>
      <c r="X64" s="669">
        <f t="shared" si="11"/>
        <v>0.21843790012804098</v>
      </c>
      <c r="Y64" s="25">
        <f t="shared" si="12"/>
        <v>1</v>
      </c>
    </row>
    <row r="65" spans="7:25">
      <c r="G65" s="38">
        <v>2017</v>
      </c>
      <c r="H65" s="669">
        <f>Commerical_EndUSE!B79</f>
        <v>8.2602617867581654E-4</v>
      </c>
      <c r="I65" s="669">
        <f>Commerical_EndUSE!C79</f>
        <v>0.27125428898208159</v>
      </c>
      <c r="J65" s="669">
        <f>Commerical_EndUSE!D79</f>
        <v>0</v>
      </c>
      <c r="K65" s="669">
        <f>Commerical_EndUSE!E79</f>
        <v>0</v>
      </c>
      <c r="L65" s="669">
        <f>Commerical_EndUSE!F79</f>
        <v>0.50965815224297872</v>
      </c>
      <c r="M65" s="669">
        <f>Commerical_EndUSE!H79+Commerical_EndUSE!G79</f>
        <v>0.21826153259626382</v>
      </c>
      <c r="N65" s="39">
        <f>(N18*Energy8Sec!$C18-Commercial8EndUse!N39*Energy8Sec!$C38)/(Energy8Sec!$C18-Energy8Sec!$C38)</f>
        <v>1</v>
      </c>
      <c r="R65" s="23">
        <v>2017</v>
      </c>
      <c r="S65" s="669">
        <f t="shared" si="6"/>
        <v>8.2602617867581654E-4</v>
      </c>
      <c r="T65" s="669">
        <f t="shared" si="7"/>
        <v>0.27125428898208159</v>
      </c>
      <c r="U65" s="669">
        <f t="shared" si="8"/>
        <v>0</v>
      </c>
      <c r="V65" s="669">
        <f t="shared" si="9"/>
        <v>0</v>
      </c>
      <c r="W65" s="669">
        <f t="shared" si="10"/>
        <v>0.50965815224297872</v>
      </c>
      <c r="X65" s="669">
        <f t="shared" si="11"/>
        <v>0.21826153259626382</v>
      </c>
      <c r="Y65" s="25">
        <f t="shared" si="12"/>
        <v>1</v>
      </c>
    </row>
    <row r="66" spans="7:25">
      <c r="G66" s="38">
        <v>2018</v>
      </c>
      <c r="H66" s="669">
        <f>Commerical_EndUSE!B80</f>
        <v>8.1617277749874431E-4</v>
      </c>
      <c r="I66" s="669">
        <f>Commerical_EndUSE!C80</f>
        <v>0.26977649422400801</v>
      </c>
      <c r="J66" s="669">
        <f>Commerical_EndUSE!D80</f>
        <v>0</v>
      </c>
      <c r="K66" s="669">
        <f>Commerical_EndUSE!E80</f>
        <v>0</v>
      </c>
      <c r="L66" s="669">
        <f>Commerical_EndUSE!F80</f>
        <v>0.50320190858864888</v>
      </c>
      <c r="M66" s="669">
        <f>Commerical_EndUSE!H80+Commerical_EndUSE!G80</f>
        <v>0.22620542440984429</v>
      </c>
      <c r="N66" s="39">
        <f>(N19*Energy8Sec!$C19-Commercial8EndUse!N40*Energy8Sec!$C39)/(Energy8Sec!$C19-Energy8Sec!$C39)</f>
        <v>1</v>
      </c>
      <c r="R66" s="23">
        <v>2018</v>
      </c>
      <c r="S66" s="669">
        <f t="shared" si="6"/>
        <v>8.1617277749874431E-4</v>
      </c>
      <c r="T66" s="669">
        <f t="shared" si="7"/>
        <v>0.26977649422400801</v>
      </c>
      <c r="U66" s="669">
        <f t="shared" si="8"/>
        <v>0</v>
      </c>
      <c r="V66" s="669">
        <f t="shared" si="9"/>
        <v>0</v>
      </c>
      <c r="W66" s="669">
        <f t="shared" si="10"/>
        <v>0.50320190858864888</v>
      </c>
      <c r="X66" s="669">
        <f t="shared" si="11"/>
        <v>0.22620542440984429</v>
      </c>
      <c r="Y66" s="25">
        <f t="shared" si="12"/>
        <v>0.99999999999999989</v>
      </c>
    </row>
    <row r="67" spans="7:25">
      <c r="G67" s="38">
        <v>2019</v>
      </c>
      <c r="H67" s="669">
        <f>Commerical_EndUSE!B81</f>
        <v>8.6574320724560466E-4</v>
      </c>
      <c r="I67" s="669">
        <f>Commerical_EndUSE!C81</f>
        <v>0.27963505594033033</v>
      </c>
      <c r="J67" s="669">
        <f>Commerical_EndUSE!D81</f>
        <v>0</v>
      </c>
      <c r="K67" s="669">
        <f>Commerical_EndUSE!E81</f>
        <v>0</v>
      </c>
      <c r="L67" s="669">
        <f>Commerical_EndUSE!F81</f>
        <v>0.51758124667021843</v>
      </c>
      <c r="M67" s="669">
        <f>Commerical_EndUSE!H81+Commerical_EndUSE!G81</f>
        <v>0.20191795418220565</v>
      </c>
      <c r="N67" s="39">
        <f>(N20*Energy8Sec!$C20-Commercial8EndUse!N41*Energy8Sec!$C40)/(Energy8Sec!$C20-Energy8Sec!$C40)</f>
        <v>1</v>
      </c>
      <c r="R67" s="23">
        <v>2019</v>
      </c>
      <c r="S67" s="669">
        <f t="shared" si="6"/>
        <v>8.6574320724560466E-4</v>
      </c>
      <c r="T67" s="669">
        <f t="shared" si="7"/>
        <v>0.27963505594033033</v>
      </c>
      <c r="U67" s="669">
        <f t="shared" si="8"/>
        <v>0</v>
      </c>
      <c r="V67" s="669">
        <f t="shared" si="9"/>
        <v>0</v>
      </c>
      <c r="W67" s="669">
        <f t="shared" si="10"/>
        <v>0.51758124667021843</v>
      </c>
      <c r="X67" s="669">
        <f t="shared" si="11"/>
        <v>0.20191795418220565</v>
      </c>
      <c r="Y67" s="25">
        <f t="shared" si="12"/>
        <v>1</v>
      </c>
    </row>
    <row r="68" spans="7:25">
      <c r="G68" s="38">
        <v>2020</v>
      </c>
      <c r="H68" s="669">
        <f>Commerical_EndUSE!B82</f>
        <v>8.0978216859664749E-4</v>
      </c>
      <c r="I68" s="669">
        <f>Commerical_EndUSE!C82</f>
        <v>0.31419548141549924</v>
      </c>
      <c r="J68" s="669">
        <f>Commerical_EndUSE!D82</f>
        <v>0</v>
      </c>
      <c r="K68" s="669">
        <f>Commerical_EndUSE!E82</f>
        <v>0</v>
      </c>
      <c r="L68" s="669">
        <f>Commerical_EndUSE!F82</f>
        <v>0.4865171268928658</v>
      </c>
      <c r="M68" s="669">
        <f>Commerical_EndUSE!H82+Commerical_EndUSE!G82</f>
        <v>0.19847760952303831</v>
      </c>
      <c r="N68" s="39">
        <f>(N21*Energy8Sec!$C21-Commercial8EndUse!N42*Energy8Sec!$C41)/(Energy8Sec!$C21-Energy8Sec!$C41)</f>
        <v>1</v>
      </c>
      <c r="R68" s="23">
        <v>2020</v>
      </c>
      <c r="S68" s="669">
        <f t="shared" si="6"/>
        <v>8.0978216859664749E-4</v>
      </c>
      <c r="T68" s="669">
        <f t="shared" si="7"/>
        <v>0.31419548141549924</v>
      </c>
      <c r="U68" s="669">
        <f t="shared" si="8"/>
        <v>0</v>
      </c>
      <c r="V68" s="669">
        <f t="shared" si="9"/>
        <v>0</v>
      </c>
      <c r="W68" s="669">
        <f t="shared" si="10"/>
        <v>0.4865171268928658</v>
      </c>
      <c r="X68" s="669">
        <f t="shared" si="11"/>
        <v>0.19847760952303831</v>
      </c>
      <c r="Y68" s="25">
        <f t="shared" si="12"/>
        <v>1</v>
      </c>
    </row>
    <row r="69" spans="7:25">
      <c r="G69" s="41">
        <v>2021</v>
      </c>
      <c r="H69" s="28">
        <f>Commerical_EndUSE!B83</f>
        <v>8.5656439806883666E-4</v>
      </c>
      <c r="I69" s="28">
        <f>Commerical_EndUSE!C83</f>
        <v>0.31342470020246066</v>
      </c>
      <c r="J69" s="28">
        <f>Commerical_EndUSE!D83</f>
        <v>0</v>
      </c>
      <c r="K69" s="28">
        <f>Commerical_EndUSE!E83</f>
        <v>0</v>
      </c>
      <c r="L69" s="28">
        <f>Commerical_EndUSE!F83</f>
        <v>0.49065566111197634</v>
      </c>
      <c r="M69" s="28">
        <f>Commerical_EndUSE!H83+Commerical_EndUSE!G83</f>
        <v>0.19506307428749414</v>
      </c>
      <c r="N69" s="671">
        <f>(N22*Energy8Sec!$C22-Commercial8EndUse!N43*Energy8Sec!$C42)/(Energy8Sec!$C22-Energy8Sec!$C42)</f>
        <v>1</v>
      </c>
      <c r="R69" s="26">
        <v>2021</v>
      </c>
      <c r="S69" s="28">
        <f t="shared" si="6"/>
        <v>8.5656439806883666E-4</v>
      </c>
      <c r="T69" s="28">
        <f t="shared" si="7"/>
        <v>0.31342470020246066</v>
      </c>
      <c r="U69" s="28">
        <f t="shared" si="8"/>
        <v>0</v>
      </c>
      <c r="V69" s="28">
        <f t="shared" si="9"/>
        <v>0</v>
      </c>
      <c r="W69" s="28">
        <f t="shared" si="10"/>
        <v>0.49065566111197634</v>
      </c>
      <c r="X69" s="28">
        <f t="shared" si="11"/>
        <v>0.19506307428749414</v>
      </c>
      <c r="Y69" s="29">
        <f t="shared" si="12"/>
        <v>1</v>
      </c>
    </row>
    <row r="72" spans="7:25">
      <c r="G72" t="s">
        <v>599</v>
      </c>
    </row>
    <row r="73" spans="7:25">
      <c r="G73" t="s">
        <v>600</v>
      </c>
    </row>
    <row r="74" spans="7:25">
      <c r="G74" t="s">
        <v>601</v>
      </c>
    </row>
  </sheetData>
  <phoneticPr fontId="3"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45BF6-C62F-C642-8257-738AC07B4A2F}">
  <sheetPr>
    <tabColor theme="7" tint="0.79998168889431442"/>
  </sheetPr>
  <dimension ref="A1:CK83"/>
  <sheetViews>
    <sheetView topLeftCell="A19" workbookViewId="0">
      <selection activeCell="B22" sqref="B22"/>
    </sheetView>
  </sheetViews>
  <sheetFormatPr baseColWidth="10" defaultRowHeight="14"/>
  <cols>
    <col min="1" max="75" width="11" style="673"/>
    <col min="77" max="16384" width="11" style="673"/>
  </cols>
  <sheetData>
    <row r="1" spans="1:89">
      <c r="A1" s="672" t="s">
        <v>1050</v>
      </c>
      <c r="K1" s="672" t="s">
        <v>1011</v>
      </c>
      <c r="Q1" s="672"/>
      <c r="U1" s="672" t="s">
        <v>1010</v>
      </c>
      <c r="AE1" s="673" t="s">
        <v>1014</v>
      </c>
      <c r="AO1" s="673" t="s">
        <v>1013</v>
      </c>
      <c r="AY1" s="673" t="s">
        <v>1012</v>
      </c>
      <c r="BI1" s="673" t="s">
        <v>1016</v>
      </c>
      <c r="BS1" s="673" t="s">
        <v>1015</v>
      </c>
      <c r="CC1" s="673" t="s">
        <v>1017</v>
      </c>
    </row>
    <row r="2" spans="1:89" ht="48">
      <c r="A2" s="554" t="s">
        <v>481</v>
      </c>
      <c r="B2" s="549" t="s">
        <v>989</v>
      </c>
      <c r="C2" s="550" t="s">
        <v>1008</v>
      </c>
      <c r="D2" s="551" t="s">
        <v>991</v>
      </c>
      <c r="E2" s="555" t="s">
        <v>993</v>
      </c>
      <c r="F2" s="552" t="s">
        <v>988</v>
      </c>
      <c r="G2" s="553" t="s">
        <v>1009</v>
      </c>
      <c r="H2" s="553" t="s">
        <v>994</v>
      </c>
      <c r="I2" s="558" t="s">
        <v>1026</v>
      </c>
      <c r="K2" s="554" t="s">
        <v>481</v>
      </c>
      <c r="L2" s="549" t="s">
        <v>988</v>
      </c>
      <c r="M2" s="550" t="s">
        <v>989</v>
      </c>
      <c r="N2" s="551" t="s">
        <v>991</v>
      </c>
      <c r="O2" s="555" t="s">
        <v>993</v>
      </c>
      <c r="P2" s="552" t="s">
        <v>1008</v>
      </c>
      <c r="Q2" s="553" t="s">
        <v>1009</v>
      </c>
      <c r="R2" s="553" t="s">
        <v>994</v>
      </c>
      <c r="S2" s="558" t="s">
        <v>1026</v>
      </c>
      <c r="U2" s="554" t="s">
        <v>481</v>
      </c>
      <c r="V2" s="549" t="s">
        <v>988</v>
      </c>
      <c r="W2" s="550" t="s">
        <v>989</v>
      </c>
      <c r="X2" s="551" t="s">
        <v>991</v>
      </c>
      <c r="Y2" s="555" t="s">
        <v>993</v>
      </c>
      <c r="Z2" s="552" t="s">
        <v>1008</v>
      </c>
      <c r="AA2" s="553" t="s">
        <v>1009</v>
      </c>
      <c r="AB2" s="553" t="s">
        <v>994</v>
      </c>
      <c r="AC2" s="558" t="s">
        <v>1026</v>
      </c>
      <c r="AE2" s="554" t="s">
        <v>481</v>
      </c>
      <c r="AF2" s="549" t="s">
        <v>988</v>
      </c>
      <c r="AG2" s="550" t="s">
        <v>989</v>
      </c>
      <c r="AH2" s="551" t="s">
        <v>991</v>
      </c>
      <c r="AI2" s="555" t="s">
        <v>993</v>
      </c>
      <c r="AJ2" s="552" t="s">
        <v>1008</v>
      </c>
      <c r="AK2" s="553" t="s">
        <v>1009</v>
      </c>
      <c r="AL2" s="553" t="s">
        <v>994</v>
      </c>
      <c r="AM2" s="558" t="s">
        <v>1026</v>
      </c>
      <c r="AO2" s="554" t="s">
        <v>481</v>
      </c>
      <c r="AP2" s="549" t="s">
        <v>988</v>
      </c>
      <c r="AQ2" s="550" t="s">
        <v>989</v>
      </c>
      <c r="AR2" s="551" t="s">
        <v>991</v>
      </c>
      <c r="AS2" s="555" t="s">
        <v>993</v>
      </c>
      <c r="AT2" s="552" t="s">
        <v>1008</v>
      </c>
      <c r="AU2" s="553" t="s">
        <v>1009</v>
      </c>
      <c r="AV2" s="553" t="s">
        <v>994</v>
      </c>
      <c r="AW2" s="558" t="s">
        <v>1026</v>
      </c>
      <c r="AY2" s="554" t="s">
        <v>481</v>
      </c>
      <c r="AZ2" s="549" t="s">
        <v>988</v>
      </c>
      <c r="BA2" s="550" t="s">
        <v>989</v>
      </c>
      <c r="BB2" s="551" t="s">
        <v>991</v>
      </c>
      <c r="BC2" s="555" t="s">
        <v>993</v>
      </c>
      <c r="BD2" s="552" t="s">
        <v>1008</v>
      </c>
      <c r="BE2" s="553" t="s">
        <v>1009</v>
      </c>
      <c r="BF2" s="553" t="s">
        <v>994</v>
      </c>
      <c r="BG2" s="558" t="s">
        <v>1026</v>
      </c>
      <c r="BI2" s="554" t="s">
        <v>481</v>
      </c>
      <c r="BJ2" s="549" t="s">
        <v>988</v>
      </c>
      <c r="BK2" s="550" t="s">
        <v>989</v>
      </c>
      <c r="BL2" s="551" t="s">
        <v>991</v>
      </c>
      <c r="BM2" s="555" t="s">
        <v>993</v>
      </c>
      <c r="BN2" s="552" t="s">
        <v>1008</v>
      </c>
      <c r="BO2" s="553" t="s">
        <v>1009</v>
      </c>
      <c r="BP2" s="553" t="s">
        <v>994</v>
      </c>
      <c r="BQ2" s="558" t="s">
        <v>1026</v>
      </c>
      <c r="BS2" s="554" t="s">
        <v>481</v>
      </c>
      <c r="BT2" s="549" t="s">
        <v>988</v>
      </c>
      <c r="BU2" s="550" t="s">
        <v>989</v>
      </c>
      <c r="BV2" s="551" t="s">
        <v>991</v>
      </c>
      <c r="BW2" s="555" t="s">
        <v>993</v>
      </c>
      <c r="BX2" s="552" t="s">
        <v>1008</v>
      </c>
      <c r="BY2" s="553" t="s">
        <v>1009</v>
      </c>
      <c r="BZ2" s="553" t="s">
        <v>994</v>
      </c>
      <c r="CA2" s="558" t="s">
        <v>1026</v>
      </c>
      <c r="CB2" s="674"/>
      <c r="CC2" s="554" t="s">
        <v>481</v>
      </c>
      <c r="CD2" s="549" t="s">
        <v>988</v>
      </c>
      <c r="CE2" s="550" t="s">
        <v>989</v>
      </c>
      <c r="CF2" s="551" t="s">
        <v>991</v>
      </c>
      <c r="CG2" s="555" t="s">
        <v>993</v>
      </c>
      <c r="CH2" s="552" t="s">
        <v>1008</v>
      </c>
      <c r="CI2" s="553" t="s">
        <v>1009</v>
      </c>
      <c r="CJ2" s="553" t="s">
        <v>994</v>
      </c>
      <c r="CK2" s="558" t="s">
        <v>1026</v>
      </c>
    </row>
    <row r="3" spans="1:89">
      <c r="A3" s="554">
        <v>2011</v>
      </c>
      <c r="B3" s="549">
        <f>M3+W3+AG3+AQ3+BA3+BK3+BU3+CE3</f>
        <v>28565</v>
      </c>
      <c r="C3" s="550">
        <f>P3+Z3+AJ3+AT3+BD3+BN3+BX3+CH3</f>
        <v>7157</v>
      </c>
      <c r="D3" s="551">
        <f>N3+X3+AH3+AR3+BB3+BL3+BV3+CF3</f>
        <v>13494</v>
      </c>
      <c r="E3" s="555">
        <f>O3+Y3+AI3+AS3+BC3+BM3+BW3+CG3</f>
        <v>3979</v>
      </c>
      <c r="F3" s="552">
        <f>L3+V3+AF3+AP3+AZ3+BJ3+BT3+CD3</f>
        <v>12942</v>
      </c>
      <c r="G3" s="553">
        <f>Q3+AA3+AK3+AU3+BE3+BO3+BY3+CI3</f>
        <v>0</v>
      </c>
      <c r="H3" s="553">
        <f>R3+AB3+AL3+AV3+BF3+BP3+BZ3+CJ3</f>
        <v>49875</v>
      </c>
      <c r="I3" s="558">
        <f>SUM(B3:H3)</f>
        <v>116012</v>
      </c>
      <c r="K3" s="554">
        <v>2011</v>
      </c>
      <c r="L3" s="549">
        <v>12942</v>
      </c>
      <c r="M3" s="550">
        <v>4980</v>
      </c>
      <c r="N3" s="551">
        <v>742</v>
      </c>
      <c r="O3" s="555"/>
      <c r="P3" s="552">
        <v>2029</v>
      </c>
      <c r="Q3" s="553"/>
      <c r="R3" s="553">
        <v>474</v>
      </c>
      <c r="S3" s="558">
        <f>SUM(L3:R3)</f>
        <v>21167</v>
      </c>
      <c r="U3" s="554">
        <v>2011</v>
      </c>
      <c r="V3" s="549"/>
      <c r="W3" s="550">
        <v>5625</v>
      </c>
      <c r="X3" s="551">
        <v>4183</v>
      </c>
      <c r="Y3" s="555"/>
      <c r="Z3" s="552"/>
      <c r="AA3" s="553"/>
      <c r="AB3" s="553">
        <v>7524</v>
      </c>
      <c r="AC3" s="558">
        <f>SUM(V3:AB3)</f>
        <v>17332</v>
      </c>
      <c r="AE3" s="554">
        <v>2011</v>
      </c>
      <c r="AF3" s="549"/>
      <c r="AG3" s="550">
        <v>8829</v>
      </c>
      <c r="AH3" s="551">
        <v>3303</v>
      </c>
      <c r="AI3" s="555">
        <v>2841</v>
      </c>
      <c r="AJ3" s="552"/>
      <c r="AK3" s="553"/>
      <c r="AL3" s="553">
        <v>6371</v>
      </c>
      <c r="AM3" s="558">
        <f>SUM(AF3:AL3)</f>
        <v>21344</v>
      </c>
      <c r="AO3" s="554">
        <v>2011</v>
      </c>
      <c r="AP3" s="549"/>
      <c r="AQ3" s="550"/>
      <c r="AR3" s="551"/>
      <c r="AS3" s="555"/>
      <c r="AT3" s="552"/>
      <c r="AU3" s="553"/>
      <c r="AV3" s="553"/>
      <c r="AW3" s="558">
        <f>SUM(AP3:AV3)</f>
        <v>0</v>
      </c>
      <c r="AY3" s="554">
        <v>2011</v>
      </c>
      <c r="AZ3" s="549"/>
      <c r="BA3" s="550"/>
      <c r="BB3" s="551"/>
      <c r="BC3" s="555"/>
      <c r="BD3" s="552"/>
      <c r="BE3" s="553"/>
      <c r="BF3" s="553"/>
      <c r="BG3" s="558">
        <f>SUM(AZ3:BF3)</f>
        <v>0</v>
      </c>
      <c r="BI3" s="554">
        <v>2011</v>
      </c>
      <c r="BJ3" s="549"/>
      <c r="BK3" s="550"/>
      <c r="BL3" s="551"/>
      <c r="BM3" s="555"/>
      <c r="BN3" s="552"/>
      <c r="BO3" s="553"/>
      <c r="BP3" s="553"/>
      <c r="BQ3" s="558">
        <f>SUM(BJ3:BP3)</f>
        <v>0</v>
      </c>
      <c r="BS3" s="554">
        <v>2011</v>
      </c>
      <c r="BT3" s="549"/>
      <c r="BU3" s="550"/>
      <c r="BV3" s="551"/>
      <c r="BW3" s="555"/>
      <c r="BX3" s="552"/>
      <c r="BY3" s="553"/>
      <c r="BZ3" s="553"/>
      <c r="CA3" s="558">
        <f>SUM(BT3:BZ3)</f>
        <v>0</v>
      </c>
      <c r="CB3" s="674"/>
      <c r="CC3" s="554">
        <v>2011</v>
      </c>
      <c r="CD3" s="549"/>
      <c r="CE3" s="550">
        <v>9131</v>
      </c>
      <c r="CF3" s="551">
        <v>5266</v>
      </c>
      <c r="CG3" s="555">
        <v>1138</v>
      </c>
      <c r="CH3" s="552">
        <v>5128</v>
      </c>
      <c r="CI3" s="553"/>
      <c r="CJ3" s="553">
        <v>35506</v>
      </c>
      <c r="CK3" s="558">
        <f>SUM(CD3:CJ3)</f>
        <v>56169</v>
      </c>
    </row>
    <row r="4" spans="1:89">
      <c r="A4" s="554">
        <v>2012</v>
      </c>
      <c r="B4" s="549">
        <f>M4+W4+AG4+AQ4+BA4+BK4+BU4+CE4</f>
        <v>28784</v>
      </c>
      <c r="C4" s="550">
        <f>P4+Z4+AJ4+AT4+BD4+BN4+BX4+CH4</f>
        <v>7427</v>
      </c>
      <c r="D4" s="551">
        <f t="shared" ref="D4:D13" si="0">N4+X4+AH4+AR4+BB4+BL4+BV4+CF4</f>
        <v>13692</v>
      </c>
      <c r="E4" s="555">
        <f t="shared" ref="E4:E13" si="1">O4+Y4+AI4+AS4+BC4+BM4+BW4+CG4</f>
        <v>4056</v>
      </c>
      <c r="F4" s="552">
        <f>L4+V4+AF4+AP4+AZ4+BJ4+BT4+CD4</f>
        <v>13125</v>
      </c>
      <c r="G4" s="553">
        <f t="shared" ref="G4:G13" si="2">Q4+AA4+AK4+AU4+BE4+BO4+BY4+CI4</f>
        <v>0</v>
      </c>
      <c r="H4" s="553">
        <f t="shared" ref="H4:H13" si="3">R4+AB4+AL4+AV4+BF4+BP4+BZ4+CJ4</f>
        <v>51247</v>
      </c>
      <c r="I4" s="558">
        <f t="shared" ref="I4:I13" si="4">SUM(B4:H4)</f>
        <v>118331</v>
      </c>
      <c r="K4" s="554">
        <v>2012</v>
      </c>
      <c r="L4" s="549">
        <v>13125</v>
      </c>
      <c r="M4" s="550">
        <v>4871</v>
      </c>
      <c r="N4" s="551">
        <v>721</v>
      </c>
      <c r="O4" s="555"/>
      <c r="P4" s="552">
        <v>2094</v>
      </c>
      <c r="Q4" s="553"/>
      <c r="R4" s="553">
        <v>445</v>
      </c>
      <c r="S4" s="558">
        <f t="shared" ref="S4:S13" si="5">SUM(L4:R4)</f>
        <v>21256</v>
      </c>
      <c r="U4" s="554">
        <v>2012</v>
      </c>
      <c r="V4" s="549"/>
      <c r="W4" s="550">
        <v>5701</v>
      </c>
      <c r="X4" s="551">
        <v>4177</v>
      </c>
      <c r="Y4" s="555"/>
      <c r="Z4" s="552"/>
      <c r="AA4" s="553"/>
      <c r="AB4" s="553">
        <v>7638</v>
      </c>
      <c r="AC4" s="558">
        <f t="shared" ref="AC4:AC13" si="6">SUM(V4:AB4)</f>
        <v>17516</v>
      </c>
      <c r="AE4" s="554">
        <v>2012</v>
      </c>
      <c r="AF4" s="549"/>
      <c r="AG4" s="550">
        <v>8691</v>
      </c>
      <c r="AH4" s="551">
        <v>3311</v>
      </c>
      <c r="AI4" s="555">
        <v>2919</v>
      </c>
      <c r="AJ4" s="552"/>
      <c r="AK4" s="553"/>
      <c r="AL4" s="553">
        <v>5960</v>
      </c>
      <c r="AM4" s="558">
        <f t="shared" ref="AM4:AM13" si="7">SUM(AF4:AL4)</f>
        <v>20881</v>
      </c>
      <c r="AO4" s="554">
        <v>2012</v>
      </c>
      <c r="AP4" s="549"/>
      <c r="AQ4" s="550">
        <v>2779</v>
      </c>
      <c r="AR4" s="551">
        <v>384</v>
      </c>
      <c r="AS4" s="555">
        <v>110</v>
      </c>
      <c r="AT4" s="552">
        <v>1322</v>
      </c>
      <c r="AU4" s="553"/>
      <c r="AV4" s="553">
        <v>1598</v>
      </c>
      <c r="AW4" s="558">
        <f t="shared" ref="AW4:AW13" si="8">SUM(AP4:AV4)</f>
        <v>6193</v>
      </c>
      <c r="AY4" s="554">
        <v>2012</v>
      </c>
      <c r="AZ4" s="549"/>
      <c r="BA4" s="550">
        <v>1688</v>
      </c>
      <c r="BB4" s="551">
        <v>367</v>
      </c>
      <c r="BC4" s="555">
        <v>288</v>
      </c>
      <c r="BD4" s="552">
        <v>1866</v>
      </c>
      <c r="BE4" s="553"/>
      <c r="BF4" s="553">
        <v>1551</v>
      </c>
      <c r="BG4" s="558">
        <f t="shared" ref="BG4:BG13" si="9">SUM(AZ4:BF4)</f>
        <v>5760</v>
      </c>
      <c r="BI4" s="554">
        <v>2012</v>
      </c>
      <c r="BJ4" s="549"/>
      <c r="BK4" s="550">
        <v>1822</v>
      </c>
      <c r="BL4" s="551">
        <v>672</v>
      </c>
      <c r="BM4" s="555">
        <v>370</v>
      </c>
      <c r="BN4" s="552">
        <v>135</v>
      </c>
      <c r="BO4" s="553"/>
      <c r="BP4" s="553">
        <v>567</v>
      </c>
      <c r="BQ4" s="558">
        <f t="shared" ref="BQ4:BQ13" si="10">SUM(BJ4:BP4)</f>
        <v>3566</v>
      </c>
      <c r="BS4" s="554">
        <v>2012</v>
      </c>
      <c r="BT4" s="549"/>
      <c r="BU4" s="550"/>
      <c r="BV4" s="551"/>
      <c r="BW4" s="555"/>
      <c r="BX4" s="552"/>
      <c r="BY4" s="553"/>
      <c r="BZ4" s="553"/>
      <c r="CA4" s="558">
        <f t="shared" ref="CA4:CA13" si="11">SUM(BT4:BZ4)</f>
        <v>0</v>
      </c>
      <c r="CB4" s="674"/>
      <c r="CC4" s="554">
        <v>2012</v>
      </c>
      <c r="CD4" s="549"/>
      <c r="CE4" s="550">
        <v>3232</v>
      </c>
      <c r="CF4" s="551">
        <v>4060</v>
      </c>
      <c r="CG4" s="555">
        <v>369</v>
      </c>
      <c r="CH4" s="552">
        <v>2010</v>
      </c>
      <c r="CI4" s="553"/>
      <c r="CJ4" s="553">
        <v>33488</v>
      </c>
      <c r="CK4" s="558">
        <f t="shared" ref="CK4:CK13" si="12">SUM(CD4:CJ4)</f>
        <v>43159</v>
      </c>
    </row>
    <row r="5" spans="1:89">
      <c r="A5" s="554">
        <v>2013</v>
      </c>
      <c r="B5" s="549">
        <f>M5+W5+AG5+AQ5+BA5+BK5+BU5+CE5</f>
        <v>28520</v>
      </c>
      <c r="C5" s="550">
        <f>P5+Z5+AJ5+AT5+BD5+BN5+BX5+CH5</f>
        <v>7660</v>
      </c>
      <c r="D5" s="551">
        <f t="shared" si="0"/>
        <v>13641</v>
      </c>
      <c r="E5" s="555">
        <f t="shared" si="1"/>
        <v>4109</v>
      </c>
      <c r="F5" s="552">
        <f>L5+V5+AF5+AP5+AZ5+BJ5+BT5+CD5</f>
        <v>13467</v>
      </c>
      <c r="G5" s="553">
        <f t="shared" si="2"/>
        <v>0</v>
      </c>
      <c r="H5" s="553">
        <f t="shared" si="3"/>
        <v>50810</v>
      </c>
      <c r="I5" s="558">
        <f t="shared" si="4"/>
        <v>118207</v>
      </c>
      <c r="K5" s="554">
        <v>2013</v>
      </c>
      <c r="L5" s="549">
        <v>13467</v>
      </c>
      <c r="M5" s="550">
        <v>4604</v>
      </c>
      <c r="N5" s="551">
        <v>686</v>
      </c>
      <c r="O5" s="555"/>
      <c r="P5" s="552">
        <v>2124</v>
      </c>
      <c r="Q5" s="553"/>
      <c r="R5" s="553">
        <v>408</v>
      </c>
      <c r="S5" s="558">
        <f t="shared" si="5"/>
        <v>21289</v>
      </c>
      <c r="U5" s="554">
        <v>2013</v>
      </c>
      <c r="V5" s="549"/>
      <c r="W5" s="550">
        <v>5583</v>
      </c>
      <c r="X5" s="551">
        <v>4250</v>
      </c>
      <c r="Y5" s="555"/>
      <c r="Z5" s="552"/>
      <c r="AA5" s="553"/>
      <c r="AB5" s="553">
        <v>7793</v>
      </c>
      <c r="AC5" s="558">
        <f t="shared" si="6"/>
        <v>17626</v>
      </c>
      <c r="AE5" s="554">
        <v>2013</v>
      </c>
      <c r="AF5" s="549"/>
      <c r="AG5" s="550">
        <v>8304</v>
      </c>
      <c r="AH5" s="551">
        <v>3265</v>
      </c>
      <c r="AI5" s="555">
        <v>2954</v>
      </c>
      <c r="AJ5" s="552"/>
      <c r="AK5" s="553"/>
      <c r="AL5" s="553">
        <v>5436</v>
      </c>
      <c r="AM5" s="558">
        <f t="shared" si="7"/>
        <v>19959</v>
      </c>
      <c r="AO5" s="554">
        <v>2013</v>
      </c>
      <c r="AP5" s="549"/>
      <c r="AQ5" s="550">
        <v>3012</v>
      </c>
      <c r="AR5" s="551">
        <v>421</v>
      </c>
      <c r="AS5" s="555">
        <v>121</v>
      </c>
      <c r="AT5" s="552">
        <v>1403</v>
      </c>
      <c r="AU5" s="553"/>
      <c r="AV5" s="553">
        <v>1708</v>
      </c>
      <c r="AW5" s="558">
        <f t="shared" si="8"/>
        <v>6665</v>
      </c>
      <c r="AY5" s="554">
        <v>2013</v>
      </c>
      <c r="AZ5" s="549"/>
      <c r="BA5" s="550">
        <v>1840</v>
      </c>
      <c r="BB5" s="551">
        <v>394</v>
      </c>
      <c r="BC5" s="555">
        <v>281</v>
      </c>
      <c r="BD5" s="552">
        <v>1784</v>
      </c>
      <c r="BE5" s="553"/>
      <c r="BF5" s="553">
        <v>1445</v>
      </c>
      <c r="BG5" s="558">
        <f t="shared" si="9"/>
        <v>5744</v>
      </c>
      <c r="BI5" s="554">
        <v>2013</v>
      </c>
      <c r="BJ5" s="549"/>
      <c r="BK5" s="550">
        <v>1881</v>
      </c>
      <c r="BL5" s="551">
        <v>662</v>
      </c>
      <c r="BM5" s="555">
        <v>384</v>
      </c>
      <c r="BN5" s="552">
        <v>140</v>
      </c>
      <c r="BO5" s="553"/>
      <c r="BP5" s="553">
        <v>577</v>
      </c>
      <c r="BQ5" s="558">
        <f t="shared" si="10"/>
        <v>3644</v>
      </c>
      <c r="BS5" s="554">
        <v>2013</v>
      </c>
      <c r="BT5" s="549"/>
      <c r="BU5" s="550"/>
      <c r="BV5" s="551"/>
      <c r="BW5" s="555"/>
      <c r="BX5" s="552"/>
      <c r="BY5" s="553"/>
      <c r="BZ5" s="553"/>
      <c r="CA5" s="558">
        <f t="shared" si="11"/>
        <v>0</v>
      </c>
      <c r="CB5" s="674"/>
      <c r="CC5" s="554">
        <v>2013</v>
      </c>
      <c r="CD5" s="549"/>
      <c r="CE5" s="550">
        <v>3296</v>
      </c>
      <c r="CF5" s="551">
        <v>3963</v>
      </c>
      <c r="CG5" s="555">
        <v>369</v>
      </c>
      <c r="CH5" s="552">
        <v>2209</v>
      </c>
      <c r="CI5" s="553"/>
      <c r="CJ5" s="553">
        <v>33443</v>
      </c>
      <c r="CK5" s="558">
        <f t="shared" si="12"/>
        <v>43280</v>
      </c>
    </row>
    <row r="6" spans="1:89">
      <c r="A6" s="554">
        <v>2014</v>
      </c>
      <c r="B6" s="549">
        <f>M6+W6+AG6+AQ6+BA6+BK6+BU6+CE6</f>
        <v>29386</v>
      </c>
      <c r="C6" s="550">
        <f>P6+Z6+AJ6+AT6+BD6+BN6+BX6+CH6</f>
        <v>8009</v>
      </c>
      <c r="D6" s="551">
        <f t="shared" si="0"/>
        <v>13512</v>
      </c>
      <c r="E6" s="555">
        <f t="shared" si="1"/>
        <v>4192</v>
      </c>
      <c r="F6" s="552">
        <f>L6+V6+AF6+AP6+AZ6+BJ6+BT6+CD6</f>
        <v>13586</v>
      </c>
      <c r="G6" s="553">
        <f t="shared" si="2"/>
        <v>0</v>
      </c>
      <c r="H6" s="553">
        <f t="shared" si="3"/>
        <v>50929</v>
      </c>
      <c r="I6" s="558">
        <f t="shared" si="4"/>
        <v>119614</v>
      </c>
      <c r="K6" s="554">
        <v>2014</v>
      </c>
      <c r="L6" s="549">
        <v>13586</v>
      </c>
      <c r="M6" s="550">
        <v>4418</v>
      </c>
      <c r="N6" s="551">
        <v>631</v>
      </c>
      <c r="O6" s="555"/>
      <c r="P6" s="552">
        <v>2152</v>
      </c>
      <c r="Q6" s="553"/>
      <c r="R6" s="553">
        <v>360</v>
      </c>
      <c r="S6" s="558">
        <f t="shared" si="5"/>
        <v>21147</v>
      </c>
      <c r="U6" s="554">
        <v>2014</v>
      </c>
      <c r="V6" s="549"/>
      <c r="W6" s="550">
        <v>5799</v>
      </c>
      <c r="X6" s="551">
        <v>4241</v>
      </c>
      <c r="Y6" s="555"/>
      <c r="Z6" s="552"/>
      <c r="AA6" s="553"/>
      <c r="AB6" s="553">
        <v>7937</v>
      </c>
      <c r="AC6" s="558">
        <f t="shared" si="6"/>
        <v>17977</v>
      </c>
      <c r="AE6" s="554">
        <v>2014</v>
      </c>
      <c r="AF6" s="549"/>
      <c r="AG6" s="550">
        <v>8406</v>
      </c>
      <c r="AH6" s="551">
        <v>3251</v>
      </c>
      <c r="AI6" s="555">
        <v>3019</v>
      </c>
      <c r="AJ6" s="552"/>
      <c r="AK6" s="553"/>
      <c r="AL6" s="553">
        <v>4994</v>
      </c>
      <c r="AM6" s="558">
        <f t="shared" si="7"/>
        <v>19670</v>
      </c>
      <c r="AO6" s="554">
        <v>2014</v>
      </c>
      <c r="AP6" s="549"/>
      <c r="AQ6" s="550">
        <v>3162</v>
      </c>
      <c r="AR6" s="551">
        <v>428</v>
      </c>
      <c r="AS6" s="555">
        <v>123</v>
      </c>
      <c r="AT6" s="552">
        <v>1421</v>
      </c>
      <c r="AU6" s="553"/>
      <c r="AV6" s="553">
        <v>1731</v>
      </c>
      <c r="AW6" s="558">
        <f t="shared" si="8"/>
        <v>6865</v>
      </c>
      <c r="AY6" s="554">
        <v>2014</v>
      </c>
      <c r="AZ6" s="549"/>
      <c r="BA6" s="550">
        <v>2118</v>
      </c>
      <c r="BB6" s="551">
        <v>428</v>
      </c>
      <c r="BC6" s="555">
        <v>278</v>
      </c>
      <c r="BD6" s="552">
        <v>1746</v>
      </c>
      <c r="BE6" s="553"/>
      <c r="BF6" s="553">
        <v>1361</v>
      </c>
      <c r="BG6" s="558">
        <f t="shared" si="9"/>
        <v>5931</v>
      </c>
      <c r="BI6" s="554">
        <v>2014</v>
      </c>
      <c r="BJ6" s="549"/>
      <c r="BK6" s="550">
        <v>2049</v>
      </c>
      <c r="BL6" s="551">
        <v>663</v>
      </c>
      <c r="BM6" s="555">
        <v>403</v>
      </c>
      <c r="BN6" s="552">
        <v>154</v>
      </c>
      <c r="BO6" s="553"/>
      <c r="BP6" s="553">
        <v>598</v>
      </c>
      <c r="BQ6" s="558">
        <f t="shared" si="10"/>
        <v>3867</v>
      </c>
      <c r="BS6" s="554">
        <v>2014</v>
      </c>
      <c r="BT6" s="549"/>
      <c r="BU6" s="550"/>
      <c r="BV6" s="551"/>
      <c r="BW6" s="555"/>
      <c r="BX6" s="552"/>
      <c r="BY6" s="553"/>
      <c r="BZ6" s="553"/>
      <c r="CA6" s="558">
        <f t="shared" si="11"/>
        <v>0</v>
      </c>
      <c r="CB6" s="674"/>
      <c r="CC6" s="554">
        <v>2014</v>
      </c>
      <c r="CD6" s="549"/>
      <c r="CE6" s="550">
        <v>3434</v>
      </c>
      <c r="CF6" s="551">
        <v>3870</v>
      </c>
      <c r="CG6" s="555">
        <v>369</v>
      </c>
      <c r="CH6" s="552">
        <v>2536</v>
      </c>
      <c r="CI6" s="553"/>
      <c r="CJ6" s="553">
        <v>33948</v>
      </c>
      <c r="CK6" s="558">
        <f t="shared" si="12"/>
        <v>44157</v>
      </c>
    </row>
    <row r="7" spans="1:89">
      <c r="A7" s="554">
        <v>2015</v>
      </c>
      <c r="B7" s="549">
        <f>M7+W7+AG7+AQ7+BA7+BK7+BU7+CE7</f>
        <v>29233</v>
      </c>
      <c r="C7" s="550">
        <f>P7+Z7+AJ7+AT7+BD7+BN7+BX7+CH7</f>
        <v>8102</v>
      </c>
      <c r="D7" s="551">
        <f t="shared" si="0"/>
        <v>13479</v>
      </c>
      <c r="E7" s="555">
        <f t="shared" si="1"/>
        <v>4257</v>
      </c>
      <c r="F7" s="552">
        <f>L7+V7+AF7+AP7+AZ7+BJ7+BT7+CD7</f>
        <v>13844</v>
      </c>
      <c r="G7" s="553">
        <f t="shared" si="2"/>
        <v>0</v>
      </c>
      <c r="H7" s="553">
        <f t="shared" si="3"/>
        <v>51499</v>
      </c>
      <c r="I7" s="558">
        <f t="shared" si="4"/>
        <v>120414</v>
      </c>
      <c r="K7" s="554">
        <v>2015</v>
      </c>
      <c r="L7" s="549">
        <v>13844</v>
      </c>
      <c r="M7" s="550">
        <v>4137</v>
      </c>
      <c r="N7" s="551">
        <v>589</v>
      </c>
      <c r="O7" s="555"/>
      <c r="P7" s="552">
        <v>2160</v>
      </c>
      <c r="Q7" s="553"/>
      <c r="R7" s="553">
        <v>319</v>
      </c>
      <c r="S7" s="558">
        <f t="shared" si="5"/>
        <v>21049</v>
      </c>
      <c r="U7" s="554">
        <v>2015</v>
      </c>
      <c r="V7" s="549"/>
      <c r="W7" s="550">
        <v>5754</v>
      </c>
      <c r="X7" s="551">
        <v>4310</v>
      </c>
      <c r="Y7" s="555"/>
      <c r="Z7" s="552"/>
      <c r="AA7" s="553"/>
      <c r="AB7" s="553">
        <v>7910</v>
      </c>
      <c r="AC7" s="558">
        <f t="shared" si="6"/>
        <v>17974</v>
      </c>
      <c r="AE7" s="554">
        <v>2015</v>
      </c>
      <c r="AF7" s="549"/>
      <c r="AG7" s="550">
        <v>8073</v>
      </c>
      <c r="AH7" s="551">
        <v>3204</v>
      </c>
      <c r="AI7" s="555">
        <v>3055</v>
      </c>
      <c r="AJ7" s="552"/>
      <c r="AK7" s="553"/>
      <c r="AL7" s="553">
        <v>4464</v>
      </c>
      <c r="AM7" s="558">
        <f t="shared" si="7"/>
        <v>18796</v>
      </c>
      <c r="AO7" s="554">
        <v>2015</v>
      </c>
      <c r="AP7" s="549"/>
      <c r="AQ7" s="550">
        <v>3274</v>
      </c>
      <c r="AR7" s="551">
        <v>446</v>
      </c>
      <c r="AS7" s="555">
        <v>128</v>
      </c>
      <c r="AT7" s="552">
        <v>1444</v>
      </c>
      <c r="AU7" s="553"/>
      <c r="AV7" s="553">
        <v>1779</v>
      </c>
      <c r="AW7" s="558">
        <f t="shared" si="8"/>
        <v>7071</v>
      </c>
      <c r="AY7" s="554">
        <v>2015</v>
      </c>
      <c r="AZ7" s="549"/>
      <c r="BA7" s="550">
        <v>2342</v>
      </c>
      <c r="BB7" s="551">
        <v>467</v>
      </c>
      <c r="BC7" s="555">
        <v>277</v>
      </c>
      <c r="BD7" s="552">
        <v>1690</v>
      </c>
      <c r="BE7" s="553"/>
      <c r="BF7" s="553">
        <v>1269</v>
      </c>
      <c r="BG7" s="558">
        <f t="shared" si="9"/>
        <v>6045</v>
      </c>
      <c r="BI7" s="554">
        <v>2015</v>
      </c>
      <c r="BJ7" s="549"/>
      <c r="BK7" s="550">
        <v>2162</v>
      </c>
      <c r="BL7" s="551">
        <v>668</v>
      </c>
      <c r="BM7" s="555">
        <v>425</v>
      </c>
      <c r="BN7" s="552">
        <v>161</v>
      </c>
      <c r="BO7" s="553"/>
      <c r="BP7" s="553">
        <v>617</v>
      </c>
      <c r="BQ7" s="558">
        <f t="shared" si="10"/>
        <v>4033</v>
      </c>
      <c r="BS7" s="554">
        <v>2015</v>
      </c>
      <c r="BT7" s="549"/>
      <c r="BU7" s="550"/>
      <c r="BV7" s="551"/>
      <c r="BW7" s="555"/>
      <c r="BX7" s="552"/>
      <c r="BY7" s="553"/>
      <c r="BZ7" s="553"/>
      <c r="CA7" s="558">
        <f t="shared" si="11"/>
        <v>0</v>
      </c>
      <c r="CB7" s="674"/>
      <c r="CC7" s="554">
        <v>2015</v>
      </c>
      <c r="CD7" s="549"/>
      <c r="CE7" s="550">
        <v>3491</v>
      </c>
      <c r="CF7" s="551">
        <v>3795</v>
      </c>
      <c r="CG7" s="555">
        <v>372</v>
      </c>
      <c r="CH7" s="552">
        <v>2647</v>
      </c>
      <c r="CI7" s="553"/>
      <c r="CJ7" s="553">
        <v>35141</v>
      </c>
      <c r="CK7" s="558">
        <f t="shared" si="12"/>
        <v>45446</v>
      </c>
    </row>
    <row r="8" spans="1:89">
      <c r="A8" s="554">
        <v>2016</v>
      </c>
      <c r="B8" s="549">
        <f>M8+W8+AG8+AQ8+BA8+BK8+BU8+CE8</f>
        <v>28536</v>
      </c>
      <c r="C8" s="550">
        <f>P8+Z8+AJ8+AT8+BD8+BN8+BX8+CH8</f>
        <v>8359</v>
      </c>
      <c r="D8" s="551">
        <f t="shared" si="0"/>
        <v>13246</v>
      </c>
      <c r="E8" s="555">
        <f t="shared" si="1"/>
        <v>4340</v>
      </c>
      <c r="F8" s="552">
        <f>L8+V8+AF8+AP8+AZ8+BJ8+BT8+CD8</f>
        <v>14111</v>
      </c>
      <c r="G8" s="553">
        <f t="shared" si="2"/>
        <v>0</v>
      </c>
      <c r="H8" s="553">
        <f t="shared" si="3"/>
        <v>51866</v>
      </c>
      <c r="I8" s="558">
        <f t="shared" si="4"/>
        <v>120458</v>
      </c>
      <c r="K8" s="554">
        <v>2016</v>
      </c>
      <c r="L8" s="549">
        <v>14111</v>
      </c>
      <c r="M8" s="550">
        <v>3813</v>
      </c>
      <c r="N8" s="551">
        <v>550</v>
      </c>
      <c r="O8" s="555"/>
      <c r="P8" s="552">
        <v>2195</v>
      </c>
      <c r="Q8" s="553"/>
      <c r="R8" s="553">
        <v>280</v>
      </c>
      <c r="S8" s="558">
        <f t="shared" si="5"/>
        <v>20949</v>
      </c>
      <c r="U8" s="554">
        <v>2016</v>
      </c>
      <c r="V8" s="549"/>
      <c r="W8" s="550">
        <v>5582</v>
      </c>
      <c r="X8" s="551">
        <v>4189</v>
      </c>
      <c r="Y8" s="555"/>
      <c r="Z8" s="552"/>
      <c r="AA8" s="553"/>
      <c r="AB8" s="553">
        <v>7629</v>
      </c>
      <c r="AC8" s="558">
        <f t="shared" si="6"/>
        <v>17400</v>
      </c>
      <c r="AE8" s="554">
        <v>2016</v>
      </c>
      <c r="AF8" s="549"/>
      <c r="AG8" s="550">
        <v>7711</v>
      </c>
      <c r="AH8" s="551">
        <v>3171</v>
      </c>
      <c r="AI8" s="555">
        <v>3111</v>
      </c>
      <c r="AJ8" s="552"/>
      <c r="AK8" s="553"/>
      <c r="AL8" s="553">
        <v>3930</v>
      </c>
      <c r="AM8" s="558">
        <f t="shared" si="7"/>
        <v>17923</v>
      </c>
      <c r="AO8" s="554">
        <v>2016</v>
      </c>
      <c r="AP8" s="549"/>
      <c r="AQ8" s="550">
        <v>3234</v>
      </c>
      <c r="AR8" s="551">
        <v>452</v>
      </c>
      <c r="AS8" s="555">
        <v>129</v>
      </c>
      <c r="AT8" s="552">
        <v>1476</v>
      </c>
      <c r="AU8" s="553"/>
      <c r="AV8" s="553">
        <v>1808</v>
      </c>
      <c r="AW8" s="558">
        <f t="shared" si="8"/>
        <v>7099</v>
      </c>
      <c r="AY8" s="554">
        <v>2016</v>
      </c>
      <c r="AZ8" s="549"/>
      <c r="BA8" s="550">
        <v>2509</v>
      </c>
      <c r="BB8" s="551">
        <v>503</v>
      </c>
      <c r="BC8" s="555">
        <v>274</v>
      </c>
      <c r="BD8" s="552">
        <v>1616</v>
      </c>
      <c r="BE8" s="553"/>
      <c r="BF8" s="553">
        <v>1161</v>
      </c>
      <c r="BG8" s="558">
        <f t="shared" si="9"/>
        <v>6063</v>
      </c>
      <c r="BI8" s="554">
        <v>2016</v>
      </c>
      <c r="BJ8" s="549"/>
      <c r="BK8" s="550">
        <v>2271</v>
      </c>
      <c r="BL8" s="551">
        <v>683</v>
      </c>
      <c r="BM8" s="555">
        <v>454</v>
      </c>
      <c r="BN8" s="552">
        <v>171</v>
      </c>
      <c r="BO8" s="553"/>
      <c r="BP8" s="553">
        <v>641</v>
      </c>
      <c r="BQ8" s="558">
        <f t="shared" si="10"/>
        <v>4220</v>
      </c>
      <c r="BS8" s="554">
        <v>2016</v>
      </c>
      <c r="BT8" s="549"/>
      <c r="BU8" s="550"/>
      <c r="BV8" s="551"/>
      <c r="BW8" s="555"/>
      <c r="BX8" s="552"/>
      <c r="BY8" s="553"/>
      <c r="BZ8" s="553"/>
      <c r="CA8" s="558">
        <f t="shared" si="11"/>
        <v>0</v>
      </c>
      <c r="CB8" s="674"/>
      <c r="CC8" s="554">
        <v>2016</v>
      </c>
      <c r="CD8" s="549"/>
      <c r="CE8" s="550">
        <v>3416</v>
      </c>
      <c r="CF8" s="551">
        <v>3698</v>
      </c>
      <c r="CG8" s="555">
        <v>372</v>
      </c>
      <c r="CH8" s="552">
        <v>2901</v>
      </c>
      <c r="CI8" s="553"/>
      <c r="CJ8" s="553">
        <v>36417</v>
      </c>
      <c r="CK8" s="558">
        <f t="shared" si="12"/>
        <v>46804</v>
      </c>
    </row>
    <row r="9" spans="1:89">
      <c r="A9" s="554">
        <v>2017</v>
      </c>
      <c r="B9" s="549">
        <f>M9+W9+AG9+AQ9+BA9+BK9+BU9+CE9</f>
        <v>28719</v>
      </c>
      <c r="C9" s="550">
        <f>P9+Z9+AJ9+AT9+BD9+BN9+BX9+CH9</f>
        <v>8712</v>
      </c>
      <c r="D9" s="551">
        <f t="shared" si="0"/>
        <v>13132</v>
      </c>
      <c r="E9" s="555">
        <f t="shared" si="1"/>
        <v>4397</v>
      </c>
      <c r="F9" s="552">
        <f>L9+V9+AF9+AP9+AZ9+BJ9+BT9+CD9</f>
        <v>14393</v>
      </c>
      <c r="G9" s="553">
        <f t="shared" si="2"/>
        <v>9332</v>
      </c>
      <c r="H9" s="553">
        <f t="shared" si="3"/>
        <v>41724</v>
      </c>
      <c r="I9" s="558">
        <f t="shared" si="4"/>
        <v>120409</v>
      </c>
      <c r="K9" s="554">
        <v>2017</v>
      </c>
      <c r="L9" s="549">
        <v>14393</v>
      </c>
      <c r="M9" s="550">
        <v>3612</v>
      </c>
      <c r="N9" s="551">
        <v>509</v>
      </c>
      <c r="O9" s="555"/>
      <c r="P9" s="552">
        <v>2223</v>
      </c>
      <c r="Q9" s="553">
        <v>107</v>
      </c>
      <c r="R9" s="553">
        <v>132</v>
      </c>
      <c r="S9" s="558">
        <f t="shared" si="5"/>
        <v>20976</v>
      </c>
      <c r="U9" s="554">
        <v>2017</v>
      </c>
      <c r="V9" s="549"/>
      <c r="W9" s="550">
        <v>5656</v>
      </c>
      <c r="X9" s="551">
        <v>4217</v>
      </c>
      <c r="Y9" s="555"/>
      <c r="Z9" s="552"/>
      <c r="AA9" s="553">
        <v>103</v>
      </c>
      <c r="AB9" s="553">
        <v>7620</v>
      </c>
      <c r="AC9" s="558">
        <f t="shared" si="6"/>
        <v>17596</v>
      </c>
      <c r="AE9" s="554">
        <v>2017</v>
      </c>
      <c r="AF9" s="549"/>
      <c r="AG9" s="550">
        <v>7542</v>
      </c>
      <c r="AH9" s="551">
        <v>3126</v>
      </c>
      <c r="AI9" s="555">
        <v>3152</v>
      </c>
      <c r="AJ9" s="552"/>
      <c r="AK9" s="553">
        <v>2250</v>
      </c>
      <c r="AL9" s="553">
        <v>1156</v>
      </c>
      <c r="AM9" s="558">
        <f t="shared" si="7"/>
        <v>17226</v>
      </c>
      <c r="AO9" s="554">
        <v>2017</v>
      </c>
      <c r="AP9" s="549"/>
      <c r="AQ9" s="550">
        <v>3225</v>
      </c>
      <c r="AR9" s="551">
        <v>447</v>
      </c>
      <c r="AS9" s="555">
        <v>128</v>
      </c>
      <c r="AT9" s="552">
        <v>1463</v>
      </c>
      <c r="AU9" s="553">
        <v>525</v>
      </c>
      <c r="AV9" s="553">
        <v>1274</v>
      </c>
      <c r="AW9" s="558">
        <f t="shared" si="8"/>
        <v>7062</v>
      </c>
      <c r="AY9" s="554">
        <v>2017</v>
      </c>
      <c r="AZ9" s="549"/>
      <c r="BA9" s="550">
        <v>2755</v>
      </c>
      <c r="BB9" s="551">
        <v>537</v>
      </c>
      <c r="BC9" s="555">
        <v>268</v>
      </c>
      <c r="BD9" s="552">
        <v>1665</v>
      </c>
      <c r="BE9" s="553">
        <v>222</v>
      </c>
      <c r="BF9" s="553">
        <v>844</v>
      </c>
      <c r="BG9" s="558">
        <f t="shared" si="9"/>
        <v>6291</v>
      </c>
      <c r="BI9" s="554">
        <v>2017</v>
      </c>
      <c r="BJ9" s="549"/>
      <c r="BK9" s="550">
        <v>2428</v>
      </c>
      <c r="BL9" s="551">
        <v>690</v>
      </c>
      <c r="BM9" s="555">
        <v>478</v>
      </c>
      <c r="BN9" s="552">
        <v>177</v>
      </c>
      <c r="BO9" s="553">
        <v>156</v>
      </c>
      <c r="BP9" s="553">
        <v>501</v>
      </c>
      <c r="BQ9" s="558">
        <f t="shared" si="10"/>
        <v>4430</v>
      </c>
      <c r="BS9" s="554">
        <v>2017</v>
      </c>
      <c r="BT9" s="549"/>
      <c r="BU9" s="550"/>
      <c r="BV9" s="551"/>
      <c r="BW9" s="555"/>
      <c r="BX9" s="552"/>
      <c r="BY9" s="553"/>
      <c r="BZ9" s="553"/>
      <c r="CA9" s="558">
        <f t="shared" si="11"/>
        <v>0</v>
      </c>
      <c r="CB9" s="674"/>
      <c r="CC9" s="554">
        <v>2017</v>
      </c>
      <c r="CD9" s="549"/>
      <c r="CE9" s="550">
        <v>3501</v>
      </c>
      <c r="CF9" s="551">
        <v>3606</v>
      </c>
      <c r="CG9" s="555">
        <v>371</v>
      </c>
      <c r="CH9" s="552">
        <v>3184</v>
      </c>
      <c r="CI9" s="553">
        <v>5969</v>
      </c>
      <c r="CJ9" s="553">
        <v>30197</v>
      </c>
      <c r="CK9" s="558">
        <f t="shared" si="12"/>
        <v>46828</v>
      </c>
    </row>
    <row r="10" spans="1:89">
      <c r="A10" s="554">
        <v>2018</v>
      </c>
      <c r="B10" s="549">
        <f>M10+W10+AG10+AQ10+BA10+BK10+BU10+CE10</f>
        <v>30541</v>
      </c>
      <c r="C10" s="550">
        <f>P10+Z10+AJ10+AT10+BD10+BN10+BX10+CH10</f>
        <v>8925</v>
      </c>
      <c r="D10" s="551">
        <f t="shared" si="0"/>
        <v>13354</v>
      </c>
      <c r="E10" s="555">
        <f t="shared" si="1"/>
        <v>4606</v>
      </c>
      <c r="F10" s="552">
        <f>L10+V10+AF10+AP10+AZ10+BJ10+BT10+CD10</f>
        <v>14915</v>
      </c>
      <c r="G10" s="553">
        <f t="shared" si="2"/>
        <v>9058</v>
      </c>
      <c r="H10" s="553">
        <f t="shared" si="3"/>
        <v>40822</v>
      </c>
      <c r="I10" s="558">
        <f t="shared" si="4"/>
        <v>122221</v>
      </c>
      <c r="K10" s="554">
        <v>2018</v>
      </c>
      <c r="L10" s="549">
        <v>14915</v>
      </c>
      <c r="M10" s="550">
        <v>3445</v>
      </c>
      <c r="N10" s="551">
        <v>478</v>
      </c>
      <c r="O10" s="555"/>
      <c r="P10" s="552">
        <v>2308</v>
      </c>
      <c r="Q10" s="553">
        <v>83</v>
      </c>
      <c r="R10" s="553">
        <v>118</v>
      </c>
      <c r="S10" s="558">
        <f t="shared" si="5"/>
        <v>21347</v>
      </c>
      <c r="U10" s="554">
        <v>2018</v>
      </c>
      <c r="V10" s="549"/>
      <c r="W10" s="550">
        <v>5642</v>
      </c>
      <c r="X10" s="551">
        <v>4253</v>
      </c>
      <c r="Y10" s="555"/>
      <c r="Z10" s="552"/>
      <c r="AA10" s="553">
        <v>99</v>
      </c>
      <c r="AB10" s="553">
        <v>7796</v>
      </c>
      <c r="AC10" s="558">
        <f t="shared" si="6"/>
        <v>17790</v>
      </c>
      <c r="AE10" s="554">
        <v>2018</v>
      </c>
      <c r="AF10" s="549"/>
      <c r="AG10" s="550">
        <v>7490</v>
      </c>
      <c r="AH10" s="551">
        <v>3138</v>
      </c>
      <c r="AI10" s="555">
        <v>3261</v>
      </c>
      <c r="AJ10" s="552"/>
      <c r="AK10" s="553">
        <v>1947</v>
      </c>
      <c r="AL10" s="553">
        <v>976</v>
      </c>
      <c r="AM10" s="558">
        <f t="shared" si="7"/>
        <v>16812</v>
      </c>
      <c r="AO10" s="554">
        <v>2018</v>
      </c>
      <c r="AP10" s="549"/>
      <c r="AQ10" s="550">
        <v>3391</v>
      </c>
      <c r="AR10" s="551">
        <v>469</v>
      </c>
      <c r="AS10" s="555">
        <v>134</v>
      </c>
      <c r="AT10" s="552">
        <v>1511</v>
      </c>
      <c r="AU10" s="553">
        <v>553</v>
      </c>
      <c r="AV10" s="553">
        <v>1317</v>
      </c>
      <c r="AW10" s="558">
        <f t="shared" si="8"/>
        <v>7375</v>
      </c>
      <c r="AY10" s="554">
        <v>2018</v>
      </c>
      <c r="AZ10" s="549"/>
      <c r="BA10" s="550">
        <v>2998</v>
      </c>
      <c r="BB10" s="551">
        <v>576</v>
      </c>
      <c r="BC10" s="555">
        <v>264</v>
      </c>
      <c r="BD10" s="552">
        <v>1653</v>
      </c>
      <c r="BE10" s="553">
        <v>221</v>
      </c>
      <c r="BF10" s="553">
        <v>725</v>
      </c>
      <c r="BG10" s="558">
        <f t="shared" si="9"/>
        <v>6437</v>
      </c>
      <c r="BI10" s="554">
        <v>2018</v>
      </c>
      <c r="BJ10" s="549"/>
      <c r="BK10" s="550">
        <v>2575</v>
      </c>
      <c r="BL10" s="551">
        <v>699</v>
      </c>
      <c r="BM10" s="555">
        <v>503</v>
      </c>
      <c r="BN10" s="552">
        <v>190</v>
      </c>
      <c r="BO10" s="553">
        <v>142</v>
      </c>
      <c r="BP10" s="553">
        <v>536</v>
      </c>
      <c r="BQ10" s="558">
        <f t="shared" si="10"/>
        <v>4645</v>
      </c>
      <c r="BS10" s="554">
        <v>2018</v>
      </c>
      <c r="BT10" s="549"/>
      <c r="BU10" s="550">
        <v>1512</v>
      </c>
      <c r="BV10" s="551">
        <v>91</v>
      </c>
      <c r="BW10" s="555">
        <v>95</v>
      </c>
      <c r="BX10" s="552"/>
      <c r="BY10" s="553">
        <v>27</v>
      </c>
      <c r="BZ10" s="553">
        <v>2339</v>
      </c>
      <c r="CA10" s="558">
        <f t="shared" si="11"/>
        <v>4064</v>
      </c>
      <c r="CB10" s="674"/>
      <c r="CC10" s="554">
        <v>2018</v>
      </c>
      <c r="CD10" s="549"/>
      <c r="CE10" s="550">
        <v>3488</v>
      </c>
      <c r="CF10" s="551">
        <v>3650</v>
      </c>
      <c r="CG10" s="555">
        <v>349</v>
      </c>
      <c r="CH10" s="552">
        <v>3263</v>
      </c>
      <c r="CI10" s="553">
        <v>5986</v>
      </c>
      <c r="CJ10" s="553">
        <v>27015</v>
      </c>
      <c r="CK10" s="558">
        <f t="shared" si="12"/>
        <v>43751</v>
      </c>
    </row>
    <row r="11" spans="1:89">
      <c r="A11" s="554">
        <v>2019</v>
      </c>
      <c r="B11" s="549">
        <f>M11+W11+AG11+AQ11+BA11+BK11+BU11+CE11</f>
        <v>30183</v>
      </c>
      <c r="C11" s="550">
        <f>P11+Z11+AJ11+AT11+BD11+BN11+BX11+CH11</f>
        <v>8566</v>
      </c>
      <c r="D11" s="551">
        <f t="shared" si="0"/>
        <v>13182</v>
      </c>
      <c r="E11" s="555">
        <f t="shared" si="1"/>
        <v>4724</v>
      </c>
      <c r="F11" s="552">
        <f>L11+V11+AF11+AP11+AZ11+BJ11+BT11+CD11</f>
        <v>13749</v>
      </c>
      <c r="G11" s="553">
        <f t="shared" si="2"/>
        <v>8614</v>
      </c>
      <c r="H11" s="553">
        <f t="shared" si="3"/>
        <v>43985</v>
      </c>
      <c r="I11" s="558">
        <f t="shared" si="4"/>
        <v>123003</v>
      </c>
      <c r="K11" s="554">
        <v>2019</v>
      </c>
      <c r="L11" s="549">
        <v>13749</v>
      </c>
      <c r="M11" s="550">
        <v>3045</v>
      </c>
      <c r="N11" s="551">
        <v>423</v>
      </c>
      <c r="O11" s="555"/>
      <c r="P11" s="552">
        <v>2048</v>
      </c>
      <c r="Q11" s="553">
        <v>69</v>
      </c>
      <c r="R11" s="553">
        <v>106</v>
      </c>
      <c r="S11" s="558">
        <f t="shared" si="5"/>
        <v>19440</v>
      </c>
      <c r="U11" s="554">
        <v>2019</v>
      </c>
      <c r="V11" s="549"/>
      <c r="W11" s="550">
        <v>5459</v>
      </c>
      <c r="X11" s="551">
        <v>4080</v>
      </c>
      <c r="Y11" s="555"/>
      <c r="Z11" s="552"/>
      <c r="AA11" s="553">
        <v>98</v>
      </c>
      <c r="AB11" s="553">
        <v>7341</v>
      </c>
      <c r="AC11" s="558">
        <f t="shared" si="6"/>
        <v>16978</v>
      </c>
      <c r="AE11" s="554">
        <v>2019</v>
      </c>
      <c r="AF11" s="549"/>
      <c r="AG11" s="550">
        <v>7417</v>
      </c>
      <c r="AH11" s="551">
        <v>3147</v>
      </c>
      <c r="AI11" s="555">
        <v>3378</v>
      </c>
      <c r="AJ11" s="552"/>
      <c r="AK11" s="553">
        <v>1630</v>
      </c>
      <c r="AL11" s="553">
        <v>790</v>
      </c>
      <c r="AM11" s="558">
        <f t="shared" si="7"/>
        <v>16362</v>
      </c>
      <c r="AO11" s="554">
        <v>2019</v>
      </c>
      <c r="AP11" s="549"/>
      <c r="AQ11" s="550">
        <v>3269</v>
      </c>
      <c r="AR11" s="551">
        <v>453</v>
      </c>
      <c r="AS11" s="555">
        <v>130</v>
      </c>
      <c r="AT11" s="552">
        <v>1476</v>
      </c>
      <c r="AU11" s="553">
        <v>529</v>
      </c>
      <c r="AV11" s="553">
        <v>1292</v>
      </c>
      <c r="AW11" s="558">
        <f t="shared" si="8"/>
        <v>7149</v>
      </c>
      <c r="AY11" s="554">
        <v>2019</v>
      </c>
      <c r="AZ11" s="549"/>
      <c r="BA11" s="550">
        <v>3274</v>
      </c>
      <c r="BB11" s="551">
        <v>621</v>
      </c>
      <c r="BC11" s="555">
        <v>263</v>
      </c>
      <c r="BD11" s="552">
        <v>1549</v>
      </c>
      <c r="BE11" s="553">
        <v>222</v>
      </c>
      <c r="BF11" s="553">
        <v>594</v>
      </c>
      <c r="BG11" s="558">
        <f t="shared" si="9"/>
        <v>6523</v>
      </c>
      <c r="BI11" s="554">
        <v>2019</v>
      </c>
      <c r="BJ11" s="549"/>
      <c r="BK11" s="550">
        <v>2702</v>
      </c>
      <c r="BL11" s="551">
        <v>703</v>
      </c>
      <c r="BM11" s="555">
        <v>526</v>
      </c>
      <c r="BN11" s="552">
        <v>197</v>
      </c>
      <c r="BO11" s="553">
        <v>127</v>
      </c>
      <c r="BP11" s="553">
        <v>563</v>
      </c>
      <c r="BQ11" s="558">
        <f t="shared" si="10"/>
        <v>4818</v>
      </c>
      <c r="BS11" s="554">
        <v>2019</v>
      </c>
      <c r="BT11" s="549"/>
      <c r="BU11" s="550">
        <v>1668</v>
      </c>
      <c r="BV11" s="551">
        <v>100</v>
      </c>
      <c r="BW11" s="555">
        <v>105</v>
      </c>
      <c r="BX11" s="552"/>
      <c r="BY11" s="553">
        <v>29</v>
      </c>
      <c r="BZ11" s="553">
        <v>2580</v>
      </c>
      <c r="CA11" s="558">
        <f t="shared" si="11"/>
        <v>4482</v>
      </c>
      <c r="CB11" s="674"/>
      <c r="CC11" s="554">
        <v>2019</v>
      </c>
      <c r="CD11" s="549"/>
      <c r="CE11" s="550">
        <v>3349</v>
      </c>
      <c r="CF11" s="551">
        <v>3655</v>
      </c>
      <c r="CG11" s="555">
        <v>322</v>
      </c>
      <c r="CH11" s="552">
        <v>3296</v>
      </c>
      <c r="CI11" s="553">
        <v>5910</v>
      </c>
      <c r="CJ11" s="553">
        <v>30719</v>
      </c>
      <c r="CK11" s="558">
        <f t="shared" si="12"/>
        <v>47251</v>
      </c>
    </row>
    <row r="12" spans="1:89">
      <c r="A12" s="554">
        <v>2020</v>
      </c>
      <c r="B12" s="549">
        <f>M12+W12+AG12+AQ12+BA12+BK12+BU12+CE12</f>
        <v>28857</v>
      </c>
      <c r="C12" s="550">
        <f>P12+Z12+AJ12+AT12+BD12+BN12+BX12+CH12</f>
        <v>7424</v>
      </c>
      <c r="D12" s="551">
        <f t="shared" si="0"/>
        <v>12719</v>
      </c>
      <c r="E12" s="555">
        <f t="shared" si="1"/>
        <v>4637</v>
      </c>
      <c r="F12" s="552">
        <f>L12+V12+AF12+AP12+AZ12+BJ12+BT12+CD12</f>
        <v>9626</v>
      </c>
      <c r="G12" s="553">
        <f t="shared" si="2"/>
        <v>8432</v>
      </c>
      <c r="H12" s="553">
        <f t="shared" si="3"/>
        <v>42820</v>
      </c>
      <c r="I12" s="558">
        <f t="shared" si="4"/>
        <v>114515</v>
      </c>
      <c r="K12" s="554">
        <v>2020</v>
      </c>
      <c r="L12" s="549">
        <v>9626</v>
      </c>
      <c r="M12" s="550">
        <v>2723</v>
      </c>
      <c r="N12" s="551">
        <v>379</v>
      </c>
      <c r="O12" s="555"/>
      <c r="P12" s="552">
        <v>1462</v>
      </c>
      <c r="Q12" s="553">
        <v>59</v>
      </c>
      <c r="R12" s="553">
        <v>95</v>
      </c>
      <c r="S12" s="558">
        <f t="shared" si="5"/>
        <v>14344</v>
      </c>
      <c r="U12" s="554">
        <v>2020</v>
      </c>
      <c r="V12" s="549"/>
      <c r="W12" s="550">
        <v>5197</v>
      </c>
      <c r="X12" s="551">
        <v>3850</v>
      </c>
      <c r="Y12" s="555"/>
      <c r="Z12" s="552"/>
      <c r="AA12" s="553">
        <v>96</v>
      </c>
      <c r="AB12" s="553">
        <v>6834</v>
      </c>
      <c r="AC12" s="558">
        <f t="shared" si="6"/>
        <v>15977</v>
      </c>
      <c r="AE12" s="554">
        <v>2020</v>
      </c>
      <c r="AF12" s="549"/>
      <c r="AG12" s="550">
        <v>7329</v>
      </c>
      <c r="AH12" s="551">
        <v>3122</v>
      </c>
      <c r="AI12" s="555">
        <v>3350</v>
      </c>
      <c r="AJ12" s="552"/>
      <c r="AK12" s="553">
        <v>1611</v>
      </c>
      <c r="AL12" s="553">
        <v>788</v>
      </c>
      <c r="AM12" s="558">
        <f t="shared" si="7"/>
        <v>16200</v>
      </c>
      <c r="AO12" s="554">
        <v>2020</v>
      </c>
      <c r="AP12" s="549"/>
      <c r="AQ12" s="550">
        <v>2539</v>
      </c>
      <c r="AR12" s="551">
        <v>356</v>
      </c>
      <c r="AS12" s="555">
        <v>102</v>
      </c>
      <c r="AT12" s="552">
        <v>1155</v>
      </c>
      <c r="AU12" s="553">
        <v>393</v>
      </c>
      <c r="AV12" s="553">
        <v>1052</v>
      </c>
      <c r="AW12" s="558">
        <f t="shared" si="8"/>
        <v>5597</v>
      </c>
      <c r="AY12" s="554">
        <v>2020</v>
      </c>
      <c r="AZ12" s="549"/>
      <c r="BA12" s="550">
        <v>3317</v>
      </c>
      <c r="BB12" s="551">
        <v>629</v>
      </c>
      <c r="BC12" s="555">
        <v>265</v>
      </c>
      <c r="BD12" s="552">
        <v>1691</v>
      </c>
      <c r="BE12" s="553">
        <v>224</v>
      </c>
      <c r="BF12" s="553">
        <v>608</v>
      </c>
      <c r="BG12" s="558">
        <f t="shared" si="9"/>
        <v>6734</v>
      </c>
      <c r="BI12" s="554">
        <v>2020</v>
      </c>
      <c r="BJ12" s="549"/>
      <c r="BK12" s="550">
        <v>2528</v>
      </c>
      <c r="BL12" s="551">
        <v>658</v>
      </c>
      <c r="BM12" s="555">
        <v>492</v>
      </c>
      <c r="BN12" s="552">
        <v>164</v>
      </c>
      <c r="BO12" s="553">
        <v>119</v>
      </c>
      <c r="BP12" s="553">
        <v>513</v>
      </c>
      <c r="BQ12" s="558">
        <f t="shared" si="10"/>
        <v>4474</v>
      </c>
      <c r="BS12" s="554">
        <v>2020</v>
      </c>
      <c r="BT12" s="549"/>
      <c r="BU12" s="550">
        <v>1988</v>
      </c>
      <c r="BV12" s="551">
        <v>119</v>
      </c>
      <c r="BW12" s="555">
        <v>125</v>
      </c>
      <c r="BX12" s="552"/>
      <c r="BY12" s="553">
        <v>35</v>
      </c>
      <c r="BZ12" s="553">
        <v>3076</v>
      </c>
      <c r="CA12" s="558">
        <f t="shared" si="11"/>
        <v>5343</v>
      </c>
      <c r="CB12" s="674"/>
      <c r="CC12" s="554">
        <v>2020</v>
      </c>
      <c r="CD12" s="549"/>
      <c r="CE12" s="550">
        <v>3236</v>
      </c>
      <c r="CF12" s="551">
        <v>3606</v>
      </c>
      <c r="CG12" s="555">
        <v>303</v>
      </c>
      <c r="CH12" s="552">
        <v>2952</v>
      </c>
      <c r="CI12" s="553">
        <v>5895</v>
      </c>
      <c r="CJ12" s="553">
        <v>29854</v>
      </c>
      <c r="CK12" s="558">
        <f t="shared" si="12"/>
        <v>45846</v>
      </c>
    </row>
    <row r="13" spans="1:89">
      <c r="A13" s="554">
        <v>2021</v>
      </c>
      <c r="B13" s="549">
        <f>M13+W13+AG13+AQ13+BA13+BK13+BU13+CE13</f>
        <v>29712</v>
      </c>
      <c r="C13" s="550">
        <f>P13+Z13+AJ13+AT13+BD13+BN13+BX13+CH13</f>
        <v>7893</v>
      </c>
      <c r="D13" s="551">
        <f t="shared" si="0"/>
        <v>12847</v>
      </c>
      <c r="E13" s="555">
        <f t="shared" si="1"/>
        <v>4673</v>
      </c>
      <c r="F13" s="552">
        <f>L13+V13+AF13+AP13+AZ13+BJ13+BT13+CD13</f>
        <v>10988</v>
      </c>
      <c r="G13" s="553">
        <f t="shared" si="2"/>
        <v>8587</v>
      </c>
      <c r="H13" s="553">
        <f t="shared" si="3"/>
        <v>45384</v>
      </c>
      <c r="I13" s="558">
        <f t="shared" si="4"/>
        <v>120084</v>
      </c>
      <c r="K13" s="554">
        <v>2021</v>
      </c>
      <c r="L13" s="549">
        <v>10988</v>
      </c>
      <c r="M13" s="550">
        <v>2805</v>
      </c>
      <c r="N13" s="551">
        <v>391</v>
      </c>
      <c r="O13" s="555"/>
      <c r="P13" s="552">
        <v>1682</v>
      </c>
      <c r="Q13" s="553">
        <v>61</v>
      </c>
      <c r="R13" s="553">
        <v>98</v>
      </c>
      <c r="S13" s="558">
        <f t="shared" si="5"/>
        <v>16025</v>
      </c>
      <c r="U13" s="554">
        <v>2021</v>
      </c>
      <c r="V13" s="549"/>
      <c r="W13" s="550">
        <v>5206</v>
      </c>
      <c r="X13" s="551">
        <v>3890</v>
      </c>
      <c r="Y13" s="555"/>
      <c r="Z13" s="552"/>
      <c r="AA13" s="553">
        <v>94</v>
      </c>
      <c r="AB13" s="553">
        <v>6819</v>
      </c>
      <c r="AC13" s="558">
        <f t="shared" si="6"/>
        <v>16009</v>
      </c>
      <c r="AE13" s="554">
        <v>2021</v>
      </c>
      <c r="AF13" s="549"/>
      <c r="AG13" s="550">
        <v>7323</v>
      </c>
      <c r="AH13" s="551">
        <v>3119</v>
      </c>
      <c r="AI13" s="555">
        <v>3346</v>
      </c>
      <c r="AJ13" s="552"/>
      <c r="AK13" s="553">
        <v>1609</v>
      </c>
      <c r="AL13" s="553">
        <v>787</v>
      </c>
      <c r="AM13" s="558">
        <f t="shared" si="7"/>
        <v>16184</v>
      </c>
      <c r="AO13" s="554">
        <v>2021</v>
      </c>
      <c r="AP13" s="549"/>
      <c r="AQ13" s="550">
        <v>3023</v>
      </c>
      <c r="AR13" s="551">
        <v>421</v>
      </c>
      <c r="AS13" s="555">
        <v>120</v>
      </c>
      <c r="AT13" s="552">
        <v>1317</v>
      </c>
      <c r="AU13" s="553">
        <v>482</v>
      </c>
      <c r="AV13" s="553">
        <v>1180</v>
      </c>
      <c r="AW13" s="558">
        <f t="shared" si="8"/>
        <v>6543</v>
      </c>
      <c r="AY13" s="554">
        <v>2021</v>
      </c>
      <c r="AZ13" s="549"/>
      <c r="BA13" s="550">
        <v>3358</v>
      </c>
      <c r="BB13" s="551">
        <v>637</v>
      </c>
      <c r="BC13" s="555">
        <v>269</v>
      </c>
      <c r="BD13" s="552">
        <v>1672</v>
      </c>
      <c r="BE13" s="553">
        <v>227</v>
      </c>
      <c r="BF13" s="553">
        <v>613</v>
      </c>
      <c r="BG13" s="558">
        <f t="shared" si="9"/>
        <v>6776</v>
      </c>
      <c r="BI13" s="554">
        <v>2021</v>
      </c>
      <c r="BJ13" s="549"/>
      <c r="BK13" s="550">
        <v>2548</v>
      </c>
      <c r="BL13" s="551">
        <v>663</v>
      </c>
      <c r="BM13" s="555">
        <v>496</v>
      </c>
      <c r="BN13" s="552">
        <v>173</v>
      </c>
      <c r="BO13" s="553">
        <v>120</v>
      </c>
      <c r="BP13" s="553">
        <v>522</v>
      </c>
      <c r="BQ13" s="558">
        <f t="shared" si="10"/>
        <v>4522</v>
      </c>
      <c r="BS13" s="554">
        <v>2021</v>
      </c>
      <c r="BT13" s="549"/>
      <c r="BU13" s="550">
        <v>2184</v>
      </c>
      <c r="BV13" s="551">
        <v>131</v>
      </c>
      <c r="BW13" s="555">
        <v>137</v>
      </c>
      <c r="BX13" s="552"/>
      <c r="BY13" s="553">
        <v>38</v>
      </c>
      <c r="BZ13" s="553">
        <v>3378</v>
      </c>
      <c r="CA13" s="558">
        <f t="shared" si="11"/>
        <v>5868</v>
      </c>
      <c r="CB13" s="674"/>
      <c r="CC13" s="554">
        <v>2021</v>
      </c>
      <c r="CD13" s="549"/>
      <c r="CE13" s="550">
        <v>3265</v>
      </c>
      <c r="CF13" s="551">
        <v>3595</v>
      </c>
      <c r="CG13" s="555">
        <v>305</v>
      </c>
      <c r="CH13" s="552">
        <v>3049</v>
      </c>
      <c r="CI13" s="553">
        <v>5956</v>
      </c>
      <c r="CJ13" s="553">
        <v>31987</v>
      </c>
      <c r="CK13" s="558">
        <f t="shared" si="12"/>
        <v>48157</v>
      </c>
    </row>
    <row r="14" spans="1:89">
      <c r="AE14" s="674"/>
      <c r="AG14" s="674"/>
      <c r="AH14" s="674"/>
      <c r="AI14" s="674"/>
      <c r="AK14" s="674"/>
      <c r="AL14" s="674"/>
      <c r="AY14" s="674"/>
      <c r="BA14" s="674"/>
      <c r="BB14" s="674"/>
      <c r="BC14" s="674"/>
      <c r="BD14" s="674"/>
      <c r="BE14" s="674"/>
      <c r="BF14" s="674"/>
    </row>
    <row r="15" spans="1:89">
      <c r="A15" s="672" t="s">
        <v>1050</v>
      </c>
      <c r="K15" s="672" t="s">
        <v>1011</v>
      </c>
      <c r="Q15" s="672"/>
      <c r="U15" s="672" t="s">
        <v>1010</v>
      </c>
      <c r="AE15" s="673" t="s">
        <v>1014</v>
      </c>
      <c r="AO15" s="673" t="s">
        <v>1013</v>
      </c>
      <c r="AY15" s="673" t="s">
        <v>1012</v>
      </c>
      <c r="BI15" s="673" t="s">
        <v>1016</v>
      </c>
      <c r="BS15" s="673" t="s">
        <v>1015</v>
      </c>
      <c r="CC15" s="673" t="s">
        <v>1017</v>
      </c>
    </row>
    <row r="16" spans="1:89">
      <c r="A16" s="674" t="s">
        <v>481</v>
      </c>
      <c r="B16" s="674" t="s">
        <v>989</v>
      </c>
      <c r="C16" s="674" t="s">
        <v>1008</v>
      </c>
      <c r="D16" s="674" t="s">
        <v>991</v>
      </c>
      <c r="E16" s="674" t="s">
        <v>993</v>
      </c>
      <c r="F16" s="674" t="s">
        <v>988</v>
      </c>
      <c r="G16" s="674" t="s">
        <v>1009</v>
      </c>
      <c r="H16" s="674" t="s">
        <v>994</v>
      </c>
      <c r="I16" s="674" t="s">
        <v>1026</v>
      </c>
      <c r="K16" s="674" t="s">
        <v>481</v>
      </c>
      <c r="L16" s="674" t="s">
        <v>988</v>
      </c>
      <c r="M16" s="674" t="s">
        <v>989</v>
      </c>
      <c r="N16" s="674" t="s">
        <v>991</v>
      </c>
      <c r="O16" s="674"/>
      <c r="P16" s="674" t="s">
        <v>1008</v>
      </c>
      <c r="Q16" s="674" t="s">
        <v>1009</v>
      </c>
      <c r="R16" s="674" t="s">
        <v>994</v>
      </c>
      <c r="S16" s="674" t="s">
        <v>1026</v>
      </c>
      <c r="U16" s="674" t="s">
        <v>481</v>
      </c>
      <c r="V16" s="674" t="s">
        <v>988</v>
      </c>
      <c r="W16" s="674" t="s">
        <v>989</v>
      </c>
      <c r="X16" s="674" t="s">
        <v>991</v>
      </c>
      <c r="Y16" s="674"/>
      <c r="Z16" s="674" t="s">
        <v>1008</v>
      </c>
      <c r="AA16" s="674" t="s">
        <v>1009</v>
      </c>
      <c r="AB16" s="674" t="s">
        <v>994</v>
      </c>
      <c r="AC16" s="674" t="s">
        <v>1026</v>
      </c>
      <c r="AE16" s="674" t="s">
        <v>481</v>
      </c>
      <c r="AF16" s="674" t="s">
        <v>988</v>
      </c>
      <c r="AG16" s="674" t="s">
        <v>989</v>
      </c>
      <c r="AH16" s="674" t="s">
        <v>991</v>
      </c>
      <c r="AI16" s="674" t="s">
        <v>993</v>
      </c>
      <c r="AJ16" s="674" t="s">
        <v>1008</v>
      </c>
      <c r="AK16" s="674" t="s">
        <v>1009</v>
      </c>
      <c r="AL16" s="674" t="s">
        <v>994</v>
      </c>
      <c r="AM16" s="674" t="s">
        <v>1026</v>
      </c>
      <c r="AO16" s="674" t="s">
        <v>481</v>
      </c>
      <c r="AP16" s="674" t="s">
        <v>988</v>
      </c>
      <c r="AQ16" s="674" t="s">
        <v>989</v>
      </c>
      <c r="AR16" s="674" t="s">
        <v>991</v>
      </c>
      <c r="AS16" s="674" t="s">
        <v>993</v>
      </c>
      <c r="AT16" s="674" t="s">
        <v>1008</v>
      </c>
      <c r="AU16" s="674" t="s">
        <v>1009</v>
      </c>
      <c r="AV16" s="674" t="s">
        <v>994</v>
      </c>
      <c r="AW16" s="674" t="s">
        <v>1026</v>
      </c>
      <c r="AY16" s="674" t="s">
        <v>481</v>
      </c>
      <c r="AZ16" s="674" t="s">
        <v>988</v>
      </c>
      <c r="BA16" s="674" t="s">
        <v>989</v>
      </c>
      <c r="BB16" s="674" t="s">
        <v>991</v>
      </c>
      <c r="BC16" s="674" t="s">
        <v>993</v>
      </c>
      <c r="BD16" s="674" t="s">
        <v>1008</v>
      </c>
      <c r="BE16" s="674" t="s">
        <v>1009</v>
      </c>
      <c r="BF16" s="674" t="s">
        <v>994</v>
      </c>
      <c r="BG16" s="674" t="s">
        <v>1026</v>
      </c>
      <c r="BI16" s="674" t="s">
        <v>481</v>
      </c>
      <c r="BJ16" s="674" t="s">
        <v>988</v>
      </c>
      <c r="BK16" s="674" t="s">
        <v>989</v>
      </c>
      <c r="BL16" s="674" t="s">
        <v>991</v>
      </c>
      <c r="BM16" s="674" t="s">
        <v>993</v>
      </c>
      <c r="BN16" s="674" t="s">
        <v>1008</v>
      </c>
      <c r="BO16" s="674" t="s">
        <v>1009</v>
      </c>
      <c r="BP16" s="674" t="s">
        <v>994</v>
      </c>
      <c r="BQ16" s="674" t="s">
        <v>1026</v>
      </c>
      <c r="BS16" s="674" t="s">
        <v>481</v>
      </c>
      <c r="BT16" s="674" t="s">
        <v>988</v>
      </c>
      <c r="BU16" s="674" t="s">
        <v>989</v>
      </c>
      <c r="BV16" s="674" t="s">
        <v>991</v>
      </c>
      <c r="BW16" s="674" t="s">
        <v>993</v>
      </c>
      <c r="BY16" s="674" t="s">
        <v>1009</v>
      </c>
      <c r="BZ16" s="674" t="s">
        <v>994</v>
      </c>
      <c r="CA16" s="674" t="s">
        <v>1026</v>
      </c>
      <c r="CB16" s="674"/>
      <c r="CC16" s="674" t="s">
        <v>481</v>
      </c>
      <c r="CD16" s="674" t="s">
        <v>988</v>
      </c>
      <c r="CE16" s="674" t="s">
        <v>989</v>
      </c>
      <c r="CF16" s="674" t="s">
        <v>991</v>
      </c>
      <c r="CG16" s="674" t="s">
        <v>993</v>
      </c>
      <c r="CH16" s="674" t="s">
        <v>1008</v>
      </c>
      <c r="CI16" s="674" t="s">
        <v>1009</v>
      </c>
      <c r="CJ16" s="674" t="s">
        <v>994</v>
      </c>
      <c r="CK16" s="674" t="s">
        <v>1026</v>
      </c>
    </row>
    <row r="17" spans="1:89">
      <c r="A17" s="674">
        <v>2011</v>
      </c>
      <c r="B17" s="1">
        <f>B3/$I3</f>
        <v>0.24622452849705204</v>
      </c>
      <c r="C17" s="1">
        <f t="shared" ref="C17:H17" si="13">C3/$I3</f>
        <v>6.1691893942005999E-2</v>
      </c>
      <c r="D17" s="1">
        <f t="shared" si="13"/>
        <v>0.11631555356342448</v>
      </c>
      <c r="E17" s="1">
        <f t="shared" si="13"/>
        <v>3.4298176050753373E-2</v>
      </c>
      <c r="F17" s="1">
        <f t="shared" si="13"/>
        <v>0.1115574250939558</v>
      </c>
      <c r="G17" s="1">
        <f t="shared" si="13"/>
        <v>0</v>
      </c>
      <c r="H17" s="1">
        <f t="shared" si="13"/>
        <v>0.42991242285280834</v>
      </c>
      <c r="I17" s="675">
        <f>SUM(B17:H17)</f>
        <v>1</v>
      </c>
      <c r="K17" s="674">
        <v>2011</v>
      </c>
      <c r="L17" s="1">
        <f>L3/$S3</f>
        <v>0.61142344215051736</v>
      </c>
      <c r="M17" s="1">
        <f>M3/$S3</f>
        <v>0.23527188548211839</v>
      </c>
      <c r="N17" s="1">
        <f>N3/$S3</f>
        <v>3.5054566069825675E-2</v>
      </c>
      <c r="O17" s="1"/>
      <c r="P17" s="1">
        <f>P3/$S3</f>
        <v>9.5856758161288802E-2</v>
      </c>
      <c r="Q17" s="1">
        <f>Q3/$S3</f>
        <v>0</v>
      </c>
      <c r="R17" s="1">
        <f>R3/$S3</f>
        <v>2.2393348136249824E-2</v>
      </c>
      <c r="S17" s="674">
        <f>SUM(L17:R17)</f>
        <v>1</v>
      </c>
      <c r="U17" s="674">
        <v>2011</v>
      </c>
      <c r="V17" s="674"/>
      <c r="W17" s="1">
        <f>W3/$AC3</f>
        <v>0.32454419570736209</v>
      </c>
      <c r="X17" s="1">
        <f t="shared" ref="X17:AB17" si="14">X3/$AC3</f>
        <v>0.24134548811447035</v>
      </c>
      <c r="Y17" s="1"/>
      <c r="Z17" s="1"/>
      <c r="AA17" s="1">
        <f t="shared" si="14"/>
        <v>0</v>
      </c>
      <c r="AB17" s="1">
        <f t="shared" si="14"/>
        <v>0.43411031617816753</v>
      </c>
      <c r="AC17" s="674">
        <f>SUM(V17:AB17)</f>
        <v>1</v>
      </c>
      <c r="AE17" s="674">
        <v>2011</v>
      </c>
      <c r="AF17" s="674"/>
      <c r="AG17" s="1">
        <f>AG3/$AM3</f>
        <v>0.41365254872563717</v>
      </c>
      <c r="AH17" s="1">
        <f>AH3/$AM3</f>
        <v>0.15475074962518739</v>
      </c>
      <c r="AI17" s="1">
        <f>AI3/$AM3</f>
        <v>0.13310532233883057</v>
      </c>
      <c r="AJ17" s="1"/>
      <c r="AK17" s="1">
        <f>AK3/$AM3</f>
        <v>0</v>
      </c>
      <c r="AL17" s="1">
        <f>AL3/$AM3</f>
        <v>0.29849137931034481</v>
      </c>
      <c r="AM17" s="674">
        <f>SUM(AF17:AL17)</f>
        <v>1</v>
      </c>
      <c r="AO17" s="674">
        <v>2011</v>
      </c>
      <c r="AP17" s="674"/>
      <c r="AQ17" s="1">
        <f>IFERROR(AQ3/$AW3,0)</f>
        <v>0</v>
      </c>
      <c r="AR17" s="1">
        <f t="shared" ref="AR17:AV17" si="15">IFERROR(AR3/$AW3,0)</f>
        <v>0</v>
      </c>
      <c r="AS17" s="1">
        <f t="shared" si="15"/>
        <v>0</v>
      </c>
      <c r="AT17" s="1">
        <f t="shared" si="15"/>
        <v>0</v>
      </c>
      <c r="AU17" s="1">
        <f t="shared" si="15"/>
        <v>0</v>
      </c>
      <c r="AV17" s="1">
        <f t="shared" si="15"/>
        <v>0</v>
      </c>
      <c r="AW17" s="674">
        <f>SUM(AP17:AV17)</f>
        <v>0</v>
      </c>
      <c r="AY17" s="674">
        <v>2011</v>
      </c>
      <c r="AZ17" s="674"/>
      <c r="BA17" s="1">
        <f>IFERROR(BA3/$BG3,0)</f>
        <v>0</v>
      </c>
      <c r="BB17" s="1">
        <f t="shared" ref="BB17:BF17" si="16">IFERROR(BB3/$BG3,0)</f>
        <v>0</v>
      </c>
      <c r="BC17" s="1">
        <f t="shared" si="16"/>
        <v>0</v>
      </c>
      <c r="BD17" s="1">
        <f t="shared" si="16"/>
        <v>0</v>
      </c>
      <c r="BE17" s="1">
        <f t="shared" si="16"/>
        <v>0</v>
      </c>
      <c r="BF17" s="1">
        <f t="shared" si="16"/>
        <v>0</v>
      </c>
      <c r="BG17" s="674">
        <f>SUM(AZ17:BF17)</f>
        <v>0</v>
      </c>
      <c r="BI17" s="674">
        <v>2011</v>
      </c>
      <c r="BJ17" s="674"/>
      <c r="BK17" s="1">
        <f>IFERROR(BK3/$BQ3,0)</f>
        <v>0</v>
      </c>
      <c r="BL17" s="1">
        <f t="shared" ref="BL17:BP17" si="17">IFERROR(BL3/$BQ3,0)</f>
        <v>0</v>
      </c>
      <c r="BM17" s="1">
        <f t="shared" si="17"/>
        <v>0</v>
      </c>
      <c r="BN17" s="1">
        <f t="shared" si="17"/>
        <v>0</v>
      </c>
      <c r="BO17" s="1">
        <f t="shared" si="17"/>
        <v>0</v>
      </c>
      <c r="BP17" s="1">
        <f t="shared" si="17"/>
        <v>0</v>
      </c>
      <c r="BQ17" s="674">
        <f>SUM(BJ17:BP17)</f>
        <v>0</v>
      </c>
      <c r="BS17" s="674">
        <v>2011</v>
      </c>
      <c r="BT17" s="674"/>
      <c r="BU17" s="1">
        <f>IFERROR(BU3/$CA3,0)</f>
        <v>0</v>
      </c>
      <c r="BV17" s="1">
        <f>IFERROR(BV3/$CA3,0)</f>
        <v>0</v>
      </c>
      <c r="BW17" s="1">
        <f>IFERROR(BW3/$CA3,0)</f>
        <v>0</v>
      </c>
      <c r="BY17" s="1">
        <f>IFERROR(BY3/$CA3,0)</f>
        <v>0</v>
      </c>
      <c r="BZ17" s="1">
        <f>IFERROR(BZ3/$CA3,0)</f>
        <v>0</v>
      </c>
      <c r="CA17" s="674">
        <f>SUM(BT17:BZ17)</f>
        <v>0</v>
      </c>
      <c r="CB17" s="674"/>
      <c r="CC17" s="674">
        <v>2011</v>
      </c>
      <c r="CD17" s="674"/>
      <c r="CE17" s="1">
        <f>IFERROR(CE3/$CK3,0)</f>
        <v>0.16256297957948335</v>
      </c>
      <c r="CF17" s="1">
        <f t="shared" ref="CF17:CJ17" si="18">IFERROR(CF3/$CK3,0)</f>
        <v>9.3752781783546082E-2</v>
      </c>
      <c r="CG17" s="1">
        <f t="shared" si="18"/>
        <v>2.0260285922840002E-2</v>
      </c>
      <c r="CH17" s="1">
        <f t="shared" si="18"/>
        <v>9.1295910555644566E-2</v>
      </c>
      <c r="CI17" s="1">
        <f t="shared" si="18"/>
        <v>0</v>
      </c>
      <c r="CJ17" s="1">
        <f t="shared" si="18"/>
        <v>0.63212804215848595</v>
      </c>
      <c r="CK17" s="674">
        <f>SUM(CD17:CJ17)</f>
        <v>1</v>
      </c>
    </row>
    <row r="18" spans="1:89">
      <c r="A18" s="674">
        <v>2012</v>
      </c>
      <c r="B18" s="1">
        <f>B4/$I4</f>
        <v>0.24324986689878392</v>
      </c>
      <c r="C18" s="1">
        <f>C4/$I4</f>
        <v>6.276461789387397E-2</v>
      </c>
      <c r="D18" s="1">
        <f t="shared" ref="D18:H18" si="19">D4/$I4</f>
        <v>0.11570932384582232</v>
      </c>
      <c r="E18" s="1">
        <f t="shared" si="19"/>
        <v>3.4276732217254989E-2</v>
      </c>
      <c r="F18" s="1">
        <f>F4/$I4</f>
        <v>0.1109176800669309</v>
      </c>
      <c r="G18" s="1">
        <f t="shared" si="19"/>
        <v>0</v>
      </c>
      <c r="H18" s="1">
        <f t="shared" si="19"/>
        <v>0.43308177907733392</v>
      </c>
      <c r="I18" s="675">
        <f t="shared" ref="I18:I27" si="20">SUM(B18:H18)</f>
        <v>1</v>
      </c>
      <c r="K18" s="674">
        <v>2012</v>
      </c>
      <c r="L18" s="1">
        <f>L4/$S4</f>
        <v>0.61747271358675193</v>
      </c>
      <c r="M18" s="1">
        <f>M4/$S4</f>
        <v>0.22915882574331953</v>
      </c>
      <c r="N18" s="1">
        <f>N4/$S4</f>
        <v>3.3919834399698909E-2</v>
      </c>
      <c r="O18" s="1"/>
      <c r="P18" s="1">
        <f>P4/$S4</f>
        <v>9.8513360933383518E-2</v>
      </c>
      <c r="Q18" s="1">
        <f>Q4/$S4</f>
        <v>0</v>
      </c>
      <c r="R18" s="1">
        <f>R4/$S4</f>
        <v>2.0935265336846066E-2</v>
      </c>
      <c r="S18" s="674">
        <f t="shared" ref="S18:S27" si="21">SUM(L18:R18)</f>
        <v>0.99999999999999989</v>
      </c>
      <c r="U18" s="674">
        <v>2012</v>
      </c>
      <c r="V18" s="674"/>
      <c r="W18" s="1">
        <f t="shared" ref="W18:AB27" si="22">W4/$AC4</f>
        <v>0.32547385247773464</v>
      </c>
      <c r="X18" s="1">
        <f t="shared" si="22"/>
        <v>0.2384676866864581</v>
      </c>
      <c r="Y18" s="1"/>
      <c r="Z18" s="1"/>
      <c r="AA18" s="1">
        <f t="shared" si="22"/>
        <v>0</v>
      </c>
      <c r="AB18" s="1">
        <f t="shared" si="22"/>
        <v>0.43605846083580724</v>
      </c>
      <c r="AC18" s="674">
        <f t="shared" ref="AC18:AC27" si="23">SUM(V18:AB18)</f>
        <v>1</v>
      </c>
      <c r="AE18" s="674">
        <v>2012</v>
      </c>
      <c r="AF18" s="674"/>
      <c r="AG18" s="1">
        <f>AG4/$AM4</f>
        <v>0.41621569848187345</v>
      </c>
      <c r="AH18" s="1">
        <f>AH4/$AM4</f>
        <v>0.1585652028159571</v>
      </c>
      <c r="AI18" s="1">
        <f>AI4/$AM4</f>
        <v>0.13979215554810592</v>
      </c>
      <c r="AJ18" s="1"/>
      <c r="AK18" s="1">
        <f>AK4/$AM4</f>
        <v>0</v>
      </c>
      <c r="AL18" s="1">
        <f>AL4/$AM4</f>
        <v>0.28542694315406353</v>
      </c>
      <c r="AM18" s="674">
        <f t="shared" ref="AM18:AM27" si="24">SUM(AF18:AL18)</f>
        <v>1</v>
      </c>
      <c r="AO18" s="674">
        <v>2012</v>
      </c>
      <c r="AP18" s="674"/>
      <c r="AQ18" s="1">
        <f t="shared" ref="AQ18:AV18" si="25">IFERROR(AQ4/$AW4,0)</f>
        <v>0.44873243985144518</v>
      </c>
      <c r="AR18" s="1">
        <f t="shared" si="25"/>
        <v>6.2005490069433233E-2</v>
      </c>
      <c r="AS18" s="1">
        <f t="shared" si="25"/>
        <v>1.7761989342806393E-2</v>
      </c>
      <c r="AT18" s="1">
        <f t="shared" si="25"/>
        <v>0.21346681737445503</v>
      </c>
      <c r="AU18" s="1">
        <f t="shared" si="25"/>
        <v>0</v>
      </c>
      <c r="AV18" s="1">
        <f t="shared" si="25"/>
        <v>0.25803326336186017</v>
      </c>
      <c r="AW18" s="674">
        <f t="shared" ref="AW18:AW27" si="26">SUM(AP18:AV18)</f>
        <v>1</v>
      </c>
      <c r="AY18" s="674">
        <v>2012</v>
      </c>
      <c r="AZ18" s="674"/>
      <c r="BA18" s="1">
        <f t="shared" ref="BA18:BF18" si="27">IFERROR(BA4/$BG4,0)</f>
        <v>0.29305555555555557</v>
      </c>
      <c r="BB18" s="1">
        <f t="shared" si="27"/>
        <v>6.3715277777777773E-2</v>
      </c>
      <c r="BC18" s="1">
        <f t="shared" si="27"/>
        <v>0.05</v>
      </c>
      <c r="BD18" s="1">
        <f t="shared" si="27"/>
        <v>0.32395833333333335</v>
      </c>
      <c r="BE18" s="1">
        <f t="shared" si="27"/>
        <v>0</v>
      </c>
      <c r="BF18" s="1">
        <f t="shared" si="27"/>
        <v>0.26927083333333335</v>
      </c>
      <c r="BG18" s="674">
        <f t="shared" ref="BG18:BG27" si="28">SUM(AZ18:BF18)</f>
        <v>1</v>
      </c>
      <c r="BI18" s="674">
        <v>2012</v>
      </c>
      <c r="BJ18" s="674"/>
      <c r="BK18" s="1">
        <f t="shared" ref="BK18:BP18" si="29">IFERROR(BK4/$BQ4,0)</f>
        <v>0.51093662366797532</v>
      </c>
      <c r="BL18" s="1">
        <f t="shared" si="29"/>
        <v>0.18844643858665172</v>
      </c>
      <c r="BM18" s="1">
        <f t="shared" si="29"/>
        <v>0.10375771172181716</v>
      </c>
      <c r="BN18" s="1">
        <f t="shared" si="29"/>
        <v>3.7857543466068427E-2</v>
      </c>
      <c r="BO18" s="1">
        <f t="shared" si="29"/>
        <v>0</v>
      </c>
      <c r="BP18" s="1">
        <f t="shared" si="29"/>
        <v>0.15900168255748737</v>
      </c>
      <c r="BQ18" s="674">
        <f t="shared" ref="BQ18:BQ27" si="30">SUM(BJ18:BP18)</f>
        <v>1</v>
      </c>
      <c r="BS18" s="674">
        <v>2012</v>
      </c>
      <c r="BT18" s="674"/>
      <c r="BU18" s="1">
        <f>IFERROR(BU4/$CA4,0)</f>
        <v>0</v>
      </c>
      <c r="BV18" s="1">
        <f>IFERROR(BV4/$CA4,0)</f>
        <v>0</v>
      </c>
      <c r="BW18" s="1">
        <f>IFERROR(BW4/$CA4,0)</f>
        <v>0</v>
      </c>
      <c r="BY18" s="1">
        <f>IFERROR(BY4/$CA4,0)</f>
        <v>0</v>
      </c>
      <c r="BZ18" s="1">
        <f>IFERROR(BZ4/$CA4,0)</f>
        <v>0</v>
      </c>
      <c r="CA18" s="674">
        <f t="shared" ref="CA18:CA27" si="31">SUM(BT18:BZ18)</f>
        <v>0</v>
      </c>
      <c r="CB18" s="674"/>
      <c r="CC18" s="674">
        <v>2012</v>
      </c>
      <c r="CD18" s="674"/>
      <c r="CE18" s="1">
        <f t="shared" ref="CE18:CJ18" si="32">IFERROR(CE4/$CK4,0)</f>
        <v>7.4885887068745799E-2</v>
      </c>
      <c r="CF18" s="1">
        <f t="shared" si="32"/>
        <v>9.4070761602446762E-2</v>
      </c>
      <c r="CG18" s="1">
        <f t="shared" si="32"/>
        <v>8.5497810421928215E-3</v>
      </c>
      <c r="CH18" s="1">
        <f t="shared" si="32"/>
        <v>4.6571978034708868E-2</v>
      </c>
      <c r="CI18" s="1">
        <f t="shared" si="32"/>
        <v>0</v>
      </c>
      <c r="CJ18" s="1">
        <f t="shared" si="32"/>
        <v>0.77592159225190571</v>
      </c>
      <c r="CK18" s="674">
        <f t="shared" ref="CK18:CK27" si="33">SUM(CD18:CJ18)</f>
        <v>1</v>
      </c>
    </row>
    <row r="19" spans="1:89">
      <c r="A19" s="674">
        <v>2013</v>
      </c>
      <c r="B19" s="1">
        <f>B5/$I5</f>
        <v>0.2412716674985407</v>
      </c>
      <c r="C19" s="1">
        <f>C5/$I5</f>
        <v>6.4801576894769342E-2</v>
      </c>
      <c r="D19" s="1">
        <f t="shared" ref="D19:H19" si="34">D5/$I5</f>
        <v>0.11539925723518912</v>
      </c>
      <c r="E19" s="1">
        <f t="shared" si="34"/>
        <v>3.4761054759870395E-2</v>
      </c>
      <c r="F19" s="1">
        <f>F5/$I5</f>
        <v>0.11392726319084318</v>
      </c>
      <c r="G19" s="1">
        <f t="shared" si="34"/>
        <v>0</v>
      </c>
      <c r="H19" s="1">
        <f t="shared" si="34"/>
        <v>0.42983918042078728</v>
      </c>
      <c r="I19" s="675">
        <f t="shared" si="20"/>
        <v>1</v>
      </c>
      <c r="K19" s="674">
        <v>2013</v>
      </c>
      <c r="L19" s="1">
        <f>L5/$S5</f>
        <v>0.63258020574005358</v>
      </c>
      <c r="M19" s="1">
        <f>M5/$S5</f>
        <v>0.21626191930104749</v>
      </c>
      <c r="N19" s="1">
        <f>N5/$S5</f>
        <v>3.2223213866315936E-2</v>
      </c>
      <c r="O19" s="1"/>
      <c r="P19" s="1">
        <f>P5/$S5</f>
        <v>9.9769834186669168E-2</v>
      </c>
      <c r="Q19" s="1">
        <f>Q5/$S5</f>
        <v>0</v>
      </c>
      <c r="R19" s="1">
        <f>R5/$S5</f>
        <v>1.9164826905913854E-2</v>
      </c>
      <c r="S19" s="674">
        <f t="shared" si="21"/>
        <v>1</v>
      </c>
      <c r="U19" s="674">
        <v>2013</v>
      </c>
      <c r="V19" s="674"/>
      <c r="W19" s="1">
        <f t="shared" si="22"/>
        <v>0.3167479859298763</v>
      </c>
      <c r="X19" s="1">
        <f t="shared" si="22"/>
        <v>0.24112107114489958</v>
      </c>
      <c r="Y19" s="1"/>
      <c r="Z19" s="1"/>
      <c r="AA19" s="1">
        <f t="shared" si="22"/>
        <v>0</v>
      </c>
      <c r="AB19" s="1">
        <f t="shared" si="22"/>
        <v>0.44213094292522409</v>
      </c>
      <c r="AC19" s="674">
        <f t="shared" si="23"/>
        <v>1</v>
      </c>
      <c r="AE19" s="674">
        <v>2013</v>
      </c>
      <c r="AF19" s="674"/>
      <c r="AG19" s="1">
        <f>AG5/$AM5</f>
        <v>0.41605290846234783</v>
      </c>
      <c r="AH19" s="1">
        <f>AH5/$AM5</f>
        <v>0.16358534996743324</v>
      </c>
      <c r="AI19" s="1">
        <f>AI5/$AM5</f>
        <v>0.14800340698431785</v>
      </c>
      <c r="AJ19" s="1"/>
      <c r="AK19" s="1">
        <f>AK5/$AM5</f>
        <v>0</v>
      </c>
      <c r="AL19" s="1">
        <f>AL5/$AM5</f>
        <v>0.27235833458590109</v>
      </c>
      <c r="AM19" s="674">
        <f t="shared" si="24"/>
        <v>1</v>
      </c>
      <c r="AO19" s="674">
        <v>2013</v>
      </c>
      <c r="AP19" s="674"/>
      <c r="AQ19" s="1">
        <f t="shared" ref="AQ19:AV19" si="35">IFERROR(AQ5/$AW5,0)</f>
        <v>0.45191297824456111</v>
      </c>
      <c r="AR19" s="1">
        <f t="shared" si="35"/>
        <v>6.3165791447861969E-2</v>
      </c>
      <c r="AS19" s="1">
        <f t="shared" si="35"/>
        <v>1.8154538634658664E-2</v>
      </c>
      <c r="AT19" s="1">
        <f t="shared" si="35"/>
        <v>0.21050262565641412</v>
      </c>
      <c r="AU19" s="1">
        <f t="shared" si="35"/>
        <v>0</v>
      </c>
      <c r="AV19" s="1">
        <f t="shared" si="35"/>
        <v>0.25626406601650414</v>
      </c>
      <c r="AW19" s="674">
        <f t="shared" si="26"/>
        <v>1</v>
      </c>
      <c r="AY19" s="674">
        <v>2013</v>
      </c>
      <c r="AZ19" s="674"/>
      <c r="BA19" s="1">
        <f t="shared" ref="BA19:BF19" si="36">IFERROR(BA5/$BG5,0)</f>
        <v>0.3203342618384401</v>
      </c>
      <c r="BB19" s="1">
        <f t="shared" si="36"/>
        <v>6.8593314763231203E-2</v>
      </c>
      <c r="BC19" s="1">
        <f t="shared" si="36"/>
        <v>4.892061281337047E-2</v>
      </c>
      <c r="BD19" s="1">
        <f t="shared" si="36"/>
        <v>0.31058495821727017</v>
      </c>
      <c r="BE19" s="1">
        <f t="shared" si="36"/>
        <v>0</v>
      </c>
      <c r="BF19" s="1">
        <f t="shared" si="36"/>
        <v>0.251566852367688</v>
      </c>
      <c r="BG19" s="674">
        <f t="shared" si="28"/>
        <v>1</v>
      </c>
      <c r="BI19" s="674">
        <v>2013</v>
      </c>
      <c r="BJ19" s="674"/>
      <c r="BK19" s="1">
        <f t="shared" ref="BK19:BP19" si="37">IFERROR(BK5/$BQ5,0)</f>
        <v>0.51619099890230513</v>
      </c>
      <c r="BL19" s="1">
        <f t="shared" si="37"/>
        <v>0.18166849615806804</v>
      </c>
      <c r="BM19" s="1">
        <f t="shared" si="37"/>
        <v>0.10537870472008781</v>
      </c>
      <c r="BN19" s="1">
        <f t="shared" si="37"/>
        <v>3.8419319429198684E-2</v>
      </c>
      <c r="BO19" s="1">
        <f t="shared" si="37"/>
        <v>0</v>
      </c>
      <c r="BP19" s="1">
        <f t="shared" si="37"/>
        <v>0.15834248079034027</v>
      </c>
      <c r="BQ19" s="674">
        <f t="shared" si="30"/>
        <v>0.99999999999999989</v>
      </c>
      <c r="BS19" s="674">
        <v>2013</v>
      </c>
      <c r="BT19" s="674"/>
      <c r="BU19" s="1">
        <f>IFERROR(BU5/$CA5,0)</f>
        <v>0</v>
      </c>
      <c r="BV19" s="1">
        <f>IFERROR(BV5/$CA5,0)</f>
        <v>0</v>
      </c>
      <c r="BW19" s="1">
        <f>IFERROR(BW5/$CA5,0)</f>
        <v>0</v>
      </c>
      <c r="BY19" s="1">
        <f>IFERROR(BY5/$CA5,0)</f>
        <v>0</v>
      </c>
      <c r="BZ19" s="1">
        <f>IFERROR(BZ5/$CA5,0)</f>
        <v>0</v>
      </c>
      <c r="CA19" s="674">
        <f t="shared" si="31"/>
        <v>0</v>
      </c>
      <c r="CB19" s="674"/>
      <c r="CC19" s="674">
        <v>2013</v>
      </c>
      <c r="CD19" s="674"/>
      <c r="CE19" s="1">
        <f t="shared" ref="CE19:CJ19" si="38">IFERROR(CE5/$CK5,0)</f>
        <v>7.6155268022181144E-2</v>
      </c>
      <c r="CF19" s="1">
        <f t="shared" si="38"/>
        <v>9.156654343807763E-2</v>
      </c>
      <c r="CG19" s="1">
        <f t="shared" si="38"/>
        <v>8.5258780036968577E-3</v>
      </c>
      <c r="CH19" s="1">
        <f t="shared" si="38"/>
        <v>5.1039741219963033E-2</v>
      </c>
      <c r="CI19" s="1">
        <f t="shared" si="38"/>
        <v>0</v>
      </c>
      <c r="CJ19" s="1">
        <f t="shared" si="38"/>
        <v>0.77271256931608134</v>
      </c>
      <c r="CK19" s="674">
        <f t="shared" si="33"/>
        <v>1</v>
      </c>
    </row>
    <row r="20" spans="1:89">
      <c r="A20" s="674">
        <v>2014</v>
      </c>
      <c r="B20" s="1">
        <f>B6/$I6</f>
        <v>0.24567358335980738</v>
      </c>
      <c r="C20" s="1">
        <f>C6/$I6</f>
        <v>6.6957045161937567E-2</v>
      </c>
      <c r="D20" s="1">
        <f t="shared" ref="D20:H20" si="39">D6/$I6</f>
        <v>0.11296336549233367</v>
      </c>
      <c r="E20" s="1">
        <f t="shared" si="39"/>
        <v>3.5046064841908135E-2</v>
      </c>
      <c r="F20" s="1">
        <f>F6/$I6</f>
        <v>0.11358202217131774</v>
      </c>
      <c r="G20" s="1">
        <f t="shared" si="39"/>
        <v>0</v>
      </c>
      <c r="H20" s="1">
        <f t="shared" si="39"/>
        <v>0.42577791897269551</v>
      </c>
      <c r="I20" s="675">
        <f t="shared" si="20"/>
        <v>1</v>
      </c>
      <c r="K20" s="674">
        <v>2014</v>
      </c>
      <c r="L20" s="1">
        <f>L6/$S6</f>
        <v>0.64245519459024925</v>
      </c>
      <c r="M20" s="1">
        <f>M6/$S6</f>
        <v>0.20891852272189909</v>
      </c>
      <c r="N20" s="1">
        <f>N6/$S6</f>
        <v>2.9838747812928546E-2</v>
      </c>
      <c r="O20" s="1"/>
      <c r="P20" s="1">
        <f>P6/$S6</f>
        <v>0.10176384357119213</v>
      </c>
      <c r="Q20" s="1">
        <f>Q6/$S6</f>
        <v>0</v>
      </c>
      <c r="R20" s="1">
        <f>R6/$S6</f>
        <v>1.7023691303731027E-2</v>
      </c>
      <c r="S20" s="674">
        <f t="shared" si="21"/>
        <v>1</v>
      </c>
      <c r="U20" s="674">
        <v>2014</v>
      </c>
      <c r="V20" s="674"/>
      <c r="W20" s="1">
        <f t="shared" si="22"/>
        <v>0.32257885075374088</v>
      </c>
      <c r="X20" s="1">
        <f t="shared" si="22"/>
        <v>0.23591255493130112</v>
      </c>
      <c r="Y20" s="1"/>
      <c r="Z20" s="1"/>
      <c r="AA20" s="1">
        <f t="shared" si="22"/>
        <v>0</v>
      </c>
      <c r="AB20" s="1">
        <f t="shared" si="22"/>
        <v>0.44150859431495798</v>
      </c>
      <c r="AC20" s="674">
        <f t="shared" si="23"/>
        <v>1</v>
      </c>
      <c r="AE20" s="674">
        <v>2014</v>
      </c>
      <c r="AF20" s="674"/>
      <c r="AG20" s="1">
        <f>AG6/$AM6</f>
        <v>0.42735129639044228</v>
      </c>
      <c r="AH20" s="1">
        <f>AH6/$AM6</f>
        <v>0.16527707168276562</v>
      </c>
      <c r="AI20" s="1">
        <f>AI6/$AM6</f>
        <v>0.15348246059989831</v>
      </c>
      <c r="AJ20" s="1"/>
      <c r="AK20" s="1">
        <f>AK6/$AM6</f>
        <v>0</v>
      </c>
      <c r="AL20" s="1">
        <f>AL6/$AM6</f>
        <v>0.25388917132689376</v>
      </c>
      <c r="AM20" s="674">
        <f t="shared" si="24"/>
        <v>1</v>
      </c>
      <c r="AO20" s="674">
        <v>2014</v>
      </c>
      <c r="AP20" s="674"/>
      <c r="AQ20" s="1">
        <f t="shared" ref="AQ20:AV20" si="40">IFERROR(AQ6/$AW6,0)</f>
        <v>0.46059723233794608</v>
      </c>
      <c r="AR20" s="1">
        <f t="shared" si="40"/>
        <v>6.2345229424617628E-2</v>
      </c>
      <c r="AS20" s="1">
        <f t="shared" si="40"/>
        <v>1.7916970138383104E-2</v>
      </c>
      <c r="AT20" s="1">
        <f t="shared" si="40"/>
        <v>0.20699198834668608</v>
      </c>
      <c r="AU20" s="1">
        <f t="shared" si="40"/>
        <v>0</v>
      </c>
      <c r="AV20" s="1">
        <f t="shared" si="40"/>
        <v>0.2521485797523671</v>
      </c>
      <c r="AW20" s="674">
        <f t="shared" si="26"/>
        <v>1</v>
      </c>
      <c r="AY20" s="674">
        <v>2014</v>
      </c>
      <c r="AZ20" s="674"/>
      <c r="BA20" s="1">
        <f t="shared" ref="BA20:BF20" si="41">IFERROR(BA6/$BG6,0)</f>
        <v>0.35710672736469395</v>
      </c>
      <c r="BB20" s="1">
        <f t="shared" si="41"/>
        <v>7.2163210251222396E-2</v>
      </c>
      <c r="BC20" s="1">
        <f t="shared" si="41"/>
        <v>4.6872365537008936E-2</v>
      </c>
      <c r="BD20" s="1">
        <f t="shared" si="41"/>
        <v>0.29438543247344462</v>
      </c>
      <c r="BE20" s="1">
        <f t="shared" si="41"/>
        <v>0</v>
      </c>
      <c r="BF20" s="1">
        <f t="shared" si="41"/>
        <v>0.22947226437363008</v>
      </c>
      <c r="BG20" s="674">
        <f t="shared" si="28"/>
        <v>1</v>
      </c>
      <c r="BI20" s="674">
        <v>2014</v>
      </c>
      <c r="BJ20" s="674"/>
      <c r="BK20" s="1">
        <f t="shared" ref="BK20:BP20" si="42">IFERROR(BK6/$BQ6,0)</f>
        <v>0.52986811481768814</v>
      </c>
      <c r="BL20" s="1">
        <f t="shared" si="42"/>
        <v>0.17145073700543056</v>
      </c>
      <c r="BM20" s="1">
        <f t="shared" si="42"/>
        <v>0.10421515386604603</v>
      </c>
      <c r="BN20" s="1">
        <f t="shared" si="42"/>
        <v>3.9824153090250843E-2</v>
      </c>
      <c r="BO20" s="1">
        <f t="shared" si="42"/>
        <v>0</v>
      </c>
      <c r="BP20" s="1">
        <f t="shared" si="42"/>
        <v>0.15464184122058444</v>
      </c>
      <c r="BQ20" s="674">
        <f t="shared" si="30"/>
        <v>1</v>
      </c>
      <c r="BS20" s="674">
        <v>2014</v>
      </c>
      <c r="BT20" s="674"/>
      <c r="BU20" s="1">
        <f>IFERROR(BU6/$CA6,0)</f>
        <v>0</v>
      </c>
      <c r="BV20" s="1">
        <f>IFERROR(BV6/$CA6,0)</f>
        <v>0</v>
      </c>
      <c r="BW20" s="1">
        <f>IFERROR(BW6/$CA6,0)</f>
        <v>0</v>
      </c>
      <c r="BY20" s="1">
        <f>IFERROR(BY6/$CA6,0)</f>
        <v>0</v>
      </c>
      <c r="BZ20" s="1">
        <f>IFERROR(BZ6/$CA6,0)</f>
        <v>0</v>
      </c>
      <c r="CA20" s="674">
        <f t="shared" si="31"/>
        <v>0</v>
      </c>
      <c r="CB20" s="674"/>
      <c r="CC20" s="674">
        <v>2014</v>
      </c>
      <c r="CD20" s="674"/>
      <c r="CE20" s="1">
        <f t="shared" ref="CE20:CJ20" si="43">IFERROR(CE6/$CK6,0)</f>
        <v>7.776796430916956E-2</v>
      </c>
      <c r="CF20" s="1">
        <f t="shared" si="43"/>
        <v>8.7641823493443849E-2</v>
      </c>
      <c r="CG20" s="1">
        <f t="shared" si="43"/>
        <v>8.356545961002786E-3</v>
      </c>
      <c r="CH20" s="1">
        <f t="shared" si="43"/>
        <v>5.7431437824127546E-2</v>
      </c>
      <c r="CI20" s="1">
        <f t="shared" si="43"/>
        <v>0</v>
      </c>
      <c r="CJ20" s="1">
        <f t="shared" si="43"/>
        <v>0.76880222841225632</v>
      </c>
      <c r="CK20" s="674">
        <f t="shared" si="33"/>
        <v>1</v>
      </c>
    </row>
    <row r="21" spans="1:89">
      <c r="A21" s="674">
        <v>2015</v>
      </c>
      <c r="B21" s="1">
        <f>B7/$I7</f>
        <v>0.24277077416247281</v>
      </c>
      <c r="C21" s="1">
        <f>C7/$I7</f>
        <v>6.7284535020844749E-2</v>
      </c>
      <c r="D21" s="1">
        <f t="shared" ref="D21:H21" si="44">D7/$I7</f>
        <v>0.11193881110169913</v>
      </c>
      <c r="E21" s="1">
        <f t="shared" si="44"/>
        <v>3.5353032039463848E-2</v>
      </c>
      <c r="F21" s="1">
        <f>F7/$I7</f>
        <v>0.11497002009733087</v>
      </c>
      <c r="G21" s="1">
        <f t="shared" si="44"/>
        <v>0</v>
      </c>
      <c r="H21" s="1">
        <f t="shared" si="44"/>
        <v>0.4276828275781886</v>
      </c>
      <c r="I21" s="675">
        <f t="shared" si="20"/>
        <v>1</v>
      </c>
      <c r="K21" s="674">
        <v>2015</v>
      </c>
      <c r="L21" s="1">
        <f>L7/$S7</f>
        <v>0.65770345384578843</v>
      </c>
      <c r="M21" s="1">
        <f>M7/$S7</f>
        <v>0.19654140339208515</v>
      </c>
      <c r="N21" s="1">
        <f>N7/$S7</f>
        <v>2.7982326951399118E-2</v>
      </c>
      <c r="O21" s="1"/>
      <c r="P21" s="1">
        <f>P7/$S7</f>
        <v>0.10261770155351799</v>
      </c>
      <c r="Q21" s="1">
        <f>Q7/$S7</f>
        <v>0</v>
      </c>
      <c r="R21" s="1">
        <f>R7/$S7</f>
        <v>1.5155114257209369E-2</v>
      </c>
      <c r="S21" s="674">
        <f t="shared" si="21"/>
        <v>1</v>
      </c>
      <c r="U21" s="674">
        <v>2015</v>
      </c>
      <c r="V21" s="674"/>
      <c r="W21" s="1">
        <f t="shared" si="22"/>
        <v>0.32012907533103374</v>
      </c>
      <c r="X21" s="1">
        <f t="shared" si="22"/>
        <v>0.23979080894625571</v>
      </c>
      <c r="Y21" s="1"/>
      <c r="Z21" s="1"/>
      <c r="AA21" s="1">
        <f t="shared" si="22"/>
        <v>0</v>
      </c>
      <c r="AB21" s="1">
        <f t="shared" si="22"/>
        <v>0.44008011572271061</v>
      </c>
      <c r="AC21" s="674">
        <f t="shared" si="23"/>
        <v>1</v>
      </c>
      <c r="AE21" s="674">
        <v>2015</v>
      </c>
      <c r="AF21" s="674"/>
      <c r="AG21" s="1">
        <f>AG7/$AM7</f>
        <v>0.42950627793147478</v>
      </c>
      <c r="AH21" s="1">
        <f>AH7/$AM7</f>
        <v>0.17046180038306022</v>
      </c>
      <c r="AI21" s="1">
        <f>AI7/$AM7</f>
        <v>0.1625345818259204</v>
      </c>
      <c r="AJ21" s="1"/>
      <c r="AK21" s="1">
        <f>AK7/$AM7</f>
        <v>0</v>
      </c>
      <c r="AL21" s="1">
        <f>AL7/$AM7</f>
        <v>0.23749733985954458</v>
      </c>
      <c r="AM21" s="674">
        <f t="shared" si="24"/>
        <v>1</v>
      </c>
      <c r="AO21" s="674">
        <v>2015</v>
      </c>
      <c r="AP21" s="674"/>
      <c r="AQ21" s="1">
        <f t="shared" ref="AQ21:AV21" si="45">IFERROR(AQ7/$AW7,0)</f>
        <v>0.46301796068448592</v>
      </c>
      <c r="AR21" s="1">
        <f t="shared" si="45"/>
        <v>6.3074529769480983E-2</v>
      </c>
      <c r="AS21" s="1">
        <f t="shared" si="45"/>
        <v>1.8102107198416064E-2</v>
      </c>
      <c r="AT21" s="1">
        <f t="shared" si="45"/>
        <v>0.20421439683213125</v>
      </c>
      <c r="AU21" s="1">
        <f t="shared" si="45"/>
        <v>0</v>
      </c>
      <c r="AV21" s="1">
        <f t="shared" si="45"/>
        <v>0.2515910055154858</v>
      </c>
      <c r="AW21" s="674">
        <f t="shared" si="26"/>
        <v>1</v>
      </c>
      <c r="AY21" s="674">
        <v>2015</v>
      </c>
      <c r="AZ21" s="674"/>
      <c r="BA21" s="1">
        <f t="shared" ref="BA21:BF21" si="46">IFERROR(BA7/$BG7,0)</f>
        <v>0.38742762613730358</v>
      </c>
      <c r="BB21" s="1">
        <f t="shared" si="46"/>
        <v>7.7253928866832092E-2</v>
      </c>
      <c r="BC21" s="1">
        <f t="shared" si="46"/>
        <v>4.5822994210090985E-2</v>
      </c>
      <c r="BD21" s="1">
        <f t="shared" si="46"/>
        <v>0.27956989247311825</v>
      </c>
      <c r="BE21" s="1">
        <f t="shared" si="46"/>
        <v>0</v>
      </c>
      <c r="BF21" s="1">
        <f t="shared" si="46"/>
        <v>0.20992555831265508</v>
      </c>
      <c r="BG21" s="674">
        <f t="shared" si="28"/>
        <v>1</v>
      </c>
      <c r="BI21" s="674">
        <v>2015</v>
      </c>
      <c r="BJ21" s="674"/>
      <c r="BK21" s="1">
        <f t="shared" ref="BK21:BP21" si="47">IFERROR(BK7/$BQ7,0)</f>
        <v>0.53607736176543519</v>
      </c>
      <c r="BL21" s="1">
        <f t="shared" si="47"/>
        <v>0.16563352343168858</v>
      </c>
      <c r="BM21" s="1">
        <f t="shared" si="47"/>
        <v>0.10538060996776594</v>
      </c>
      <c r="BN21" s="1">
        <f t="shared" si="47"/>
        <v>3.9920654599553684E-2</v>
      </c>
      <c r="BO21" s="1">
        <f t="shared" si="47"/>
        <v>0</v>
      </c>
      <c r="BP21" s="1">
        <f t="shared" si="47"/>
        <v>0.15298785023555667</v>
      </c>
      <c r="BQ21" s="674">
        <f t="shared" si="30"/>
        <v>1</v>
      </c>
      <c r="BS21" s="674">
        <v>2015</v>
      </c>
      <c r="BT21" s="674"/>
      <c r="BU21" s="1">
        <f>IFERROR(BU7/$CA7,0)</f>
        <v>0</v>
      </c>
      <c r="BV21" s="1">
        <f>IFERROR(BV7/$CA7,0)</f>
        <v>0</v>
      </c>
      <c r="BW21" s="1">
        <f>IFERROR(BW7/$CA7,0)</f>
        <v>0</v>
      </c>
      <c r="BY21" s="1">
        <f>IFERROR(BY7/$CA7,0)</f>
        <v>0</v>
      </c>
      <c r="BZ21" s="1">
        <f>IFERROR(BZ7/$CA7,0)</f>
        <v>0</v>
      </c>
      <c r="CA21" s="674">
        <f t="shared" si="31"/>
        <v>0</v>
      </c>
      <c r="CB21" s="674"/>
      <c r="CC21" s="674">
        <v>2015</v>
      </c>
      <c r="CD21" s="674"/>
      <c r="CE21" s="1">
        <f t="shared" ref="CE21:CJ21" si="48">IFERROR(CE7/$CK7,0)</f>
        <v>7.6816441491000309E-2</v>
      </c>
      <c r="CF21" s="1">
        <f t="shared" si="48"/>
        <v>8.3505699071425424E-2</v>
      </c>
      <c r="CG21" s="1">
        <f t="shared" si="48"/>
        <v>8.1855388813096858E-3</v>
      </c>
      <c r="CH21" s="1">
        <f t="shared" si="48"/>
        <v>5.8244950050609513E-2</v>
      </c>
      <c r="CI21" s="1">
        <f t="shared" si="48"/>
        <v>0</v>
      </c>
      <c r="CJ21" s="1">
        <f t="shared" si="48"/>
        <v>0.77324737050565506</v>
      </c>
      <c r="CK21" s="674">
        <f t="shared" si="33"/>
        <v>1</v>
      </c>
    </row>
    <row r="22" spans="1:89">
      <c r="A22" s="674">
        <v>2016</v>
      </c>
      <c r="B22" s="1">
        <f>B8/$I8</f>
        <v>0.23689584751531653</v>
      </c>
      <c r="C22" s="1">
        <f>C8/$I8</f>
        <v>6.9393481545434926E-2</v>
      </c>
      <c r="D22" s="1">
        <f t="shared" ref="D22:H22" si="49">D8/$I8</f>
        <v>0.10996363877866144</v>
      </c>
      <c r="E22" s="1">
        <f t="shared" si="49"/>
        <v>3.6029155390260505E-2</v>
      </c>
      <c r="F22" s="1">
        <f>F8/$I8</f>
        <v>0.11714456491059125</v>
      </c>
      <c r="G22" s="1">
        <f t="shared" si="49"/>
        <v>0</v>
      </c>
      <c r="H22" s="1">
        <f t="shared" si="49"/>
        <v>0.43057331185973535</v>
      </c>
      <c r="I22" s="675">
        <f t="shared" si="20"/>
        <v>1</v>
      </c>
      <c r="K22" s="674">
        <v>2016</v>
      </c>
      <c r="L22" s="1">
        <f>L8/$S8</f>
        <v>0.67358823810205737</v>
      </c>
      <c r="M22" s="1">
        <f>M8/$S8</f>
        <v>0.18201346126306744</v>
      </c>
      <c r="N22" s="1">
        <f>N8/$S8</f>
        <v>2.6254236479068212E-2</v>
      </c>
      <c r="O22" s="1"/>
      <c r="P22" s="1">
        <f>P8/$S8</f>
        <v>0.10477827103919042</v>
      </c>
      <c r="Q22" s="1">
        <f>Q8/$S8</f>
        <v>0</v>
      </c>
      <c r="R22" s="1">
        <f>R8/$S8</f>
        <v>1.3365793116616545E-2</v>
      </c>
      <c r="S22" s="674">
        <f t="shared" si="21"/>
        <v>1</v>
      </c>
      <c r="U22" s="674">
        <v>2016</v>
      </c>
      <c r="V22" s="674"/>
      <c r="W22" s="1">
        <f t="shared" si="22"/>
        <v>0.32080459770114944</v>
      </c>
      <c r="X22" s="1">
        <f t="shared" si="22"/>
        <v>0.24074712643678162</v>
      </c>
      <c r="Y22" s="1"/>
      <c r="Z22" s="1"/>
      <c r="AA22" s="1">
        <f t="shared" si="22"/>
        <v>0</v>
      </c>
      <c r="AB22" s="1">
        <f t="shared" si="22"/>
        <v>0.43844827586206897</v>
      </c>
      <c r="AC22" s="674">
        <f t="shared" si="23"/>
        <v>1</v>
      </c>
      <c r="AE22" s="674">
        <v>2016</v>
      </c>
      <c r="AF22" s="674"/>
      <c r="AG22" s="1">
        <f>AG8/$AM8</f>
        <v>0.43022931428890254</v>
      </c>
      <c r="AH22" s="1">
        <f>AH8/$AM8</f>
        <v>0.17692350610946828</v>
      </c>
      <c r="AI22" s="1">
        <f>AI8/$AM8</f>
        <v>0.17357585225687663</v>
      </c>
      <c r="AJ22" s="1"/>
      <c r="AK22" s="1">
        <f>AK8/$AM8</f>
        <v>0</v>
      </c>
      <c r="AL22" s="1">
        <f>AL8/$AM8</f>
        <v>0.21927132734475255</v>
      </c>
      <c r="AM22" s="674">
        <f t="shared" si="24"/>
        <v>1</v>
      </c>
      <c r="AO22" s="674">
        <v>2016</v>
      </c>
      <c r="AP22" s="674"/>
      <c r="AQ22" s="1">
        <f t="shared" ref="AQ22:AV22" si="50">IFERROR(AQ8/$AW8,0)</f>
        <v>0.45555712072122834</v>
      </c>
      <c r="AR22" s="1">
        <f t="shared" si="50"/>
        <v>6.367093956895338E-2</v>
      </c>
      <c r="AS22" s="1">
        <f t="shared" si="50"/>
        <v>1.8171573461050854E-2</v>
      </c>
      <c r="AT22" s="1">
        <f t="shared" si="50"/>
        <v>0.20791660797295394</v>
      </c>
      <c r="AU22" s="1">
        <f t="shared" si="50"/>
        <v>0</v>
      </c>
      <c r="AV22" s="1">
        <f t="shared" si="50"/>
        <v>0.25468375827581352</v>
      </c>
      <c r="AW22" s="674">
        <f t="shared" si="26"/>
        <v>1</v>
      </c>
      <c r="AY22" s="674">
        <v>2016</v>
      </c>
      <c r="AZ22" s="674"/>
      <c r="BA22" s="1">
        <f t="shared" ref="BA22:BF22" si="51">IFERROR(BA8/$BG8,0)</f>
        <v>0.41382154049150588</v>
      </c>
      <c r="BB22" s="1">
        <f t="shared" si="51"/>
        <v>8.2962229919181923E-2</v>
      </c>
      <c r="BC22" s="1">
        <f t="shared" si="51"/>
        <v>4.5192149101105063E-2</v>
      </c>
      <c r="BD22" s="1">
        <f t="shared" si="51"/>
        <v>0.26653471878607948</v>
      </c>
      <c r="BE22" s="1">
        <f t="shared" si="51"/>
        <v>0</v>
      </c>
      <c r="BF22" s="1">
        <f t="shared" si="51"/>
        <v>0.19148936170212766</v>
      </c>
      <c r="BG22" s="674">
        <f t="shared" si="28"/>
        <v>1</v>
      </c>
      <c r="BI22" s="674">
        <v>2016</v>
      </c>
      <c r="BJ22" s="674"/>
      <c r="BK22" s="1">
        <f t="shared" ref="BK22:BP22" si="52">IFERROR(BK8/$BQ8,0)</f>
        <v>0.53815165876777249</v>
      </c>
      <c r="BL22" s="1">
        <f t="shared" si="52"/>
        <v>0.16184834123222749</v>
      </c>
      <c r="BM22" s="1">
        <f t="shared" si="52"/>
        <v>0.10758293838862559</v>
      </c>
      <c r="BN22" s="1">
        <f t="shared" si="52"/>
        <v>4.0521327014218012E-2</v>
      </c>
      <c r="BO22" s="1">
        <f t="shared" si="52"/>
        <v>0</v>
      </c>
      <c r="BP22" s="1">
        <f t="shared" si="52"/>
        <v>0.15189573459715638</v>
      </c>
      <c r="BQ22" s="674">
        <f t="shared" si="30"/>
        <v>0.99999999999999978</v>
      </c>
      <c r="BS22" s="674">
        <v>2016</v>
      </c>
      <c r="BT22" s="674"/>
      <c r="BU22" s="1">
        <f>IFERROR(BU8/$CA8,0)</f>
        <v>0</v>
      </c>
      <c r="BV22" s="1">
        <f>IFERROR(BV8/$CA8,0)</f>
        <v>0</v>
      </c>
      <c r="BW22" s="1">
        <f>IFERROR(BW8/$CA8,0)</f>
        <v>0</v>
      </c>
      <c r="BY22" s="1">
        <f>IFERROR(BY8/$CA8,0)</f>
        <v>0</v>
      </c>
      <c r="BZ22" s="1">
        <f>IFERROR(BZ8/$CA8,0)</f>
        <v>0</v>
      </c>
      <c r="CA22" s="674">
        <f t="shared" si="31"/>
        <v>0</v>
      </c>
      <c r="CB22" s="674"/>
      <c r="CC22" s="674">
        <v>2016</v>
      </c>
      <c r="CD22" s="674"/>
      <c r="CE22" s="1">
        <f t="shared" ref="CE22:CJ22" si="53">IFERROR(CE8/$CK8,0)</f>
        <v>7.2985214938894108E-2</v>
      </c>
      <c r="CF22" s="1">
        <f t="shared" si="53"/>
        <v>7.9010340996496023E-2</v>
      </c>
      <c r="CG22" s="1">
        <f t="shared" si="53"/>
        <v>7.9480386291769928E-3</v>
      </c>
      <c r="CH22" s="1">
        <f t="shared" si="53"/>
        <v>6.1981881890436713E-2</v>
      </c>
      <c r="CI22" s="1">
        <f t="shared" si="53"/>
        <v>0</v>
      </c>
      <c r="CJ22" s="1">
        <f t="shared" si="53"/>
        <v>0.77807452354499618</v>
      </c>
      <c r="CK22" s="674">
        <f t="shared" si="33"/>
        <v>1</v>
      </c>
    </row>
    <row r="23" spans="1:89">
      <c r="A23" s="674">
        <v>2017</v>
      </c>
      <c r="B23" s="1">
        <f>B9/$I9</f>
        <v>0.23851207135679225</v>
      </c>
      <c r="C23" s="1">
        <f>C9/$I9</f>
        <v>7.2353395510302385E-2</v>
      </c>
      <c r="D23" s="1">
        <f t="shared" ref="D23:H23" si="54">D9/$I9</f>
        <v>0.1090616149955568</v>
      </c>
      <c r="E23" s="1">
        <f t="shared" si="54"/>
        <v>3.6517203863498576E-2</v>
      </c>
      <c r="F23" s="1">
        <f>F9/$I9</f>
        <v>0.11953425408399704</v>
      </c>
      <c r="G23" s="1">
        <f t="shared" si="54"/>
        <v>7.7502512270677434E-2</v>
      </c>
      <c r="H23" s="1">
        <f t="shared" si="54"/>
        <v>0.34651894791917548</v>
      </c>
      <c r="I23" s="675">
        <f t="shared" si="20"/>
        <v>1</v>
      </c>
      <c r="K23" s="674">
        <v>2017</v>
      </c>
      <c r="L23" s="1">
        <f>L9/$S9</f>
        <v>0.68616514111365368</v>
      </c>
      <c r="M23" s="1">
        <f>M9/$S9</f>
        <v>0.17219679633867277</v>
      </c>
      <c r="N23" s="1">
        <f>N9/$S9</f>
        <v>2.4265827612509536E-2</v>
      </c>
      <c r="O23" s="1"/>
      <c r="P23" s="1">
        <f>P9/$S9</f>
        <v>0.10597826086956522</v>
      </c>
      <c r="Q23" s="1">
        <f>Q9/$S9</f>
        <v>5.1010678871090771E-3</v>
      </c>
      <c r="R23" s="1">
        <f>R9/$S9</f>
        <v>6.2929061784897022E-3</v>
      </c>
      <c r="S23" s="674">
        <f t="shared" si="21"/>
        <v>0.99999999999999989</v>
      </c>
      <c r="U23" s="674">
        <v>2017</v>
      </c>
      <c r="V23" s="674"/>
      <c r="W23" s="1">
        <f t="shared" si="22"/>
        <v>0.32143669015685383</v>
      </c>
      <c r="X23" s="1">
        <f t="shared" si="22"/>
        <v>0.23965674016822006</v>
      </c>
      <c r="Y23" s="1"/>
      <c r="Z23" s="1"/>
      <c r="AA23" s="1">
        <f t="shared" si="22"/>
        <v>5.8536030916117301E-3</v>
      </c>
      <c r="AB23" s="1">
        <f t="shared" si="22"/>
        <v>0.43305296658331438</v>
      </c>
      <c r="AC23" s="674">
        <f t="shared" si="23"/>
        <v>1</v>
      </c>
      <c r="AE23" s="674">
        <v>2017</v>
      </c>
      <c r="AF23" s="674"/>
      <c r="AG23" s="1">
        <f>AG9/$AM9</f>
        <v>0.43782654127481713</v>
      </c>
      <c r="AH23" s="1">
        <f>AH9/$AM9</f>
        <v>0.18146987112504354</v>
      </c>
      <c r="AI23" s="1">
        <f>AI9/$AM9</f>
        <v>0.1829792174619761</v>
      </c>
      <c r="AJ23" s="1"/>
      <c r="AK23" s="1">
        <f>AK9/$AM9</f>
        <v>0.13061650992685475</v>
      </c>
      <c r="AL23" s="1">
        <f>AL9/$AM9</f>
        <v>6.710786021130849E-2</v>
      </c>
      <c r="AM23" s="674">
        <f t="shared" si="24"/>
        <v>1</v>
      </c>
      <c r="AO23" s="674">
        <v>2017</v>
      </c>
      <c r="AP23" s="674"/>
      <c r="AQ23" s="1">
        <f t="shared" ref="AQ23:AV23" si="55">IFERROR(AQ9/$AW9,0)</f>
        <v>0.4566694987255735</v>
      </c>
      <c r="AR23" s="1">
        <f t="shared" si="55"/>
        <v>6.3296516567544606E-2</v>
      </c>
      <c r="AS23" s="1">
        <f t="shared" si="55"/>
        <v>1.8125177003681676E-2</v>
      </c>
      <c r="AT23" s="1">
        <f t="shared" si="55"/>
        <v>0.20716510903426791</v>
      </c>
      <c r="AU23" s="1">
        <f t="shared" si="55"/>
        <v>7.434154630416312E-2</v>
      </c>
      <c r="AV23" s="1">
        <f t="shared" si="55"/>
        <v>0.1804021523647692</v>
      </c>
      <c r="AW23" s="674">
        <f t="shared" si="26"/>
        <v>1</v>
      </c>
      <c r="AY23" s="674">
        <v>2017</v>
      </c>
      <c r="AZ23" s="674"/>
      <c r="BA23" s="1">
        <f t="shared" ref="BA23:BF23" si="56">IFERROR(BA9/$BG9,0)</f>
        <v>0.43792719758384996</v>
      </c>
      <c r="BB23" s="1">
        <f t="shared" si="56"/>
        <v>8.5360038149737721E-2</v>
      </c>
      <c r="BC23" s="1">
        <f t="shared" si="56"/>
        <v>4.2600540454617711E-2</v>
      </c>
      <c r="BD23" s="1">
        <f t="shared" si="56"/>
        <v>0.26466380543633761</v>
      </c>
      <c r="BE23" s="1">
        <f t="shared" si="56"/>
        <v>3.5288507391511681E-2</v>
      </c>
      <c r="BF23" s="1">
        <f t="shared" si="56"/>
        <v>0.13415991098394531</v>
      </c>
      <c r="BG23" s="674">
        <f t="shared" si="28"/>
        <v>1</v>
      </c>
      <c r="BI23" s="674">
        <v>2017</v>
      </c>
      <c r="BJ23" s="674"/>
      <c r="BK23" s="1">
        <f t="shared" ref="BK23:BP23" si="57">IFERROR(BK9/$BQ9,0)</f>
        <v>0.54808126410835212</v>
      </c>
      <c r="BL23" s="1">
        <f t="shared" si="57"/>
        <v>0.15575620767494355</v>
      </c>
      <c r="BM23" s="1">
        <f t="shared" si="57"/>
        <v>0.10790067720090293</v>
      </c>
      <c r="BN23" s="1">
        <f t="shared" si="57"/>
        <v>3.9954853273137698E-2</v>
      </c>
      <c r="BO23" s="1">
        <f t="shared" si="57"/>
        <v>3.5214446952595936E-2</v>
      </c>
      <c r="BP23" s="1">
        <f t="shared" si="57"/>
        <v>0.11309255079006772</v>
      </c>
      <c r="BQ23" s="674">
        <f t="shared" si="30"/>
        <v>1</v>
      </c>
      <c r="BS23" s="674">
        <v>2017</v>
      </c>
      <c r="BT23" s="674"/>
      <c r="BU23" s="1">
        <f>IFERROR(BU9/$CA9,0)</f>
        <v>0</v>
      </c>
      <c r="BV23" s="1">
        <f>IFERROR(BV9/$CA9,0)</f>
        <v>0</v>
      </c>
      <c r="BW23" s="1">
        <f>IFERROR(BW9/$CA9,0)</f>
        <v>0</v>
      </c>
      <c r="BY23" s="1">
        <f>IFERROR(BY9/$CA9,0)</f>
        <v>0</v>
      </c>
      <c r="BZ23" s="1">
        <f>IFERROR(BZ9/$CA9,0)</f>
        <v>0</v>
      </c>
      <c r="CA23" s="674">
        <f t="shared" si="31"/>
        <v>0</v>
      </c>
      <c r="CB23" s="674"/>
      <c r="CC23" s="674">
        <v>2017</v>
      </c>
      <c r="CD23" s="674"/>
      <c r="CE23" s="1">
        <f t="shared" ref="CE23:CJ23" si="58">IFERROR(CE9/$CK9,0)</f>
        <v>7.4762962330229776E-2</v>
      </c>
      <c r="CF23" s="1">
        <f t="shared" si="58"/>
        <v>7.7005210557785947E-2</v>
      </c>
      <c r="CG23" s="1">
        <f t="shared" si="58"/>
        <v>7.9226104040317751E-3</v>
      </c>
      <c r="CH23" s="1">
        <f t="shared" si="58"/>
        <v>6.7993508157512594E-2</v>
      </c>
      <c r="CI23" s="1">
        <f t="shared" si="58"/>
        <v>0.12746647305031178</v>
      </c>
      <c r="CJ23" s="1">
        <f t="shared" si="58"/>
        <v>0.64484923550012818</v>
      </c>
      <c r="CK23" s="674">
        <f t="shared" si="33"/>
        <v>1</v>
      </c>
    </row>
    <row r="24" spans="1:89">
      <c r="A24" s="674">
        <v>2018</v>
      </c>
      <c r="B24" s="1">
        <f>B10/$I10</f>
        <v>0.24988340792498834</v>
      </c>
      <c r="C24" s="1">
        <f>C10/$I10</f>
        <v>7.3023457507302339E-2</v>
      </c>
      <c r="D24" s="1">
        <f t="shared" ref="D24:H24" si="59">D10/$I10</f>
        <v>0.10926109261092611</v>
      </c>
      <c r="E24" s="1">
        <f t="shared" si="59"/>
        <v>3.7685831403768584E-2</v>
      </c>
      <c r="F24" s="1">
        <f>F10/$I10</f>
        <v>0.1220330385122033</v>
      </c>
      <c r="G24" s="1">
        <f t="shared" si="59"/>
        <v>7.4111650207411159E-2</v>
      </c>
      <c r="H24" s="1">
        <f t="shared" si="59"/>
        <v>0.33400152183340015</v>
      </c>
      <c r="I24" s="675">
        <f t="shared" si="20"/>
        <v>1</v>
      </c>
      <c r="K24" s="674">
        <v>2018</v>
      </c>
      <c r="L24" s="1">
        <f>L10/$S10</f>
        <v>0.69869302478099971</v>
      </c>
      <c r="M24" s="1">
        <f>M10/$S10</f>
        <v>0.16138099030308709</v>
      </c>
      <c r="N24" s="1">
        <f>N10/$S10</f>
        <v>2.2391905185740385E-2</v>
      </c>
      <c r="O24" s="1"/>
      <c r="P24" s="1">
        <f>P10/$S10</f>
        <v>0.1081182367545791</v>
      </c>
      <c r="Q24" s="1">
        <f>Q10/$S10</f>
        <v>3.8881341640511547E-3</v>
      </c>
      <c r="R24" s="1">
        <f>R10/$S10</f>
        <v>5.5277088115426058E-3</v>
      </c>
      <c r="S24" s="674">
        <f t="shared" si="21"/>
        <v>1</v>
      </c>
      <c r="U24" s="674">
        <v>2018</v>
      </c>
      <c r="V24" s="674"/>
      <c r="W24" s="1">
        <f t="shared" si="22"/>
        <v>0.3171444631815627</v>
      </c>
      <c r="X24" s="1">
        <f t="shared" si="22"/>
        <v>0.23906689151208543</v>
      </c>
      <c r="Y24" s="1"/>
      <c r="Z24" s="1"/>
      <c r="AA24" s="1">
        <f t="shared" si="22"/>
        <v>5.5649241146711638E-3</v>
      </c>
      <c r="AB24" s="1">
        <f t="shared" si="22"/>
        <v>0.43822372119168074</v>
      </c>
      <c r="AC24" s="674">
        <f t="shared" si="23"/>
        <v>1</v>
      </c>
      <c r="AE24" s="674">
        <v>2018</v>
      </c>
      <c r="AF24" s="674"/>
      <c r="AG24" s="1">
        <f>AG10/$AM10</f>
        <v>0.4455151082560076</v>
      </c>
      <c r="AH24" s="1">
        <f>AH10/$AM10</f>
        <v>0.18665239114917917</v>
      </c>
      <c r="AI24" s="1">
        <f>AI10/$AM10</f>
        <v>0.19396859386152748</v>
      </c>
      <c r="AJ24" s="1"/>
      <c r="AK24" s="1">
        <f>AK10/$AM10</f>
        <v>0.11581013561741613</v>
      </c>
      <c r="AL24" s="1">
        <f>AL10/$AM10</f>
        <v>5.8053771115869617E-2</v>
      </c>
      <c r="AM24" s="674">
        <f t="shared" si="24"/>
        <v>1</v>
      </c>
      <c r="AO24" s="674">
        <v>2018</v>
      </c>
      <c r="AP24" s="674"/>
      <c r="AQ24" s="1">
        <f t="shared" ref="AQ24:AV24" si="60">IFERROR(AQ10/$AW10,0)</f>
        <v>0.45979661016949153</v>
      </c>
      <c r="AR24" s="1">
        <f t="shared" si="60"/>
        <v>6.3593220338983056E-2</v>
      </c>
      <c r="AS24" s="1">
        <f t="shared" si="60"/>
        <v>1.8169491525423728E-2</v>
      </c>
      <c r="AT24" s="1">
        <f t="shared" si="60"/>
        <v>0.20488135593220339</v>
      </c>
      <c r="AU24" s="1">
        <f t="shared" si="60"/>
        <v>7.4983050847457627E-2</v>
      </c>
      <c r="AV24" s="1">
        <f t="shared" si="60"/>
        <v>0.17857627118644068</v>
      </c>
      <c r="AW24" s="674">
        <f t="shared" si="26"/>
        <v>0.99999999999999989</v>
      </c>
      <c r="AY24" s="674">
        <v>2018</v>
      </c>
      <c r="AZ24" s="674"/>
      <c r="BA24" s="1">
        <f t="shared" ref="BA24:BF24" si="61">IFERROR(BA10/$BG10,0)</f>
        <v>0.4657449122261923</v>
      </c>
      <c r="BB24" s="1">
        <f t="shared" si="61"/>
        <v>8.9482678266273111E-2</v>
      </c>
      <c r="BC24" s="1">
        <f t="shared" si="61"/>
        <v>4.1012894205375176E-2</v>
      </c>
      <c r="BD24" s="1">
        <f t="shared" si="61"/>
        <v>0.25679664439956501</v>
      </c>
      <c r="BE24" s="1">
        <f t="shared" si="61"/>
        <v>3.4332763709802705E-2</v>
      </c>
      <c r="BF24" s="1">
        <f t="shared" si="61"/>
        <v>0.11263010719279168</v>
      </c>
      <c r="BG24" s="674">
        <f t="shared" si="28"/>
        <v>0.99999999999999989</v>
      </c>
      <c r="BI24" s="674">
        <v>2018</v>
      </c>
      <c r="BJ24" s="674"/>
      <c r="BK24" s="1">
        <f t="shared" ref="BK24:BP24" si="62">IFERROR(BK10/$BQ10,0)</f>
        <v>0.55435952637244346</v>
      </c>
      <c r="BL24" s="1">
        <f t="shared" si="62"/>
        <v>0.1504843918191604</v>
      </c>
      <c r="BM24" s="1">
        <f t="shared" si="62"/>
        <v>0.10828848223896663</v>
      </c>
      <c r="BN24" s="1">
        <f t="shared" si="62"/>
        <v>4.0904198062432721E-2</v>
      </c>
      <c r="BO24" s="1">
        <f t="shared" si="62"/>
        <v>3.0570505920344455E-2</v>
      </c>
      <c r="BP24" s="1">
        <f t="shared" si="62"/>
        <v>0.11539289558665232</v>
      </c>
      <c r="BQ24" s="674">
        <f t="shared" si="30"/>
        <v>1</v>
      </c>
      <c r="BS24" s="674">
        <v>2018</v>
      </c>
      <c r="BT24" s="674"/>
      <c r="BU24" s="1">
        <f>IFERROR(BU10/$CA10,0)</f>
        <v>0.37204724409448819</v>
      </c>
      <c r="BV24" s="1">
        <f>IFERROR(BV10/$CA10,0)</f>
        <v>2.2391732283464565E-2</v>
      </c>
      <c r="BW24" s="1">
        <f>IFERROR(BW10/$CA10,0)</f>
        <v>2.3375984251968504E-2</v>
      </c>
      <c r="BY24" s="1">
        <f>IFERROR(BY10/$CA10,0)</f>
        <v>6.6437007874015751E-3</v>
      </c>
      <c r="BZ24" s="1">
        <f>IFERROR(BZ10/$CA10,0)</f>
        <v>0.5755413385826772</v>
      </c>
      <c r="CA24" s="674">
        <f t="shared" si="31"/>
        <v>1</v>
      </c>
      <c r="CB24" s="674"/>
      <c r="CC24" s="674">
        <v>2018</v>
      </c>
      <c r="CD24" s="674"/>
      <c r="CE24" s="1">
        <f t="shared" ref="CE24:CJ24" si="63">IFERROR(CE10/$CK10,0)</f>
        <v>7.9723892025325135E-2</v>
      </c>
      <c r="CF24" s="1">
        <f t="shared" si="63"/>
        <v>8.34266645333821E-2</v>
      </c>
      <c r="CG24" s="1">
        <f t="shared" si="63"/>
        <v>7.9769605266165351E-3</v>
      </c>
      <c r="CH24" s="1">
        <f t="shared" si="63"/>
        <v>7.4581152430801587E-2</v>
      </c>
      <c r="CI24" s="1">
        <f t="shared" si="63"/>
        <v>0.13681972983474663</v>
      </c>
      <c r="CJ24" s="1">
        <f t="shared" si="63"/>
        <v>0.61747160064912798</v>
      </c>
      <c r="CK24" s="674">
        <f t="shared" si="33"/>
        <v>1</v>
      </c>
    </row>
    <row r="25" spans="1:89">
      <c r="A25" s="674">
        <v>2019</v>
      </c>
      <c r="B25" s="1">
        <f>B11/$I11</f>
        <v>0.24538425892051413</v>
      </c>
      <c r="C25" s="1">
        <f>C11/$I11</f>
        <v>6.9640577872084428E-2</v>
      </c>
      <c r="D25" s="1">
        <f t="shared" ref="D25:H25" si="64">D11/$I11</f>
        <v>0.10716811785078413</v>
      </c>
      <c r="E25" s="1">
        <f t="shared" si="64"/>
        <v>3.8405567343885921E-2</v>
      </c>
      <c r="F25" s="1">
        <f>F11/$I11</f>
        <v>0.11177776151801176</v>
      </c>
      <c r="G25" s="1">
        <f t="shared" si="64"/>
        <v>7.0030812256611633E-2</v>
      </c>
      <c r="H25" s="1">
        <f t="shared" si="64"/>
        <v>0.35759290423810802</v>
      </c>
      <c r="I25" s="675">
        <f t="shared" si="20"/>
        <v>1</v>
      </c>
      <c r="K25" s="674">
        <v>2019</v>
      </c>
      <c r="L25" s="1">
        <f>L11/$S11</f>
        <v>0.70725308641975304</v>
      </c>
      <c r="M25" s="1">
        <f>M11/$S11</f>
        <v>0.1566358024691358</v>
      </c>
      <c r="N25" s="1">
        <f>N11/$S11</f>
        <v>2.1759259259259259E-2</v>
      </c>
      <c r="O25" s="1"/>
      <c r="P25" s="1">
        <f>P11/$S11</f>
        <v>0.10534979423868313</v>
      </c>
      <c r="Q25" s="1">
        <f>Q11/$S11</f>
        <v>3.5493827160493828E-3</v>
      </c>
      <c r="R25" s="1">
        <f>R11/$S11</f>
        <v>5.4526748971193417E-3</v>
      </c>
      <c r="S25" s="674">
        <f t="shared" si="21"/>
        <v>0.99999999999999989</v>
      </c>
      <c r="U25" s="674">
        <v>2019</v>
      </c>
      <c r="V25" s="674"/>
      <c r="W25" s="1">
        <f t="shared" si="22"/>
        <v>0.32153374955825187</v>
      </c>
      <c r="X25" s="1">
        <f t="shared" si="22"/>
        <v>0.2403109906938391</v>
      </c>
      <c r="Y25" s="1"/>
      <c r="Z25" s="1"/>
      <c r="AA25" s="1">
        <f t="shared" si="22"/>
        <v>5.7721757568618215E-3</v>
      </c>
      <c r="AB25" s="1">
        <f t="shared" si="22"/>
        <v>0.43238308399104725</v>
      </c>
      <c r="AC25" s="674">
        <f t="shared" si="23"/>
        <v>1</v>
      </c>
      <c r="AE25" s="674">
        <v>2019</v>
      </c>
      <c r="AF25" s="674"/>
      <c r="AG25" s="1">
        <f>AG11/$AM11</f>
        <v>0.45330644175528662</v>
      </c>
      <c r="AH25" s="1">
        <f>AH11/$AM11</f>
        <v>0.19233590025669234</v>
      </c>
      <c r="AI25" s="1">
        <f>AI11/$AM11</f>
        <v>0.20645397873120647</v>
      </c>
      <c r="AJ25" s="1"/>
      <c r="AK25" s="1">
        <f>AK11/$AM11</f>
        <v>9.9621073218432957E-2</v>
      </c>
      <c r="AL25" s="1">
        <f>AL11/$AM11</f>
        <v>4.8282606038381616E-2</v>
      </c>
      <c r="AM25" s="674">
        <f t="shared" si="24"/>
        <v>1</v>
      </c>
      <c r="AO25" s="674">
        <v>2019</v>
      </c>
      <c r="AP25" s="674"/>
      <c r="AQ25" s="1">
        <f t="shared" ref="AQ25:AV25" si="65">IFERROR(AQ11/$AW11,0)</f>
        <v>0.45726675059448874</v>
      </c>
      <c r="AR25" s="1">
        <f t="shared" si="65"/>
        <v>6.3365505665127983E-2</v>
      </c>
      <c r="AS25" s="1">
        <f t="shared" si="65"/>
        <v>1.8184361449153728E-2</v>
      </c>
      <c r="AT25" s="1">
        <f t="shared" si="65"/>
        <v>0.20646244229962232</v>
      </c>
      <c r="AU25" s="1">
        <f t="shared" si="65"/>
        <v>7.3996363127710171E-2</v>
      </c>
      <c r="AV25" s="1">
        <f t="shared" si="65"/>
        <v>0.18072457686389704</v>
      </c>
      <c r="AW25" s="674">
        <f t="shared" si="26"/>
        <v>1</v>
      </c>
      <c r="AY25" s="674">
        <v>2019</v>
      </c>
      <c r="AZ25" s="674"/>
      <c r="BA25" s="1">
        <f t="shared" ref="BA25:BF25" si="66">IFERROR(BA11/$BG11,0)</f>
        <v>0.50191629618273803</v>
      </c>
      <c r="BB25" s="1">
        <f t="shared" si="66"/>
        <v>9.5201594358424041E-2</v>
      </c>
      <c r="BC25" s="1">
        <f t="shared" si="66"/>
        <v>4.0318871684807606E-2</v>
      </c>
      <c r="BD25" s="1">
        <f t="shared" si="66"/>
        <v>0.23746742296489345</v>
      </c>
      <c r="BE25" s="1">
        <f t="shared" si="66"/>
        <v>3.4033420205426948E-2</v>
      </c>
      <c r="BF25" s="1">
        <f t="shared" si="66"/>
        <v>9.1062394603709948E-2</v>
      </c>
      <c r="BG25" s="674">
        <f t="shared" si="28"/>
        <v>1</v>
      </c>
      <c r="BI25" s="674">
        <v>2019</v>
      </c>
      <c r="BJ25" s="674"/>
      <c r="BK25" s="1">
        <f t="shared" ref="BK25:BP25" si="67">IFERROR(BK11/$BQ11,0)</f>
        <v>0.56081361560813614</v>
      </c>
      <c r="BL25" s="1">
        <f t="shared" si="67"/>
        <v>0.14591116645911167</v>
      </c>
      <c r="BM25" s="1">
        <f t="shared" si="67"/>
        <v>0.10917393109173931</v>
      </c>
      <c r="BN25" s="1">
        <f t="shared" si="67"/>
        <v>4.0888335408883356E-2</v>
      </c>
      <c r="BO25" s="1">
        <f t="shared" si="67"/>
        <v>2.6359485263594853E-2</v>
      </c>
      <c r="BP25" s="1">
        <f t="shared" si="67"/>
        <v>0.11685346616853466</v>
      </c>
      <c r="BQ25" s="674">
        <f t="shared" si="30"/>
        <v>1</v>
      </c>
      <c r="BS25" s="674">
        <v>2019</v>
      </c>
      <c r="BT25" s="674"/>
      <c r="BU25" s="1">
        <f>IFERROR(BU11/$CA11,0)</f>
        <v>0.37215528781793844</v>
      </c>
      <c r="BV25" s="1">
        <f>IFERROR(BV11/$CA11,0)</f>
        <v>2.2311468094600623E-2</v>
      </c>
      <c r="BW25" s="1">
        <f>IFERROR(BW11/$CA11,0)</f>
        <v>2.3427041499330656E-2</v>
      </c>
      <c r="BY25" s="1">
        <f>IFERROR(BY11/$CA11,0)</f>
        <v>6.4703257474341812E-3</v>
      </c>
      <c r="BZ25" s="1">
        <f>IFERROR(BZ11/$CA11,0)</f>
        <v>0.57563587684069617</v>
      </c>
      <c r="CA25" s="674">
        <f t="shared" si="31"/>
        <v>1</v>
      </c>
      <c r="CB25" s="674"/>
      <c r="CC25" s="674">
        <v>2019</v>
      </c>
      <c r="CD25" s="674"/>
      <c r="CE25" s="1">
        <f t="shared" ref="CE25:CJ25" si="68">IFERROR(CE11/$CK11,0)</f>
        <v>7.0876806840066878E-2</v>
      </c>
      <c r="CF25" s="1">
        <f t="shared" si="68"/>
        <v>7.7352860256925782E-2</v>
      </c>
      <c r="CG25" s="1">
        <f t="shared" si="68"/>
        <v>6.8146705889822442E-3</v>
      </c>
      <c r="CH25" s="1">
        <f t="shared" si="68"/>
        <v>6.9755137457408314E-2</v>
      </c>
      <c r="CI25" s="1">
        <f t="shared" si="68"/>
        <v>0.12507671795305919</v>
      </c>
      <c r="CJ25" s="1">
        <f t="shared" si="68"/>
        <v>0.65012380690355764</v>
      </c>
      <c r="CK25" s="674">
        <f t="shared" si="33"/>
        <v>1</v>
      </c>
    </row>
    <row r="26" spans="1:89">
      <c r="A26" s="674">
        <v>2020</v>
      </c>
      <c r="B26" s="1">
        <f>B12/$I12</f>
        <v>0.25199318866524034</v>
      </c>
      <c r="C26" s="1">
        <f>C12/$I12</f>
        <v>6.482993494302057E-2</v>
      </c>
      <c r="D26" s="1">
        <f t="shared" ref="D26:H26" si="69">D12/$I12</f>
        <v>0.11106841898441253</v>
      </c>
      <c r="E26" s="1">
        <f t="shared" si="69"/>
        <v>4.0492511898004631E-2</v>
      </c>
      <c r="F26" s="1">
        <f>F12/$I12</f>
        <v>8.405885691830764E-2</v>
      </c>
      <c r="G26" s="1">
        <f t="shared" si="69"/>
        <v>7.3632275247784137E-2</v>
      </c>
      <c r="H26" s="1">
        <f t="shared" si="69"/>
        <v>0.37392481334323013</v>
      </c>
      <c r="I26" s="675">
        <f t="shared" si="20"/>
        <v>1</v>
      </c>
      <c r="K26" s="674">
        <v>2020</v>
      </c>
      <c r="L26" s="1">
        <f>L12/$S12</f>
        <v>0.67108198549916342</v>
      </c>
      <c r="M26" s="1">
        <f>M12/$S12</f>
        <v>0.18983547127718906</v>
      </c>
      <c r="N26" s="1">
        <f>N12/$S12</f>
        <v>2.6422197434467373E-2</v>
      </c>
      <c r="O26" s="1"/>
      <c r="P26" s="1">
        <f>P12/$S12</f>
        <v>0.10192414947016173</v>
      </c>
      <c r="Q26" s="1">
        <f>Q12/$S12</f>
        <v>4.1132180702732847E-3</v>
      </c>
      <c r="R26" s="1">
        <f>R12/$S12</f>
        <v>6.6229782487451198E-3</v>
      </c>
      <c r="S26" s="674">
        <f t="shared" si="21"/>
        <v>1</v>
      </c>
      <c r="U26" s="674">
        <v>2020</v>
      </c>
      <c r="V26" s="674"/>
      <c r="W26" s="1">
        <f t="shared" si="22"/>
        <v>0.32528009012956122</v>
      </c>
      <c r="X26" s="1">
        <f t="shared" si="22"/>
        <v>0.24097139638229956</v>
      </c>
      <c r="Y26" s="1"/>
      <c r="Z26" s="1"/>
      <c r="AA26" s="1">
        <f t="shared" si="22"/>
        <v>6.008637416285911E-3</v>
      </c>
      <c r="AB26" s="1">
        <f t="shared" si="22"/>
        <v>0.42773987607185326</v>
      </c>
      <c r="AC26" s="674">
        <f t="shared" si="23"/>
        <v>0.99999999999999989</v>
      </c>
      <c r="AE26" s="674">
        <v>2020</v>
      </c>
      <c r="AF26" s="674"/>
      <c r="AG26" s="1">
        <f>AG12/$AM12</f>
        <v>0.45240740740740742</v>
      </c>
      <c r="AH26" s="1">
        <f>AH12/$AM12</f>
        <v>0.19271604938271605</v>
      </c>
      <c r="AI26" s="1">
        <f>AI12/$AM12</f>
        <v>0.20679012345679013</v>
      </c>
      <c r="AJ26" s="1"/>
      <c r="AK26" s="1">
        <f>AK12/$AM12</f>
        <v>9.9444444444444446E-2</v>
      </c>
      <c r="AL26" s="1">
        <f>AL12/$AM12</f>
        <v>4.8641975308641977E-2</v>
      </c>
      <c r="AM26" s="674">
        <f t="shared" si="24"/>
        <v>1</v>
      </c>
      <c r="AO26" s="674">
        <v>2020</v>
      </c>
      <c r="AP26" s="674"/>
      <c r="AQ26" s="1">
        <f t="shared" ref="AQ26:AV26" si="70">IFERROR(AQ12/$AW12,0)</f>
        <v>0.45363587636233699</v>
      </c>
      <c r="AR26" s="1">
        <f t="shared" si="70"/>
        <v>6.3605502948007861E-2</v>
      </c>
      <c r="AS26" s="1">
        <f t="shared" si="70"/>
        <v>1.8224048597462926E-2</v>
      </c>
      <c r="AT26" s="1">
        <f t="shared" si="70"/>
        <v>0.2063605502948008</v>
      </c>
      <c r="AU26" s="1">
        <f t="shared" si="70"/>
        <v>7.0216187243165987E-2</v>
      </c>
      <c r="AV26" s="1">
        <f t="shared" si="70"/>
        <v>0.18795783455422549</v>
      </c>
      <c r="AW26" s="674">
        <f t="shared" si="26"/>
        <v>1.0000000000000002</v>
      </c>
      <c r="AY26" s="674">
        <v>2020</v>
      </c>
      <c r="AZ26" s="674"/>
      <c r="BA26" s="1">
        <f t="shared" ref="BA26:BF26" si="71">IFERROR(BA12/$BG12,0)</f>
        <v>0.4925749925749926</v>
      </c>
      <c r="BB26" s="1">
        <f t="shared" si="71"/>
        <v>9.3406593406593408E-2</v>
      </c>
      <c r="BC26" s="1">
        <f t="shared" si="71"/>
        <v>3.9352539352539351E-2</v>
      </c>
      <c r="BD26" s="1">
        <f t="shared" si="71"/>
        <v>0.25111375111375112</v>
      </c>
      <c r="BE26" s="1">
        <f t="shared" si="71"/>
        <v>3.3264033264033266E-2</v>
      </c>
      <c r="BF26" s="1">
        <f t="shared" si="71"/>
        <v>9.0288090288090289E-2</v>
      </c>
      <c r="BG26" s="674">
        <f t="shared" si="28"/>
        <v>1</v>
      </c>
      <c r="BI26" s="674">
        <v>2020</v>
      </c>
      <c r="BJ26" s="674"/>
      <c r="BK26" s="1">
        <f t="shared" ref="BK26:BP26" si="72">IFERROR(BK12/$BQ12,0)</f>
        <v>0.56504246759052301</v>
      </c>
      <c r="BL26" s="1">
        <f t="shared" si="72"/>
        <v>0.1470719713902548</v>
      </c>
      <c r="BM26" s="1">
        <f t="shared" si="72"/>
        <v>0.10996870809119356</v>
      </c>
      <c r="BN26" s="1">
        <f t="shared" si="72"/>
        <v>3.6656236030397853E-2</v>
      </c>
      <c r="BO26" s="1">
        <f t="shared" si="72"/>
        <v>2.6598122485471613E-2</v>
      </c>
      <c r="BP26" s="1">
        <f t="shared" si="72"/>
        <v>0.11466249441215914</v>
      </c>
      <c r="BQ26" s="674">
        <f t="shared" si="30"/>
        <v>1</v>
      </c>
      <c r="BS26" s="674">
        <v>2020</v>
      </c>
      <c r="BT26" s="674"/>
      <c r="BU26" s="1">
        <f>IFERROR(BU12/$CA12,0)</f>
        <v>0.37207561295152536</v>
      </c>
      <c r="BV26" s="1">
        <f>IFERROR(BV12/$CA12,0)</f>
        <v>2.2272131761182857E-2</v>
      </c>
      <c r="BW26" s="1">
        <f>IFERROR(BW12/$CA12,0)</f>
        <v>2.3395096387797118E-2</v>
      </c>
      <c r="BY26" s="1">
        <f>IFERROR(BY12/$CA12,0)</f>
        <v>6.5506269885831931E-3</v>
      </c>
      <c r="BZ26" s="1">
        <f>IFERROR(BZ12/$CA12,0)</f>
        <v>0.57570653191091148</v>
      </c>
      <c r="CA26" s="674">
        <f t="shared" si="31"/>
        <v>1</v>
      </c>
      <c r="CB26" s="674"/>
      <c r="CC26" s="674">
        <v>2020</v>
      </c>
      <c r="CD26" s="674"/>
      <c r="CE26" s="1">
        <f t="shared" ref="CE26:CJ26" si="73">IFERROR(CE12/$CK12,0)</f>
        <v>7.0584129476944549E-2</v>
      </c>
      <c r="CF26" s="1">
        <f t="shared" si="73"/>
        <v>7.8654626357806567E-2</v>
      </c>
      <c r="CG26" s="1">
        <f t="shared" si="73"/>
        <v>6.6090825808140293E-3</v>
      </c>
      <c r="CH26" s="1">
        <f t="shared" si="73"/>
        <v>6.4389477817039659E-2</v>
      </c>
      <c r="CI26" s="1">
        <f t="shared" si="73"/>
        <v>0.12858264625049076</v>
      </c>
      <c r="CJ26" s="1">
        <f t="shared" si="73"/>
        <v>0.65118003751690445</v>
      </c>
      <c r="CK26" s="674">
        <f t="shared" si="33"/>
        <v>1</v>
      </c>
    </row>
    <row r="27" spans="1:89">
      <c r="A27" s="674">
        <v>2021</v>
      </c>
      <c r="B27" s="1">
        <f>B13/$I13</f>
        <v>0.2474268012391326</v>
      </c>
      <c r="C27" s="1">
        <f>C13/$I13</f>
        <v>6.5728989707204963E-2</v>
      </c>
      <c r="D27" s="1">
        <f t="shared" ref="D27:H27" si="74">D13/$I13</f>
        <v>0.10698344492188801</v>
      </c>
      <c r="E27" s="1">
        <f t="shared" si="74"/>
        <v>3.8914426568069017E-2</v>
      </c>
      <c r="F27" s="1">
        <f>F13/$I13</f>
        <v>9.1502614836281276E-2</v>
      </c>
      <c r="G27" s="1">
        <f t="shared" si="74"/>
        <v>7.1508277539055989E-2</v>
      </c>
      <c r="H27" s="1">
        <f t="shared" si="74"/>
        <v>0.37793544518836814</v>
      </c>
      <c r="I27" s="675">
        <f t="shared" si="20"/>
        <v>1</v>
      </c>
      <c r="K27" s="674">
        <v>2021</v>
      </c>
      <c r="L27" s="1">
        <f>L13/$S13</f>
        <v>0.68567862714508576</v>
      </c>
      <c r="M27" s="1">
        <f>M13/$S13</f>
        <v>0.17503900156006241</v>
      </c>
      <c r="N27" s="1">
        <f>N13/$S13</f>
        <v>2.4399375975039002E-2</v>
      </c>
      <c r="O27" s="1"/>
      <c r="P27" s="1">
        <f>P13/$S13</f>
        <v>0.1049609984399376</v>
      </c>
      <c r="Q27" s="1">
        <f>Q13/$S13</f>
        <v>3.8065522620904838E-3</v>
      </c>
      <c r="R27" s="1">
        <f>R13/$S13</f>
        <v>6.1154446177847117E-3</v>
      </c>
      <c r="S27" s="674">
        <f t="shared" si="21"/>
        <v>0.99999999999999989</v>
      </c>
      <c r="U27" s="674">
        <v>2021</v>
      </c>
      <c r="V27" s="674"/>
      <c r="W27" s="1">
        <f t="shared" si="22"/>
        <v>0.32519207945530637</v>
      </c>
      <c r="X27" s="1">
        <f t="shared" si="22"/>
        <v>0.24298831907052282</v>
      </c>
      <c r="Y27" s="1"/>
      <c r="Z27" s="1"/>
      <c r="AA27" s="1">
        <f t="shared" si="22"/>
        <v>5.871697170341683E-3</v>
      </c>
      <c r="AB27" s="1">
        <f t="shared" si="22"/>
        <v>0.42594790430382912</v>
      </c>
      <c r="AC27" s="674">
        <f t="shared" si="23"/>
        <v>0.99999999999999989</v>
      </c>
      <c r="AE27" s="674">
        <v>2021</v>
      </c>
      <c r="AF27" s="674"/>
      <c r="AG27" s="1">
        <f>AG13/$AM13</f>
        <v>0.45248393475037074</v>
      </c>
      <c r="AH27" s="1">
        <f>AH13/$AM13</f>
        <v>0.19272120612951063</v>
      </c>
      <c r="AI27" s="1">
        <f>AI13/$AM13</f>
        <v>0.20674740484429066</v>
      </c>
      <c r="AJ27" s="1"/>
      <c r="AK27" s="1">
        <f>AK13/$AM13</f>
        <v>9.9419179436480473E-2</v>
      </c>
      <c r="AL27" s="1">
        <f>AL13/$AM13</f>
        <v>4.86282748393475E-2</v>
      </c>
      <c r="AM27" s="674">
        <f t="shared" si="24"/>
        <v>1</v>
      </c>
      <c r="AO27" s="674">
        <v>2021</v>
      </c>
      <c r="AP27" s="674"/>
      <c r="AQ27" s="1">
        <f t="shared" ref="AQ27:AV27" si="75">IFERROR(AQ13/$AW13,0)</f>
        <v>0.46202047990218553</v>
      </c>
      <c r="AR27" s="1">
        <f t="shared" si="75"/>
        <v>6.4343573284426109E-2</v>
      </c>
      <c r="AS27" s="1">
        <f t="shared" si="75"/>
        <v>1.8340210912425492E-2</v>
      </c>
      <c r="AT27" s="1">
        <f t="shared" si="75"/>
        <v>0.20128381476386978</v>
      </c>
      <c r="AU27" s="1">
        <f t="shared" si="75"/>
        <v>7.3666513831575728E-2</v>
      </c>
      <c r="AV27" s="1">
        <f t="shared" si="75"/>
        <v>0.18034540730551735</v>
      </c>
      <c r="AW27" s="674">
        <f t="shared" si="26"/>
        <v>1</v>
      </c>
      <c r="AY27" s="674">
        <v>2021</v>
      </c>
      <c r="AZ27" s="674"/>
      <c r="BA27" s="1">
        <f t="shared" ref="BA27:BF27" si="76">IFERROR(BA13/$BG13,0)</f>
        <v>0.49557260920897284</v>
      </c>
      <c r="BB27" s="1">
        <f t="shared" si="76"/>
        <v>9.4008264462809923E-2</v>
      </c>
      <c r="BC27" s="1">
        <f t="shared" si="76"/>
        <v>3.9698937426210154E-2</v>
      </c>
      <c r="BD27" s="1">
        <f t="shared" si="76"/>
        <v>0.24675324675324675</v>
      </c>
      <c r="BE27" s="1">
        <f t="shared" si="76"/>
        <v>3.3500590318772137E-2</v>
      </c>
      <c r="BF27" s="1">
        <f t="shared" si="76"/>
        <v>9.046635182998819E-2</v>
      </c>
      <c r="BG27" s="674">
        <f t="shared" si="28"/>
        <v>1</v>
      </c>
      <c r="BI27" s="674">
        <v>2021</v>
      </c>
      <c r="BJ27" s="674"/>
      <c r="BK27" s="1">
        <f t="shared" ref="BK27:BP27" si="77">IFERROR(BK13/$BQ13,0)</f>
        <v>0.56346749226006188</v>
      </c>
      <c r="BL27" s="1">
        <f t="shared" si="77"/>
        <v>0.14661654135338345</v>
      </c>
      <c r="BM27" s="1">
        <f t="shared" si="77"/>
        <v>0.1096859796550199</v>
      </c>
      <c r="BN27" s="1">
        <f t="shared" si="77"/>
        <v>3.8257408226448471E-2</v>
      </c>
      <c r="BO27" s="1">
        <f t="shared" si="77"/>
        <v>2.6536930561698365E-2</v>
      </c>
      <c r="BP27" s="1">
        <f t="shared" si="77"/>
        <v>0.11543564794338788</v>
      </c>
      <c r="BQ27" s="674">
        <f t="shared" si="30"/>
        <v>1</v>
      </c>
      <c r="BS27" s="674">
        <v>2021</v>
      </c>
      <c r="BT27" s="674"/>
      <c r="BU27" s="1">
        <f>IFERROR(BU13/$CA13,0)</f>
        <v>0.3721881390593047</v>
      </c>
      <c r="BV27" s="1">
        <f>IFERROR(BV13/$CA13,0)</f>
        <v>2.2324471710974778E-2</v>
      </c>
      <c r="BW27" s="1">
        <f>IFERROR(BW13/$CA13,0)</f>
        <v>2.334696659850034E-2</v>
      </c>
      <c r="BY27" s="1">
        <f>IFERROR(BY13/$CA13,0)</f>
        <v>6.4758009543285618E-3</v>
      </c>
      <c r="BZ27" s="1">
        <f>IFERROR(BZ13/$CA13,0)</f>
        <v>0.57566462167689159</v>
      </c>
      <c r="CA27" s="674">
        <f t="shared" si="31"/>
        <v>1</v>
      </c>
      <c r="CB27" s="674"/>
      <c r="CC27" s="674">
        <v>2021</v>
      </c>
      <c r="CD27" s="674"/>
      <c r="CE27" s="1">
        <f t="shared" ref="CE27:CJ27" si="78">IFERROR(CE13/$CK13,0)</f>
        <v>6.7799073862574499E-2</v>
      </c>
      <c r="CF27" s="1">
        <f t="shared" si="78"/>
        <v>7.4651660194779576E-2</v>
      </c>
      <c r="CG27" s="1">
        <f t="shared" si="78"/>
        <v>6.3334510040077251E-3</v>
      </c>
      <c r="CH27" s="1">
        <f t="shared" si="78"/>
        <v>6.3313744626949359E-2</v>
      </c>
      <c r="CI27" s="1">
        <f t="shared" si="78"/>
        <v>0.12367880058973774</v>
      </c>
      <c r="CJ27" s="1">
        <f t="shared" si="78"/>
        <v>0.66422326972195112</v>
      </c>
      <c r="CK27" s="674">
        <f t="shared" si="33"/>
        <v>1</v>
      </c>
    </row>
    <row r="29" spans="1:89">
      <c r="A29" s="672" t="s">
        <v>1051</v>
      </c>
      <c r="K29" s="672" t="s">
        <v>1018</v>
      </c>
      <c r="U29" s="673" t="s">
        <v>1019</v>
      </c>
      <c r="AE29" s="673" t="s">
        <v>1020</v>
      </c>
      <c r="AO29" s="673" t="s">
        <v>1021</v>
      </c>
      <c r="AY29" s="673" t="s">
        <v>1022</v>
      </c>
      <c r="BI29" s="672" t="s">
        <v>1023</v>
      </c>
      <c r="BS29" s="673" t="s">
        <v>1024</v>
      </c>
      <c r="CC29" s="672" t="s">
        <v>1025</v>
      </c>
    </row>
    <row r="30" spans="1:89" ht="48">
      <c r="A30" s="554" t="s">
        <v>481</v>
      </c>
      <c r="B30" s="549" t="s">
        <v>989</v>
      </c>
      <c r="C30" s="550" t="s">
        <v>1008</v>
      </c>
      <c r="D30" s="551" t="s">
        <v>991</v>
      </c>
      <c r="E30" s="555" t="s">
        <v>993</v>
      </c>
      <c r="F30" s="552" t="s">
        <v>988</v>
      </c>
      <c r="G30" s="553" t="s">
        <v>1009</v>
      </c>
      <c r="H30" s="553" t="s">
        <v>994</v>
      </c>
      <c r="I30" s="558" t="s">
        <v>1026</v>
      </c>
      <c r="K30" s="554" t="s">
        <v>481</v>
      </c>
      <c r="L30" s="549" t="s">
        <v>988</v>
      </c>
      <c r="M30" s="550" t="s">
        <v>989</v>
      </c>
      <c r="N30" s="551" t="s">
        <v>991</v>
      </c>
      <c r="O30" s="555"/>
      <c r="P30" s="552" t="s">
        <v>1008</v>
      </c>
      <c r="Q30" s="553" t="s">
        <v>1009</v>
      </c>
      <c r="R30" s="553" t="s">
        <v>994</v>
      </c>
      <c r="S30" s="558" t="s">
        <v>1026</v>
      </c>
      <c r="U30" s="554" t="s">
        <v>481</v>
      </c>
      <c r="V30" s="549" t="s">
        <v>988</v>
      </c>
      <c r="W30" s="550" t="s">
        <v>989</v>
      </c>
      <c r="X30" s="551" t="s">
        <v>991</v>
      </c>
      <c r="Y30" s="555"/>
      <c r="Z30" s="552" t="s">
        <v>1008</v>
      </c>
      <c r="AA30" s="553" t="s">
        <v>1009</v>
      </c>
      <c r="AB30" s="553" t="s">
        <v>994</v>
      </c>
      <c r="AC30" s="558" t="s">
        <v>1026</v>
      </c>
      <c r="AE30" s="554" t="s">
        <v>481</v>
      </c>
      <c r="AF30" s="549" t="s">
        <v>988</v>
      </c>
      <c r="AG30" s="550" t="s">
        <v>989</v>
      </c>
      <c r="AH30" s="551" t="s">
        <v>991</v>
      </c>
      <c r="AI30" s="555" t="s">
        <v>993</v>
      </c>
      <c r="AJ30" s="552" t="s">
        <v>1008</v>
      </c>
      <c r="AK30" s="553" t="s">
        <v>1009</v>
      </c>
      <c r="AL30" s="553" t="s">
        <v>994</v>
      </c>
      <c r="AM30" s="558" t="s">
        <v>1026</v>
      </c>
      <c r="AO30" s="554" t="s">
        <v>481</v>
      </c>
      <c r="AP30" s="549" t="s">
        <v>988</v>
      </c>
      <c r="AQ30" s="550" t="s">
        <v>989</v>
      </c>
      <c r="AR30" s="551" t="s">
        <v>991</v>
      </c>
      <c r="AS30" s="555" t="s">
        <v>993</v>
      </c>
      <c r="AT30" s="552" t="s">
        <v>1008</v>
      </c>
      <c r="AU30" s="553" t="s">
        <v>1009</v>
      </c>
      <c r="AV30" s="553" t="s">
        <v>994</v>
      </c>
      <c r="AW30" s="558" t="s">
        <v>1026</v>
      </c>
      <c r="AY30" s="554" t="s">
        <v>481</v>
      </c>
      <c r="AZ30" s="549" t="s">
        <v>988</v>
      </c>
      <c r="BA30" s="550" t="s">
        <v>989</v>
      </c>
      <c r="BB30" s="551" t="s">
        <v>991</v>
      </c>
      <c r="BC30" s="555" t="s">
        <v>993</v>
      </c>
      <c r="BD30" s="552" t="s">
        <v>1008</v>
      </c>
      <c r="BE30" s="553" t="s">
        <v>1009</v>
      </c>
      <c r="BF30" s="553" t="s">
        <v>994</v>
      </c>
      <c r="BG30" s="558" t="s">
        <v>1026</v>
      </c>
      <c r="BI30" s="554" t="s">
        <v>481</v>
      </c>
      <c r="BJ30" s="549" t="s">
        <v>988</v>
      </c>
      <c r="BK30" s="550" t="s">
        <v>989</v>
      </c>
      <c r="BL30" s="551" t="s">
        <v>991</v>
      </c>
      <c r="BM30" s="555" t="s">
        <v>993</v>
      </c>
      <c r="BN30" s="552" t="s">
        <v>1008</v>
      </c>
      <c r="BO30" s="553" t="s">
        <v>1009</v>
      </c>
      <c r="BP30" s="553" t="s">
        <v>994</v>
      </c>
      <c r="BQ30" s="558" t="s">
        <v>1026</v>
      </c>
      <c r="BS30" s="554" t="s">
        <v>481</v>
      </c>
      <c r="BT30" s="549" t="s">
        <v>988</v>
      </c>
      <c r="BU30" s="550" t="s">
        <v>989</v>
      </c>
      <c r="BV30" s="551" t="s">
        <v>991</v>
      </c>
      <c r="BW30" s="555" t="s">
        <v>993</v>
      </c>
      <c r="BX30" s="552"/>
      <c r="BY30" s="553" t="s">
        <v>1009</v>
      </c>
      <c r="BZ30" s="553" t="s">
        <v>994</v>
      </c>
      <c r="CA30" s="558" t="s">
        <v>1026</v>
      </c>
      <c r="CB30" s="674"/>
      <c r="CC30" s="554" t="s">
        <v>481</v>
      </c>
      <c r="CD30" s="549" t="s">
        <v>988</v>
      </c>
      <c r="CE30" s="550" t="s">
        <v>989</v>
      </c>
      <c r="CF30" s="551" t="s">
        <v>991</v>
      </c>
      <c r="CG30" s="555" t="s">
        <v>993</v>
      </c>
      <c r="CH30" s="552" t="s">
        <v>1008</v>
      </c>
      <c r="CI30" s="553" t="s">
        <v>1009</v>
      </c>
      <c r="CJ30" s="553" t="s">
        <v>994</v>
      </c>
      <c r="CK30" s="558" t="s">
        <v>1026</v>
      </c>
    </row>
    <row r="31" spans="1:89">
      <c r="A31" s="554">
        <v>2011</v>
      </c>
      <c r="B31" s="549">
        <f>M31+W31+AG31+AQ31+BA31+BK31+BU31+CE31</f>
        <v>28553</v>
      </c>
      <c r="C31" s="550">
        <f>P31+Z31+AJ31+AT31+BD31+BN31+BX31+CH31</f>
        <v>3296</v>
      </c>
      <c r="D31" s="551">
        <f>N31+X31+AH31+AR31+BB31+BL31+BV31+CF31</f>
        <v>13494</v>
      </c>
      <c r="E31" s="555">
        <f>O31+Y31+AI31+AS31+BC31+BM31+BW31+CG31</f>
        <v>3979</v>
      </c>
      <c r="F31" s="552">
        <f>L31+V31+AF31+AP31+AZ31+BJ31+BT31+CD31</f>
        <v>4183</v>
      </c>
      <c r="G31" s="553">
        <f>Q31+AA31+AK31+AU31+BE31+BO31+BY31+CI31</f>
        <v>0</v>
      </c>
      <c r="H31" s="553">
        <f>R31+AB31+AL31+AV31+BF31+BP31+BZ31+CJ31</f>
        <v>46398</v>
      </c>
      <c r="I31" s="558">
        <f>SUM(B31:H31)</f>
        <v>99903</v>
      </c>
      <c r="K31" s="554">
        <v>2011</v>
      </c>
      <c r="L31" s="549">
        <v>4183</v>
      </c>
      <c r="M31" s="550">
        <v>4980</v>
      </c>
      <c r="N31" s="551">
        <v>742</v>
      </c>
      <c r="O31" s="555"/>
      <c r="P31" s="552">
        <v>1575</v>
      </c>
      <c r="Q31" s="553"/>
      <c r="R31" s="553">
        <v>421</v>
      </c>
      <c r="S31" s="558">
        <f>SUM(L31:R31)</f>
        <v>11901</v>
      </c>
      <c r="U31" s="554">
        <v>2011</v>
      </c>
      <c r="V31" s="549"/>
      <c r="W31" s="550">
        <v>5625</v>
      </c>
      <c r="X31" s="551">
        <v>4183</v>
      </c>
      <c r="Y31" s="555"/>
      <c r="Z31" s="552"/>
      <c r="AA31" s="553"/>
      <c r="AB31" s="553">
        <v>6530</v>
      </c>
      <c r="AC31" s="558">
        <f>SUM(V31:AB31)</f>
        <v>16338</v>
      </c>
      <c r="AE31" s="554">
        <v>2011</v>
      </c>
      <c r="AF31" s="549"/>
      <c r="AG31" s="550">
        <v>8829</v>
      </c>
      <c r="AH31" s="551">
        <v>3303</v>
      </c>
      <c r="AI31" s="555">
        <v>2841</v>
      </c>
      <c r="AJ31" s="552"/>
      <c r="AK31" s="553"/>
      <c r="AL31" s="553">
        <v>6371</v>
      </c>
      <c r="AM31" s="558">
        <f>SUM(AF31:AL31)</f>
        <v>21344</v>
      </c>
      <c r="AO31" s="554">
        <v>2011</v>
      </c>
      <c r="AP31" s="549"/>
      <c r="AQ31" s="550"/>
      <c r="AR31" s="551"/>
      <c r="AS31" s="555"/>
      <c r="AT31" s="552"/>
      <c r="AU31" s="553"/>
      <c r="AV31" s="553"/>
      <c r="AW31" s="558">
        <f>SUM(AP31:AV31)</f>
        <v>0</v>
      </c>
      <c r="AY31" s="554">
        <v>2011</v>
      </c>
      <c r="AZ31" s="549"/>
      <c r="BA31" s="550"/>
      <c r="BB31" s="551"/>
      <c r="BC31" s="555"/>
      <c r="BD31" s="552"/>
      <c r="BE31" s="553"/>
      <c r="BF31" s="553"/>
      <c r="BG31" s="558">
        <f>SUM(AZ31:BF31)</f>
        <v>0</v>
      </c>
      <c r="BI31" s="554">
        <v>2011</v>
      </c>
      <c r="BJ31" s="549"/>
      <c r="BK31" s="550"/>
      <c r="BL31" s="551"/>
      <c r="BM31" s="555"/>
      <c r="BN31" s="552"/>
      <c r="BO31" s="553"/>
      <c r="BP31" s="553"/>
      <c r="BQ31" s="558">
        <f>SUM(BJ31:BP31)</f>
        <v>0</v>
      </c>
      <c r="BS31" s="554">
        <v>2011</v>
      </c>
      <c r="BT31" s="549"/>
      <c r="BU31" s="550"/>
      <c r="BV31" s="551"/>
      <c r="BW31" s="555"/>
      <c r="BX31" s="552"/>
      <c r="BY31" s="553"/>
      <c r="BZ31" s="553"/>
      <c r="CA31" s="558">
        <f>SUM(BT31:BZ31)</f>
        <v>0</v>
      </c>
      <c r="CB31" s="674"/>
      <c r="CC31" s="554">
        <v>2011</v>
      </c>
      <c r="CD31" s="549"/>
      <c r="CE31" s="550">
        <v>9119</v>
      </c>
      <c r="CF31" s="551">
        <v>5266</v>
      </c>
      <c r="CG31" s="555">
        <v>1138</v>
      </c>
      <c r="CH31" s="552">
        <v>1721</v>
      </c>
      <c r="CI31" s="553"/>
      <c r="CJ31" s="553">
        <v>33076</v>
      </c>
      <c r="CK31" s="558">
        <f>SUM(CD31:CJ31)</f>
        <v>50320</v>
      </c>
    </row>
    <row r="32" spans="1:89">
      <c r="A32" s="554">
        <v>2012</v>
      </c>
      <c r="B32" s="549">
        <f>M32+W32+AG32+AQ32+BA32+BK32+BU32+CE32</f>
        <v>28771</v>
      </c>
      <c r="C32" s="550">
        <f>P32+Z32+AJ32+AT32+BD32+BN32+BX32+CH32</f>
        <v>3430</v>
      </c>
      <c r="D32" s="551">
        <f t="shared" ref="D32:D41" si="79">N32+X32+AH32+AR32+BB32+BL32+BV32+CF32</f>
        <v>13692</v>
      </c>
      <c r="E32" s="555">
        <f t="shared" ref="E32:E41" si="80">O32+Y32+AI32+AS32+BC32+BM32+BW32+CG32</f>
        <v>4056</v>
      </c>
      <c r="F32" s="552">
        <f>L32+V32+AF32+AP32+AZ32+BJ32+BT32+CD32</f>
        <v>4636</v>
      </c>
      <c r="G32" s="553">
        <f t="shared" ref="G32:G41" si="81">Q32+AA32+AK32+AU32+BE32+BO32+BY32+CI32</f>
        <v>0</v>
      </c>
      <c r="H32" s="553">
        <f t="shared" ref="H32:H41" si="82">R32+AB32+AL32+AV32+BF32+BP32+BZ32+CJ32</f>
        <v>47771</v>
      </c>
      <c r="I32" s="558">
        <f t="shared" ref="I32:I41" si="83">SUM(B32:H32)</f>
        <v>102356</v>
      </c>
      <c r="K32" s="554">
        <v>2012</v>
      </c>
      <c r="L32" s="549">
        <v>4636</v>
      </c>
      <c r="M32" s="550">
        <v>4871</v>
      </c>
      <c r="N32" s="551">
        <v>721</v>
      </c>
      <c r="O32" s="555"/>
      <c r="P32" s="552">
        <v>1653</v>
      </c>
      <c r="Q32" s="553"/>
      <c r="R32" s="553">
        <v>399</v>
      </c>
      <c r="S32" s="558">
        <f t="shared" ref="S32:S41" si="84">SUM(L32:R32)</f>
        <v>12280</v>
      </c>
      <c r="U32" s="554">
        <v>2012</v>
      </c>
      <c r="V32" s="549"/>
      <c r="W32" s="550">
        <v>5701</v>
      </c>
      <c r="X32" s="551">
        <v>4177</v>
      </c>
      <c r="Y32" s="555"/>
      <c r="Z32" s="552"/>
      <c r="AA32" s="553"/>
      <c r="AB32" s="553">
        <v>6565</v>
      </c>
      <c r="AC32" s="558">
        <f t="shared" ref="AC32:AC41" si="85">SUM(V32:AB32)</f>
        <v>16443</v>
      </c>
      <c r="AE32" s="554">
        <v>2012</v>
      </c>
      <c r="AF32" s="549"/>
      <c r="AG32" s="550">
        <v>8691</v>
      </c>
      <c r="AH32" s="551">
        <v>3311</v>
      </c>
      <c r="AI32" s="555">
        <v>2919</v>
      </c>
      <c r="AJ32" s="552"/>
      <c r="AK32" s="553"/>
      <c r="AL32" s="553">
        <v>5960</v>
      </c>
      <c r="AM32" s="558">
        <f t="shared" ref="AM32:AM41" si="86">SUM(AF32:AL32)</f>
        <v>20881</v>
      </c>
      <c r="AO32" s="554">
        <v>2012</v>
      </c>
      <c r="AP32" s="549"/>
      <c r="AQ32" s="550">
        <v>2766</v>
      </c>
      <c r="AR32" s="551">
        <v>384</v>
      </c>
      <c r="AS32" s="555">
        <v>110</v>
      </c>
      <c r="AT32" s="552">
        <v>666</v>
      </c>
      <c r="AU32" s="553"/>
      <c r="AV32" s="553">
        <v>1024</v>
      </c>
      <c r="AW32" s="558">
        <f t="shared" ref="AW32:AW41" si="87">SUM(AP32:AV32)</f>
        <v>4950</v>
      </c>
      <c r="AY32" s="554">
        <v>2012</v>
      </c>
      <c r="AZ32" s="549"/>
      <c r="BA32" s="550">
        <v>1688</v>
      </c>
      <c r="BB32" s="551">
        <v>367</v>
      </c>
      <c r="BC32" s="555">
        <v>288</v>
      </c>
      <c r="BD32" s="552">
        <v>279</v>
      </c>
      <c r="BE32" s="553"/>
      <c r="BF32" s="553">
        <v>1160</v>
      </c>
      <c r="BG32" s="558">
        <f t="shared" ref="BG32:BG41" si="88">SUM(AZ32:BF32)</f>
        <v>3782</v>
      </c>
      <c r="BI32" s="554">
        <v>2012</v>
      </c>
      <c r="BJ32" s="549"/>
      <c r="BK32" s="550">
        <v>1822</v>
      </c>
      <c r="BL32" s="551">
        <v>672</v>
      </c>
      <c r="BM32" s="555">
        <v>370</v>
      </c>
      <c r="BN32" s="552">
        <v>94</v>
      </c>
      <c r="BO32" s="553"/>
      <c r="BP32" s="553">
        <v>498</v>
      </c>
      <c r="BQ32" s="558">
        <f t="shared" ref="BQ32:BQ41" si="89">SUM(BJ32:BP32)</f>
        <v>3456</v>
      </c>
      <c r="BS32" s="554">
        <v>2012</v>
      </c>
      <c r="BT32" s="549"/>
      <c r="BU32" s="550"/>
      <c r="BV32" s="551"/>
      <c r="BW32" s="555"/>
      <c r="BX32" s="552"/>
      <c r="BY32" s="553"/>
      <c r="BZ32" s="553"/>
      <c r="CA32" s="558">
        <f t="shared" ref="CA32:CA41" si="90">SUM(BT32:BZ32)</f>
        <v>0</v>
      </c>
      <c r="CB32" s="674"/>
      <c r="CC32" s="554">
        <v>2012</v>
      </c>
      <c r="CD32" s="549"/>
      <c r="CE32" s="550">
        <v>3232</v>
      </c>
      <c r="CF32" s="551">
        <v>4060</v>
      </c>
      <c r="CG32" s="555">
        <v>369</v>
      </c>
      <c r="CH32" s="552">
        <v>738</v>
      </c>
      <c r="CI32" s="553"/>
      <c r="CJ32" s="553">
        <v>32165</v>
      </c>
      <c r="CK32" s="558">
        <f t="shared" ref="CK32:CK41" si="91">SUM(CD32:CJ32)</f>
        <v>40564</v>
      </c>
    </row>
    <row r="33" spans="1:89">
      <c r="A33" s="554">
        <v>2013</v>
      </c>
      <c r="B33" s="549">
        <f>M33+W33+AG33+AQ33+BA33+BK33+BU33+CE33</f>
        <v>28507</v>
      </c>
      <c r="C33" s="550">
        <f>P33+Z33+AJ33+AT33+BD33+BN33+BX33+CH33</f>
        <v>3646</v>
      </c>
      <c r="D33" s="551">
        <f t="shared" si="79"/>
        <v>13641</v>
      </c>
      <c r="E33" s="555">
        <f t="shared" si="80"/>
        <v>4109</v>
      </c>
      <c r="F33" s="552">
        <f>L33+V33+AF33+AP33+AZ33+BJ33+BT33+CD33</f>
        <v>5029</v>
      </c>
      <c r="G33" s="553">
        <f t="shared" si="81"/>
        <v>0</v>
      </c>
      <c r="H33" s="553">
        <f t="shared" si="82"/>
        <v>47284</v>
      </c>
      <c r="I33" s="558">
        <f t="shared" si="83"/>
        <v>102216</v>
      </c>
      <c r="K33" s="554">
        <v>2013</v>
      </c>
      <c r="L33" s="549">
        <v>5029</v>
      </c>
      <c r="M33" s="550">
        <v>4604</v>
      </c>
      <c r="N33" s="551">
        <v>686</v>
      </c>
      <c r="O33" s="555"/>
      <c r="P33" s="552">
        <v>1688</v>
      </c>
      <c r="Q33" s="553"/>
      <c r="R33" s="553">
        <v>370</v>
      </c>
      <c r="S33" s="558">
        <f t="shared" si="84"/>
        <v>12377</v>
      </c>
      <c r="U33" s="554">
        <v>2013</v>
      </c>
      <c r="V33" s="549"/>
      <c r="W33" s="550">
        <v>5583</v>
      </c>
      <c r="X33" s="551">
        <v>4250</v>
      </c>
      <c r="Y33" s="555"/>
      <c r="Z33" s="552"/>
      <c r="AA33" s="553"/>
      <c r="AB33" s="553">
        <v>6601</v>
      </c>
      <c r="AC33" s="558">
        <f t="shared" si="85"/>
        <v>16434</v>
      </c>
      <c r="AE33" s="554">
        <v>2013</v>
      </c>
      <c r="AF33" s="549"/>
      <c r="AG33" s="550">
        <v>8304</v>
      </c>
      <c r="AH33" s="551">
        <v>3265</v>
      </c>
      <c r="AI33" s="555">
        <v>2954</v>
      </c>
      <c r="AJ33" s="552"/>
      <c r="AK33" s="553"/>
      <c r="AL33" s="553">
        <v>5435</v>
      </c>
      <c r="AM33" s="558">
        <f t="shared" si="86"/>
        <v>19958</v>
      </c>
      <c r="AO33" s="554">
        <v>2013</v>
      </c>
      <c r="AP33" s="549"/>
      <c r="AQ33" s="550">
        <v>2999</v>
      </c>
      <c r="AR33" s="551">
        <v>421</v>
      </c>
      <c r="AS33" s="555">
        <v>121</v>
      </c>
      <c r="AT33" s="552">
        <v>732</v>
      </c>
      <c r="AU33" s="553"/>
      <c r="AV33" s="553">
        <v>1127</v>
      </c>
      <c r="AW33" s="558">
        <f t="shared" si="87"/>
        <v>5400</v>
      </c>
      <c r="AY33" s="554">
        <v>2013</v>
      </c>
      <c r="AZ33" s="549"/>
      <c r="BA33" s="550">
        <v>1840</v>
      </c>
      <c r="BB33" s="551">
        <v>394</v>
      </c>
      <c r="BC33" s="555">
        <v>281</v>
      </c>
      <c r="BD33" s="552">
        <v>269</v>
      </c>
      <c r="BE33" s="553"/>
      <c r="BF33" s="553">
        <v>1093</v>
      </c>
      <c r="BG33" s="558">
        <f t="shared" si="88"/>
        <v>3877</v>
      </c>
      <c r="BI33" s="554">
        <v>2013</v>
      </c>
      <c r="BJ33" s="549"/>
      <c r="BK33" s="550">
        <v>1881</v>
      </c>
      <c r="BL33" s="551">
        <v>662</v>
      </c>
      <c r="BM33" s="555">
        <v>384</v>
      </c>
      <c r="BN33" s="552">
        <v>96</v>
      </c>
      <c r="BO33" s="553"/>
      <c r="BP33" s="553">
        <v>507</v>
      </c>
      <c r="BQ33" s="558">
        <f t="shared" si="89"/>
        <v>3530</v>
      </c>
      <c r="BS33" s="554">
        <v>2013</v>
      </c>
      <c r="BT33" s="549"/>
      <c r="BU33" s="550"/>
      <c r="BV33" s="551"/>
      <c r="BW33" s="555"/>
      <c r="BX33" s="552"/>
      <c r="BY33" s="553"/>
      <c r="BZ33" s="553"/>
      <c r="CA33" s="558">
        <f t="shared" si="90"/>
        <v>0</v>
      </c>
      <c r="CB33" s="674"/>
      <c r="CC33" s="554">
        <v>2013</v>
      </c>
      <c r="CD33" s="549"/>
      <c r="CE33" s="550">
        <v>3296</v>
      </c>
      <c r="CF33" s="551">
        <v>3963</v>
      </c>
      <c r="CG33" s="555">
        <v>369</v>
      </c>
      <c r="CH33" s="552">
        <v>861</v>
      </c>
      <c r="CI33" s="553"/>
      <c r="CJ33" s="553">
        <v>32151</v>
      </c>
      <c r="CK33" s="558">
        <f t="shared" si="91"/>
        <v>40640</v>
      </c>
    </row>
    <row r="34" spans="1:89">
      <c r="A34" s="554">
        <v>2014</v>
      </c>
      <c r="B34" s="549">
        <f>M34+W34+AG34+AQ34+BA34+BK34+BU34+CE34</f>
        <v>29374</v>
      </c>
      <c r="C34" s="550">
        <f>P34+Z34+AJ34+AT34+BD34+BN34+BX34+CH34</f>
        <v>3874</v>
      </c>
      <c r="D34" s="551">
        <f t="shared" si="79"/>
        <v>13512</v>
      </c>
      <c r="E34" s="555">
        <f t="shared" si="80"/>
        <v>4192</v>
      </c>
      <c r="F34" s="552">
        <f>L34+V34+AF34+AP34+AZ34+BJ34+BT34+CD34</f>
        <v>5268</v>
      </c>
      <c r="G34" s="553">
        <f t="shared" si="81"/>
        <v>0</v>
      </c>
      <c r="H34" s="553">
        <f t="shared" si="82"/>
        <v>47251</v>
      </c>
      <c r="I34" s="558">
        <f t="shared" si="83"/>
        <v>103471</v>
      </c>
      <c r="K34" s="554">
        <v>2014</v>
      </c>
      <c r="L34" s="549">
        <v>5268</v>
      </c>
      <c r="M34" s="550">
        <v>4418</v>
      </c>
      <c r="N34" s="551">
        <v>631</v>
      </c>
      <c r="O34" s="555"/>
      <c r="P34" s="552">
        <v>1727</v>
      </c>
      <c r="Q34" s="553"/>
      <c r="R34" s="553">
        <v>329</v>
      </c>
      <c r="S34" s="558">
        <f t="shared" si="84"/>
        <v>12373</v>
      </c>
      <c r="U34" s="554">
        <v>2014</v>
      </c>
      <c r="V34" s="549"/>
      <c r="W34" s="550">
        <v>5799</v>
      </c>
      <c r="X34" s="551">
        <v>4241</v>
      </c>
      <c r="Y34" s="555"/>
      <c r="Z34" s="552"/>
      <c r="AA34" s="553"/>
      <c r="AB34" s="553">
        <v>6701</v>
      </c>
      <c r="AC34" s="558">
        <f t="shared" si="85"/>
        <v>16741</v>
      </c>
      <c r="AE34" s="554">
        <v>2014</v>
      </c>
      <c r="AF34" s="549"/>
      <c r="AG34" s="550">
        <v>8406</v>
      </c>
      <c r="AH34" s="551">
        <v>3251</v>
      </c>
      <c r="AI34" s="555">
        <v>3019</v>
      </c>
      <c r="AJ34" s="552"/>
      <c r="AK34" s="553"/>
      <c r="AL34" s="553">
        <v>4993</v>
      </c>
      <c r="AM34" s="558">
        <f t="shared" si="86"/>
        <v>19669</v>
      </c>
      <c r="AO34" s="554">
        <v>2014</v>
      </c>
      <c r="AP34" s="549"/>
      <c r="AQ34" s="550">
        <v>3150</v>
      </c>
      <c r="AR34" s="551">
        <v>428</v>
      </c>
      <c r="AS34" s="555">
        <v>123</v>
      </c>
      <c r="AT34" s="552">
        <v>745</v>
      </c>
      <c r="AU34" s="553"/>
      <c r="AV34" s="553">
        <v>1144</v>
      </c>
      <c r="AW34" s="558">
        <f t="shared" si="87"/>
        <v>5590</v>
      </c>
      <c r="AY34" s="554">
        <v>2014</v>
      </c>
      <c r="AZ34" s="549"/>
      <c r="BA34" s="550">
        <v>2118</v>
      </c>
      <c r="BB34" s="551">
        <v>428</v>
      </c>
      <c r="BC34" s="555">
        <v>278</v>
      </c>
      <c r="BD34" s="552">
        <v>264</v>
      </c>
      <c r="BE34" s="553"/>
      <c r="BF34" s="553">
        <v>1040</v>
      </c>
      <c r="BG34" s="558">
        <f t="shared" si="88"/>
        <v>4128</v>
      </c>
      <c r="BI34" s="554">
        <v>2014</v>
      </c>
      <c r="BJ34" s="549"/>
      <c r="BK34" s="550">
        <v>2049</v>
      </c>
      <c r="BL34" s="551">
        <v>663</v>
      </c>
      <c r="BM34" s="555">
        <v>403</v>
      </c>
      <c r="BN34" s="552">
        <v>102</v>
      </c>
      <c r="BO34" s="553"/>
      <c r="BP34" s="553">
        <v>523</v>
      </c>
      <c r="BQ34" s="558">
        <f t="shared" si="89"/>
        <v>3740</v>
      </c>
      <c r="BS34" s="554">
        <v>2014</v>
      </c>
      <c r="BT34" s="549"/>
      <c r="BU34" s="550"/>
      <c r="BV34" s="551"/>
      <c r="BW34" s="555"/>
      <c r="BX34" s="552"/>
      <c r="BY34" s="553"/>
      <c r="BZ34" s="553"/>
      <c r="CA34" s="558">
        <f t="shared" si="90"/>
        <v>0</v>
      </c>
      <c r="CB34" s="674"/>
      <c r="CC34" s="554">
        <v>2014</v>
      </c>
      <c r="CD34" s="549"/>
      <c r="CE34" s="550">
        <v>3434</v>
      </c>
      <c r="CF34" s="551">
        <v>3870</v>
      </c>
      <c r="CG34" s="555">
        <v>369</v>
      </c>
      <c r="CH34" s="552">
        <v>1036</v>
      </c>
      <c r="CI34" s="553"/>
      <c r="CJ34" s="553">
        <v>32521</v>
      </c>
      <c r="CK34" s="558">
        <f t="shared" si="91"/>
        <v>41230</v>
      </c>
    </row>
    <row r="35" spans="1:89">
      <c r="A35" s="554">
        <v>2015</v>
      </c>
      <c r="B35" s="549">
        <f>M35+W35+AG35+AQ35+BA35+BK35+BU35+CE35</f>
        <v>29221</v>
      </c>
      <c r="C35" s="550">
        <f>P35+Z35+AJ35+AT35+BD35+BN35+BX35+CH35</f>
        <v>4061</v>
      </c>
      <c r="D35" s="551">
        <f t="shared" si="79"/>
        <v>13479</v>
      </c>
      <c r="E35" s="555">
        <f t="shared" si="80"/>
        <v>4257</v>
      </c>
      <c r="F35" s="552">
        <f>L35+V35+AF35+AP35+AZ35+BJ35+BT35+CD35</f>
        <v>5613</v>
      </c>
      <c r="G35" s="553">
        <f t="shared" si="81"/>
        <v>0</v>
      </c>
      <c r="H35" s="553">
        <f t="shared" si="82"/>
        <v>48015</v>
      </c>
      <c r="I35" s="558">
        <f t="shared" si="83"/>
        <v>104646</v>
      </c>
      <c r="K35" s="554">
        <v>2015</v>
      </c>
      <c r="L35" s="549">
        <v>5613</v>
      </c>
      <c r="M35" s="550">
        <v>4137</v>
      </c>
      <c r="N35" s="551">
        <v>589</v>
      </c>
      <c r="O35" s="555"/>
      <c r="P35" s="552">
        <v>1743</v>
      </c>
      <c r="Q35" s="553"/>
      <c r="R35" s="553">
        <v>296</v>
      </c>
      <c r="S35" s="558">
        <f t="shared" si="84"/>
        <v>12378</v>
      </c>
      <c r="U35" s="554">
        <v>2015</v>
      </c>
      <c r="V35" s="549"/>
      <c r="W35" s="550">
        <v>5754</v>
      </c>
      <c r="X35" s="551">
        <v>4310</v>
      </c>
      <c r="Y35" s="555"/>
      <c r="Z35" s="552"/>
      <c r="AA35" s="553"/>
      <c r="AB35" s="553">
        <v>6762</v>
      </c>
      <c r="AC35" s="558">
        <f t="shared" si="85"/>
        <v>16826</v>
      </c>
      <c r="AE35" s="554">
        <v>2015</v>
      </c>
      <c r="AF35" s="549"/>
      <c r="AG35" s="550">
        <v>8073</v>
      </c>
      <c r="AH35" s="551">
        <v>3204</v>
      </c>
      <c r="AI35" s="555">
        <v>3055</v>
      </c>
      <c r="AJ35" s="552"/>
      <c r="AK35" s="553"/>
      <c r="AL35" s="553">
        <v>4464</v>
      </c>
      <c r="AM35" s="558">
        <f t="shared" si="86"/>
        <v>18796</v>
      </c>
      <c r="AO35" s="554">
        <v>2015</v>
      </c>
      <c r="AP35" s="549"/>
      <c r="AQ35" s="550">
        <v>3262</v>
      </c>
      <c r="AR35" s="551">
        <v>446</v>
      </c>
      <c r="AS35" s="555">
        <v>128</v>
      </c>
      <c r="AT35" s="552">
        <v>771</v>
      </c>
      <c r="AU35" s="553"/>
      <c r="AV35" s="553">
        <v>1192</v>
      </c>
      <c r="AW35" s="558">
        <f t="shared" si="87"/>
        <v>5799</v>
      </c>
      <c r="AY35" s="554">
        <v>2015</v>
      </c>
      <c r="AZ35" s="549"/>
      <c r="BA35" s="550">
        <v>2342</v>
      </c>
      <c r="BB35" s="551">
        <v>467</v>
      </c>
      <c r="BC35" s="555">
        <v>277</v>
      </c>
      <c r="BD35" s="552">
        <v>257</v>
      </c>
      <c r="BE35" s="553"/>
      <c r="BF35" s="553">
        <v>993</v>
      </c>
      <c r="BG35" s="558">
        <f t="shared" si="88"/>
        <v>4336</v>
      </c>
      <c r="BI35" s="554">
        <v>2015</v>
      </c>
      <c r="BJ35" s="549"/>
      <c r="BK35" s="550">
        <v>2162</v>
      </c>
      <c r="BL35" s="551">
        <v>668</v>
      </c>
      <c r="BM35" s="555">
        <v>425</v>
      </c>
      <c r="BN35" s="552">
        <v>106</v>
      </c>
      <c r="BO35" s="553"/>
      <c r="BP35" s="553">
        <v>543</v>
      </c>
      <c r="BQ35" s="558">
        <f t="shared" si="89"/>
        <v>3904</v>
      </c>
      <c r="BS35" s="554">
        <v>2015</v>
      </c>
      <c r="BT35" s="549"/>
      <c r="BU35" s="550"/>
      <c r="BV35" s="551"/>
      <c r="BW35" s="555"/>
      <c r="BX35" s="552"/>
      <c r="BY35" s="553"/>
      <c r="BZ35" s="553"/>
      <c r="CA35" s="558">
        <f t="shared" si="90"/>
        <v>0</v>
      </c>
      <c r="CB35" s="674"/>
      <c r="CC35" s="554">
        <v>2015</v>
      </c>
      <c r="CD35" s="549"/>
      <c r="CE35" s="550">
        <v>3491</v>
      </c>
      <c r="CF35" s="551">
        <v>3795</v>
      </c>
      <c r="CG35" s="555">
        <v>372</v>
      </c>
      <c r="CH35" s="552">
        <v>1184</v>
      </c>
      <c r="CI35" s="553"/>
      <c r="CJ35" s="553">
        <v>33765</v>
      </c>
      <c r="CK35" s="558">
        <f t="shared" si="91"/>
        <v>42607</v>
      </c>
    </row>
    <row r="36" spans="1:89">
      <c r="A36" s="554">
        <v>2016</v>
      </c>
      <c r="B36" s="549">
        <f>M36+W36+AG36+AQ36+BA36+BK36+BU36+CE36</f>
        <v>28523</v>
      </c>
      <c r="C36" s="550">
        <f>P36+Z36+AJ36+AT36+BD36+BN36+BX36+CH36</f>
        <v>4278</v>
      </c>
      <c r="D36" s="551">
        <f t="shared" si="79"/>
        <v>13246</v>
      </c>
      <c r="E36" s="555">
        <f t="shared" si="80"/>
        <v>4340</v>
      </c>
      <c r="F36" s="552">
        <f>L36+V36+AF36+AP36+AZ36+BJ36+BT36+CD36</f>
        <v>5997</v>
      </c>
      <c r="G36" s="553">
        <f t="shared" si="81"/>
        <v>0</v>
      </c>
      <c r="H36" s="553">
        <f t="shared" si="82"/>
        <v>48454</v>
      </c>
      <c r="I36" s="558">
        <f t="shared" si="83"/>
        <v>104838</v>
      </c>
      <c r="K36" s="554">
        <v>2016</v>
      </c>
      <c r="L36" s="549">
        <v>5997</v>
      </c>
      <c r="M36" s="550">
        <v>3813</v>
      </c>
      <c r="N36" s="551">
        <v>550</v>
      </c>
      <c r="O36" s="555"/>
      <c r="P36" s="552">
        <v>1790</v>
      </c>
      <c r="Q36" s="553"/>
      <c r="R36" s="553">
        <v>264</v>
      </c>
      <c r="S36" s="558">
        <f t="shared" si="84"/>
        <v>12414</v>
      </c>
      <c r="U36" s="554">
        <v>2016</v>
      </c>
      <c r="V36" s="549"/>
      <c r="W36" s="550">
        <v>5582</v>
      </c>
      <c r="X36" s="551">
        <v>4189</v>
      </c>
      <c r="Y36" s="555"/>
      <c r="Z36" s="552"/>
      <c r="AA36" s="553"/>
      <c r="AB36" s="553">
        <v>6535</v>
      </c>
      <c r="AC36" s="558">
        <f t="shared" si="85"/>
        <v>16306</v>
      </c>
      <c r="AE36" s="554">
        <v>2016</v>
      </c>
      <c r="AF36" s="549"/>
      <c r="AG36" s="550">
        <v>7711</v>
      </c>
      <c r="AH36" s="551">
        <v>3171</v>
      </c>
      <c r="AI36" s="555">
        <v>3111</v>
      </c>
      <c r="AJ36" s="552"/>
      <c r="AK36" s="553"/>
      <c r="AL36" s="553">
        <v>3929</v>
      </c>
      <c r="AM36" s="558">
        <f t="shared" si="86"/>
        <v>17922</v>
      </c>
      <c r="AO36" s="554">
        <v>2016</v>
      </c>
      <c r="AP36" s="549"/>
      <c r="AQ36" s="550">
        <v>3221</v>
      </c>
      <c r="AR36" s="551">
        <v>452</v>
      </c>
      <c r="AS36" s="555">
        <v>129</v>
      </c>
      <c r="AT36" s="552">
        <v>788</v>
      </c>
      <c r="AU36" s="553"/>
      <c r="AV36" s="553">
        <v>1206</v>
      </c>
      <c r="AW36" s="558">
        <f t="shared" si="87"/>
        <v>5796</v>
      </c>
      <c r="AY36" s="554">
        <v>2016</v>
      </c>
      <c r="AZ36" s="549"/>
      <c r="BA36" s="550">
        <v>2509</v>
      </c>
      <c r="BB36" s="551">
        <v>503</v>
      </c>
      <c r="BC36" s="555">
        <v>274</v>
      </c>
      <c r="BD36" s="552">
        <v>254</v>
      </c>
      <c r="BE36" s="553"/>
      <c r="BF36" s="553">
        <v>938</v>
      </c>
      <c r="BG36" s="558">
        <f t="shared" si="88"/>
        <v>4478</v>
      </c>
      <c r="BI36" s="554">
        <v>2016</v>
      </c>
      <c r="BJ36" s="549"/>
      <c r="BK36" s="550">
        <v>2271</v>
      </c>
      <c r="BL36" s="551">
        <v>683</v>
      </c>
      <c r="BM36" s="555">
        <v>454</v>
      </c>
      <c r="BN36" s="552">
        <v>112</v>
      </c>
      <c r="BO36" s="553"/>
      <c r="BP36" s="553">
        <v>572</v>
      </c>
      <c r="BQ36" s="558">
        <f t="shared" si="89"/>
        <v>4092</v>
      </c>
      <c r="BS36" s="554">
        <v>2016</v>
      </c>
      <c r="BT36" s="549"/>
      <c r="BU36" s="550"/>
      <c r="BV36" s="551"/>
      <c r="BW36" s="555"/>
      <c r="BX36" s="552"/>
      <c r="BY36" s="553"/>
      <c r="BZ36" s="553"/>
      <c r="CA36" s="558">
        <f t="shared" si="90"/>
        <v>0</v>
      </c>
      <c r="CB36" s="674"/>
      <c r="CC36" s="554">
        <v>2016</v>
      </c>
      <c r="CD36" s="549"/>
      <c r="CE36" s="550">
        <v>3416</v>
      </c>
      <c r="CF36" s="551">
        <v>3698</v>
      </c>
      <c r="CG36" s="555">
        <v>372</v>
      </c>
      <c r="CH36" s="552">
        <v>1334</v>
      </c>
      <c r="CI36" s="553"/>
      <c r="CJ36" s="553">
        <v>35010</v>
      </c>
      <c r="CK36" s="558">
        <f t="shared" si="91"/>
        <v>43830</v>
      </c>
    </row>
    <row r="37" spans="1:89">
      <c r="A37" s="554">
        <v>2017</v>
      </c>
      <c r="B37" s="549">
        <f>M37+W37+AG37+AQ37+BA37+BK37+BU37+CE37</f>
        <v>28706</v>
      </c>
      <c r="C37" s="550">
        <f>P37+Z37+AJ37+AT37+BD37+BN37+BX37+CH37</f>
        <v>4443</v>
      </c>
      <c r="D37" s="551">
        <f t="shared" si="79"/>
        <v>13132</v>
      </c>
      <c r="E37" s="555">
        <f t="shared" si="80"/>
        <v>4397</v>
      </c>
      <c r="F37" s="552">
        <f>L37+V37+AF37+AP37+AZ37+BJ37+BT37+CD37</f>
        <v>6372</v>
      </c>
      <c r="G37" s="553">
        <f t="shared" si="81"/>
        <v>9231</v>
      </c>
      <c r="H37" s="553">
        <f t="shared" si="82"/>
        <v>38390</v>
      </c>
      <c r="I37" s="558">
        <f t="shared" si="83"/>
        <v>104671</v>
      </c>
      <c r="K37" s="554">
        <v>2017</v>
      </c>
      <c r="L37" s="549">
        <v>6372</v>
      </c>
      <c r="M37" s="550">
        <v>3612</v>
      </c>
      <c r="N37" s="551">
        <v>509</v>
      </c>
      <c r="O37" s="555"/>
      <c r="P37" s="552">
        <v>1826</v>
      </c>
      <c r="Q37" s="553">
        <v>107</v>
      </c>
      <c r="R37" s="553">
        <v>124</v>
      </c>
      <c r="S37" s="558">
        <f t="shared" si="84"/>
        <v>12550</v>
      </c>
      <c r="U37" s="554">
        <v>2017</v>
      </c>
      <c r="V37" s="549"/>
      <c r="W37" s="550">
        <v>5656</v>
      </c>
      <c r="X37" s="551">
        <v>4217</v>
      </c>
      <c r="Y37" s="555"/>
      <c r="Z37" s="552"/>
      <c r="AA37" s="553">
        <v>103</v>
      </c>
      <c r="AB37" s="553">
        <v>6497</v>
      </c>
      <c r="AC37" s="558">
        <f t="shared" si="85"/>
        <v>16473</v>
      </c>
      <c r="AE37" s="554">
        <v>2017</v>
      </c>
      <c r="AF37" s="549"/>
      <c r="AG37" s="550">
        <v>7542</v>
      </c>
      <c r="AH37" s="551">
        <v>3126</v>
      </c>
      <c r="AI37" s="555">
        <v>3152</v>
      </c>
      <c r="AJ37" s="552"/>
      <c r="AK37" s="553">
        <v>2250</v>
      </c>
      <c r="AL37" s="553">
        <v>1155</v>
      </c>
      <c r="AM37" s="558">
        <f t="shared" si="86"/>
        <v>17225</v>
      </c>
      <c r="AO37" s="554">
        <v>2017</v>
      </c>
      <c r="AP37" s="549"/>
      <c r="AQ37" s="550">
        <v>3212</v>
      </c>
      <c r="AR37" s="551">
        <v>447</v>
      </c>
      <c r="AS37" s="555">
        <v>128</v>
      </c>
      <c r="AT37" s="552">
        <v>772</v>
      </c>
      <c r="AU37" s="553">
        <v>525</v>
      </c>
      <c r="AV37" s="553">
        <v>665</v>
      </c>
      <c r="AW37" s="558">
        <f t="shared" si="87"/>
        <v>5749</v>
      </c>
      <c r="AY37" s="554">
        <v>2017</v>
      </c>
      <c r="AZ37" s="549"/>
      <c r="BA37" s="550">
        <v>2755</v>
      </c>
      <c r="BB37" s="551">
        <v>537</v>
      </c>
      <c r="BC37" s="555">
        <v>268</v>
      </c>
      <c r="BD37" s="552">
        <v>244</v>
      </c>
      <c r="BE37" s="553">
        <v>222</v>
      </c>
      <c r="BF37" s="553">
        <v>652</v>
      </c>
      <c r="BG37" s="558">
        <f t="shared" si="88"/>
        <v>4678</v>
      </c>
      <c r="BI37" s="554">
        <v>2017</v>
      </c>
      <c r="BJ37" s="549"/>
      <c r="BK37" s="550">
        <v>2428</v>
      </c>
      <c r="BL37" s="551">
        <v>690</v>
      </c>
      <c r="BM37" s="555">
        <v>478</v>
      </c>
      <c r="BN37" s="552">
        <v>117</v>
      </c>
      <c r="BO37" s="553">
        <v>156</v>
      </c>
      <c r="BP37" s="553">
        <v>438</v>
      </c>
      <c r="BQ37" s="558">
        <f t="shared" si="89"/>
        <v>4307</v>
      </c>
      <c r="BS37" s="554">
        <v>2017</v>
      </c>
      <c r="BT37" s="549"/>
      <c r="BU37" s="550"/>
      <c r="BV37" s="551"/>
      <c r="BW37" s="555"/>
      <c r="BX37" s="552"/>
      <c r="BY37" s="553"/>
      <c r="BZ37" s="553"/>
      <c r="CA37" s="558">
        <f t="shared" si="90"/>
        <v>0</v>
      </c>
      <c r="CB37" s="674"/>
      <c r="CC37" s="554">
        <v>2017</v>
      </c>
      <c r="CD37" s="549"/>
      <c r="CE37" s="550">
        <v>3501</v>
      </c>
      <c r="CF37" s="551">
        <v>3606</v>
      </c>
      <c r="CG37" s="555">
        <v>371</v>
      </c>
      <c r="CH37" s="552">
        <v>1484</v>
      </c>
      <c r="CI37" s="553">
        <v>5868</v>
      </c>
      <c r="CJ37" s="553">
        <v>28859</v>
      </c>
      <c r="CK37" s="558">
        <f t="shared" si="91"/>
        <v>43689</v>
      </c>
    </row>
    <row r="38" spans="1:89">
      <c r="A38" s="554">
        <v>2018</v>
      </c>
      <c r="B38" s="549">
        <f>M38+W38+AG38+AQ38+BA38+BK38+BU38+CE38</f>
        <v>30528</v>
      </c>
      <c r="C38" s="550">
        <f>P38+Z38+AJ38+AT38+BD38+BN38+BX38+CH38</f>
        <v>4628</v>
      </c>
      <c r="D38" s="551">
        <f t="shared" si="79"/>
        <v>13354</v>
      </c>
      <c r="E38" s="555">
        <f t="shared" si="80"/>
        <v>4606</v>
      </c>
      <c r="F38" s="552">
        <f>L38+V38+AF38+AP38+AZ38+BJ38+BT38+CD38</f>
        <v>6900</v>
      </c>
      <c r="G38" s="553">
        <f t="shared" si="81"/>
        <v>8962</v>
      </c>
      <c r="H38" s="553">
        <f t="shared" si="82"/>
        <v>37315</v>
      </c>
      <c r="I38" s="558">
        <f t="shared" si="83"/>
        <v>106293</v>
      </c>
      <c r="K38" s="554">
        <v>2018</v>
      </c>
      <c r="L38" s="549">
        <v>6900</v>
      </c>
      <c r="M38" s="550">
        <v>3445</v>
      </c>
      <c r="N38" s="551">
        <v>478</v>
      </c>
      <c r="O38" s="555"/>
      <c r="P38" s="552">
        <v>1917</v>
      </c>
      <c r="Q38" s="553">
        <v>83</v>
      </c>
      <c r="R38" s="553">
        <v>118</v>
      </c>
      <c r="S38" s="558">
        <f t="shared" si="84"/>
        <v>12941</v>
      </c>
      <c r="U38" s="554">
        <v>2018</v>
      </c>
      <c r="V38" s="549"/>
      <c r="W38" s="550">
        <v>5642</v>
      </c>
      <c r="X38" s="551">
        <v>4253</v>
      </c>
      <c r="Y38" s="555"/>
      <c r="Z38" s="552"/>
      <c r="AA38" s="553">
        <v>99</v>
      </c>
      <c r="AB38" s="553">
        <v>6544</v>
      </c>
      <c r="AC38" s="558">
        <f t="shared" si="85"/>
        <v>16538</v>
      </c>
      <c r="AE38" s="554">
        <v>2018</v>
      </c>
      <c r="AF38" s="549"/>
      <c r="AG38" s="550">
        <v>7490</v>
      </c>
      <c r="AH38" s="551">
        <v>3138</v>
      </c>
      <c r="AI38" s="555">
        <v>3261</v>
      </c>
      <c r="AJ38" s="552"/>
      <c r="AK38" s="553">
        <v>1947</v>
      </c>
      <c r="AL38" s="553">
        <v>976</v>
      </c>
      <c r="AM38" s="558">
        <f t="shared" si="86"/>
        <v>16812</v>
      </c>
      <c r="AO38" s="554">
        <v>2018</v>
      </c>
      <c r="AP38" s="549"/>
      <c r="AQ38" s="550">
        <v>3378</v>
      </c>
      <c r="AR38" s="551">
        <v>469</v>
      </c>
      <c r="AS38" s="555">
        <v>134</v>
      </c>
      <c r="AT38" s="552">
        <v>813</v>
      </c>
      <c r="AU38" s="553">
        <v>553</v>
      </c>
      <c r="AV38" s="553">
        <v>697</v>
      </c>
      <c r="AW38" s="558">
        <f t="shared" si="87"/>
        <v>6044</v>
      </c>
      <c r="AY38" s="554">
        <v>2018</v>
      </c>
      <c r="AZ38" s="549"/>
      <c r="BA38" s="550">
        <v>2998</v>
      </c>
      <c r="BB38" s="551">
        <v>576</v>
      </c>
      <c r="BC38" s="555">
        <v>264</v>
      </c>
      <c r="BD38" s="552">
        <v>239</v>
      </c>
      <c r="BE38" s="553">
        <v>221</v>
      </c>
      <c r="BF38" s="553">
        <v>592</v>
      </c>
      <c r="BG38" s="558">
        <f t="shared" si="88"/>
        <v>4890</v>
      </c>
      <c r="BI38" s="554">
        <v>2018</v>
      </c>
      <c r="BJ38" s="549"/>
      <c r="BK38" s="550">
        <v>2575</v>
      </c>
      <c r="BL38" s="551">
        <v>699</v>
      </c>
      <c r="BM38" s="555">
        <v>503</v>
      </c>
      <c r="BN38" s="552">
        <v>123</v>
      </c>
      <c r="BO38" s="553">
        <v>142</v>
      </c>
      <c r="BP38" s="553">
        <v>476</v>
      </c>
      <c r="BQ38" s="558">
        <f t="shared" si="89"/>
        <v>4518</v>
      </c>
      <c r="BS38" s="554">
        <v>2018</v>
      </c>
      <c r="BT38" s="549"/>
      <c r="BU38" s="550">
        <v>1512</v>
      </c>
      <c r="BV38" s="551">
        <v>91</v>
      </c>
      <c r="BW38" s="555">
        <v>95</v>
      </c>
      <c r="BX38" s="552"/>
      <c r="BY38" s="553">
        <v>27</v>
      </c>
      <c r="BZ38" s="553">
        <v>2306</v>
      </c>
      <c r="CA38" s="558">
        <f t="shared" si="90"/>
        <v>4031</v>
      </c>
      <c r="CB38" s="674"/>
      <c r="CC38" s="554">
        <v>2018</v>
      </c>
      <c r="CD38" s="549"/>
      <c r="CE38" s="550">
        <v>3488</v>
      </c>
      <c r="CF38" s="551">
        <v>3650</v>
      </c>
      <c r="CG38" s="555">
        <v>349</v>
      </c>
      <c r="CH38" s="552">
        <v>1536</v>
      </c>
      <c r="CI38" s="553">
        <v>5890</v>
      </c>
      <c r="CJ38" s="553">
        <v>25606</v>
      </c>
      <c r="CK38" s="558">
        <f t="shared" si="91"/>
        <v>40519</v>
      </c>
    </row>
    <row r="39" spans="1:89">
      <c r="A39" s="554">
        <v>2019</v>
      </c>
      <c r="B39" s="549">
        <f>M39+W39+AG39+AQ39+BA39+BK39+BU39+CE39</f>
        <v>30170</v>
      </c>
      <c r="C39" s="550">
        <f>P39+Z39+AJ39+AT39+BD39+BN39+BX39+CH39</f>
        <v>4367</v>
      </c>
      <c r="D39" s="551">
        <f t="shared" si="79"/>
        <v>13182</v>
      </c>
      <c r="E39" s="555">
        <f t="shared" si="80"/>
        <v>4724</v>
      </c>
      <c r="F39" s="552">
        <f>L39+V39+AF39+AP39+AZ39+BJ39+BT39+CD39</f>
        <v>5977</v>
      </c>
      <c r="G39" s="553">
        <f t="shared" si="81"/>
        <v>8574</v>
      </c>
      <c r="H39" s="553">
        <f t="shared" si="82"/>
        <v>40993</v>
      </c>
      <c r="I39" s="558">
        <f t="shared" si="83"/>
        <v>107987</v>
      </c>
      <c r="K39" s="554">
        <v>2019</v>
      </c>
      <c r="L39" s="549">
        <v>5977</v>
      </c>
      <c r="M39" s="550">
        <v>3045</v>
      </c>
      <c r="N39" s="551">
        <v>423</v>
      </c>
      <c r="O39" s="555"/>
      <c r="P39" s="552">
        <v>1667</v>
      </c>
      <c r="Q39" s="553">
        <v>69</v>
      </c>
      <c r="R39" s="553">
        <v>106</v>
      </c>
      <c r="S39" s="558">
        <f t="shared" si="84"/>
        <v>11287</v>
      </c>
      <c r="U39" s="554">
        <v>2019</v>
      </c>
      <c r="V39" s="549"/>
      <c r="W39" s="550">
        <v>5459</v>
      </c>
      <c r="X39" s="551">
        <v>4080</v>
      </c>
      <c r="Y39" s="555"/>
      <c r="Z39" s="552"/>
      <c r="AA39" s="553">
        <v>98</v>
      </c>
      <c r="AB39" s="553">
        <v>6285</v>
      </c>
      <c r="AC39" s="558">
        <f t="shared" si="85"/>
        <v>15922</v>
      </c>
      <c r="AE39" s="554">
        <v>2019</v>
      </c>
      <c r="AF39" s="549"/>
      <c r="AG39" s="550">
        <v>7417</v>
      </c>
      <c r="AH39" s="551">
        <v>3147</v>
      </c>
      <c r="AI39" s="555">
        <v>3378</v>
      </c>
      <c r="AJ39" s="552"/>
      <c r="AK39" s="553">
        <v>1630</v>
      </c>
      <c r="AL39" s="553">
        <v>789</v>
      </c>
      <c r="AM39" s="558">
        <f t="shared" si="86"/>
        <v>16361</v>
      </c>
      <c r="AO39" s="554">
        <v>2019</v>
      </c>
      <c r="AP39" s="549"/>
      <c r="AQ39" s="550">
        <v>3256</v>
      </c>
      <c r="AR39" s="551">
        <v>453</v>
      </c>
      <c r="AS39" s="555">
        <v>130</v>
      </c>
      <c r="AT39" s="552">
        <v>781</v>
      </c>
      <c r="AU39" s="553">
        <v>529</v>
      </c>
      <c r="AV39" s="553">
        <v>678</v>
      </c>
      <c r="AW39" s="558">
        <f t="shared" si="87"/>
        <v>5827</v>
      </c>
      <c r="AY39" s="554">
        <v>2019</v>
      </c>
      <c r="AZ39" s="549"/>
      <c r="BA39" s="550">
        <v>3274</v>
      </c>
      <c r="BB39" s="551">
        <v>621</v>
      </c>
      <c r="BC39" s="555">
        <v>263</v>
      </c>
      <c r="BD39" s="552">
        <v>235</v>
      </c>
      <c r="BE39" s="553">
        <v>222</v>
      </c>
      <c r="BF39" s="553">
        <v>532</v>
      </c>
      <c r="BG39" s="558">
        <f t="shared" si="88"/>
        <v>5147</v>
      </c>
      <c r="BI39" s="554">
        <v>2019</v>
      </c>
      <c r="BJ39" s="549"/>
      <c r="BK39" s="550">
        <v>2702</v>
      </c>
      <c r="BL39" s="551">
        <v>703</v>
      </c>
      <c r="BM39" s="555">
        <v>526</v>
      </c>
      <c r="BN39" s="552">
        <v>128</v>
      </c>
      <c r="BO39" s="553">
        <v>127</v>
      </c>
      <c r="BP39" s="553">
        <v>511</v>
      </c>
      <c r="BQ39" s="558">
        <f t="shared" si="89"/>
        <v>4697</v>
      </c>
      <c r="BS39" s="554">
        <v>2019</v>
      </c>
      <c r="BT39" s="549"/>
      <c r="BU39" s="550">
        <v>1668</v>
      </c>
      <c r="BV39" s="551">
        <v>100</v>
      </c>
      <c r="BW39" s="555">
        <v>105</v>
      </c>
      <c r="BX39" s="552"/>
      <c r="BY39" s="553">
        <v>29</v>
      </c>
      <c r="BZ39" s="553">
        <v>2544</v>
      </c>
      <c r="CA39" s="558">
        <f t="shared" si="90"/>
        <v>4446</v>
      </c>
      <c r="CB39" s="674"/>
      <c r="CC39" s="554">
        <v>2019</v>
      </c>
      <c r="CD39" s="549"/>
      <c r="CE39" s="550">
        <v>3349</v>
      </c>
      <c r="CF39" s="551">
        <v>3655</v>
      </c>
      <c r="CG39" s="555">
        <v>322</v>
      </c>
      <c r="CH39" s="552">
        <v>1556</v>
      </c>
      <c r="CI39" s="553">
        <v>5870</v>
      </c>
      <c r="CJ39" s="553">
        <v>29548</v>
      </c>
      <c r="CK39" s="558">
        <f t="shared" si="91"/>
        <v>44300</v>
      </c>
    </row>
    <row r="40" spans="1:89">
      <c r="A40" s="554">
        <v>2020</v>
      </c>
      <c r="B40" s="549">
        <f>M40+W40+AG40+AQ40+BA40+BK40+BU40+CE40</f>
        <v>28847</v>
      </c>
      <c r="C40" s="550">
        <f>P40+Z40+AJ40+AT40+BD40+BN40+BX40+CH40</f>
        <v>3544</v>
      </c>
      <c r="D40" s="551">
        <f t="shared" si="79"/>
        <v>12719</v>
      </c>
      <c r="E40" s="555">
        <f t="shared" si="80"/>
        <v>4637</v>
      </c>
      <c r="F40" s="552">
        <f>L40+V40+AF40+AP40+AZ40+BJ40+BT40+CD40</f>
        <v>3618</v>
      </c>
      <c r="G40" s="553">
        <f t="shared" si="81"/>
        <v>8398</v>
      </c>
      <c r="H40" s="553">
        <f t="shared" si="82"/>
        <v>40403</v>
      </c>
      <c r="I40" s="558">
        <f t="shared" si="83"/>
        <v>102166</v>
      </c>
      <c r="K40" s="554">
        <v>2020</v>
      </c>
      <c r="L40" s="549">
        <v>3618</v>
      </c>
      <c r="M40" s="550">
        <v>2723</v>
      </c>
      <c r="N40" s="551">
        <v>379</v>
      </c>
      <c r="O40" s="555"/>
      <c r="P40" s="552">
        <v>1152</v>
      </c>
      <c r="Q40" s="553">
        <v>59</v>
      </c>
      <c r="R40" s="553">
        <v>95</v>
      </c>
      <c r="S40" s="558">
        <f t="shared" si="84"/>
        <v>8026</v>
      </c>
      <c r="U40" s="554">
        <v>2020</v>
      </c>
      <c r="V40" s="549"/>
      <c r="W40" s="550">
        <v>5197</v>
      </c>
      <c r="X40" s="551">
        <v>3850</v>
      </c>
      <c r="Y40" s="555"/>
      <c r="Z40" s="552"/>
      <c r="AA40" s="553">
        <v>96</v>
      </c>
      <c r="AB40" s="553">
        <v>5939</v>
      </c>
      <c r="AC40" s="558">
        <f t="shared" si="85"/>
        <v>15082</v>
      </c>
      <c r="AE40" s="554">
        <v>2020</v>
      </c>
      <c r="AF40" s="549"/>
      <c r="AG40" s="550">
        <v>7329</v>
      </c>
      <c r="AH40" s="551">
        <v>3122</v>
      </c>
      <c r="AI40" s="555">
        <v>3350</v>
      </c>
      <c r="AJ40" s="552"/>
      <c r="AK40" s="553">
        <v>1611</v>
      </c>
      <c r="AL40" s="553">
        <v>787</v>
      </c>
      <c r="AM40" s="558">
        <f t="shared" si="86"/>
        <v>16199</v>
      </c>
      <c r="AO40" s="554">
        <v>2020</v>
      </c>
      <c r="AP40" s="549"/>
      <c r="AQ40" s="550">
        <v>2529</v>
      </c>
      <c r="AR40" s="551">
        <v>356</v>
      </c>
      <c r="AS40" s="555">
        <v>102</v>
      </c>
      <c r="AT40" s="552">
        <v>605</v>
      </c>
      <c r="AU40" s="553">
        <v>393</v>
      </c>
      <c r="AV40" s="553">
        <v>546</v>
      </c>
      <c r="AW40" s="558">
        <f t="shared" si="87"/>
        <v>4531</v>
      </c>
      <c r="AY40" s="554">
        <v>2020</v>
      </c>
      <c r="AZ40" s="549"/>
      <c r="BA40" s="550">
        <v>3317</v>
      </c>
      <c r="BB40" s="551">
        <v>629</v>
      </c>
      <c r="BC40" s="555">
        <v>265</v>
      </c>
      <c r="BD40" s="552">
        <v>236</v>
      </c>
      <c r="BE40" s="553">
        <v>224</v>
      </c>
      <c r="BF40" s="553">
        <v>540</v>
      </c>
      <c r="BG40" s="558">
        <f t="shared" si="88"/>
        <v>5211</v>
      </c>
      <c r="BI40" s="554">
        <v>2020</v>
      </c>
      <c r="BJ40" s="549"/>
      <c r="BK40" s="550">
        <v>2528</v>
      </c>
      <c r="BL40" s="551">
        <v>658</v>
      </c>
      <c r="BM40" s="555">
        <v>492</v>
      </c>
      <c r="BN40" s="552">
        <v>119</v>
      </c>
      <c r="BO40" s="553">
        <v>119</v>
      </c>
      <c r="BP40" s="553">
        <v>478</v>
      </c>
      <c r="BQ40" s="558">
        <f t="shared" si="89"/>
        <v>4394</v>
      </c>
      <c r="BS40" s="554">
        <v>2020</v>
      </c>
      <c r="BT40" s="549"/>
      <c r="BU40" s="550">
        <v>1988</v>
      </c>
      <c r="BV40" s="551">
        <v>119</v>
      </c>
      <c r="BW40" s="555">
        <v>125</v>
      </c>
      <c r="BX40" s="552"/>
      <c r="BY40" s="553">
        <v>35</v>
      </c>
      <c r="BZ40" s="553">
        <v>3032</v>
      </c>
      <c r="CA40" s="558">
        <f t="shared" si="90"/>
        <v>5299</v>
      </c>
      <c r="CB40" s="674"/>
      <c r="CC40" s="554">
        <v>2020</v>
      </c>
      <c r="CD40" s="549"/>
      <c r="CE40" s="550">
        <v>3236</v>
      </c>
      <c r="CF40" s="551">
        <v>3606</v>
      </c>
      <c r="CG40" s="555">
        <v>303</v>
      </c>
      <c r="CH40" s="552">
        <v>1432</v>
      </c>
      <c r="CI40" s="553">
        <v>5861</v>
      </c>
      <c r="CJ40" s="553">
        <v>28986</v>
      </c>
      <c r="CK40" s="558">
        <f t="shared" si="91"/>
        <v>43424</v>
      </c>
    </row>
    <row r="41" spans="1:89">
      <c r="A41" s="554">
        <v>2021</v>
      </c>
      <c r="B41" s="549">
        <f>M41+W41+AG41+AQ41+BA41+BK41+BU41+CE41</f>
        <v>29701</v>
      </c>
      <c r="C41" s="550">
        <f>P41+Z41+AJ41+AT41+BD41+BN41+BX41+CH41</f>
        <v>3868</v>
      </c>
      <c r="D41" s="551">
        <f t="shared" si="79"/>
        <v>12847</v>
      </c>
      <c r="E41" s="555">
        <f t="shared" si="80"/>
        <v>4673</v>
      </c>
      <c r="F41" s="552">
        <f>L41+V41+AF41+AP41+AZ41+BJ41+BT41+CD41</f>
        <v>4687</v>
      </c>
      <c r="G41" s="553">
        <f t="shared" si="81"/>
        <v>8552</v>
      </c>
      <c r="H41" s="553">
        <f t="shared" si="82"/>
        <v>42914</v>
      </c>
      <c r="I41" s="558">
        <f t="shared" si="83"/>
        <v>107242</v>
      </c>
      <c r="K41" s="554">
        <v>2021</v>
      </c>
      <c r="L41" s="549">
        <v>4687</v>
      </c>
      <c r="M41" s="550">
        <v>2805</v>
      </c>
      <c r="N41" s="551">
        <v>391</v>
      </c>
      <c r="O41" s="555"/>
      <c r="P41" s="552">
        <v>1362</v>
      </c>
      <c r="Q41" s="553">
        <v>61</v>
      </c>
      <c r="R41" s="553">
        <v>98</v>
      </c>
      <c r="S41" s="558">
        <f t="shared" si="84"/>
        <v>9404</v>
      </c>
      <c r="U41" s="554">
        <v>2021</v>
      </c>
      <c r="V41" s="549"/>
      <c r="W41" s="550">
        <v>5206</v>
      </c>
      <c r="X41" s="551">
        <v>3890</v>
      </c>
      <c r="Y41" s="555"/>
      <c r="Z41" s="552"/>
      <c r="AA41" s="553">
        <v>94</v>
      </c>
      <c r="AB41" s="553">
        <v>5992</v>
      </c>
      <c r="AC41" s="558">
        <f t="shared" si="85"/>
        <v>15182</v>
      </c>
      <c r="AE41" s="554">
        <v>2021</v>
      </c>
      <c r="AF41" s="549"/>
      <c r="AG41" s="550">
        <v>7323</v>
      </c>
      <c r="AH41" s="551">
        <v>3119</v>
      </c>
      <c r="AI41" s="555">
        <v>3346</v>
      </c>
      <c r="AJ41" s="552"/>
      <c r="AK41" s="553">
        <v>1609</v>
      </c>
      <c r="AL41" s="553">
        <v>786</v>
      </c>
      <c r="AM41" s="558">
        <f t="shared" si="86"/>
        <v>16183</v>
      </c>
      <c r="AO41" s="554">
        <v>2021</v>
      </c>
      <c r="AP41" s="549"/>
      <c r="AQ41" s="550">
        <v>3012</v>
      </c>
      <c r="AR41" s="551">
        <v>421</v>
      </c>
      <c r="AS41" s="555">
        <v>120</v>
      </c>
      <c r="AT41" s="552">
        <v>721</v>
      </c>
      <c r="AU41" s="553">
        <v>482</v>
      </c>
      <c r="AV41" s="553">
        <v>636</v>
      </c>
      <c r="AW41" s="558">
        <f t="shared" si="87"/>
        <v>5392</v>
      </c>
      <c r="AY41" s="554">
        <v>2021</v>
      </c>
      <c r="AZ41" s="549"/>
      <c r="BA41" s="550">
        <v>3358</v>
      </c>
      <c r="BB41" s="551">
        <v>637</v>
      </c>
      <c r="BC41" s="555">
        <v>269</v>
      </c>
      <c r="BD41" s="552">
        <v>238</v>
      </c>
      <c r="BE41" s="553">
        <v>227</v>
      </c>
      <c r="BF41" s="553">
        <v>547</v>
      </c>
      <c r="BG41" s="558">
        <f t="shared" si="88"/>
        <v>5276</v>
      </c>
      <c r="BI41" s="554">
        <v>2021</v>
      </c>
      <c r="BJ41" s="549"/>
      <c r="BK41" s="550">
        <v>2548</v>
      </c>
      <c r="BL41" s="551">
        <v>663</v>
      </c>
      <c r="BM41" s="555">
        <v>496</v>
      </c>
      <c r="BN41" s="552">
        <v>120</v>
      </c>
      <c r="BO41" s="553">
        <v>120</v>
      </c>
      <c r="BP41" s="553">
        <v>482</v>
      </c>
      <c r="BQ41" s="558">
        <f t="shared" si="89"/>
        <v>4429</v>
      </c>
      <c r="BS41" s="554">
        <v>2021</v>
      </c>
      <c r="BT41" s="549"/>
      <c r="BU41" s="550">
        <v>2184</v>
      </c>
      <c r="BV41" s="551">
        <v>131</v>
      </c>
      <c r="BW41" s="555">
        <v>137</v>
      </c>
      <c r="BX41" s="552"/>
      <c r="BY41" s="553">
        <v>38</v>
      </c>
      <c r="BZ41" s="553">
        <v>3330</v>
      </c>
      <c r="CA41" s="558">
        <f t="shared" si="90"/>
        <v>5820</v>
      </c>
      <c r="CB41" s="674"/>
      <c r="CC41" s="554">
        <v>2021</v>
      </c>
      <c r="CD41" s="549"/>
      <c r="CE41" s="550">
        <v>3265</v>
      </c>
      <c r="CF41" s="551">
        <v>3595</v>
      </c>
      <c r="CG41" s="555">
        <v>305</v>
      </c>
      <c r="CH41" s="552">
        <v>1427</v>
      </c>
      <c r="CI41" s="553">
        <v>5921</v>
      </c>
      <c r="CJ41" s="553">
        <v>31043</v>
      </c>
      <c r="CK41" s="558">
        <f t="shared" si="91"/>
        <v>45556</v>
      </c>
    </row>
    <row r="43" spans="1:89">
      <c r="A43" s="672" t="s">
        <v>1051</v>
      </c>
      <c r="K43" s="672" t="s">
        <v>1018</v>
      </c>
      <c r="U43" s="673" t="s">
        <v>1019</v>
      </c>
      <c r="AE43" s="673" t="s">
        <v>1020</v>
      </c>
      <c r="AO43" s="673" t="s">
        <v>1021</v>
      </c>
      <c r="AY43" s="673" t="s">
        <v>1022</v>
      </c>
      <c r="BI43" s="672" t="s">
        <v>1023</v>
      </c>
      <c r="BS43" s="673" t="s">
        <v>1024</v>
      </c>
      <c r="CC43" s="672" t="s">
        <v>1025</v>
      </c>
    </row>
    <row r="44" spans="1:89">
      <c r="A44" s="674" t="s">
        <v>481</v>
      </c>
      <c r="B44" s="674" t="s">
        <v>989</v>
      </c>
      <c r="C44" s="674" t="s">
        <v>1008</v>
      </c>
      <c r="D44" s="674" t="s">
        <v>991</v>
      </c>
      <c r="E44" s="674" t="s">
        <v>993</v>
      </c>
      <c r="F44" s="674" t="s">
        <v>988</v>
      </c>
      <c r="G44" s="674" t="s">
        <v>1009</v>
      </c>
      <c r="H44" s="674" t="s">
        <v>994</v>
      </c>
      <c r="I44" s="674" t="s">
        <v>1026</v>
      </c>
      <c r="K44" s="674" t="s">
        <v>481</v>
      </c>
      <c r="L44" s="674" t="s">
        <v>988</v>
      </c>
      <c r="M44" s="674" t="s">
        <v>989</v>
      </c>
      <c r="N44" s="674" t="s">
        <v>991</v>
      </c>
      <c r="O44" s="674"/>
      <c r="P44" s="674" t="s">
        <v>1008</v>
      </c>
      <c r="Q44" s="674" t="s">
        <v>1009</v>
      </c>
      <c r="R44" s="674" t="s">
        <v>994</v>
      </c>
      <c r="S44" s="674"/>
      <c r="U44" s="674" t="s">
        <v>481</v>
      </c>
      <c r="V44" s="674" t="s">
        <v>988</v>
      </c>
      <c r="W44" s="674" t="s">
        <v>989</v>
      </c>
      <c r="X44" s="674" t="s">
        <v>991</v>
      </c>
      <c r="Y44" s="674"/>
      <c r="Z44" s="674" t="s">
        <v>1008</v>
      </c>
      <c r="AA44" s="674" t="s">
        <v>1009</v>
      </c>
      <c r="AB44" s="674" t="s">
        <v>994</v>
      </c>
      <c r="AC44" s="674"/>
      <c r="AE44" s="674" t="s">
        <v>481</v>
      </c>
      <c r="AF44" s="674" t="s">
        <v>988</v>
      </c>
      <c r="AG44" s="674" t="s">
        <v>989</v>
      </c>
      <c r="AH44" s="674" t="s">
        <v>991</v>
      </c>
      <c r="AI44" s="674" t="s">
        <v>993</v>
      </c>
      <c r="AJ44" s="674" t="s">
        <v>1008</v>
      </c>
      <c r="AK44" s="674" t="s">
        <v>1009</v>
      </c>
      <c r="AL44" s="674" t="s">
        <v>994</v>
      </c>
      <c r="AM44" s="674"/>
      <c r="AO44" s="674" t="s">
        <v>481</v>
      </c>
      <c r="AP44" s="674" t="s">
        <v>988</v>
      </c>
      <c r="AQ44" s="674" t="s">
        <v>989</v>
      </c>
      <c r="AR44" s="674" t="s">
        <v>991</v>
      </c>
      <c r="AS44" s="674" t="s">
        <v>993</v>
      </c>
      <c r="AT44" s="674" t="s">
        <v>1008</v>
      </c>
      <c r="AU44" s="674" t="s">
        <v>1009</v>
      </c>
      <c r="AV44" s="674" t="s">
        <v>994</v>
      </c>
      <c r="AW44" s="674"/>
      <c r="AY44" s="674" t="s">
        <v>481</v>
      </c>
      <c r="AZ44" s="674" t="s">
        <v>988</v>
      </c>
      <c r="BA44" s="674" t="s">
        <v>989</v>
      </c>
      <c r="BB44" s="674" t="s">
        <v>991</v>
      </c>
      <c r="BC44" s="674" t="s">
        <v>993</v>
      </c>
      <c r="BD44" s="674" t="s">
        <v>1008</v>
      </c>
      <c r="BE44" s="674" t="s">
        <v>1009</v>
      </c>
      <c r="BF44" s="674" t="s">
        <v>994</v>
      </c>
      <c r="BG44" s="674"/>
      <c r="BI44" s="674" t="s">
        <v>481</v>
      </c>
      <c r="BJ44" s="674" t="s">
        <v>988</v>
      </c>
      <c r="BK44" s="674" t="s">
        <v>989</v>
      </c>
      <c r="BL44" s="674" t="s">
        <v>991</v>
      </c>
      <c r="BM44" s="674" t="s">
        <v>993</v>
      </c>
      <c r="BN44" s="674" t="s">
        <v>1008</v>
      </c>
      <c r="BO44" s="674" t="s">
        <v>1009</v>
      </c>
      <c r="BP44" s="674" t="s">
        <v>994</v>
      </c>
      <c r="BQ44" s="674"/>
      <c r="BS44" s="674" t="s">
        <v>481</v>
      </c>
      <c r="BT44" s="674" t="s">
        <v>988</v>
      </c>
      <c r="BU44" s="674" t="s">
        <v>989</v>
      </c>
      <c r="BV44" s="674" t="s">
        <v>991</v>
      </c>
      <c r="BW44" s="674" t="s">
        <v>993</v>
      </c>
      <c r="BY44" s="674" t="s">
        <v>1009</v>
      </c>
      <c r="BZ44" s="674" t="s">
        <v>994</v>
      </c>
      <c r="CA44" s="674"/>
      <c r="CB44" s="674"/>
      <c r="CC44" s="674" t="s">
        <v>481</v>
      </c>
      <c r="CD44" s="674" t="s">
        <v>988</v>
      </c>
      <c r="CE44" s="674" t="s">
        <v>989</v>
      </c>
      <c r="CF44" s="674" t="s">
        <v>991</v>
      </c>
      <c r="CG44" s="674" t="s">
        <v>993</v>
      </c>
      <c r="CH44" s="674" t="s">
        <v>1008</v>
      </c>
      <c r="CI44" s="674" t="s">
        <v>1009</v>
      </c>
      <c r="CJ44" s="674" t="s">
        <v>994</v>
      </c>
      <c r="CK44" s="674"/>
    </row>
    <row r="45" spans="1:89">
      <c r="A45" s="674">
        <v>2011</v>
      </c>
      <c r="B45" s="1">
        <f>B31/$I31</f>
        <v>0.28580723301602556</v>
      </c>
      <c r="C45" s="1">
        <f>C31/$I31</f>
        <v>3.2992002242174912E-2</v>
      </c>
      <c r="D45" s="1">
        <f t="shared" ref="D45:H45" si="92">D31/$I31</f>
        <v>0.13507101888832168</v>
      </c>
      <c r="E45" s="1">
        <f t="shared" si="92"/>
        <v>3.9828633774761521E-2</v>
      </c>
      <c r="F45" s="1">
        <f>F31/$I31</f>
        <v>4.1870614496061179E-2</v>
      </c>
      <c r="G45" s="1">
        <f t="shared" si="92"/>
        <v>0</v>
      </c>
      <c r="H45" s="1">
        <f t="shared" si="92"/>
        <v>0.4644304975826552</v>
      </c>
      <c r="I45" s="675">
        <f>SUM(B45:H45)</f>
        <v>1</v>
      </c>
      <c r="K45" s="674">
        <v>2011</v>
      </c>
      <c r="L45" s="1">
        <f>L31/$S31</f>
        <v>0.35148306864969331</v>
      </c>
      <c r="M45" s="1">
        <f>M31/$S31</f>
        <v>0.41845223090496597</v>
      </c>
      <c r="N45" s="1">
        <f>N31/$S31</f>
        <v>6.234770187379212E-2</v>
      </c>
      <c r="O45" s="1"/>
      <c r="P45" s="1">
        <f>P31/$S31</f>
        <v>0.13234182001512479</v>
      </c>
      <c r="Q45" s="1">
        <f>Q31/$S31</f>
        <v>0</v>
      </c>
      <c r="R45" s="1">
        <f>R31/$S31</f>
        <v>3.5375178556423831E-2</v>
      </c>
      <c r="S45" s="674">
        <f>SUM(L45:R45)</f>
        <v>1</v>
      </c>
      <c r="U45" s="674">
        <v>2011</v>
      </c>
      <c r="V45" s="674"/>
      <c r="W45" s="1">
        <f>W31/$AC31</f>
        <v>0.34428938670583914</v>
      </c>
      <c r="X45" s="1">
        <f t="shared" ref="X45:AB45" si="93">X31/$AC31</f>
        <v>0.25602888970498228</v>
      </c>
      <c r="Y45" s="1"/>
      <c r="Z45" s="1"/>
      <c r="AA45" s="1">
        <f t="shared" si="93"/>
        <v>0</v>
      </c>
      <c r="AB45" s="1">
        <f t="shared" si="93"/>
        <v>0.39968172358917858</v>
      </c>
      <c r="AC45" s="674">
        <f>SUM(V45:AB45)</f>
        <v>1</v>
      </c>
      <c r="AE45" s="674">
        <v>2011</v>
      </c>
      <c r="AF45" s="674"/>
      <c r="AG45" s="1">
        <f>AG31/$AM31</f>
        <v>0.41365254872563717</v>
      </c>
      <c r="AH45" s="1">
        <f>AH31/$AM31</f>
        <v>0.15475074962518739</v>
      </c>
      <c r="AI45" s="1">
        <f>AI31/$AM31</f>
        <v>0.13310532233883057</v>
      </c>
      <c r="AJ45" s="1"/>
      <c r="AK45" s="1">
        <f>AK31/$AM31</f>
        <v>0</v>
      </c>
      <c r="AL45" s="1">
        <f>AL31/$AM31</f>
        <v>0.29849137931034481</v>
      </c>
      <c r="AM45" s="674">
        <f>SUM(AF45:AL45)</f>
        <v>1</v>
      </c>
      <c r="AO45" s="674">
        <v>2011</v>
      </c>
      <c r="AP45" s="674"/>
      <c r="AQ45" s="1">
        <f>IFERROR(AQ31/$AW31,0)</f>
        <v>0</v>
      </c>
      <c r="AR45" s="1">
        <f t="shared" ref="AR45:AV45" si="94">IFERROR(AR31/$AW31,0)</f>
        <v>0</v>
      </c>
      <c r="AS45" s="1">
        <f t="shared" si="94"/>
        <v>0</v>
      </c>
      <c r="AT45" s="1">
        <f t="shared" si="94"/>
        <v>0</v>
      </c>
      <c r="AU45" s="1">
        <f t="shared" si="94"/>
        <v>0</v>
      </c>
      <c r="AV45" s="1">
        <f t="shared" si="94"/>
        <v>0</v>
      </c>
      <c r="AW45" s="674">
        <f>SUM(AP45:AV45)</f>
        <v>0</v>
      </c>
      <c r="AY45" s="674">
        <v>2011</v>
      </c>
      <c r="AZ45" s="674"/>
      <c r="BA45" s="1">
        <f>IFERROR(BA31/$BG31,0)</f>
        <v>0</v>
      </c>
      <c r="BB45" s="1">
        <f t="shared" ref="BB45:BF45" si="95">IFERROR(BB31/$BG31,0)</f>
        <v>0</v>
      </c>
      <c r="BC45" s="1">
        <f t="shared" si="95"/>
        <v>0</v>
      </c>
      <c r="BD45" s="1">
        <f t="shared" si="95"/>
        <v>0</v>
      </c>
      <c r="BE45" s="1">
        <f t="shared" si="95"/>
        <v>0</v>
      </c>
      <c r="BF45" s="1">
        <f t="shared" si="95"/>
        <v>0</v>
      </c>
      <c r="BG45" s="674">
        <f>SUM(AZ45:BF45)</f>
        <v>0</v>
      </c>
      <c r="BI45" s="674">
        <v>2011</v>
      </c>
      <c r="BJ45" s="674"/>
      <c r="BK45" s="1">
        <f>IFERROR(BK31/$BQ31,0)</f>
        <v>0</v>
      </c>
      <c r="BL45" s="1">
        <f t="shared" ref="BL45:BP45" si="96">IFERROR(BL31/$BQ31,0)</f>
        <v>0</v>
      </c>
      <c r="BM45" s="1">
        <f t="shared" si="96"/>
        <v>0</v>
      </c>
      <c r="BN45" s="1">
        <f t="shared" si="96"/>
        <v>0</v>
      </c>
      <c r="BO45" s="1">
        <f t="shared" si="96"/>
        <v>0</v>
      </c>
      <c r="BP45" s="1">
        <f t="shared" si="96"/>
        <v>0</v>
      </c>
      <c r="BQ45" s="674">
        <f>SUM(BJ45:BP45)</f>
        <v>0</v>
      </c>
      <c r="BS45" s="674">
        <v>2011</v>
      </c>
      <c r="BT45" s="674"/>
      <c r="BU45" s="1">
        <f>IFERROR(BU31/$CA31,0)</f>
        <v>0</v>
      </c>
      <c r="BV45" s="1">
        <f>IFERROR(BV31/$CA31,0)</f>
        <v>0</v>
      </c>
      <c r="BW45" s="1">
        <f>IFERROR(BW31/$CA31,0)</f>
        <v>0</v>
      </c>
      <c r="BY45" s="1">
        <f>IFERROR(BY31/$CA31,0)</f>
        <v>0</v>
      </c>
      <c r="BZ45" s="1">
        <f>IFERROR(BZ31/$CA31,0)</f>
        <v>0</v>
      </c>
      <c r="CA45" s="674">
        <f>SUM(BT45:BZ45)</f>
        <v>0</v>
      </c>
      <c r="CB45" s="674"/>
      <c r="CC45" s="674">
        <v>2011</v>
      </c>
      <c r="CD45" s="674"/>
      <c r="CE45" s="1">
        <f>IFERROR(CE31/$CK31,0)</f>
        <v>0.1812201907790143</v>
      </c>
      <c r="CF45" s="1">
        <f t="shared" ref="CF45:CJ45" si="97">IFERROR(CF31/$CK31,0)</f>
        <v>0.10465023847376788</v>
      </c>
      <c r="CG45" s="1">
        <f t="shared" si="97"/>
        <v>2.2615262321144674E-2</v>
      </c>
      <c r="CH45" s="1">
        <f t="shared" si="97"/>
        <v>3.4201112877583463E-2</v>
      </c>
      <c r="CI45" s="1">
        <f t="shared" si="97"/>
        <v>0</v>
      </c>
      <c r="CJ45" s="1">
        <f t="shared" si="97"/>
        <v>0.65731319554848966</v>
      </c>
      <c r="CK45" s="674">
        <f>SUM(CD45:CJ45)</f>
        <v>1</v>
      </c>
    </row>
    <row r="46" spans="1:89">
      <c r="A46" s="674">
        <v>2012</v>
      </c>
      <c r="B46" s="1">
        <f>B32/$I32</f>
        <v>0.2810875766931103</v>
      </c>
      <c r="C46" s="1">
        <f>C32/$I32</f>
        <v>3.3510492789870651E-2</v>
      </c>
      <c r="D46" s="1">
        <f t="shared" ref="D46:H46" si="98">D32/$I32</f>
        <v>0.13376841611629997</v>
      </c>
      <c r="E46" s="1">
        <f t="shared" si="98"/>
        <v>3.9626401969596312E-2</v>
      </c>
      <c r="F46" s="1">
        <f>F32/$I32</f>
        <v>4.5292899292664814E-2</v>
      </c>
      <c r="G46" s="1">
        <f t="shared" si="98"/>
        <v>0</v>
      </c>
      <c r="H46" s="1">
        <f t="shared" si="98"/>
        <v>0.46671421313845796</v>
      </c>
      <c r="I46" s="675">
        <f t="shared" ref="I46:I55" si="99">SUM(B46:H46)</f>
        <v>1</v>
      </c>
      <c r="K46" s="674">
        <v>2012</v>
      </c>
      <c r="L46" s="1">
        <f>L32/$S32</f>
        <v>0.37752442996742669</v>
      </c>
      <c r="M46" s="1">
        <f>M32/$S32</f>
        <v>0.39666123778501627</v>
      </c>
      <c r="N46" s="1">
        <f>N32/$S32</f>
        <v>5.8713355048859932E-2</v>
      </c>
      <c r="O46" s="1"/>
      <c r="P46" s="1">
        <f>P32/$S32</f>
        <v>0.13460912052117263</v>
      </c>
      <c r="Q46" s="1">
        <f>Q32/$S32</f>
        <v>0</v>
      </c>
      <c r="R46" s="1">
        <f>R32/$S32</f>
        <v>3.2491856677524432E-2</v>
      </c>
      <c r="S46" s="674">
        <f t="shared" ref="S46:S55" si="100">SUM(L46:R46)</f>
        <v>0.99999999999999989</v>
      </c>
      <c r="U46" s="674">
        <v>2012</v>
      </c>
      <c r="V46" s="674"/>
      <c r="W46" s="1">
        <f t="shared" ref="W46:AB46" si="101">W32/$AC32</f>
        <v>0.34671288694277203</v>
      </c>
      <c r="X46" s="1">
        <f t="shared" si="101"/>
        <v>0.25402907012102416</v>
      </c>
      <c r="Y46" s="1"/>
      <c r="Z46" s="1"/>
      <c r="AA46" s="1">
        <f t="shared" si="101"/>
        <v>0</v>
      </c>
      <c r="AB46" s="1">
        <f t="shared" si="101"/>
        <v>0.39925804293620387</v>
      </c>
      <c r="AC46" s="674">
        <f t="shared" ref="AC46:AC55" si="102">SUM(V46:AB46)</f>
        <v>1</v>
      </c>
      <c r="AE46" s="674">
        <v>2012</v>
      </c>
      <c r="AF46" s="674"/>
      <c r="AG46" s="1">
        <f>AG32/$AM32</f>
        <v>0.41621569848187345</v>
      </c>
      <c r="AH46" s="1">
        <f>AH32/$AM32</f>
        <v>0.1585652028159571</v>
      </c>
      <c r="AI46" s="1">
        <f>AI32/$AM32</f>
        <v>0.13979215554810592</v>
      </c>
      <c r="AJ46" s="1"/>
      <c r="AK46" s="1">
        <f>AK32/$AM32</f>
        <v>0</v>
      </c>
      <c r="AL46" s="1">
        <f>AL32/$AM32</f>
        <v>0.28542694315406353</v>
      </c>
      <c r="AM46" s="674">
        <f t="shared" ref="AM46:AM55" si="103">SUM(AF46:AL46)</f>
        <v>1</v>
      </c>
      <c r="AO46" s="674">
        <v>2012</v>
      </c>
      <c r="AP46" s="674"/>
      <c r="AQ46" s="1">
        <f t="shared" ref="AQ46:AV46" si="104">IFERROR(AQ32/$AW32,0)</f>
        <v>0.55878787878787883</v>
      </c>
      <c r="AR46" s="1">
        <f t="shared" si="104"/>
        <v>7.7575757575757576E-2</v>
      </c>
      <c r="AS46" s="1">
        <f t="shared" si="104"/>
        <v>2.2222222222222223E-2</v>
      </c>
      <c r="AT46" s="1">
        <f t="shared" si="104"/>
        <v>0.13454545454545455</v>
      </c>
      <c r="AU46" s="1">
        <f t="shared" si="104"/>
        <v>0</v>
      </c>
      <c r="AV46" s="1">
        <f t="shared" si="104"/>
        <v>0.20686868686868687</v>
      </c>
      <c r="AW46" s="674">
        <f t="shared" ref="AW46:AW55" si="105">SUM(AP46:AV46)</f>
        <v>1</v>
      </c>
      <c r="AY46" s="674">
        <v>2012</v>
      </c>
      <c r="AZ46" s="674"/>
      <c r="BA46" s="1">
        <f t="shared" ref="BA46:BF46" si="106">IFERROR(BA32/$BG32,0)</f>
        <v>0.44632469592808038</v>
      </c>
      <c r="BB46" s="1">
        <f t="shared" si="106"/>
        <v>9.7038603913273402E-2</v>
      </c>
      <c r="BC46" s="1">
        <f t="shared" si="106"/>
        <v>7.615018508725542E-2</v>
      </c>
      <c r="BD46" s="1">
        <f t="shared" si="106"/>
        <v>7.3770491803278687E-2</v>
      </c>
      <c r="BE46" s="1">
        <f t="shared" si="106"/>
        <v>0</v>
      </c>
      <c r="BF46" s="1">
        <f t="shared" si="106"/>
        <v>0.30671602326811209</v>
      </c>
      <c r="BG46" s="674">
        <f t="shared" ref="BG46:BG55" si="107">SUM(AZ46:BF46)</f>
        <v>1</v>
      </c>
      <c r="BI46" s="674">
        <v>2012</v>
      </c>
      <c r="BJ46" s="674"/>
      <c r="BK46" s="1">
        <f t="shared" ref="BK46:BP46" si="108">IFERROR(BK32/$BQ32,0)</f>
        <v>0.52719907407407407</v>
      </c>
      <c r="BL46" s="1">
        <f t="shared" si="108"/>
        <v>0.19444444444444445</v>
      </c>
      <c r="BM46" s="1">
        <f t="shared" si="108"/>
        <v>0.10706018518518519</v>
      </c>
      <c r="BN46" s="1">
        <f t="shared" si="108"/>
        <v>2.7199074074074073E-2</v>
      </c>
      <c r="BO46" s="1">
        <f t="shared" si="108"/>
        <v>0</v>
      </c>
      <c r="BP46" s="1">
        <f t="shared" si="108"/>
        <v>0.14409722222222221</v>
      </c>
      <c r="BQ46" s="674">
        <f t="shared" ref="BQ46:BQ55" si="109">SUM(BJ46:BP46)</f>
        <v>1</v>
      </c>
      <c r="BS46" s="674">
        <v>2012</v>
      </c>
      <c r="BT46" s="674"/>
      <c r="BU46" s="1">
        <f>IFERROR(BU32/$CA32,0)</f>
        <v>0</v>
      </c>
      <c r="BV46" s="1">
        <f>IFERROR(BV32/$CA32,0)</f>
        <v>0</v>
      </c>
      <c r="BW46" s="1">
        <f>IFERROR(BW32/$CA32,0)</f>
        <v>0</v>
      </c>
      <c r="BY46" s="1">
        <f>IFERROR(BY32/$CA32,0)</f>
        <v>0</v>
      </c>
      <c r="BZ46" s="1">
        <f>IFERROR(BZ32/$CA32,0)</f>
        <v>0</v>
      </c>
      <c r="CA46" s="674">
        <f t="shared" ref="CA46:CA55" si="110">SUM(BT46:BZ46)</f>
        <v>0</v>
      </c>
      <c r="CB46" s="674"/>
      <c r="CC46" s="674">
        <v>2012</v>
      </c>
      <c r="CD46" s="674"/>
      <c r="CE46" s="1">
        <f t="shared" ref="CE46:CJ46" si="111">IFERROR(CE32/$CK32,0)</f>
        <v>7.9676560496992413E-2</v>
      </c>
      <c r="CF46" s="1">
        <f t="shared" si="111"/>
        <v>0.10008874864411793</v>
      </c>
      <c r="CG46" s="1">
        <f t="shared" si="111"/>
        <v>9.0967360220885508E-3</v>
      </c>
      <c r="CH46" s="1">
        <f t="shared" si="111"/>
        <v>1.8193472044177102E-2</v>
      </c>
      <c r="CI46" s="1">
        <f t="shared" si="111"/>
        <v>0</v>
      </c>
      <c r="CJ46" s="1">
        <f t="shared" si="111"/>
        <v>0.79294448279262397</v>
      </c>
      <c r="CK46" s="674">
        <f t="shared" ref="CK46:CK55" si="112">SUM(CD46:CJ46)</f>
        <v>1</v>
      </c>
    </row>
    <row r="47" spans="1:89">
      <c r="A47" s="674">
        <v>2013</v>
      </c>
      <c r="B47" s="1">
        <f>B33/$I33</f>
        <v>0.27888980198794711</v>
      </c>
      <c r="C47" s="1">
        <f>C33/$I33</f>
        <v>3.5669562495108401E-2</v>
      </c>
      <c r="D47" s="1">
        <f t="shared" ref="D47:H47" si="113">D33/$I33</f>
        <v>0.1334526884245128</v>
      </c>
      <c r="E47" s="1">
        <f t="shared" si="113"/>
        <v>4.0199186037410975E-2</v>
      </c>
      <c r="F47" s="1">
        <f>F33/$I33</f>
        <v>4.9199733896845892E-2</v>
      </c>
      <c r="G47" s="1">
        <f t="shared" si="113"/>
        <v>0</v>
      </c>
      <c r="H47" s="1">
        <f t="shared" si="113"/>
        <v>0.46258902715817485</v>
      </c>
      <c r="I47" s="675">
        <f t="shared" si="99"/>
        <v>1</v>
      </c>
      <c r="K47" s="674">
        <v>2013</v>
      </c>
      <c r="L47" s="1">
        <f>L33/$S33</f>
        <v>0.40631817080067867</v>
      </c>
      <c r="M47" s="1">
        <f>M33/$S33</f>
        <v>0.37198028601438149</v>
      </c>
      <c r="N47" s="1">
        <f>N33/$S33</f>
        <v>5.5425385796234954E-2</v>
      </c>
      <c r="O47" s="1"/>
      <c r="P47" s="1">
        <f>P33/$S33</f>
        <v>0.13638199886886967</v>
      </c>
      <c r="Q47" s="1">
        <f>Q33/$S33</f>
        <v>0</v>
      </c>
      <c r="R47" s="1">
        <f>R33/$S33</f>
        <v>2.9894158519835179E-2</v>
      </c>
      <c r="S47" s="674">
        <f t="shared" si="100"/>
        <v>1</v>
      </c>
      <c r="U47" s="674">
        <v>2013</v>
      </c>
      <c r="V47" s="674"/>
      <c r="W47" s="1">
        <f t="shared" ref="W47:AB47" si="114">W33/$AC33</f>
        <v>0.3397225264695144</v>
      </c>
      <c r="X47" s="1">
        <f t="shared" si="114"/>
        <v>0.25861019836923449</v>
      </c>
      <c r="Y47" s="1"/>
      <c r="Z47" s="1"/>
      <c r="AA47" s="1">
        <f t="shared" si="114"/>
        <v>0</v>
      </c>
      <c r="AB47" s="1">
        <f t="shared" si="114"/>
        <v>0.40166727516125106</v>
      </c>
      <c r="AC47" s="674">
        <f t="shared" si="102"/>
        <v>1</v>
      </c>
      <c r="AE47" s="674">
        <v>2013</v>
      </c>
      <c r="AF47" s="674"/>
      <c r="AG47" s="1">
        <f>AG33/$AM33</f>
        <v>0.41607375488525905</v>
      </c>
      <c r="AH47" s="1">
        <f>AH33/$AM33</f>
        <v>0.16359354644753984</v>
      </c>
      <c r="AI47" s="1">
        <f>AI33/$AM33</f>
        <v>0.14801082272772823</v>
      </c>
      <c r="AJ47" s="1"/>
      <c r="AK47" s="1">
        <f>AK33/$AM33</f>
        <v>0</v>
      </c>
      <c r="AL47" s="1">
        <f>AL33/$AM33</f>
        <v>0.27232187593947288</v>
      </c>
      <c r="AM47" s="674">
        <f t="shared" si="103"/>
        <v>1</v>
      </c>
      <c r="AO47" s="674">
        <v>2013</v>
      </c>
      <c r="AP47" s="674"/>
      <c r="AQ47" s="1">
        <f t="shared" ref="AQ47:AV47" si="115">IFERROR(AQ33/$AW33,0)</f>
        <v>0.5553703703703704</v>
      </c>
      <c r="AR47" s="1">
        <f t="shared" si="115"/>
        <v>7.7962962962962956E-2</v>
      </c>
      <c r="AS47" s="1">
        <f t="shared" si="115"/>
        <v>2.2407407407407407E-2</v>
      </c>
      <c r="AT47" s="1">
        <f t="shared" si="115"/>
        <v>0.13555555555555557</v>
      </c>
      <c r="AU47" s="1">
        <f t="shared" si="115"/>
        <v>0</v>
      </c>
      <c r="AV47" s="1">
        <f t="shared" si="115"/>
        <v>0.2087037037037037</v>
      </c>
      <c r="AW47" s="674">
        <f t="shared" si="105"/>
        <v>1</v>
      </c>
      <c r="AY47" s="674">
        <v>2013</v>
      </c>
      <c r="AZ47" s="674"/>
      <c r="BA47" s="1">
        <f t="shared" ref="BA47:BF47" si="116">IFERROR(BA33/$BG33,0)</f>
        <v>0.47459375806035592</v>
      </c>
      <c r="BB47" s="1">
        <f t="shared" si="116"/>
        <v>0.10162496775857621</v>
      </c>
      <c r="BC47" s="1">
        <f t="shared" si="116"/>
        <v>7.2478720660304363E-2</v>
      </c>
      <c r="BD47" s="1">
        <f t="shared" si="116"/>
        <v>6.9383543977302037E-2</v>
      </c>
      <c r="BE47" s="1">
        <f t="shared" si="116"/>
        <v>0</v>
      </c>
      <c r="BF47" s="1">
        <f t="shared" si="116"/>
        <v>0.28191900954346144</v>
      </c>
      <c r="BG47" s="674">
        <f t="shared" si="107"/>
        <v>1</v>
      </c>
      <c r="BI47" s="674">
        <v>2013</v>
      </c>
      <c r="BJ47" s="674"/>
      <c r="BK47" s="1">
        <f t="shared" ref="BK47:BP47" si="117">IFERROR(BK33/$BQ33,0)</f>
        <v>0.53286118980169972</v>
      </c>
      <c r="BL47" s="1">
        <f t="shared" si="117"/>
        <v>0.18753541076487251</v>
      </c>
      <c r="BM47" s="1">
        <f t="shared" si="117"/>
        <v>0.10878186968838527</v>
      </c>
      <c r="BN47" s="1">
        <f t="shared" si="117"/>
        <v>2.7195467422096317E-2</v>
      </c>
      <c r="BO47" s="1">
        <f t="shared" si="117"/>
        <v>0</v>
      </c>
      <c r="BP47" s="1">
        <f t="shared" si="117"/>
        <v>0.14362606232294617</v>
      </c>
      <c r="BQ47" s="674">
        <f t="shared" si="109"/>
        <v>1</v>
      </c>
      <c r="BS47" s="674">
        <v>2013</v>
      </c>
      <c r="BT47" s="674"/>
      <c r="BU47" s="1">
        <f>IFERROR(BU33/$CA33,0)</f>
        <v>0</v>
      </c>
      <c r="BV47" s="1">
        <f>IFERROR(BV33/$CA33,0)</f>
        <v>0</v>
      </c>
      <c r="BW47" s="1">
        <f>IFERROR(BW33/$CA33,0)</f>
        <v>0</v>
      </c>
      <c r="BY47" s="1">
        <f>IFERROR(BY33/$CA33,0)</f>
        <v>0</v>
      </c>
      <c r="BZ47" s="1">
        <f>IFERROR(BZ33/$CA33,0)</f>
        <v>0</v>
      </c>
      <c r="CA47" s="674">
        <f t="shared" si="110"/>
        <v>0</v>
      </c>
      <c r="CB47" s="674"/>
      <c r="CC47" s="674">
        <v>2013</v>
      </c>
      <c r="CD47" s="674"/>
      <c r="CE47" s="1">
        <f t="shared" ref="CE47:CJ47" si="118">IFERROR(CE33/$CK33,0)</f>
        <v>8.1102362204724415E-2</v>
      </c>
      <c r="CF47" s="1">
        <f t="shared" si="118"/>
        <v>9.7514763779527558E-2</v>
      </c>
      <c r="CG47" s="1">
        <f t="shared" si="118"/>
        <v>9.0797244094488194E-3</v>
      </c>
      <c r="CH47" s="1">
        <f t="shared" si="118"/>
        <v>2.1186023622047245E-2</v>
      </c>
      <c r="CI47" s="1">
        <f t="shared" si="118"/>
        <v>0</v>
      </c>
      <c r="CJ47" s="1">
        <f t="shared" si="118"/>
        <v>0.79111712598425199</v>
      </c>
      <c r="CK47" s="674">
        <f t="shared" si="112"/>
        <v>1</v>
      </c>
    </row>
    <row r="48" spans="1:89">
      <c r="A48" s="674">
        <v>2014</v>
      </c>
      <c r="B48" s="1">
        <f>B34/$I34</f>
        <v>0.28388630630804768</v>
      </c>
      <c r="C48" s="1">
        <f>C34/$I34</f>
        <v>3.7440442249519187E-2</v>
      </c>
      <c r="D48" s="1">
        <f t="shared" ref="D48:H48" si="119">D34/$I34</f>
        <v>0.13058731431995438</v>
      </c>
      <c r="E48" s="1">
        <f t="shared" si="119"/>
        <v>4.0513767142484371E-2</v>
      </c>
      <c r="F48" s="1">
        <f>F34/$I34</f>
        <v>5.0912816151385411E-2</v>
      </c>
      <c r="G48" s="1">
        <f t="shared" si="119"/>
        <v>0</v>
      </c>
      <c r="H48" s="1">
        <f t="shared" si="119"/>
        <v>0.456659353828609</v>
      </c>
      <c r="I48" s="675">
        <f t="shared" si="99"/>
        <v>1</v>
      </c>
      <c r="K48" s="674">
        <v>2014</v>
      </c>
      <c r="L48" s="1">
        <f>L34/$S34</f>
        <v>0.42576578032813384</v>
      </c>
      <c r="M48" s="1">
        <f>M34/$S34</f>
        <v>0.3570678089388184</v>
      </c>
      <c r="N48" s="1">
        <f>N34/$S34</f>
        <v>5.0998141113715346E-2</v>
      </c>
      <c r="O48" s="1"/>
      <c r="P48" s="1">
        <f>P34/$S34</f>
        <v>0.1395781136345268</v>
      </c>
      <c r="Q48" s="1">
        <f>Q34/$S34</f>
        <v>0</v>
      </c>
      <c r="R48" s="1">
        <f>R34/$S34</f>
        <v>2.6590155984805627E-2</v>
      </c>
      <c r="S48" s="674">
        <f t="shared" si="100"/>
        <v>1</v>
      </c>
      <c r="U48" s="674">
        <v>2014</v>
      </c>
      <c r="V48" s="674"/>
      <c r="W48" s="1">
        <f t="shared" ref="W48:AB48" si="120">W34/$AC34</f>
        <v>0.3463950779523326</v>
      </c>
      <c r="X48" s="1">
        <f t="shared" si="120"/>
        <v>0.25333014754196287</v>
      </c>
      <c r="Y48" s="1"/>
      <c r="Z48" s="1"/>
      <c r="AA48" s="1">
        <f t="shared" si="120"/>
        <v>0</v>
      </c>
      <c r="AB48" s="1">
        <f t="shared" si="120"/>
        <v>0.40027477450570453</v>
      </c>
      <c r="AC48" s="674">
        <f t="shared" si="102"/>
        <v>1</v>
      </c>
      <c r="AE48" s="674">
        <v>2014</v>
      </c>
      <c r="AF48" s="674"/>
      <c r="AG48" s="1">
        <f>AG34/$AM34</f>
        <v>0.42737302353958007</v>
      </c>
      <c r="AH48" s="1">
        <f>AH34/$AM34</f>
        <v>0.16528547460470791</v>
      </c>
      <c r="AI48" s="1">
        <f>AI34/$AM34</f>
        <v>0.15349026386699882</v>
      </c>
      <c r="AJ48" s="1"/>
      <c r="AK48" s="1">
        <f>AK34/$AM34</f>
        <v>0</v>
      </c>
      <c r="AL48" s="1">
        <f>AL34/$AM34</f>
        <v>0.25385123798871323</v>
      </c>
      <c r="AM48" s="674">
        <f t="shared" si="103"/>
        <v>1</v>
      </c>
      <c r="AO48" s="674">
        <v>2014</v>
      </c>
      <c r="AP48" s="674"/>
      <c r="AQ48" s="1">
        <f t="shared" ref="AQ48:AV48" si="121">IFERROR(AQ34/$AW34,0)</f>
        <v>0.56350626118067981</v>
      </c>
      <c r="AR48" s="1">
        <f t="shared" si="121"/>
        <v>7.6565295169946326E-2</v>
      </c>
      <c r="AS48" s="1">
        <f t="shared" si="121"/>
        <v>2.2003577817531306E-2</v>
      </c>
      <c r="AT48" s="1">
        <f t="shared" si="121"/>
        <v>0.13327370304114491</v>
      </c>
      <c r="AU48" s="1">
        <f t="shared" si="121"/>
        <v>0</v>
      </c>
      <c r="AV48" s="1">
        <f t="shared" si="121"/>
        <v>0.20465116279069767</v>
      </c>
      <c r="AW48" s="674">
        <f t="shared" si="105"/>
        <v>1</v>
      </c>
      <c r="AY48" s="674">
        <v>2014</v>
      </c>
      <c r="AZ48" s="674"/>
      <c r="BA48" s="1">
        <f t="shared" ref="BA48:BF48" si="122">IFERROR(BA34/$BG34,0)</f>
        <v>0.51308139534883723</v>
      </c>
      <c r="BB48" s="1">
        <f t="shared" si="122"/>
        <v>0.10368217054263566</v>
      </c>
      <c r="BC48" s="1">
        <f t="shared" si="122"/>
        <v>6.7344961240310072E-2</v>
      </c>
      <c r="BD48" s="1">
        <f t="shared" si="122"/>
        <v>6.3953488372093026E-2</v>
      </c>
      <c r="BE48" s="1">
        <f t="shared" si="122"/>
        <v>0</v>
      </c>
      <c r="BF48" s="1">
        <f t="shared" si="122"/>
        <v>0.25193798449612403</v>
      </c>
      <c r="BG48" s="674">
        <f t="shared" si="107"/>
        <v>1</v>
      </c>
      <c r="BI48" s="674">
        <v>2014</v>
      </c>
      <c r="BJ48" s="674"/>
      <c r="BK48" s="1">
        <f t="shared" ref="BK48:BP48" si="123">IFERROR(BK34/$BQ34,0)</f>
        <v>0.54786096256684491</v>
      </c>
      <c r="BL48" s="1">
        <f t="shared" si="123"/>
        <v>0.17727272727272728</v>
      </c>
      <c r="BM48" s="1">
        <f t="shared" si="123"/>
        <v>0.10775401069518717</v>
      </c>
      <c r="BN48" s="1">
        <f t="shared" si="123"/>
        <v>2.7272727272727271E-2</v>
      </c>
      <c r="BO48" s="1">
        <f t="shared" si="123"/>
        <v>0</v>
      </c>
      <c r="BP48" s="1">
        <f t="shared" si="123"/>
        <v>0.13983957219251336</v>
      </c>
      <c r="BQ48" s="674">
        <f t="shared" si="109"/>
        <v>1</v>
      </c>
      <c r="BS48" s="674">
        <v>2014</v>
      </c>
      <c r="BT48" s="674"/>
      <c r="BU48" s="1">
        <f>IFERROR(BU34/$CA34,0)</f>
        <v>0</v>
      </c>
      <c r="BV48" s="1">
        <f>IFERROR(BV34/$CA34,0)</f>
        <v>0</v>
      </c>
      <c r="BW48" s="1">
        <f>IFERROR(BW34/$CA34,0)</f>
        <v>0</v>
      </c>
      <c r="BY48" s="1">
        <f>IFERROR(BY34/$CA34,0)</f>
        <v>0</v>
      </c>
      <c r="BZ48" s="1">
        <f>IFERROR(BZ34/$CA34,0)</f>
        <v>0</v>
      </c>
      <c r="CA48" s="674">
        <f t="shared" si="110"/>
        <v>0</v>
      </c>
      <c r="CB48" s="674"/>
      <c r="CC48" s="674">
        <v>2014</v>
      </c>
      <c r="CD48" s="674"/>
      <c r="CE48" s="1">
        <f t="shared" ref="CE48:CJ48" si="124">IFERROR(CE34/$CK34,0)</f>
        <v>8.3288867329614352E-2</v>
      </c>
      <c r="CF48" s="1">
        <f t="shared" si="124"/>
        <v>9.3863691486781475E-2</v>
      </c>
      <c r="CG48" s="1">
        <f t="shared" si="124"/>
        <v>8.9497938394373037E-3</v>
      </c>
      <c r="CH48" s="1">
        <f t="shared" si="124"/>
        <v>2.5127334465195245E-2</v>
      </c>
      <c r="CI48" s="1">
        <f t="shared" si="124"/>
        <v>0</v>
      </c>
      <c r="CJ48" s="1">
        <f t="shared" si="124"/>
        <v>0.78877031287897159</v>
      </c>
      <c r="CK48" s="674">
        <f t="shared" si="112"/>
        <v>1</v>
      </c>
    </row>
    <row r="49" spans="1:89">
      <c r="A49" s="674">
        <v>2015</v>
      </c>
      <c r="B49" s="1">
        <f>B35/$I35</f>
        <v>0.27923666456434071</v>
      </c>
      <c r="C49" s="1">
        <f>C35/$I35</f>
        <v>3.8807025591040267E-2</v>
      </c>
      <c r="D49" s="1">
        <f t="shared" ref="D49:H49" si="125">D35/$I35</f>
        <v>0.1288056877472622</v>
      </c>
      <c r="E49" s="1">
        <f t="shared" si="125"/>
        <v>4.0680006880339431E-2</v>
      </c>
      <c r="F49" s="1">
        <f>F35/$I35</f>
        <v>5.3637979473654035E-2</v>
      </c>
      <c r="G49" s="1">
        <f t="shared" si="125"/>
        <v>0</v>
      </c>
      <c r="H49" s="1">
        <f t="shared" si="125"/>
        <v>0.45883263574336336</v>
      </c>
      <c r="I49" s="675">
        <f t="shared" si="99"/>
        <v>1</v>
      </c>
      <c r="K49" s="674">
        <v>2015</v>
      </c>
      <c r="L49" s="1">
        <f>L35/$S35</f>
        <v>0.45346582646631117</v>
      </c>
      <c r="M49" s="1">
        <f>M35/$S35</f>
        <v>0.33422200678623365</v>
      </c>
      <c r="N49" s="1">
        <f>N35/$S35</f>
        <v>4.7584423978025529E-2</v>
      </c>
      <c r="O49" s="1"/>
      <c r="P49" s="1">
        <f>P35/$S35</f>
        <v>0.14081434803683957</v>
      </c>
      <c r="Q49" s="1">
        <f>Q35/$S35</f>
        <v>0</v>
      </c>
      <c r="R49" s="1">
        <f>R35/$S35</f>
        <v>2.391339473259008E-2</v>
      </c>
      <c r="S49" s="674">
        <f t="shared" si="100"/>
        <v>1</v>
      </c>
      <c r="U49" s="674">
        <v>2015</v>
      </c>
      <c r="V49" s="674"/>
      <c r="W49" s="1">
        <f t="shared" ref="W49:AB49" si="126">W35/$AC35</f>
        <v>0.34197075953880901</v>
      </c>
      <c r="X49" s="1">
        <f t="shared" si="126"/>
        <v>0.25615119457981694</v>
      </c>
      <c r="Y49" s="1"/>
      <c r="Z49" s="1"/>
      <c r="AA49" s="1">
        <f t="shared" si="126"/>
        <v>0</v>
      </c>
      <c r="AB49" s="1">
        <f t="shared" si="126"/>
        <v>0.40187804588137405</v>
      </c>
      <c r="AC49" s="674">
        <f t="shared" si="102"/>
        <v>1</v>
      </c>
      <c r="AE49" s="674">
        <v>2015</v>
      </c>
      <c r="AF49" s="674"/>
      <c r="AG49" s="1">
        <f>AG35/$AM35</f>
        <v>0.42950627793147478</v>
      </c>
      <c r="AH49" s="1">
        <f>AH35/$AM35</f>
        <v>0.17046180038306022</v>
      </c>
      <c r="AI49" s="1">
        <f>AI35/$AM35</f>
        <v>0.1625345818259204</v>
      </c>
      <c r="AJ49" s="1"/>
      <c r="AK49" s="1">
        <f>AK35/$AM35</f>
        <v>0</v>
      </c>
      <c r="AL49" s="1">
        <f>AL35/$AM35</f>
        <v>0.23749733985954458</v>
      </c>
      <c r="AM49" s="674">
        <f t="shared" si="103"/>
        <v>1</v>
      </c>
      <c r="AO49" s="674">
        <v>2015</v>
      </c>
      <c r="AP49" s="674"/>
      <c r="AQ49" s="1">
        <f t="shared" ref="AQ49:AV49" si="127">IFERROR(AQ35/$AW35,0)</f>
        <v>0.56251077772029656</v>
      </c>
      <c r="AR49" s="1">
        <f t="shared" si="127"/>
        <v>7.6909812036558028E-2</v>
      </c>
      <c r="AS49" s="1">
        <f t="shared" si="127"/>
        <v>2.2072771167442662E-2</v>
      </c>
      <c r="AT49" s="1">
        <f t="shared" si="127"/>
        <v>0.13295395757889292</v>
      </c>
      <c r="AU49" s="1">
        <f t="shared" si="127"/>
        <v>0</v>
      </c>
      <c r="AV49" s="1">
        <f t="shared" si="127"/>
        <v>0.2055526814968098</v>
      </c>
      <c r="AW49" s="674">
        <f t="shared" si="105"/>
        <v>1</v>
      </c>
      <c r="AY49" s="674">
        <v>2015</v>
      </c>
      <c r="AZ49" s="674"/>
      <c r="BA49" s="1">
        <f t="shared" ref="BA49:BF49" si="128">IFERROR(BA35/$BG35,0)</f>
        <v>0.54012915129151295</v>
      </c>
      <c r="BB49" s="1">
        <f t="shared" si="128"/>
        <v>0.10770295202952029</v>
      </c>
      <c r="BC49" s="1">
        <f t="shared" si="128"/>
        <v>6.3883763837638372E-2</v>
      </c>
      <c r="BD49" s="1">
        <f t="shared" si="128"/>
        <v>5.9271217712177124E-2</v>
      </c>
      <c r="BE49" s="1">
        <f t="shared" si="128"/>
        <v>0</v>
      </c>
      <c r="BF49" s="1">
        <f t="shared" si="128"/>
        <v>0.22901291512915128</v>
      </c>
      <c r="BG49" s="674">
        <f t="shared" si="107"/>
        <v>1</v>
      </c>
      <c r="BI49" s="674">
        <v>2015</v>
      </c>
      <c r="BJ49" s="674"/>
      <c r="BK49" s="1">
        <f t="shared" ref="BK49:BP49" si="129">IFERROR(BK35/$BQ35,0)</f>
        <v>0.55379098360655743</v>
      </c>
      <c r="BL49" s="1">
        <f t="shared" si="129"/>
        <v>0.17110655737704919</v>
      </c>
      <c r="BM49" s="1">
        <f t="shared" si="129"/>
        <v>0.10886270491803279</v>
      </c>
      <c r="BN49" s="1">
        <f t="shared" si="129"/>
        <v>2.7151639344262294E-2</v>
      </c>
      <c r="BO49" s="1">
        <f t="shared" si="129"/>
        <v>0</v>
      </c>
      <c r="BP49" s="1">
        <f t="shared" si="129"/>
        <v>0.13908811475409835</v>
      </c>
      <c r="BQ49" s="674">
        <f t="shared" si="109"/>
        <v>1</v>
      </c>
      <c r="BS49" s="674">
        <v>2015</v>
      </c>
      <c r="BT49" s="674"/>
      <c r="BU49" s="1">
        <f>IFERROR(BU35/$CA35,0)</f>
        <v>0</v>
      </c>
      <c r="BV49" s="1">
        <f>IFERROR(BV35/$CA35,0)</f>
        <v>0</v>
      </c>
      <c r="BW49" s="1">
        <f>IFERROR(BW35/$CA35,0)</f>
        <v>0</v>
      </c>
      <c r="BY49" s="1">
        <f>IFERROR(BY35/$CA35,0)</f>
        <v>0</v>
      </c>
      <c r="BZ49" s="1">
        <f>IFERROR(BZ35/$CA35,0)</f>
        <v>0</v>
      </c>
      <c r="CA49" s="674">
        <f t="shared" si="110"/>
        <v>0</v>
      </c>
      <c r="CB49" s="674"/>
      <c r="CC49" s="674">
        <v>2015</v>
      </c>
      <c r="CD49" s="674"/>
      <c r="CE49" s="1">
        <f t="shared" ref="CE49:CJ49" si="130">IFERROR(CE35/$CK35,0)</f>
        <v>8.1934893327387515E-2</v>
      </c>
      <c r="CF49" s="1">
        <f t="shared" si="130"/>
        <v>8.9069871147933438E-2</v>
      </c>
      <c r="CG49" s="1">
        <f t="shared" si="130"/>
        <v>8.7309597014575066E-3</v>
      </c>
      <c r="CH49" s="1">
        <f t="shared" si="130"/>
        <v>2.778886098528411E-2</v>
      </c>
      <c r="CI49" s="1">
        <f t="shared" si="130"/>
        <v>0</v>
      </c>
      <c r="CJ49" s="1">
        <f t="shared" si="130"/>
        <v>0.79247541483793738</v>
      </c>
      <c r="CK49" s="674">
        <f t="shared" si="112"/>
        <v>1</v>
      </c>
    </row>
    <row r="50" spans="1:89">
      <c r="A50" s="674">
        <v>2016</v>
      </c>
      <c r="B50" s="1">
        <f>B36/$I36</f>
        <v>0.27206738014841947</v>
      </c>
      <c r="C50" s="1">
        <f>C36/$I36</f>
        <v>4.0805814685514794E-2</v>
      </c>
      <c r="D50" s="1">
        <f t="shared" ref="D50:H50" si="131">D36/$I36</f>
        <v>0.12634731681260611</v>
      </c>
      <c r="E50" s="1">
        <f t="shared" si="131"/>
        <v>4.1397203304145445E-2</v>
      </c>
      <c r="F50" s="1">
        <f>F36/$I36</f>
        <v>5.7202541063354893E-2</v>
      </c>
      <c r="G50" s="1">
        <f t="shared" si="131"/>
        <v>0</v>
      </c>
      <c r="H50" s="1">
        <f t="shared" si="131"/>
        <v>0.46217974398595929</v>
      </c>
      <c r="I50" s="675">
        <f t="shared" si="99"/>
        <v>1</v>
      </c>
      <c r="K50" s="674">
        <v>2016</v>
      </c>
      <c r="L50" s="1">
        <f>L36/$S36</f>
        <v>0.4830836152730788</v>
      </c>
      <c r="M50" s="1">
        <f>M36/$S36</f>
        <v>0.30715321411309809</v>
      </c>
      <c r="N50" s="1">
        <f>N36/$S36</f>
        <v>4.4304817141936521E-2</v>
      </c>
      <c r="O50" s="1"/>
      <c r="P50" s="1">
        <f>P36/$S36</f>
        <v>0.14419204124375704</v>
      </c>
      <c r="Q50" s="1">
        <f>Q36/$S36</f>
        <v>0</v>
      </c>
      <c r="R50" s="1">
        <f>R36/$S36</f>
        <v>2.1266312228129532E-2</v>
      </c>
      <c r="S50" s="674">
        <f t="shared" si="100"/>
        <v>1</v>
      </c>
      <c r="U50" s="674">
        <v>2016</v>
      </c>
      <c r="V50" s="674"/>
      <c r="W50" s="1">
        <f t="shared" ref="W50:AB50" si="132">W36/$AC36</f>
        <v>0.34232797743162025</v>
      </c>
      <c r="X50" s="1">
        <f t="shared" si="132"/>
        <v>0.25689930087084512</v>
      </c>
      <c r="Y50" s="1"/>
      <c r="Z50" s="1"/>
      <c r="AA50" s="1">
        <f t="shared" si="132"/>
        <v>0</v>
      </c>
      <c r="AB50" s="1">
        <f t="shared" si="132"/>
        <v>0.40077272169753464</v>
      </c>
      <c r="AC50" s="674">
        <f t="shared" si="102"/>
        <v>1</v>
      </c>
      <c r="AE50" s="674">
        <v>2016</v>
      </c>
      <c r="AF50" s="674"/>
      <c r="AG50" s="1">
        <f>AG36/$AM36</f>
        <v>0.43025331994197075</v>
      </c>
      <c r="AH50" s="1">
        <f>AH36/$AM36</f>
        <v>0.17693337797120856</v>
      </c>
      <c r="AI50" s="1">
        <f>AI36/$AM36</f>
        <v>0.17358553732842316</v>
      </c>
      <c r="AJ50" s="1"/>
      <c r="AK50" s="1">
        <f>AK36/$AM36</f>
        <v>0</v>
      </c>
      <c r="AL50" s="1">
        <f>AL36/$AM36</f>
        <v>0.2192277647583975</v>
      </c>
      <c r="AM50" s="674">
        <f t="shared" si="103"/>
        <v>1</v>
      </c>
      <c r="AO50" s="674">
        <v>2016</v>
      </c>
      <c r="AP50" s="674"/>
      <c r="AQ50" s="1">
        <f t="shared" ref="AQ50:AV50" si="133">IFERROR(AQ36/$AW36,0)</f>
        <v>0.555728088336784</v>
      </c>
      <c r="AR50" s="1">
        <f t="shared" si="133"/>
        <v>7.7984817115251903E-2</v>
      </c>
      <c r="AS50" s="1">
        <f t="shared" si="133"/>
        <v>2.2256728778467908E-2</v>
      </c>
      <c r="AT50" s="1">
        <f t="shared" si="133"/>
        <v>0.13595583160800553</v>
      </c>
      <c r="AU50" s="1">
        <f t="shared" si="133"/>
        <v>0</v>
      </c>
      <c r="AV50" s="1">
        <f t="shared" si="133"/>
        <v>0.20807453416149069</v>
      </c>
      <c r="AW50" s="674">
        <f t="shared" si="105"/>
        <v>1</v>
      </c>
      <c r="AY50" s="674">
        <v>2016</v>
      </c>
      <c r="AZ50" s="674"/>
      <c r="BA50" s="1">
        <f t="shared" ref="BA50:BF50" si="134">IFERROR(BA36/$BG36,0)</f>
        <v>0.56029477445288078</v>
      </c>
      <c r="BB50" s="1">
        <f t="shared" si="134"/>
        <v>0.11232693166592228</v>
      </c>
      <c r="BC50" s="1">
        <f t="shared" si="134"/>
        <v>6.1188030370701203E-2</v>
      </c>
      <c r="BD50" s="1">
        <f t="shared" si="134"/>
        <v>5.6721750781598926E-2</v>
      </c>
      <c r="BE50" s="1">
        <f t="shared" si="134"/>
        <v>0</v>
      </c>
      <c r="BF50" s="1">
        <f t="shared" si="134"/>
        <v>0.20946851272889683</v>
      </c>
      <c r="BG50" s="674">
        <f t="shared" si="107"/>
        <v>1</v>
      </c>
      <c r="BI50" s="674">
        <v>2016</v>
      </c>
      <c r="BJ50" s="674"/>
      <c r="BK50" s="1">
        <f t="shared" ref="BK50:BP50" si="135">IFERROR(BK36/$BQ36,0)</f>
        <v>0.55498533724340171</v>
      </c>
      <c r="BL50" s="1">
        <f t="shared" si="135"/>
        <v>0.166911045943304</v>
      </c>
      <c r="BM50" s="1">
        <f t="shared" si="135"/>
        <v>0.11094819159335288</v>
      </c>
      <c r="BN50" s="1">
        <f t="shared" si="135"/>
        <v>2.7370478983382209E-2</v>
      </c>
      <c r="BO50" s="1">
        <f t="shared" si="135"/>
        <v>0</v>
      </c>
      <c r="BP50" s="1">
        <f t="shared" si="135"/>
        <v>0.13978494623655913</v>
      </c>
      <c r="BQ50" s="674">
        <f t="shared" si="109"/>
        <v>0.99999999999999989</v>
      </c>
      <c r="BS50" s="674">
        <v>2016</v>
      </c>
      <c r="BT50" s="674"/>
      <c r="BU50" s="1">
        <f>IFERROR(BU36/$CA36,0)</f>
        <v>0</v>
      </c>
      <c r="BV50" s="1">
        <f>IFERROR(BV36/$CA36,0)</f>
        <v>0</v>
      </c>
      <c r="BW50" s="1">
        <f>IFERROR(BW36/$CA36,0)</f>
        <v>0</v>
      </c>
      <c r="BY50" s="1">
        <f>IFERROR(BY36/$CA36,0)</f>
        <v>0</v>
      </c>
      <c r="BZ50" s="1">
        <f>IFERROR(BZ36/$CA36,0)</f>
        <v>0</v>
      </c>
      <c r="CA50" s="674">
        <f t="shared" si="110"/>
        <v>0</v>
      </c>
      <c r="CB50" s="674"/>
      <c r="CC50" s="674">
        <v>2016</v>
      </c>
      <c r="CD50" s="674"/>
      <c r="CE50" s="1">
        <f t="shared" ref="CE50:CJ50" si="136">IFERROR(CE36/$CK36,0)</f>
        <v>7.7937485740360482E-2</v>
      </c>
      <c r="CF50" s="1">
        <f t="shared" si="136"/>
        <v>8.4371435090120919E-2</v>
      </c>
      <c r="CG50" s="1">
        <f t="shared" si="136"/>
        <v>8.4873374401095141E-3</v>
      </c>
      <c r="CH50" s="1">
        <f t="shared" si="136"/>
        <v>3.0435774583618527E-2</v>
      </c>
      <c r="CI50" s="1">
        <f t="shared" si="136"/>
        <v>0</v>
      </c>
      <c r="CJ50" s="1">
        <f t="shared" si="136"/>
        <v>0.79876796714579057</v>
      </c>
      <c r="CK50" s="674">
        <f t="shared" si="112"/>
        <v>1</v>
      </c>
    </row>
    <row r="51" spans="1:89">
      <c r="A51" s="674">
        <v>2017</v>
      </c>
      <c r="B51" s="1">
        <f>B37/$I37</f>
        <v>0.27424979220605517</v>
      </c>
      <c r="C51" s="1">
        <f>C37/$I37</f>
        <v>4.2447287214223618E-2</v>
      </c>
      <c r="D51" s="1">
        <f t="shared" ref="D51:H51" si="137">D37/$I37</f>
        <v>0.12545977395840299</v>
      </c>
      <c r="E51" s="1">
        <f t="shared" si="137"/>
        <v>4.2007814963074777E-2</v>
      </c>
      <c r="F51" s="1">
        <f>F37/$I37</f>
        <v>6.0876460528704227E-2</v>
      </c>
      <c r="G51" s="1">
        <f t="shared" si="137"/>
        <v>8.8190616312063513E-2</v>
      </c>
      <c r="H51" s="1">
        <f t="shared" si="137"/>
        <v>0.36676825481747571</v>
      </c>
      <c r="I51" s="675">
        <f t="shared" si="99"/>
        <v>1</v>
      </c>
      <c r="K51" s="674">
        <v>2017</v>
      </c>
      <c r="L51" s="1">
        <f>L37/$S37</f>
        <v>0.50772908366533864</v>
      </c>
      <c r="M51" s="1">
        <f>M37/$S37</f>
        <v>0.28780876494023905</v>
      </c>
      <c r="N51" s="1">
        <f>N37/$S37</f>
        <v>4.0557768924302788E-2</v>
      </c>
      <c r="O51" s="1"/>
      <c r="P51" s="1">
        <f>P37/$S37</f>
        <v>0.14549800796812748</v>
      </c>
      <c r="Q51" s="1">
        <f>Q37/$S37</f>
        <v>8.5258964143426295E-3</v>
      </c>
      <c r="R51" s="1">
        <f>R37/$S37</f>
        <v>9.8804780876494032E-3</v>
      </c>
      <c r="S51" s="674">
        <f t="shared" si="100"/>
        <v>1</v>
      </c>
      <c r="U51" s="674">
        <v>2017</v>
      </c>
      <c r="V51" s="674"/>
      <c r="W51" s="1">
        <f t="shared" ref="W51:AB51" si="138">W37/$AC37</f>
        <v>0.34334972379044498</v>
      </c>
      <c r="X51" s="1">
        <f t="shared" si="138"/>
        <v>0.25599465792508952</v>
      </c>
      <c r="Y51" s="1"/>
      <c r="Z51" s="1"/>
      <c r="AA51" s="1">
        <f t="shared" si="138"/>
        <v>6.2526558611060521E-3</v>
      </c>
      <c r="AB51" s="1">
        <f t="shared" si="138"/>
        <v>0.39440296242335943</v>
      </c>
      <c r="AC51" s="674">
        <f t="shared" si="102"/>
        <v>1</v>
      </c>
      <c r="AE51" s="674">
        <v>2017</v>
      </c>
      <c r="AF51" s="674"/>
      <c r="AG51" s="1">
        <f>AG37/$AM37</f>
        <v>0.43785195936139332</v>
      </c>
      <c r="AH51" s="1">
        <f>AH37/$AM37</f>
        <v>0.18148040638606677</v>
      </c>
      <c r="AI51" s="1">
        <f>AI37/$AM37</f>
        <v>0.18298984034833091</v>
      </c>
      <c r="AJ51" s="1"/>
      <c r="AK51" s="1">
        <f>AK37/$AM37</f>
        <v>0.13062409288824384</v>
      </c>
      <c r="AL51" s="1">
        <f>AL37/$AM37</f>
        <v>6.7053701015965167E-2</v>
      </c>
      <c r="AM51" s="674">
        <f t="shared" si="103"/>
        <v>1</v>
      </c>
      <c r="AO51" s="674">
        <v>2017</v>
      </c>
      <c r="AP51" s="674"/>
      <c r="AQ51" s="1">
        <f t="shared" ref="AQ51:AV51" si="139">IFERROR(AQ37/$AW37,0)</f>
        <v>0.55870586188902416</v>
      </c>
      <c r="AR51" s="1">
        <f t="shared" si="139"/>
        <v>7.7752652635240907E-2</v>
      </c>
      <c r="AS51" s="1">
        <f t="shared" si="139"/>
        <v>2.2264741694207689E-2</v>
      </c>
      <c r="AT51" s="1">
        <f t="shared" si="139"/>
        <v>0.13428422334319012</v>
      </c>
      <c r="AU51" s="1">
        <f t="shared" si="139"/>
        <v>9.1320229605148726E-2</v>
      </c>
      <c r="AV51" s="1">
        <f t="shared" si="139"/>
        <v>0.11567229083318838</v>
      </c>
      <c r="AW51" s="674">
        <f t="shared" si="105"/>
        <v>1</v>
      </c>
      <c r="AY51" s="674">
        <v>2017</v>
      </c>
      <c r="AZ51" s="674"/>
      <c r="BA51" s="1">
        <f t="shared" ref="BA51:BF51" si="140">IFERROR(BA37/$BG37,0)</f>
        <v>0.58892689183411717</v>
      </c>
      <c r="BB51" s="1">
        <f t="shared" si="140"/>
        <v>0.11479264643009833</v>
      </c>
      <c r="BC51" s="1">
        <f t="shared" si="140"/>
        <v>5.7289439931594702E-2</v>
      </c>
      <c r="BD51" s="1">
        <f t="shared" si="140"/>
        <v>5.2159042325780246E-2</v>
      </c>
      <c r="BE51" s="1">
        <f t="shared" si="140"/>
        <v>4.7456177853783671E-2</v>
      </c>
      <c r="BF51" s="1">
        <f t="shared" si="140"/>
        <v>0.1393758016246259</v>
      </c>
      <c r="BG51" s="674">
        <f t="shared" si="107"/>
        <v>1</v>
      </c>
      <c r="BI51" s="674">
        <v>2017</v>
      </c>
      <c r="BJ51" s="674"/>
      <c r="BK51" s="1">
        <f t="shared" ref="BK51:BP51" si="141">IFERROR(BK37/$BQ37,0)</f>
        <v>0.56373345716275836</v>
      </c>
      <c r="BL51" s="1">
        <f t="shared" si="141"/>
        <v>0.16020431855119574</v>
      </c>
      <c r="BM51" s="1">
        <f t="shared" si="141"/>
        <v>0.11098212212677037</v>
      </c>
      <c r="BN51" s="1">
        <f t="shared" si="141"/>
        <v>2.7165080102159275E-2</v>
      </c>
      <c r="BO51" s="1">
        <f t="shared" si="141"/>
        <v>3.6220106802879036E-2</v>
      </c>
      <c r="BP51" s="1">
        <f t="shared" si="141"/>
        <v>0.10169491525423729</v>
      </c>
      <c r="BQ51" s="674">
        <f t="shared" si="109"/>
        <v>1</v>
      </c>
      <c r="BS51" s="674">
        <v>2017</v>
      </c>
      <c r="BT51" s="674"/>
      <c r="BU51" s="1">
        <f>IFERROR(BU37/$CA37,0)</f>
        <v>0</v>
      </c>
      <c r="BV51" s="1">
        <f>IFERROR(BV37/$CA37,0)</f>
        <v>0</v>
      </c>
      <c r="BW51" s="1">
        <f>IFERROR(BW37/$CA37,0)</f>
        <v>0</v>
      </c>
      <c r="BY51" s="1">
        <f>IFERROR(BY37/$CA37,0)</f>
        <v>0</v>
      </c>
      <c r="BZ51" s="1">
        <f>IFERROR(BZ37/$CA37,0)</f>
        <v>0</v>
      </c>
      <c r="CA51" s="674">
        <f t="shared" si="110"/>
        <v>0</v>
      </c>
      <c r="CB51" s="674"/>
      <c r="CC51" s="674">
        <v>2017</v>
      </c>
      <c r="CD51" s="674"/>
      <c r="CE51" s="1">
        <f t="shared" ref="CE51:CJ51" si="142">IFERROR(CE37/$CK37,0)</f>
        <v>8.01345876536428E-2</v>
      </c>
      <c r="CF51" s="1">
        <f t="shared" si="142"/>
        <v>8.2537938611549816E-2</v>
      </c>
      <c r="CG51" s="1">
        <f t="shared" si="142"/>
        <v>8.4918400512714876E-3</v>
      </c>
      <c r="CH51" s="1">
        <f t="shared" si="142"/>
        <v>3.396736020508595E-2</v>
      </c>
      <c r="CI51" s="1">
        <f t="shared" si="142"/>
        <v>0.13431298496188973</v>
      </c>
      <c r="CJ51" s="1">
        <f t="shared" si="142"/>
        <v>0.6605552885165602</v>
      </c>
      <c r="CK51" s="674">
        <f t="shared" si="112"/>
        <v>1</v>
      </c>
    </row>
    <row r="52" spans="1:89">
      <c r="A52" s="674">
        <v>2018</v>
      </c>
      <c r="B52" s="1">
        <f>B38/$I38</f>
        <v>0.28720611893539555</v>
      </c>
      <c r="C52" s="1">
        <f>C38/$I38</f>
        <v>4.3540026154121156E-2</v>
      </c>
      <c r="D52" s="1">
        <f t="shared" ref="D52:H52" si="143">D38/$I38</f>
        <v>0.12563386111973507</v>
      </c>
      <c r="E52" s="1">
        <f t="shared" si="143"/>
        <v>4.3333051094615826E-2</v>
      </c>
      <c r="F52" s="1">
        <f>F38/$I38</f>
        <v>6.4914905026671563E-2</v>
      </c>
      <c r="G52" s="1">
        <f t="shared" si="143"/>
        <v>8.4314112876671093E-2</v>
      </c>
      <c r="H52" s="1">
        <f t="shared" si="143"/>
        <v>0.35105792479278974</v>
      </c>
      <c r="I52" s="675">
        <f t="shared" si="99"/>
        <v>1</v>
      </c>
      <c r="K52" s="674">
        <v>2018</v>
      </c>
      <c r="L52" s="1">
        <f>L38/$S38</f>
        <v>0.53318908894212191</v>
      </c>
      <c r="M52" s="1">
        <f>M38/$S38</f>
        <v>0.26620817556603044</v>
      </c>
      <c r="N52" s="1">
        <f>N38/$S38</f>
        <v>3.6936867320918013E-2</v>
      </c>
      <c r="O52" s="1"/>
      <c r="P52" s="1">
        <f>P38/$S38</f>
        <v>0.14813383818870257</v>
      </c>
      <c r="Q52" s="1">
        <f>Q38/$S38</f>
        <v>6.4137238235066844E-3</v>
      </c>
      <c r="R52" s="1">
        <f>R38/$S38</f>
        <v>9.1183061587203455E-3</v>
      </c>
      <c r="S52" s="674">
        <f t="shared" si="100"/>
        <v>1</v>
      </c>
      <c r="U52" s="674">
        <v>2018</v>
      </c>
      <c r="V52" s="674"/>
      <c r="W52" s="1">
        <f t="shared" ref="W52:AB52" si="144">W38/$AC38</f>
        <v>0.34115370661506833</v>
      </c>
      <c r="X52" s="1">
        <f t="shared" si="144"/>
        <v>0.2571653162413835</v>
      </c>
      <c r="Y52" s="1"/>
      <c r="Z52" s="1"/>
      <c r="AA52" s="1">
        <f t="shared" si="144"/>
        <v>5.9862135687507555E-3</v>
      </c>
      <c r="AB52" s="1">
        <f t="shared" si="144"/>
        <v>0.39569476357479744</v>
      </c>
      <c r="AC52" s="674">
        <f t="shared" si="102"/>
        <v>1</v>
      </c>
      <c r="AE52" s="674">
        <v>2018</v>
      </c>
      <c r="AF52" s="674"/>
      <c r="AG52" s="1">
        <f>AG38/$AM38</f>
        <v>0.4455151082560076</v>
      </c>
      <c r="AH52" s="1">
        <f>AH38/$AM38</f>
        <v>0.18665239114917917</v>
      </c>
      <c r="AI52" s="1">
        <f>AI38/$AM38</f>
        <v>0.19396859386152748</v>
      </c>
      <c r="AJ52" s="1"/>
      <c r="AK52" s="1">
        <f>AK38/$AM38</f>
        <v>0.11581013561741613</v>
      </c>
      <c r="AL52" s="1">
        <f>AL38/$AM38</f>
        <v>5.8053771115869617E-2</v>
      </c>
      <c r="AM52" s="674">
        <f t="shared" si="103"/>
        <v>1</v>
      </c>
      <c r="AO52" s="674">
        <v>2018</v>
      </c>
      <c r="AP52" s="674"/>
      <c r="AQ52" s="1">
        <f t="shared" ref="AQ52:AV52" si="145">IFERROR(AQ38/$AW38,0)</f>
        <v>0.55890138980807413</v>
      </c>
      <c r="AR52" s="1">
        <f t="shared" si="145"/>
        <v>7.7597617471872937E-2</v>
      </c>
      <c r="AS52" s="1">
        <f t="shared" si="145"/>
        <v>2.2170747849106553E-2</v>
      </c>
      <c r="AT52" s="1">
        <f t="shared" si="145"/>
        <v>0.13451356717405691</v>
      </c>
      <c r="AU52" s="1">
        <f t="shared" si="145"/>
        <v>9.149569821310391E-2</v>
      </c>
      <c r="AV52" s="1">
        <f t="shared" si="145"/>
        <v>0.11532097948378557</v>
      </c>
      <c r="AW52" s="674">
        <f t="shared" si="105"/>
        <v>1</v>
      </c>
      <c r="AY52" s="674">
        <v>2018</v>
      </c>
      <c r="AZ52" s="674"/>
      <c r="BA52" s="1">
        <f t="shared" ref="BA52:BF52" si="146">IFERROR(BA38/$BG38,0)</f>
        <v>0.61308793456032717</v>
      </c>
      <c r="BB52" s="1">
        <f t="shared" si="146"/>
        <v>0.11779141104294479</v>
      </c>
      <c r="BC52" s="1">
        <f t="shared" si="146"/>
        <v>5.3987730061349694E-2</v>
      </c>
      <c r="BD52" s="1">
        <f t="shared" si="146"/>
        <v>4.8875255623721879E-2</v>
      </c>
      <c r="BE52" s="1">
        <f t="shared" si="146"/>
        <v>4.5194274028629855E-2</v>
      </c>
      <c r="BF52" s="1">
        <f t="shared" si="146"/>
        <v>0.12106339468302658</v>
      </c>
      <c r="BG52" s="674">
        <f t="shared" si="107"/>
        <v>1</v>
      </c>
      <c r="BI52" s="674">
        <v>2018</v>
      </c>
      <c r="BJ52" s="674"/>
      <c r="BK52" s="1">
        <f t="shared" ref="BK52:BP52" si="147">IFERROR(BK38/$BQ38,0)</f>
        <v>0.56994245241257191</v>
      </c>
      <c r="BL52" s="1">
        <f t="shared" si="147"/>
        <v>0.15471447543160691</v>
      </c>
      <c r="BM52" s="1">
        <f t="shared" si="147"/>
        <v>0.11133244798583444</v>
      </c>
      <c r="BN52" s="1">
        <f t="shared" si="147"/>
        <v>2.7224435590969456E-2</v>
      </c>
      <c r="BO52" s="1">
        <f t="shared" si="147"/>
        <v>3.1429836210712707E-2</v>
      </c>
      <c r="BP52" s="1">
        <f t="shared" si="147"/>
        <v>0.10535635236830455</v>
      </c>
      <c r="BQ52" s="674">
        <f t="shared" si="109"/>
        <v>0.99999999999999989</v>
      </c>
      <c r="BS52" s="674">
        <v>2018</v>
      </c>
      <c r="BT52" s="674"/>
      <c r="BU52" s="1">
        <f>IFERROR(BU38/$CA38,0)</f>
        <v>0.37509302902505581</v>
      </c>
      <c r="BV52" s="1">
        <f>IFERROR(BV38/$CA38,0)</f>
        <v>2.2575043413545028E-2</v>
      </c>
      <c r="BW52" s="1">
        <f>IFERROR(BW38/$CA38,0)</f>
        <v>2.356735301414041E-2</v>
      </c>
      <c r="BY52" s="1">
        <f>IFERROR(BY38/$CA38,0)</f>
        <v>6.6980898040188541E-3</v>
      </c>
      <c r="BZ52" s="1">
        <f>IFERROR(BZ38/$CA38,0)</f>
        <v>0.57206648474323984</v>
      </c>
      <c r="CA52" s="674">
        <f t="shared" si="110"/>
        <v>1</v>
      </c>
      <c r="CB52" s="674"/>
      <c r="CC52" s="674">
        <v>2018</v>
      </c>
      <c r="CD52" s="674"/>
      <c r="CE52" s="1">
        <f t="shared" ref="CE52:CJ52" si="148">IFERROR(CE38/$CK38,0)</f>
        <v>8.6083072138996519E-2</v>
      </c>
      <c r="CF52" s="1">
        <f t="shared" si="148"/>
        <v>9.0081196475727432E-2</v>
      </c>
      <c r="CG52" s="1">
        <f t="shared" si="148"/>
        <v>8.6132431698709242E-3</v>
      </c>
      <c r="CH52" s="1">
        <f t="shared" si="148"/>
        <v>3.7908141859374613E-2</v>
      </c>
      <c r="CI52" s="1">
        <f t="shared" si="148"/>
        <v>0.14536390335398208</v>
      </c>
      <c r="CJ52" s="1">
        <f t="shared" si="148"/>
        <v>0.63195044300204839</v>
      </c>
      <c r="CK52" s="674">
        <f t="shared" si="112"/>
        <v>1</v>
      </c>
    </row>
    <row r="53" spans="1:89">
      <c r="A53" s="674">
        <v>2019</v>
      </c>
      <c r="B53" s="1">
        <f>B39/$I39</f>
        <v>0.27938548158574644</v>
      </c>
      <c r="C53" s="1">
        <f>C39/$I39</f>
        <v>4.0440052969338905E-2</v>
      </c>
      <c r="D53" s="1">
        <f t="shared" ref="D53:H53" si="149">D39/$I39</f>
        <v>0.12207024919666257</v>
      </c>
      <c r="E53" s="1">
        <f t="shared" si="149"/>
        <v>4.3746006463741008E-2</v>
      </c>
      <c r="F53" s="1">
        <f>F39/$I39</f>
        <v>5.5349255002917021E-2</v>
      </c>
      <c r="G53" s="1">
        <f t="shared" si="149"/>
        <v>7.9398446109253895E-2</v>
      </c>
      <c r="H53" s="1">
        <f t="shared" si="149"/>
        <v>0.3796105086723402</v>
      </c>
      <c r="I53" s="675">
        <f t="shared" si="99"/>
        <v>1</v>
      </c>
      <c r="K53" s="674">
        <v>2019</v>
      </c>
      <c r="L53" s="1">
        <f>L39/$S39</f>
        <v>0.5295472667670772</v>
      </c>
      <c r="M53" s="1">
        <f>M39/$S39</f>
        <v>0.26977939222113939</v>
      </c>
      <c r="N53" s="1">
        <f>N39/$S39</f>
        <v>3.7476743155843005E-2</v>
      </c>
      <c r="O53" s="1"/>
      <c r="P53" s="1">
        <f>P39/$S39</f>
        <v>0.14769203508461062</v>
      </c>
      <c r="Q53" s="1">
        <f>Q39/$S39</f>
        <v>6.113227606981483E-3</v>
      </c>
      <c r="R53" s="1">
        <f>R39/$S39</f>
        <v>9.3913351643483654E-3</v>
      </c>
      <c r="S53" s="674">
        <f t="shared" si="100"/>
        <v>1.0000000000000002</v>
      </c>
      <c r="U53" s="674">
        <v>2019</v>
      </c>
      <c r="V53" s="674"/>
      <c r="W53" s="1">
        <f t="shared" ref="W53:AB53" si="150">W39/$AC39</f>
        <v>0.34285893731943223</v>
      </c>
      <c r="X53" s="1">
        <f t="shared" si="150"/>
        <v>0.25624921492274838</v>
      </c>
      <c r="Y53" s="1"/>
      <c r="Z53" s="1"/>
      <c r="AA53" s="1">
        <f t="shared" si="150"/>
        <v>6.1550056525562112E-3</v>
      </c>
      <c r="AB53" s="1">
        <f t="shared" si="150"/>
        <v>0.39473684210526316</v>
      </c>
      <c r="AC53" s="674">
        <f t="shared" si="102"/>
        <v>1</v>
      </c>
      <c r="AE53" s="674">
        <v>2019</v>
      </c>
      <c r="AF53" s="674"/>
      <c r="AG53" s="1">
        <f>AG39/$AM39</f>
        <v>0.45333414827944502</v>
      </c>
      <c r="AH53" s="1">
        <f>AH39/$AM39</f>
        <v>0.19234765601124626</v>
      </c>
      <c r="AI53" s="1">
        <f>AI39/$AM39</f>
        <v>0.20646659739624718</v>
      </c>
      <c r="AJ53" s="1"/>
      <c r="AK53" s="1">
        <f>AK39/$AM39</f>
        <v>9.9627162153902576E-2</v>
      </c>
      <c r="AL53" s="1">
        <f>AL39/$AM39</f>
        <v>4.8224436159158973E-2</v>
      </c>
      <c r="AM53" s="674">
        <f t="shared" si="103"/>
        <v>1</v>
      </c>
      <c r="AO53" s="674">
        <v>2019</v>
      </c>
      <c r="AP53" s="674"/>
      <c r="AQ53" s="1">
        <f t="shared" ref="AQ53:AV53" si="151">IFERROR(AQ39/$AW39,0)</f>
        <v>0.55877810193924837</v>
      </c>
      <c r="AR53" s="1">
        <f t="shared" si="151"/>
        <v>7.7741547966363483E-2</v>
      </c>
      <c r="AS53" s="1">
        <f t="shared" si="151"/>
        <v>2.2309936502488414E-2</v>
      </c>
      <c r="AT53" s="1">
        <f t="shared" si="151"/>
        <v>0.13403123391110347</v>
      </c>
      <c r="AU53" s="1">
        <f t="shared" si="151"/>
        <v>9.0784280075510551E-2</v>
      </c>
      <c r="AV53" s="1">
        <f t="shared" si="151"/>
        <v>0.11635489960528574</v>
      </c>
      <c r="AW53" s="674">
        <f t="shared" si="105"/>
        <v>1</v>
      </c>
      <c r="AY53" s="674">
        <v>2019</v>
      </c>
      <c r="AZ53" s="674"/>
      <c r="BA53" s="1">
        <f t="shared" ref="BA53:BF53" si="152">IFERROR(BA39/$BG39,0)</f>
        <v>0.63609869827083743</v>
      </c>
      <c r="BB53" s="1">
        <f t="shared" si="152"/>
        <v>0.12065280746065669</v>
      </c>
      <c r="BC53" s="1">
        <f t="shared" si="152"/>
        <v>5.1097726831163787E-2</v>
      </c>
      <c r="BD53" s="1">
        <f t="shared" si="152"/>
        <v>4.5657664659024676E-2</v>
      </c>
      <c r="BE53" s="1">
        <f t="shared" si="152"/>
        <v>4.3131921507674371E-2</v>
      </c>
      <c r="BF53" s="1">
        <f t="shared" si="152"/>
        <v>0.10336118127064309</v>
      </c>
      <c r="BG53" s="674">
        <f t="shared" si="107"/>
        <v>1</v>
      </c>
      <c r="BI53" s="674">
        <v>2019</v>
      </c>
      <c r="BJ53" s="674"/>
      <c r="BK53" s="1">
        <f t="shared" ref="BK53:BP53" si="153">IFERROR(BK39/$BQ39,0)</f>
        <v>0.57526080476900154</v>
      </c>
      <c r="BL53" s="1">
        <f t="shared" si="153"/>
        <v>0.14967000212901851</v>
      </c>
      <c r="BM53" s="1">
        <f t="shared" si="153"/>
        <v>0.11198637428145625</v>
      </c>
      <c r="BN53" s="1">
        <f t="shared" si="153"/>
        <v>2.7251437087502661E-2</v>
      </c>
      <c r="BO53" s="1">
        <f t="shared" si="153"/>
        <v>2.7038535235256546E-2</v>
      </c>
      <c r="BP53" s="1">
        <f t="shared" si="153"/>
        <v>0.10879284649776454</v>
      </c>
      <c r="BQ53" s="674">
        <f t="shared" si="109"/>
        <v>1</v>
      </c>
      <c r="BS53" s="674">
        <v>2019</v>
      </c>
      <c r="BT53" s="674"/>
      <c r="BU53" s="1">
        <f>IFERROR(BU39/$CA39,0)</f>
        <v>0.37516869095816463</v>
      </c>
      <c r="BV53" s="1">
        <f>IFERROR(BV39/$CA39,0)</f>
        <v>2.2492127755285651E-2</v>
      </c>
      <c r="BW53" s="1">
        <f>IFERROR(BW39/$CA39,0)</f>
        <v>2.3616734143049933E-2</v>
      </c>
      <c r="BY53" s="1">
        <f>IFERROR(BY39/$CA39,0)</f>
        <v>6.5227170490328385E-3</v>
      </c>
      <c r="BZ53" s="1">
        <f>IFERROR(BZ39/$CA39,0)</f>
        <v>0.5721997300944669</v>
      </c>
      <c r="CA53" s="674">
        <f t="shared" si="110"/>
        <v>1</v>
      </c>
      <c r="CB53" s="674"/>
      <c r="CC53" s="674">
        <v>2019</v>
      </c>
      <c r="CD53" s="674"/>
      <c r="CE53" s="1">
        <f t="shared" ref="CE53:CJ53" si="154">IFERROR(CE39/$CK39,0)</f>
        <v>7.5598194130925514E-2</v>
      </c>
      <c r="CF53" s="1">
        <f t="shared" si="154"/>
        <v>8.250564334085779E-2</v>
      </c>
      <c r="CG53" s="1">
        <f t="shared" si="154"/>
        <v>7.2686230248307001E-3</v>
      </c>
      <c r="CH53" s="1">
        <f t="shared" si="154"/>
        <v>3.5124153498871331E-2</v>
      </c>
      <c r="CI53" s="1">
        <f t="shared" si="154"/>
        <v>0.13250564334085779</v>
      </c>
      <c r="CJ53" s="1">
        <f t="shared" si="154"/>
        <v>0.66699774266365686</v>
      </c>
      <c r="CK53" s="674">
        <f t="shared" si="112"/>
        <v>1</v>
      </c>
    </row>
    <row r="54" spans="1:89">
      <c r="A54" s="674">
        <v>2020</v>
      </c>
      <c r="B54" s="1">
        <f>B40/$I40</f>
        <v>0.28235420785780008</v>
      </c>
      <c r="C54" s="1">
        <f>C40/$I40</f>
        <v>3.4688643971575672E-2</v>
      </c>
      <c r="D54" s="1">
        <f t="shared" ref="D54:H54" si="155">D40/$I40</f>
        <v>0.12449347140927511</v>
      </c>
      <c r="E54" s="1">
        <f t="shared" si="155"/>
        <v>4.5386919327369185E-2</v>
      </c>
      <c r="F54" s="1">
        <f>F40/$I40</f>
        <v>3.5412955386332046E-2</v>
      </c>
      <c r="G54" s="1">
        <f t="shared" si="155"/>
        <v>8.2199557582757474E-2</v>
      </c>
      <c r="H54" s="1">
        <f t="shared" si="155"/>
        <v>0.39546424446489048</v>
      </c>
      <c r="I54" s="675">
        <f t="shared" si="99"/>
        <v>1</v>
      </c>
      <c r="K54" s="674">
        <v>2020</v>
      </c>
      <c r="L54" s="1">
        <f>L40/$S40</f>
        <v>0.45078494891602294</v>
      </c>
      <c r="M54" s="1">
        <f>M40/$S40</f>
        <v>0.33927236481435336</v>
      </c>
      <c r="N54" s="1">
        <f>N40/$S40</f>
        <v>4.7221530027410911E-2</v>
      </c>
      <c r="O54" s="1"/>
      <c r="P54" s="1">
        <f>P40/$S40</f>
        <v>0.14353351607276352</v>
      </c>
      <c r="Q54" s="1">
        <f>Q40/$S40</f>
        <v>7.3511088960877147E-3</v>
      </c>
      <c r="R54" s="1">
        <f>R40/$S40</f>
        <v>1.1836531273361576E-2</v>
      </c>
      <c r="S54" s="674">
        <f t="shared" si="100"/>
        <v>1</v>
      </c>
      <c r="U54" s="674">
        <v>2020</v>
      </c>
      <c r="V54" s="674"/>
      <c r="W54" s="1">
        <f t="shared" ref="W54:AB54" si="156">W40/$AC40</f>
        <v>0.34458294655881183</v>
      </c>
      <c r="X54" s="1">
        <f t="shared" si="156"/>
        <v>0.25527118419307782</v>
      </c>
      <c r="Y54" s="1"/>
      <c r="Z54" s="1"/>
      <c r="AA54" s="1">
        <f t="shared" si="156"/>
        <v>6.3652035539053173E-3</v>
      </c>
      <c r="AB54" s="1">
        <f t="shared" si="156"/>
        <v>0.393780665694205</v>
      </c>
      <c r="AC54" s="674">
        <f t="shared" si="102"/>
        <v>1</v>
      </c>
      <c r="AE54" s="674">
        <v>2020</v>
      </c>
      <c r="AF54" s="674"/>
      <c r="AG54" s="1">
        <f>AG40/$AM40</f>
        <v>0.45243533551453796</v>
      </c>
      <c r="AH54" s="1">
        <f>AH40/$AM40</f>
        <v>0.19272794616951663</v>
      </c>
      <c r="AI54" s="1">
        <f>AI40/$AM40</f>
        <v>0.20680288906722638</v>
      </c>
      <c r="AJ54" s="1"/>
      <c r="AK54" s="1">
        <f>AK40/$AM40</f>
        <v>9.9450583369343787E-2</v>
      </c>
      <c r="AL54" s="1">
        <f>AL40/$AM40</f>
        <v>4.8583245879375271E-2</v>
      </c>
      <c r="AM54" s="674">
        <f t="shared" si="103"/>
        <v>0.99999999999999989</v>
      </c>
      <c r="AO54" s="674">
        <v>2020</v>
      </c>
      <c r="AP54" s="674"/>
      <c r="AQ54" s="1">
        <f t="shared" ref="AQ54:AV54" si="157">IFERROR(AQ40/$AW40,0)</f>
        <v>0.5581549326859413</v>
      </c>
      <c r="AR54" s="1">
        <f t="shared" si="157"/>
        <v>7.8569852129772674E-2</v>
      </c>
      <c r="AS54" s="1">
        <f t="shared" si="157"/>
        <v>2.2511586846170824E-2</v>
      </c>
      <c r="AT54" s="1">
        <f t="shared" si="157"/>
        <v>0.1335246082542485</v>
      </c>
      <c r="AU54" s="1">
        <f t="shared" si="157"/>
        <v>8.6735819907305237E-2</v>
      </c>
      <c r="AV54" s="1">
        <f t="shared" si="157"/>
        <v>0.12050320017656146</v>
      </c>
      <c r="AW54" s="674">
        <f t="shared" si="105"/>
        <v>1</v>
      </c>
      <c r="AY54" s="674">
        <v>2020</v>
      </c>
      <c r="AZ54" s="674"/>
      <c r="BA54" s="1">
        <f t="shared" ref="BA54:BF54" si="158">IFERROR(BA40/$BG40,0)</f>
        <v>0.63653809249664173</v>
      </c>
      <c r="BB54" s="1">
        <f t="shared" si="158"/>
        <v>0.12070619842640568</v>
      </c>
      <c r="BC54" s="1">
        <f t="shared" si="158"/>
        <v>5.0853962771061217E-2</v>
      </c>
      <c r="BD54" s="1">
        <f t="shared" si="158"/>
        <v>4.5288812128190366E-2</v>
      </c>
      <c r="BE54" s="1">
        <f t="shared" si="158"/>
        <v>4.2985991172519673E-2</v>
      </c>
      <c r="BF54" s="1">
        <f t="shared" si="158"/>
        <v>0.10362694300518134</v>
      </c>
      <c r="BG54" s="674">
        <f t="shared" si="107"/>
        <v>1</v>
      </c>
      <c r="BI54" s="674">
        <v>2020</v>
      </c>
      <c r="BJ54" s="674"/>
      <c r="BK54" s="1">
        <f t="shared" ref="BK54:BP54" si="159">IFERROR(BK40/$BQ40,0)</f>
        <v>0.57532999544833863</v>
      </c>
      <c r="BL54" s="1">
        <f t="shared" si="159"/>
        <v>0.14974965862539827</v>
      </c>
      <c r="BM54" s="1">
        <f t="shared" si="159"/>
        <v>0.11197086936731906</v>
      </c>
      <c r="BN54" s="1">
        <f t="shared" si="159"/>
        <v>2.708238507055075E-2</v>
      </c>
      <c r="BO54" s="1">
        <f t="shared" si="159"/>
        <v>2.708238507055075E-2</v>
      </c>
      <c r="BP54" s="1">
        <f t="shared" si="159"/>
        <v>0.10878470641784252</v>
      </c>
      <c r="BQ54" s="674">
        <f t="shared" si="109"/>
        <v>0.99999999999999989</v>
      </c>
      <c r="BS54" s="674">
        <v>2020</v>
      </c>
      <c r="BT54" s="674"/>
      <c r="BU54" s="1">
        <f>IFERROR(BU40/$CA40,0)</f>
        <v>0.37516512549537651</v>
      </c>
      <c r="BV54" s="1">
        <f>IFERROR(BV40/$CA40,0)</f>
        <v>2.2457067371202115E-2</v>
      </c>
      <c r="BW54" s="1">
        <f>IFERROR(BW40/$CA40,0)</f>
        <v>2.3589356482355162E-2</v>
      </c>
      <c r="BY54" s="1">
        <f>IFERROR(BY40/$CA40,0)</f>
        <v>6.6050198150594455E-3</v>
      </c>
      <c r="BZ54" s="1">
        <f>IFERROR(BZ40/$CA40,0)</f>
        <v>0.57218343083600676</v>
      </c>
      <c r="CA54" s="674">
        <f t="shared" si="110"/>
        <v>1</v>
      </c>
      <c r="CB54" s="674"/>
      <c r="CC54" s="674">
        <v>2020</v>
      </c>
      <c r="CD54" s="674"/>
      <c r="CE54" s="1">
        <f t="shared" ref="CE54:CJ54" si="160">IFERROR(CE40/$CK40,0)</f>
        <v>7.4521002210759024E-2</v>
      </c>
      <c r="CF54" s="1">
        <f t="shared" si="160"/>
        <v>8.3041635961680182E-2</v>
      </c>
      <c r="CG54" s="1">
        <f t="shared" si="160"/>
        <v>6.9777081798084008E-3</v>
      </c>
      <c r="CH54" s="1">
        <f t="shared" si="160"/>
        <v>3.2977155490051584E-2</v>
      </c>
      <c r="CI54" s="1">
        <f t="shared" si="160"/>
        <v>0.13497144436256447</v>
      </c>
      <c r="CJ54" s="1">
        <f t="shared" si="160"/>
        <v>0.66751105379513631</v>
      </c>
      <c r="CK54" s="674">
        <f t="shared" si="112"/>
        <v>1</v>
      </c>
    </row>
    <row r="55" spans="1:89">
      <c r="A55" s="674">
        <v>2021</v>
      </c>
      <c r="B55" s="1">
        <f>B41/$I41</f>
        <v>0.27695305943566884</v>
      </c>
      <c r="C55" s="1">
        <f>C41/$I41</f>
        <v>3.6067958449115083E-2</v>
      </c>
      <c r="D55" s="1">
        <f t="shared" ref="D55:H55" si="161">D41/$I41</f>
        <v>0.11979448350459708</v>
      </c>
      <c r="E55" s="1">
        <f t="shared" si="161"/>
        <v>4.3574345871953156E-2</v>
      </c>
      <c r="F55" s="1">
        <f>F41/$I41</f>
        <v>4.3704891740176423E-2</v>
      </c>
      <c r="G55" s="1">
        <f t="shared" si="161"/>
        <v>7.9744876074672233E-2</v>
      </c>
      <c r="H55" s="1">
        <f t="shared" si="161"/>
        <v>0.40016038492381717</v>
      </c>
      <c r="I55" s="675">
        <f t="shared" si="99"/>
        <v>1</v>
      </c>
      <c r="K55" s="674">
        <v>2021</v>
      </c>
      <c r="L55" s="1">
        <f>L41/$S41</f>
        <v>0.49840493407060826</v>
      </c>
      <c r="M55" s="1">
        <f>M41/$S41</f>
        <v>0.2982773287962569</v>
      </c>
      <c r="N55" s="1">
        <f>N41/$S41</f>
        <v>4.1578051892811572E-2</v>
      </c>
      <c r="O55" s="1"/>
      <c r="P55" s="1">
        <f>P41/$S41</f>
        <v>0.14483198638877073</v>
      </c>
      <c r="Q55" s="1">
        <f>Q41/$S41</f>
        <v>6.4866014461931092E-3</v>
      </c>
      <c r="R55" s="1">
        <f>R41/$S41</f>
        <v>1.0421097405359422E-2</v>
      </c>
      <c r="S55" s="674">
        <f t="shared" si="100"/>
        <v>1</v>
      </c>
      <c r="U55" s="674">
        <v>2021</v>
      </c>
      <c r="V55" s="674"/>
      <c r="W55" s="1">
        <f t="shared" ref="W55:AB55" si="162">W41/$AC41</f>
        <v>0.34290607298116188</v>
      </c>
      <c r="X55" s="1">
        <f t="shared" si="162"/>
        <v>0.25622447635357659</v>
      </c>
      <c r="Y55" s="1"/>
      <c r="Z55" s="1"/>
      <c r="AA55" s="1">
        <f t="shared" si="162"/>
        <v>6.1915426162560926E-3</v>
      </c>
      <c r="AB55" s="1">
        <f t="shared" si="162"/>
        <v>0.39467790804900538</v>
      </c>
      <c r="AC55" s="674">
        <f t="shared" si="102"/>
        <v>1</v>
      </c>
      <c r="AE55" s="674">
        <v>2021</v>
      </c>
      <c r="AF55" s="674"/>
      <c r="AG55" s="1">
        <f>AG41/$AM41</f>
        <v>0.45251189519866525</v>
      </c>
      <c r="AH55" s="1">
        <f>AH41/$AM41</f>
        <v>0.19273311499721932</v>
      </c>
      <c r="AI55" s="1">
        <f>AI41/$AM41</f>
        <v>0.20676018043626027</v>
      </c>
      <c r="AJ55" s="1"/>
      <c r="AK55" s="1">
        <f>AK41/$AM41</f>
        <v>9.9425322869678062E-2</v>
      </c>
      <c r="AL55" s="1">
        <f>AL41/$AM41</f>
        <v>4.8569486498177099E-2</v>
      </c>
      <c r="AM55" s="674">
        <f t="shared" si="103"/>
        <v>1</v>
      </c>
      <c r="AO55" s="674">
        <v>2021</v>
      </c>
      <c r="AP55" s="674"/>
      <c r="AQ55" s="1">
        <f t="shared" ref="AQ55:AV55" si="163">IFERROR(AQ41/$AW41,0)</f>
        <v>0.5586053412462908</v>
      </c>
      <c r="AR55" s="1">
        <f t="shared" si="163"/>
        <v>7.8078635014836792E-2</v>
      </c>
      <c r="AS55" s="1">
        <f t="shared" si="163"/>
        <v>2.2255192878338281E-2</v>
      </c>
      <c r="AT55" s="1">
        <f t="shared" si="163"/>
        <v>0.13371661721068248</v>
      </c>
      <c r="AU55" s="1">
        <f t="shared" si="163"/>
        <v>8.9391691394658759E-2</v>
      </c>
      <c r="AV55" s="1">
        <f t="shared" si="163"/>
        <v>0.11795252225519288</v>
      </c>
      <c r="AW55" s="674">
        <f t="shared" si="105"/>
        <v>1</v>
      </c>
      <c r="AY55" s="674">
        <v>2021</v>
      </c>
      <c r="AZ55" s="674"/>
      <c r="BA55" s="1">
        <f t="shared" ref="BA55:BF55" si="164">IFERROR(BA41/$BG41,0)</f>
        <v>0.6364670204700531</v>
      </c>
      <c r="BB55" s="1">
        <f t="shared" si="164"/>
        <v>0.12073540561031085</v>
      </c>
      <c r="BC55" s="1">
        <f t="shared" si="164"/>
        <v>5.098559514783927E-2</v>
      </c>
      <c r="BD55" s="1">
        <f t="shared" si="164"/>
        <v>4.5109931766489766E-2</v>
      </c>
      <c r="BE55" s="1">
        <f t="shared" si="164"/>
        <v>4.3025018953752846E-2</v>
      </c>
      <c r="BF55" s="1">
        <f t="shared" si="164"/>
        <v>0.10367702805155421</v>
      </c>
      <c r="BG55" s="674">
        <f t="shared" si="107"/>
        <v>1</v>
      </c>
      <c r="BI55" s="674">
        <v>2021</v>
      </c>
      <c r="BJ55" s="674"/>
      <c r="BK55" s="1">
        <f t="shared" ref="BK55:BP55" si="165">IFERROR(BK41/$BQ41,0)</f>
        <v>0.5752991645969745</v>
      </c>
      <c r="BL55" s="1">
        <f t="shared" si="165"/>
        <v>0.14969519078798826</v>
      </c>
      <c r="BM55" s="1">
        <f t="shared" si="165"/>
        <v>0.11198916233912846</v>
      </c>
      <c r="BN55" s="1">
        <f t="shared" si="165"/>
        <v>2.7094152178821405E-2</v>
      </c>
      <c r="BO55" s="1">
        <f t="shared" si="165"/>
        <v>2.7094152178821405E-2</v>
      </c>
      <c r="BP55" s="1">
        <f t="shared" si="165"/>
        <v>0.10882817791826598</v>
      </c>
      <c r="BQ55" s="674">
        <f t="shared" si="109"/>
        <v>0.99999999999999989</v>
      </c>
      <c r="BS55" s="674">
        <v>2021</v>
      </c>
      <c r="BT55" s="674"/>
      <c r="BU55" s="1">
        <f>IFERROR(BU41/$CA41,0)</f>
        <v>0.37525773195876289</v>
      </c>
      <c r="BV55" s="1">
        <f>IFERROR(BV41/$CA41,0)</f>
        <v>2.2508591065292096E-2</v>
      </c>
      <c r="BW55" s="1">
        <f>IFERROR(BW41/$CA41,0)</f>
        <v>2.3539518900343642E-2</v>
      </c>
      <c r="BY55" s="1">
        <f>IFERROR(BY41/$CA41,0)</f>
        <v>6.5292096219931274E-3</v>
      </c>
      <c r="BZ55" s="1">
        <f>IFERROR(BZ41/$CA41,0)</f>
        <v>0.57216494845360821</v>
      </c>
      <c r="CA55" s="674">
        <f t="shared" si="110"/>
        <v>0.99999999999999989</v>
      </c>
      <c r="CB55" s="674"/>
      <c r="CC55" s="674">
        <v>2021</v>
      </c>
      <c r="CD55" s="674"/>
      <c r="CE55" s="1">
        <f t="shared" ref="CE55:CJ55" si="166">IFERROR(CE41/$CK41,0)</f>
        <v>7.1670032487487934E-2</v>
      </c>
      <c r="CF55" s="1">
        <f t="shared" si="166"/>
        <v>7.8913864254982882E-2</v>
      </c>
      <c r="CG55" s="1">
        <f t="shared" si="166"/>
        <v>6.6950566335938185E-3</v>
      </c>
      <c r="CH55" s="1">
        <f t="shared" si="166"/>
        <v>3.132408464307665E-2</v>
      </c>
      <c r="CI55" s="1">
        <f t="shared" si="166"/>
        <v>0.12997190271314427</v>
      </c>
      <c r="CJ55" s="1">
        <f t="shared" si="166"/>
        <v>0.68142505926771446</v>
      </c>
      <c r="CK55" s="674">
        <f t="shared" si="112"/>
        <v>1</v>
      </c>
    </row>
    <row r="57" spans="1:89">
      <c r="A57" s="672" t="s">
        <v>1052</v>
      </c>
      <c r="K57" s="672" t="s">
        <v>1034</v>
      </c>
      <c r="U57" s="673" t="s">
        <v>1033</v>
      </c>
      <c r="AE57" s="673" t="s">
        <v>1032</v>
      </c>
      <c r="AO57" s="673" t="s">
        <v>1031</v>
      </c>
      <c r="AY57" s="673" t="s">
        <v>1030</v>
      </c>
      <c r="BI57" s="672" t="s">
        <v>1029</v>
      </c>
      <c r="BS57" s="673" t="s">
        <v>1028</v>
      </c>
      <c r="CC57" s="672" t="s">
        <v>1027</v>
      </c>
    </row>
    <row r="58" spans="1:89" ht="48">
      <c r="A58" s="554" t="s">
        <v>481</v>
      </c>
      <c r="B58" s="549" t="s">
        <v>989</v>
      </c>
      <c r="C58" s="550" t="s">
        <v>1008</v>
      </c>
      <c r="D58" s="551" t="s">
        <v>991</v>
      </c>
      <c r="E58" s="555" t="s">
        <v>993</v>
      </c>
      <c r="F58" s="552" t="s">
        <v>988</v>
      </c>
      <c r="G58" s="553" t="s">
        <v>1009</v>
      </c>
      <c r="H58" s="553" t="s">
        <v>994</v>
      </c>
      <c r="I58" s="558" t="s">
        <v>1026</v>
      </c>
      <c r="K58" s="554" t="s">
        <v>481</v>
      </c>
      <c r="L58" s="549" t="s">
        <v>988</v>
      </c>
      <c r="M58" s="550" t="s">
        <v>989</v>
      </c>
      <c r="N58" s="551" t="s">
        <v>991</v>
      </c>
      <c r="O58" s="555"/>
      <c r="P58" s="552" t="s">
        <v>1008</v>
      </c>
      <c r="Q58" s="553" t="s">
        <v>1009</v>
      </c>
      <c r="R58" s="553" t="s">
        <v>994</v>
      </c>
      <c r="S58" s="558" t="s">
        <v>1026</v>
      </c>
      <c r="U58" s="554" t="s">
        <v>481</v>
      </c>
      <c r="V58" s="549" t="s">
        <v>988</v>
      </c>
      <c r="W58" s="550" t="s">
        <v>989</v>
      </c>
      <c r="X58" s="551" t="s">
        <v>991</v>
      </c>
      <c r="Y58" s="555"/>
      <c r="Z58" s="552" t="s">
        <v>1008</v>
      </c>
      <c r="AA58" s="553" t="s">
        <v>1009</v>
      </c>
      <c r="AB58" s="553" t="s">
        <v>994</v>
      </c>
      <c r="AC58" s="558" t="s">
        <v>1026</v>
      </c>
      <c r="AE58" s="554" t="s">
        <v>1035</v>
      </c>
      <c r="AF58" s="549" t="s">
        <v>988</v>
      </c>
      <c r="AG58" s="550" t="s">
        <v>989</v>
      </c>
      <c r="AH58" s="551" t="s">
        <v>991</v>
      </c>
      <c r="AI58" s="555" t="s">
        <v>993</v>
      </c>
      <c r="AJ58" s="552" t="s">
        <v>1008</v>
      </c>
      <c r="AK58" s="553" t="s">
        <v>1009</v>
      </c>
      <c r="AL58" s="553" t="s">
        <v>994</v>
      </c>
      <c r="AM58" s="558" t="s">
        <v>1026</v>
      </c>
      <c r="AO58" s="554" t="s">
        <v>481</v>
      </c>
      <c r="AP58" s="549" t="s">
        <v>988</v>
      </c>
      <c r="AQ58" s="550" t="s">
        <v>989</v>
      </c>
      <c r="AR58" s="551" t="s">
        <v>991</v>
      </c>
      <c r="AS58" s="555" t="s">
        <v>993</v>
      </c>
      <c r="AT58" s="552" t="s">
        <v>1008</v>
      </c>
      <c r="AU58" s="553" t="s">
        <v>1009</v>
      </c>
      <c r="AV58" s="553" t="s">
        <v>994</v>
      </c>
      <c r="AW58" s="558" t="s">
        <v>1026</v>
      </c>
      <c r="AY58" s="554" t="s">
        <v>481</v>
      </c>
      <c r="AZ58" s="549" t="s">
        <v>988</v>
      </c>
      <c r="BA58" s="550" t="s">
        <v>989</v>
      </c>
      <c r="BB58" s="551" t="s">
        <v>991</v>
      </c>
      <c r="BC58" s="555" t="s">
        <v>993</v>
      </c>
      <c r="BD58" s="552" t="s">
        <v>1008</v>
      </c>
      <c r="BE58" s="553" t="s">
        <v>1009</v>
      </c>
      <c r="BF58" s="553" t="s">
        <v>994</v>
      </c>
      <c r="BG58" s="558" t="s">
        <v>1026</v>
      </c>
      <c r="BI58" s="554" t="s">
        <v>481</v>
      </c>
      <c r="BJ58" s="549" t="s">
        <v>988</v>
      </c>
      <c r="BK58" s="550" t="s">
        <v>989</v>
      </c>
      <c r="BL58" s="551" t="s">
        <v>991</v>
      </c>
      <c r="BM58" s="555" t="s">
        <v>993</v>
      </c>
      <c r="BN58" s="552" t="s">
        <v>1008</v>
      </c>
      <c r="BO58" s="553" t="s">
        <v>1009</v>
      </c>
      <c r="BP58" s="553" t="s">
        <v>994</v>
      </c>
      <c r="BQ58" s="558" t="s">
        <v>1026</v>
      </c>
      <c r="BS58" s="554" t="s">
        <v>481</v>
      </c>
      <c r="BT58" s="549" t="s">
        <v>988</v>
      </c>
      <c r="BU58" s="550" t="s">
        <v>989</v>
      </c>
      <c r="BV58" s="551" t="s">
        <v>991</v>
      </c>
      <c r="BW58" s="555" t="s">
        <v>993</v>
      </c>
      <c r="BX58" s="552"/>
      <c r="BY58" s="553" t="s">
        <v>1009</v>
      </c>
      <c r="BZ58" s="553" t="s">
        <v>994</v>
      </c>
      <c r="CA58" s="558" t="s">
        <v>1026</v>
      </c>
      <c r="CB58" s="674"/>
      <c r="CC58" s="554" t="s">
        <v>481</v>
      </c>
      <c r="CD58" s="549" t="s">
        <v>988</v>
      </c>
      <c r="CE58" s="550" t="s">
        <v>989</v>
      </c>
      <c r="CF58" s="551" t="s">
        <v>991</v>
      </c>
      <c r="CG58" s="555" t="s">
        <v>993</v>
      </c>
      <c r="CH58" s="552" t="s">
        <v>1008</v>
      </c>
      <c r="CI58" s="553" t="s">
        <v>1009</v>
      </c>
      <c r="CJ58" s="553" t="s">
        <v>994</v>
      </c>
      <c r="CK58" s="558" t="s">
        <v>1026</v>
      </c>
    </row>
    <row r="59" spans="1:89">
      <c r="A59" s="554">
        <v>2011</v>
      </c>
      <c r="B59" s="549">
        <f>M59+W59+AG59+AQ59+BA59+BK59+BU59+CE59</f>
        <v>12</v>
      </c>
      <c r="C59" s="550">
        <f>P59+Z59+AJ59+AT59+BD59+BN59+BX59+CH59</f>
        <v>3861</v>
      </c>
      <c r="D59" s="551">
        <f>N59+X59+AH59+AR59+BB59+BL59+BV59+CF59</f>
        <v>0</v>
      </c>
      <c r="E59" s="555">
        <f>O59+Y59+AI59+AS59+BC59+BM59+BW59+CG59</f>
        <v>0</v>
      </c>
      <c r="F59" s="552">
        <f>L59+V59+AF59+AP59+AZ59+BJ59+BT59+CD59</f>
        <v>8759</v>
      </c>
      <c r="G59" s="553">
        <f>Q59+AA59+AK59+AU59+BE59+BO59+BY59+CI59</f>
        <v>0</v>
      </c>
      <c r="H59" s="553">
        <f>R59+AB59+AL59+AV59+BF59+BP59+BZ59+CJ59</f>
        <v>3477</v>
      </c>
      <c r="I59" s="558">
        <f>SUM(B59:H59)</f>
        <v>16109</v>
      </c>
      <c r="K59" s="554">
        <v>2011</v>
      </c>
      <c r="L59" s="549">
        <f>L3-L31</f>
        <v>8759</v>
      </c>
      <c r="M59" s="550">
        <f t="shared" ref="M59:R59" si="167">M3-M31</f>
        <v>0</v>
      </c>
      <c r="N59" s="551">
        <f t="shared" si="167"/>
        <v>0</v>
      </c>
      <c r="O59" s="555"/>
      <c r="P59" s="552">
        <f t="shared" si="167"/>
        <v>454</v>
      </c>
      <c r="Q59" s="553">
        <f t="shared" si="167"/>
        <v>0</v>
      </c>
      <c r="R59" s="553">
        <f t="shared" si="167"/>
        <v>53</v>
      </c>
      <c r="S59" s="558">
        <f>SUM(L59:R59)</f>
        <v>9266</v>
      </c>
      <c r="U59" s="554">
        <v>2011</v>
      </c>
      <c r="V59" s="549"/>
      <c r="W59" s="550">
        <f>W3-W31</f>
        <v>0</v>
      </c>
      <c r="X59" s="551">
        <f t="shared" ref="X59:AB59" si="168">X3-X31</f>
        <v>0</v>
      </c>
      <c r="Y59" s="555"/>
      <c r="Z59" s="552"/>
      <c r="AA59" s="553">
        <f t="shared" si="168"/>
        <v>0</v>
      </c>
      <c r="AB59" s="553">
        <f t="shared" si="168"/>
        <v>994</v>
      </c>
      <c r="AC59" s="558">
        <f>SUM(V59:AB59)</f>
        <v>994</v>
      </c>
      <c r="AE59" s="554">
        <v>2011</v>
      </c>
      <c r="AF59" s="549"/>
      <c r="AG59" s="550">
        <f>AG3-AG31</f>
        <v>0</v>
      </c>
      <c r="AH59" s="551">
        <f t="shared" ref="AH59:AL59" si="169">AH3-AH31</f>
        <v>0</v>
      </c>
      <c r="AI59" s="555">
        <f t="shared" si="169"/>
        <v>0</v>
      </c>
      <c r="AJ59" s="552"/>
      <c r="AK59" s="553">
        <f t="shared" si="169"/>
        <v>0</v>
      </c>
      <c r="AL59" s="553">
        <f t="shared" si="169"/>
        <v>0</v>
      </c>
      <c r="AM59" s="558">
        <f>SUM(AF59:AL59)</f>
        <v>0</v>
      </c>
      <c r="AO59" s="554">
        <v>2011</v>
      </c>
      <c r="AP59" s="549"/>
      <c r="AQ59" s="550">
        <f>AQ3-AQ31</f>
        <v>0</v>
      </c>
      <c r="AR59" s="551">
        <f t="shared" ref="AR59:AU59" si="170">AR3-AR31</f>
        <v>0</v>
      </c>
      <c r="AS59" s="555">
        <f t="shared" si="170"/>
        <v>0</v>
      </c>
      <c r="AT59" s="552">
        <f t="shared" si="170"/>
        <v>0</v>
      </c>
      <c r="AU59" s="553">
        <f t="shared" si="170"/>
        <v>0</v>
      </c>
      <c r="AV59" s="553">
        <f>AV3-AV31</f>
        <v>0</v>
      </c>
      <c r="AW59" s="558">
        <f>SUM(AP59:AV59)</f>
        <v>0</v>
      </c>
      <c r="AY59" s="554">
        <v>2011</v>
      </c>
      <c r="AZ59" s="549"/>
      <c r="BA59" s="550">
        <f>BA3-BA31</f>
        <v>0</v>
      </c>
      <c r="BB59" s="551">
        <f t="shared" ref="BB59:BE59" si="171">BB3-BB31</f>
        <v>0</v>
      </c>
      <c r="BC59" s="555">
        <f t="shared" si="171"/>
        <v>0</v>
      </c>
      <c r="BD59" s="552">
        <f t="shared" si="171"/>
        <v>0</v>
      </c>
      <c r="BE59" s="553">
        <f t="shared" si="171"/>
        <v>0</v>
      </c>
      <c r="BF59" s="553">
        <f>BF3-BF31</f>
        <v>0</v>
      </c>
      <c r="BG59" s="558">
        <f>SUM(AZ59:BF59)</f>
        <v>0</v>
      </c>
      <c r="BI59" s="554">
        <v>2011</v>
      </c>
      <c r="BJ59" s="549"/>
      <c r="BK59" s="550">
        <f>BK3-BK31</f>
        <v>0</v>
      </c>
      <c r="BL59" s="551">
        <f t="shared" ref="BL59:BO59" si="172">BL3-BL31</f>
        <v>0</v>
      </c>
      <c r="BM59" s="555">
        <f t="shared" si="172"/>
        <v>0</v>
      </c>
      <c r="BN59" s="552">
        <f t="shared" si="172"/>
        <v>0</v>
      </c>
      <c r="BO59" s="553">
        <f t="shared" si="172"/>
        <v>0</v>
      </c>
      <c r="BP59" s="553">
        <f>BP3-BP31</f>
        <v>0</v>
      </c>
      <c r="BQ59" s="558">
        <f>SUM(BJ59:BP59)</f>
        <v>0</v>
      </c>
      <c r="BS59" s="554">
        <v>2011</v>
      </c>
      <c r="BT59" s="549"/>
      <c r="BU59" s="550">
        <f>BU3-BU31</f>
        <v>0</v>
      </c>
      <c r="BV59" s="551">
        <f t="shared" ref="BV59:BY59" si="173">BV3-BV31</f>
        <v>0</v>
      </c>
      <c r="BW59" s="555">
        <f t="shared" si="173"/>
        <v>0</v>
      </c>
      <c r="BX59" s="552"/>
      <c r="BY59" s="553">
        <f t="shared" si="173"/>
        <v>0</v>
      </c>
      <c r="BZ59" s="553">
        <f>BZ3-BZ31</f>
        <v>0</v>
      </c>
      <c r="CA59" s="558">
        <f>SUM(BT59:BZ59)</f>
        <v>0</v>
      </c>
      <c r="CB59" s="674"/>
      <c r="CC59" s="554">
        <v>2011</v>
      </c>
      <c r="CD59" s="549"/>
      <c r="CE59" s="550">
        <f>CE3-CE31</f>
        <v>12</v>
      </c>
      <c r="CF59" s="551">
        <f t="shared" ref="CF59:CI59" si="174">CF3-CF31</f>
        <v>0</v>
      </c>
      <c r="CG59" s="555">
        <f t="shared" si="174"/>
        <v>0</v>
      </c>
      <c r="CH59" s="552">
        <f t="shared" si="174"/>
        <v>3407</v>
      </c>
      <c r="CI59" s="553">
        <f t="shared" si="174"/>
        <v>0</v>
      </c>
      <c r="CJ59" s="553">
        <f>CJ3-CJ31</f>
        <v>2430</v>
      </c>
      <c r="CK59" s="558">
        <f>SUM(CD59:CJ59)</f>
        <v>5849</v>
      </c>
    </row>
    <row r="60" spans="1:89">
      <c r="A60" s="554">
        <v>2012</v>
      </c>
      <c r="B60" s="549">
        <f>M60+W60+AG60+AQ60+BA60+BK60+BU60+CE60</f>
        <v>13</v>
      </c>
      <c r="C60" s="550">
        <f>P60+Z60+AJ60+AT60+BD60+BN60+BX60+CH60</f>
        <v>3997</v>
      </c>
      <c r="D60" s="551">
        <f t="shared" ref="D60:D69" si="175">N60+X60+AH60+AR60+BB60+BL60+BV60+CF60</f>
        <v>0</v>
      </c>
      <c r="E60" s="555">
        <f t="shared" ref="E60:E69" si="176">O60+Y60+AI60+AS60+BC60+BM60+BW60+CG60</f>
        <v>0</v>
      </c>
      <c r="F60" s="552">
        <f>L60+V60+AF60+AP60+AZ60+BJ60+BT60+CD60</f>
        <v>8489</v>
      </c>
      <c r="G60" s="553">
        <f t="shared" ref="G60:G69" si="177">Q60+AA60+AK60+AU60+BE60+BO60+BY60+CI60</f>
        <v>0</v>
      </c>
      <c r="H60" s="553">
        <f t="shared" ref="H60:H69" si="178">R60+AB60+AL60+AV60+BF60+BP60+BZ60+CJ60</f>
        <v>3476</v>
      </c>
      <c r="I60" s="558">
        <f t="shared" ref="I60:I69" si="179">SUM(B60:H60)</f>
        <v>15975</v>
      </c>
      <c r="K60" s="554">
        <v>2012</v>
      </c>
      <c r="L60" s="549">
        <f t="shared" ref="L60:R60" si="180">L4-L32</f>
        <v>8489</v>
      </c>
      <c r="M60" s="550">
        <f t="shared" si="180"/>
        <v>0</v>
      </c>
      <c r="N60" s="551">
        <f t="shared" si="180"/>
        <v>0</v>
      </c>
      <c r="O60" s="555"/>
      <c r="P60" s="552">
        <f t="shared" si="180"/>
        <v>441</v>
      </c>
      <c r="Q60" s="553">
        <f t="shared" si="180"/>
        <v>0</v>
      </c>
      <c r="R60" s="553">
        <f t="shared" si="180"/>
        <v>46</v>
      </c>
      <c r="S60" s="558">
        <f t="shared" ref="S60:S69" si="181">SUM(L60:R60)</f>
        <v>8976</v>
      </c>
      <c r="U60" s="554">
        <v>2012</v>
      </c>
      <c r="V60" s="549"/>
      <c r="W60" s="550">
        <f t="shared" ref="W60:AB60" si="182">W4-W32</f>
        <v>0</v>
      </c>
      <c r="X60" s="551">
        <f t="shared" si="182"/>
        <v>0</v>
      </c>
      <c r="Y60" s="555"/>
      <c r="Z60" s="552"/>
      <c r="AA60" s="553">
        <f t="shared" si="182"/>
        <v>0</v>
      </c>
      <c r="AB60" s="553">
        <f t="shared" si="182"/>
        <v>1073</v>
      </c>
      <c r="AC60" s="558">
        <f t="shared" ref="AC60:AC69" si="183">SUM(V60:AB60)</f>
        <v>1073</v>
      </c>
      <c r="AE60" s="554">
        <v>2012</v>
      </c>
      <c r="AF60" s="549"/>
      <c r="AG60" s="550">
        <f t="shared" ref="AG60:AL60" si="184">AG4-AG32</f>
        <v>0</v>
      </c>
      <c r="AH60" s="551">
        <f t="shared" si="184"/>
        <v>0</v>
      </c>
      <c r="AI60" s="555">
        <f t="shared" si="184"/>
        <v>0</v>
      </c>
      <c r="AJ60" s="552"/>
      <c r="AK60" s="553">
        <f t="shared" si="184"/>
        <v>0</v>
      </c>
      <c r="AL60" s="553">
        <f t="shared" si="184"/>
        <v>0</v>
      </c>
      <c r="AM60" s="558">
        <f t="shared" ref="AM60:AM69" si="185">SUM(AF60:AL60)</f>
        <v>0</v>
      </c>
      <c r="AO60" s="554">
        <v>2012</v>
      </c>
      <c r="AP60" s="549"/>
      <c r="AQ60" s="550">
        <f t="shared" ref="AQ60:AU60" si="186">AQ4-AQ32</f>
        <v>13</v>
      </c>
      <c r="AR60" s="551">
        <f t="shared" si="186"/>
        <v>0</v>
      </c>
      <c r="AS60" s="555">
        <f t="shared" si="186"/>
        <v>0</v>
      </c>
      <c r="AT60" s="552">
        <f t="shared" si="186"/>
        <v>656</v>
      </c>
      <c r="AU60" s="553">
        <f t="shared" si="186"/>
        <v>0</v>
      </c>
      <c r="AV60" s="553">
        <f t="shared" ref="AV60" si="187">AV4-AV32</f>
        <v>574</v>
      </c>
      <c r="AW60" s="558">
        <f t="shared" ref="AW60:AW69" si="188">SUM(AP60:AV60)</f>
        <v>1243</v>
      </c>
      <c r="AY60" s="554">
        <v>2012</v>
      </c>
      <c r="AZ60" s="549"/>
      <c r="BA60" s="550">
        <f t="shared" ref="BA60:BF69" si="189">BA4-BA32</f>
        <v>0</v>
      </c>
      <c r="BB60" s="551">
        <f t="shared" si="189"/>
        <v>0</v>
      </c>
      <c r="BC60" s="555">
        <f t="shared" si="189"/>
        <v>0</v>
      </c>
      <c r="BD60" s="552">
        <f t="shared" si="189"/>
        <v>1587</v>
      </c>
      <c r="BE60" s="553">
        <f t="shared" si="189"/>
        <v>0</v>
      </c>
      <c r="BF60" s="553">
        <f t="shared" si="189"/>
        <v>391</v>
      </c>
      <c r="BG60" s="558">
        <f t="shared" ref="BG60:BG69" si="190">SUM(AZ60:BF60)</f>
        <v>1978</v>
      </c>
      <c r="BI60" s="554">
        <v>2012</v>
      </c>
      <c r="BJ60" s="549"/>
      <c r="BK60" s="550">
        <f t="shared" ref="BK60:BP69" si="191">BK4-BK32</f>
        <v>0</v>
      </c>
      <c r="BL60" s="551">
        <f t="shared" si="191"/>
        <v>0</v>
      </c>
      <c r="BM60" s="555">
        <f t="shared" si="191"/>
        <v>0</v>
      </c>
      <c r="BN60" s="552">
        <f t="shared" si="191"/>
        <v>41</v>
      </c>
      <c r="BO60" s="553">
        <f t="shared" si="191"/>
        <v>0</v>
      </c>
      <c r="BP60" s="553">
        <f t="shared" si="191"/>
        <v>69</v>
      </c>
      <c r="BQ60" s="558">
        <f t="shared" ref="BQ60:BQ69" si="192">SUM(BJ60:BP60)</f>
        <v>110</v>
      </c>
      <c r="BS60" s="554">
        <v>2012</v>
      </c>
      <c r="BT60" s="549"/>
      <c r="BU60" s="550">
        <f t="shared" ref="BU60:BZ69" si="193">BU4-BU32</f>
        <v>0</v>
      </c>
      <c r="BV60" s="551">
        <f t="shared" si="193"/>
        <v>0</v>
      </c>
      <c r="BW60" s="555">
        <f t="shared" si="193"/>
        <v>0</v>
      </c>
      <c r="BX60" s="552"/>
      <c r="BY60" s="553">
        <f t="shared" si="193"/>
        <v>0</v>
      </c>
      <c r="BZ60" s="553">
        <f t="shared" si="193"/>
        <v>0</v>
      </c>
      <c r="CA60" s="558">
        <f t="shared" ref="CA60:CA69" si="194">SUM(BT60:BZ60)</f>
        <v>0</v>
      </c>
      <c r="CB60" s="674"/>
      <c r="CC60" s="554">
        <v>2012</v>
      </c>
      <c r="CD60" s="549"/>
      <c r="CE60" s="550">
        <f t="shared" ref="CE60:CJ69" si="195">CE4-CE32</f>
        <v>0</v>
      </c>
      <c r="CF60" s="551">
        <f t="shared" si="195"/>
        <v>0</v>
      </c>
      <c r="CG60" s="555">
        <f t="shared" si="195"/>
        <v>0</v>
      </c>
      <c r="CH60" s="552">
        <f t="shared" si="195"/>
        <v>1272</v>
      </c>
      <c r="CI60" s="553">
        <f t="shared" si="195"/>
        <v>0</v>
      </c>
      <c r="CJ60" s="553">
        <f t="shared" si="195"/>
        <v>1323</v>
      </c>
      <c r="CK60" s="558">
        <f t="shared" ref="CK60:CK69" si="196">SUM(CD60:CJ60)</f>
        <v>2595</v>
      </c>
    </row>
    <row r="61" spans="1:89">
      <c r="A61" s="554">
        <v>2013</v>
      </c>
      <c r="B61" s="549">
        <f>M61+W61+AG61+AQ61+BA61+BK61+BU61+CE61</f>
        <v>13</v>
      </c>
      <c r="C61" s="550">
        <f>P61+Z61+AJ61+AT61+BD61+BN61+BX61+CH61</f>
        <v>4014</v>
      </c>
      <c r="D61" s="551">
        <f t="shared" si="175"/>
        <v>0</v>
      </c>
      <c r="E61" s="555">
        <f t="shared" si="176"/>
        <v>0</v>
      </c>
      <c r="F61" s="552">
        <f>L61+V61+AF61+AP61+AZ61+BJ61+BT61+CD61</f>
        <v>8438</v>
      </c>
      <c r="G61" s="553">
        <f t="shared" si="177"/>
        <v>0</v>
      </c>
      <c r="H61" s="553">
        <f t="shared" si="178"/>
        <v>3526</v>
      </c>
      <c r="I61" s="558">
        <f t="shared" si="179"/>
        <v>15991</v>
      </c>
      <c r="K61" s="554">
        <v>2013</v>
      </c>
      <c r="L61" s="549">
        <f t="shared" ref="L61:R61" si="197">L5-L33</f>
        <v>8438</v>
      </c>
      <c r="M61" s="550">
        <f t="shared" si="197"/>
        <v>0</v>
      </c>
      <c r="N61" s="551">
        <f t="shared" si="197"/>
        <v>0</v>
      </c>
      <c r="O61" s="555"/>
      <c r="P61" s="552">
        <f t="shared" si="197"/>
        <v>436</v>
      </c>
      <c r="Q61" s="553">
        <f t="shared" si="197"/>
        <v>0</v>
      </c>
      <c r="R61" s="553">
        <f t="shared" si="197"/>
        <v>38</v>
      </c>
      <c r="S61" s="558">
        <f t="shared" si="181"/>
        <v>8912</v>
      </c>
      <c r="U61" s="554">
        <v>2013</v>
      </c>
      <c r="V61" s="549"/>
      <c r="W61" s="550">
        <f t="shared" ref="W61:AB61" si="198">W5-W33</f>
        <v>0</v>
      </c>
      <c r="X61" s="551">
        <f t="shared" si="198"/>
        <v>0</v>
      </c>
      <c r="Y61" s="555"/>
      <c r="Z61" s="552"/>
      <c r="AA61" s="553">
        <f t="shared" si="198"/>
        <v>0</v>
      </c>
      <c r="AB61" s="553">
        <f t="shared" si="198"/>
        <v>1192</v>
      </c>
      <c r="AC61" s="558">
        <f t="shared" si="183"/>
        <v>1192</v>
      </c>
      <c r="AE61" s="554">
        <v>2013</v>
      </c>
      <c r="AF61" s="549"/>
      <c r="AG61" s="550">
        <f t="shared" ref="AG61:AL61" si="199">AG5-AG33</f>
        <v>0</v>
      </c>
      <c r="AH61" s="551">
        <f t="shared" si="199"/>
        <v>0</v>
      </c>
      <c r="AI61" s="555">
        <f t="shared" si="199"/>
        <v>0</v>
      </c>
      <c r="AJ61" s="552"/>
      <c r="AK61" s="553">
        <f t="shared" si="199"/>
        <v>0</v>
      </c>
      <c r="AL61" s="553">
        <f t="shared" si="199"/>
        <v>1</v>
      </c>
      <c r="AM61" s="558">
        <f t="shared" si="185"/>
        <v>1</v>
      </c>
      <c r="AO61" s="554">
        <v>2013</v>
      </c>
      <c r="AP61" s="549"/>
      <c r="AQ61" s="550">
        <f t="shared" ref="AQ61:AU61" si="200">AQ5-AQ33</f>
        <v>13</v>
      </c>
      <c r="AR61" s="551">
        <f t="shared" si="200"/>
        <v>0</v>
      </c>
      <c r="AS61" s="555">
        <f t="shared" si="200"/>
        <v>0</v>
      </c>
      <c r="AT61" s="552">
        <f t="shared" si="200"/>
        <v>671</v>
      </c>
      <c r="AU61" s="553">
        <f t="shared" si="200"/>
        <v>0</v>
      </c>
      <c r="AV61" s="553">
        <f t="shared" ref="AV61" si="201">AV5-AV33</f>
        <v>581</v>
      </c>
      <c r="AW61" s="558">
        <f t="shared" si="188"/>
        <v>1265</v>
      </c>
      <c r="AY61" s="554">
        <v>2013</v>
      </c>
      <c r="AZ61" s="549"/>
      <c r="BA61" s="550">
        <f t="shared" ref="BA61:BE61" si="202">BA5-BA33</f>
        <v>0</v>
      </c>
      <c r="BB61" s="551">
        <f t="shared" si="202"/>
        <v>0</v>
      </c>
      <c r="BC61" s="555">
        <f t="shared" si="202"/>
        <v>0</v>
      </c>
      <c r="BD61" s="552">
        <f t="shared" si="202"/>
        <v>1515</v>
      </c>
      <c r="BE61" s="553">
        <f t="shared" si="202"/>
        <v>0</v>
      </c>
      <c r="BF61" s="553">
        <f t="shared" si="189"/>
        <v>352</v>
      </c>
      <c r="BG61" s="558">
        <f t="shared" si="190"/>
        <v>1867</v>
      </c>
      <c r="BI61" s="554">
        <v>2013</v>
      </c>
      <c r="BJ61" s="549"/>
      <c r="BK61" s="550">
        <f t="shared" ref="BK61:BO61" si="203">BK5-BK33</f>
        <v>0</v>
      </c>
      <c r="BL61" s="551">
        <f t="shared" si="203"/>
        <v>0</v>
      </c>
      <c r="BM61" s="555">
        <f t="shared" si="203"/>
        <v>0</v>
      </c>
      <c r="BN61" s="552">
        <f t="shared" si="203"/>
        <v>44</v>
      </c>
      <c r="BO61" s="553">
        <f t="shared" si="203"/>
        <v>0</v>
      </c>
      <c r="BP61" s="553">
        <f t="shared" si="191"/>
        <v>70</v>
      </c>
      <c r="BQ61" s="558">
        <f t="shared" si="192"/>
        <v>114</v>
      </c>
      <c r="BS61" s="554">
        <v>2013</v>
      </c>
      <c r="BT61" s="549"/>
      <c r="BU61" s="550">
        <f t="shared" ref="BU61:BY61" si="204">BU5-BU33</f>
        <v>0</v>
      </c>
      <c r="BV61" s="551">
        <f t="shared" si="204"/>
        <v>0</v>
      </c>
      <c r="BW61" s="555">
        <f t="shared" si="204"/>
        <v>0</v>
      </c>
      <c r="BX61" s="552"/>
      <c r="BY61" s="553">
        <f t="shared" si="204"/>
        <v>0</v>
      </c>
      <c r="BZ61" s="553">
        <f t="shared" si="193"/>
        <v>0</v>
      </c>
      <c r="CA61" s="558">
        <f t="shared" si="194"/>
        <v>0</v>
      </c>
      <c r="CB61" s="674"/>
      <c r="CC61" s="554">
        <v>2013</v>
      </c>
      <c r="CD61" s="549"/>
      <c r="CE61" s="550">
        <f t="shared" ref="CE61:CI61" si="205">CE5-CE33</f>
        <v>0</v>
      </c>
      <c r="CF61" s="551">
        <f t="shared" si="205"/>
        <v>0</v>
      </c>
      <c r="CG61" s="555">
        <f t="shared" si="205"/>
        <v>0</v>
      </c>
      <c r="CH61" s="552">
        <f t="shared" si="205"/>
        <v>1348</v>
      </c>
      <c r="CI61" s="553">
        <f t="shared" si="205"/>
        <v>0</v>
      </c>
      <c r="CJ61" s="553">
        <f t="shared" si="195"/>
        <v>1292</v>
      </c>
      <c r="CK61" s="558">
        <f t="shared" si="196"/>
        <v>2640</v>
      </c>
    </row>
    <row r="62" spans="1:89">
      <c r="A62" s="554">
        <v>2014</v>
      </c>
      <c r="B62" s="549">
        <f>M62+W62+AG62+AQ62+BA62+BK62+BU62+CE62</f>
        <v>12</v>
      </c>
      <c r="C62" s="550">
        <f>P62+Z62+AJ62+AT62+BD62+BN62+BX62+CH62</f>
        <v>4135</v>
      </c>
      <c r="D62" s="551">
        <f t="shared" si="175"/>
        <v>0</v>
      </c>
      <c r="E62" s="555">
        <f t="shared" si="176"/>
        <v>0</v>
      </c>
      <c r="F62" s="552">
        <f>L62+V62+AF62+AP62+AZ62+BJ62+BT62+CD62</f>
        <v>8318</v>
      </c>
      <c r="G62" s="553">
        <f t="shared" si="177"/>
        <v>0</v>
      </c>
      <c r="H62" s="553">
        <f t="shared" si="178"/>
        <v>3678</v>
      </c>
      <c r="I62" s="558">
        <f t="shared" si="179"/>
        <v>16143</v>
      </c>
      <c r="K62" s="554">
        <v>2014</v>
      </c>
      <c r="L62" s="549">
        <f t="shared" ref="L62:R62" si="206">L6-L34</f>
        <v>8318</v>
      </c>
      <c r="M62" s="550">
        <f t="shared" si="206"/>
        <v>0</v>
      </c>
      <c r="N62" s="551">
        <f t="shared" si="206"/>
        <v>0</v>
      </c>
      <c r="O62" s="555"/>
      <c r="P62" s="552">
        <f t="shared" si="206"/>
        <v>425</v>
      </c>
      <c r="Q62" s="553">
        <f t="shared" si="206"/>
        <v>0</v>
      </c>
      <c r="R62" s="553">
        <f t="shared" si="206"/>
        <v>31</v>
      </c>
      <c r="S62" s="558">
        <f t="shared" si="181"/>
        <v>8774</v>
      </c>
      <c r="U62" s="554">
        <v>2014</v>
      </c>
      <c r="V62" s="549"/>
      <c r="W62" s="550">
        <f t="shared" ref="W62:AB62" si="207">W6-W34</f>
        <v>0</v>
      </c>
      <c r="X62" s="551">
        <f t="shared" si="207"/>
        <v>0</v>
      </c>
      <c r="Y62" s="555"/>
      <c r="Z62" s="552"/>
      <c r="AA62" s="553">
        <f t="shared" si="207"/>
        <v>0</v>
      </c>
      <c r="AB62" s="553">
        <f t="shared" si="207"/>
        <v>1236</v>
      </c>
      <c r="AC62" s="558">
        <f t="shared" si="183"/>
        <v>1236</v>
      </c>
      <c r="AE62" s="554">
        <v>2014</v>
      </c>
      <c r="AF62" s="549"/>
      <c r="AG62" s="550">
        <f t="shared" ref="AG62:AL62" si="208">AG6-AG34</f>
        <v>0</v>
      </c>
      <c r="AH62" s="551">
        <f t="shared" si="208"/>
        <v>0</v>
      </c>
      <c r="AI62" s="555">
        <f t="shared" si="208"/>
        <v>0</v>
      </c>
      <c r="AJ62" s="552"/>
      <c r="AK62" s="553">
        <f t="shared" si="208"/>
        <v>0</v>
      </c>
      <c r="AL62" s="553">
        <f t="shared" si="208"/>
        <v>1</v>
      </c>
      <c r="AM62" s="558">
        <f t="shared" si="185"/>
        <v>1</v>
      </c>
      <c r="AO62" s="554">
        <v>2014</v>
      </c>
      <c r="AP62" s="549"/>
      <c r="AQ62" s="550">
        <f t="shared" ref="AQ62:AU62" si="209">AQ6-AQ34</f>
        <v>12</v>
      </c>
      <c r="AR62" s="551">
        <f t="shared" si="209"/>
        <v>0</v>
      </c>
      <c r="AS62" s="555">
        <f t="shared" si="209"/>
        <v>0</v>
      </c>
      <c r="AT62" s="552">
        <f t="shared" si="209"/>
        <v>676</v>
      </c>
      <c r="AU62" s="553">
        <f t="shared" si="209"/>
        <v>0</v>
      </c>
      <c r="AV62" s="553">
        <f t="shared" ref="AV62" si="210">AV6-AV34</f>
        <v>587</v>
      </c>
      <c r="AW62" s="558">
        <f t="shared" si="188"/>
        <v>1275</v>
      </c>
      <c r="AY62" s="554">
        <v>2014</v>
      </c>
      <c r="AZ62" s="549"/>
      <c r="BA62" s="550">
        <f t="shared" ref="BA62:BE62" si="211">BA6-BA34</f>
        <v>0</v>
      </c>
      <c r="BB62" s="551">
        <f t="shared" si="211"/>
        <v>0</v>
      </c>
      <c r="BC62" s="555">
        <f t="shared" si="211"/>
        <v>0</v>
      </c>
      <c r="BD62" s="552">
        <f t="shared" si="211"/>
        <v>1482</v>
      </c>
      <c r="BE62" s="553">
        <f t="shared" si="211"/>
        <v>0</v>
      </c>
      <c r="BF62" s="553">
        <f t="shared" si="189"/>
        <v>321</v>
      </c>
      <c r="BG62" s="558">
        <f t="shared" si="190"/>
        <v>1803</v>
      </c>
      <c r="BI62" s="554">
        <v>2014</v>
      </c>
      <c r="BJ62" s="549"/>
      <c r="BK62" s="550">
        <f t="shared" ref="BK62:BO62" si="212">BK6-BK34</f>
        <v>0</v>
      </c>
      <c r="BL62" s="551">
        <f t="shared" si="212"/>
        <v>0</v>
      </c>
      <c r="BM62" s="555">
        <f t="shared" si="212"/>
        <v>0</v>
      </c>
      <c r="BN62" s="552">
        <f t="shared" si="212"/>
        <v>52</v>
      </c>
      <c r="BO62" s="553">
        <f t="shared" si="212"/>
        <v>0</v>
      </c>
      <c r="BP62" s="553">
        <f t="shared" si="191"/>
        <v>75</v>
      </c>
      <c r="BQ62" s="558">
        <f t="shared" si="192"/>
        <v>127</v>
      </c>
      <c r="BS62" s="554">
        <v>2014</v>
      </c>
      <c r="BT62" s="549"/>
      <c r="BU62" s="550">
        <f t="shared" ref="BU62:BY62" si="213">BU6-BU34</f>
        <v>0</v>
      </c>
      <c r="BV62" s="551">
        <f t="shared" si="213"/>
        <v>0</v>
      </c>
      <c r="BW62" s="555">
        <f t="shared" si="213"/>
        <v>0</v>
      </c>
      <c r="BX62" s="552"/>
      <c r="BY62" s="553">
        <f t="shared" si="213"/>
        <v>0</v>
      </c>
      <c r="BZ62" s="553">
        <f t="shared" si="193"/>
        <v>0</v>
      </c>
      <c r="CA62" s="558">
        <f t="shared" si="194"/>
        <v>0</v>
      </c>
      <c r="CB62" s="674"/>
      <c r="CC62" s="554">
        <v>2014</v>
      </c>
      <c r="CD62" s="549"/>
      <c r="CE62" s="550">
        <f t="shared" ref="CE62:CI62" si="214">CE6-CE34</f>
        <v>0</v>
      </c>
      <c r="CF62" s="551">
        <f t="shared" si="214"/>
        <v>0</v>
      </c>
      <c r="CG62" s="555">
        <f t="shared" si="214"/>
        <v>0</v>
      </c>
      <c r="CH62" s="552">
        <f t="shared" si="214"/>
        <v>1500</v>
      </c>
      <c r="CI62" s="553">
        <f t="shared" si="214"/>
        <v>0</v>
      </c>
      <c r="CJ62" s="553">
        <f t="shared" si="195"/>
        <v>1427</v>
      </c>
      <c r="CK62" s="558">
        <f t="shared" si="196"/>
        <v>2927</v>
      </c>
    </row>
    <row r="63" spans="1:89">
      <c r="A63" s="554">
        <v>2015</v>
      </c>
      <c r="B63" s="549">
        <f>M63+W63+AG63+AQ63+BA63+BK63+BU63+CE63</f>
        <v>12</v>
      </c>
      <c r="C63" s="550">
        <f>P63+Z63+AJ63+AT63+BD63+BN63+BX63+CH63</f>
        <v>4041</v>
      </c>
      <c r="D63" s="551">
        <f t="shared" si="175"/>
        <v>0</v>
      </c>
      <c r="E63" s="555">
        <f t="shared" si="176"/>
        <v>0</v>
      </c>
      <c r="F63" s="552">
        <f>L63+V63+AF63+AP63+AZ63+BJ63+BT63+CD63</f>
        <v>8231</v>
      </c>
      <c r="G63" s="553">
        <f t="shared" si="177"/>
        <v>0</v>
      </c>
      <c r="H63" s="553">
        <f t="shared" si="178"/>
        <v>3484</v>
      </c>
      <c r="I63" s="558">
        <f t="shared" si="179"/>
        <v>15768</v>
      </c>
      <c r="K63" s="554">
        <v>2015</v>
      </c>
      <c r="L63" s="549">
        <f t="shared" ref="L63:R63" si="215">L7-L35</f>
        <v>8231</v>
      </c>
      <c r="M63" s="550">
        <f t="shared" si="215"/>
        <v>0</v>
      </c>
      <c r="N63" s="551">
        <f t="shared" si="215"/>
        <v>0</v>
      </c>
      <c r="O63" s="555"/>
      <c r="P63" s="552">
        <f t="shared" si="215"/>
        <v>417</v>
      </c>
      <c r="Q63" s="553">
        <f t="shared" si="215"/>
        <v>0</v>
      </c>
      <c r="R63" s="553">
        <f t="shared" si="215"/>
        <v>23</v>
      </c>
      <c r="S63" s="558">
        <f t="shared" si="181"/>
        <v>8671</v>
      </c>
      <c r="U63" s="554">
        <v>2015</v>
      </c>
      <c r="V63" s="549"/>
      <c r="W63" s="550">
        <f t="shared" ref="W63:AB63" si="216">W7-W35</f>
        <v>0</v>
      </c>
      <c r="X63" s="551">
        <f t="shared" si="216"/>
        <v>0</v>
      </c>
      <c r="Y63" s="555"/>
      <c r="Z63" s="552"/>
      <c r="AA63" s="553">
        <f t="shared" si="216"/>
        <v>0</v>
      </c>
      <c r="AB63" s="553">
        <f t="shared" si="216"/>
        <v>1148</v>
      </c>
      <c r="AC63" s="558">
        <f t="shared" si="183"/>
        <v>1148</v>
      </c>
      <c r="AE63" s="554">
        <v>2015</v>
      </c>
      <c r="AF63" s="549"/>
      <c r="AG63" s="550">
        <f t="shared" ref="AG63:AL63" si="217">AG7-AG35</f>
        <v>0</v>
      </c>
      <c r="AH63" s="551">
        <f t="shared" si="217"/>
        <v>0</v>
      </c>
      <c r="AI63" s="555">
        <f t="shared" si="217"/>
        <v>0</v>
      </c>
      <c r="AJ63" s="552"/>
      <c r="AK63" s="553">
        <f t="shared" si="217"/>
        <v>0</v>
      </c>
      <c r="AL63" s="553">
        <f t="shared" si="217"/>
        <v>0</v>
      </c>
      <c r="AM63" s="558">
        <f t="shared" si="185"/>
        <v>0</v>
      </c>
      <c r="AO63" s="554">
        <v>2015</v>
      </c>
      <c r="AP63" s="549"/>
      <c r="AQ63" s="550">
        <f t="shared" ref="AQ63:AU63" si="218">AQ7-AQ35</f>
        <v>12</v>
      </c>
      <c r="AR63" s="551">
        <f t="shared" si="218"/>
        <v>0</v>
      </c>
      <c r="AS63" s="555">
        <f t="shared" si="218"/>
        <v>0</v>
      </c>
      <c r="AT63" s="552">
        <f t="shared" si="218"/>
        <v>673</v>
      </c>
      <c r="AU63" s="553">
        <f t="shared" si="218"/>
        <v>0</v>
      </c>
      <c r="AV63" s="553">
        <f t="shared" ref="AV63" si="219">AV7-AV35</f>
        <v>587</v>
      </c>
      <c r="AW63" s="558">
        <f t="shared" si="188"/>
        <v>1272</v>
      </c>
      <c r="AY63" s="554">
        <v>2015</v>
      </c>
      <c r="AZ63" s="549"/>
      <c r="BA63" s="550">
        <f t="shared" ref="BA63:BE63" si="220">BA7-BA35</f>
        <v>0</v>
      </c>
      <c r="BB63" s="551">
        <f t="shared" si="220"/>
        <v>0</v>
      </c>
      <c r="BC63" s="555">
        <f t="shared" si="220"/>
        <v>0</v>
      </c>
      <c r="BD63" s="552">
        <f t="shared" si="220"/>
        <v>1433</v>
      </c>
      <c r="BE63" s="553">
        <f t="shared" si="220"/>
        <v>0</v>
      </c>
      <c r="BF63" s="553">
        <f t="shared" si="189"/>
        <v>276</v>
      </c>
      <c r="BG63" s="558">
        <f t="shared" si="190"/>
        <v>1709</v>
      </c>
      <c r="BI63" s="554">
        <v>2015</v>
      </c>
      <c r="BJ63" s="549"/>
      <c r="BK63" s="550">
        <f t="shared" ref="BK63:BO63" si="221">BK7-BK35</f>
        <v>0</v>
      </c>
      <c r="BL63" s="551">
        <f t="shared" si="221"/>
        <v>0</v>
      </c>
      <c r="BM63" s="555">
        <f t="shared" si="221"/>
        <v>0</v>
      </c>
      <c r="BN63" s="552">
        <f t="shared" si="221"/>
        <v>55</v>
      </c>
      <c r="BO63" s="553">
        <f t="shared" si="221"/>
        <v>0</v>
      </c>
      <c r="BP63" s="553">
        <f t="shared" si="191"/>
        <v>74</v>
      </c>
      <c r="BQ63" s="558">
        <f t="shared" si="192"/>
        <v>129</v>
      </c>
      <c r="BS63" s="554">
        <v>2015</v>
      </c>
      <c r="BT63" s="549"/>
      <c r="BU63" s="550">
        <f t="shared" ref="BU63:BY63" si="222">BU7-BU35</f>
        <v>0</v>
      </c>
      <c r="BV63" s="551">
        <f t="shared" si="222"/>
        <v>0</v>
      </c>
      <c r="BW63" s="555">
        <f t="shared" si="222"/>
        <v>0</v>
      </c>
      <c r="BX63" s="552"/>
      <c r="BY63" s="553">
        <f t="shared" si="222"/>
        <v>0</v>
      </c>
      <c r="BZ63" s="553">
        <f t="shared" si="193"/>
        <v>0</v>
      </c>
      <c r="CA63" s="558">
        <f t="shared" si="194"/>
        <v>0</v>
      </c>
      <c r="CB63" s="674"/>
      <c r="CC63" s="554">
        <v>2015</v>
      </c>
      <c r="CD63" s="549"/>
      <c r="CE63" s="550">
        <f t="shared" ref="CE63:CI63" si="223">CE7-CE35</f>
        <v>0</v>
      </c>
      <c r="CF63" s="551">
        <f t="shared" si="223"/>
        <v>0</v>
      </c>
      <c r="CG63" s="555">
        <f t="shared" si="223"/>
        <v>0</v>
      </c>
      <c r="CH63" s="552">
        <f t="shared" si="223"/>
        <v>1463</v>
      </c>
      <c r="CI63" s="553">
        <f t="shared" si="223"/>
        <v>0</v>
      </c>
      <c r="CJ63" s="553">
        <f t="shared" si="195"/>
        <v>1376</v>
      </c>
      <c r="CK63" s="558">
        <f t="shared" si="196"/>
        <v>2839</v>
      </c>
    </row>
    <row r="64" spans="1:89">
      <c r="A64" s="554">
        <v>2016</v>
      </c>
      <c r="B64" s="549">
        <f>M64+W64+AG64+AQ64+BA64+BK64+BU64+CE64</f>
        <v>13</v>
      </c>
      <c r="C64" s="550">
        <f>P64+Z64+AJ64+AT64+BD64+BN64+BX64+CH64</f>
        <v>4081</v>
      </c>
      <c r="D64" s="551">
        <f t="shared" si="175"/>
        <v>0</v>
      </c>
      <c r="E64" s="555">
        <f t="shared" si="176"/>
        <v>0</v>
      </c>
      <c r="F64" s="552">
        <f>L64+V64+AF64+AP64+AZ64+BJ64+BT64+CD64</f>
        <v>8114</v>
      </c>
      <c r="G64" s="553">
        <f t="shared" si="177"/>
        <v>0</v>
      </c>
      <c r="H64" s="553">
        <f t="shared" si="178"/>
        <v>3412</v>
      </c>
      <c r="I64" s="558">
        <f t="shared" si="179"/>
        <v>15620</v>
      </c>
      <c r="K64" s="554">
        <v>2016</v>
      </c>
      <c r="L64" s="549">
        <f t="shared" ref="L64:R64" si="224">L8-L36</f>
        <v>8114</v>
      </c>
      <c r="M64" s="550">
        <f t="shared" si="224"/>
        <v>0</v>
      </c>
      <c r="N64" s="551">
        <f t="shared" si="224"/>
        <v>0</v>
      </c>
      <c r="O64" s="555"/>
      <c r="P64" s="552">
        <f t="shared" si="224"/>
        <v>405</v>
      </c>
      <c r="Q64" s="553">
        <f t="shared" si="224"/>
        <v>0</v>
      </c>
      <c r="R64" s="553">
        <f t="shared" si="224"/>
        <v>16</v>
      </c>
      <c r="S64" s="558">
        <f t="shared" si="181"/>
        <v>8535</v>
      </c>
      <c r="U64" s="554">
        <v>2016</v>
      </c>
      <c r="V64" s="549"/>
      <c r="W64" s="550">
        <f t="shared" ref="W64:AB64" si="225">W8-W36</f>
        <v>0</v>
      </c>
      <c r="X64" s="551">
        <f t="shared" si="225"/>
        <v>0</v>
      </c>
      <c r="Y64" s="555"/>
      <c r="Z64" s="552"/>
      <c r="AA64" s="553">
        <f t="shared" si="225"/>
        <v>0</v>
      </c>
      <c r="AB64" s="553">
        <f t="shared" si="225"/>
        <v>1094</v>
      </c>
      <c r="AC64" s="558">
        <f t="shared" si="183"/>
        <v>1094</v>
      </c>
      <c r="AE64" s="554">
        <v>2016</v>
      </c>
      <c r="AF64" s="549"/>
      <c r="AG64" s="550">
        <f t="shared" ref="AG64:AL64" si="226">AG8-AG36</f>
        <v>0</v>
      </c>
      <c r="AH64" s="551">
        <f t="shared" si="226"/>
        <v>0</v>
      </c>
      <c r="AI64" s="555">
        <f t="shared" si="226"/>
        <v>0</v>
      </c>
      <c r="AJ64" s="552"/>
      <c r="AK64" s="553">
        <f t="shared" si="226"/>
        <v>0</v>
      </c>
      <c r="AL64" s="553">
        <f t="shared" si="226"/>
        <v>1</v>
      </c>
      <c r="AM64" s="558">
        <f t="shared" si="185"/>
        <v>1</v>
      </c>
      <c r="AO64" s="554">
        <v>2016</v>
      </c>
      <c r="AP64" s="549"/>
      <c r="AQ64" s="550">
        <f t="shared" ref="AQ64:AU64" si="227">AQ8-AQ36</f>
        <v>13</v>
      </c>
      <c r="AR64" s="551">
        <f t="shared" si="227"/>
        <v>0</v>
      </c>
      <c r="AS64" s="555">
        <f t="shared" si="227"/>
        <v>0</v>
      </c>
      <c r="AT64" s="552">
        <f t="shared" si="227"/>
        <v>688</v>
      </c>
      <c r="AU64" s="553">
        <f t="shared" si="227"/>
        <v>0</v>
      </c>
      <c r="AV64" s="553">
        <f t="shared" ref="AV64" si="228">AV8-AV36</f>
        <v>602</v>
      </c>
      <c r="AW64" s="558">
        <f t="shared" si="188"/>
        <v>1303</v>
      </c>
      <c r="AY64" s="554">
        <v>2016</v>
      </c>
      <c r="AZ64" s="549"/>
      <c r="BA64" s="550">
        <f t="shared" ref="BA64:BE64" si="229">BA8-BA36</f>
        <v>0</v>
      </c>
      <c r="BB64" s="551">
        <f t="shared" si="229"/>
        <v>0</v>
      </c>
      <c r="BC64" s="555">
        <f t="shared" si="229"/>
        <v>0</v>
      </c>
      <c r="BD64" s="552">
        <f t="shared" si="229"/>
        <v>1362</v>
      </c>
      <c r="BE64" s="553">
        <f t="shared" si="229"/>
        <v>0</v>
      </c>
      <c r="BF64" s="553">
        <f t="shared" si="189"/>
        <v>223</v>
      </c>
      <c r="BG64" s="558">
        <f t="shared" si="190"/>
        <v>1585</v>
      </c>
      <c r="BI64" s="554">
        <v>2016</v>
      </c>
      <c r="BJ64" s="549"/>
      <c r="BK64" s="550">
        <f t="shared" ref="BK64:BO64" si="230">BK8-BK36</f>
        <v>0</v>
      </c>
      <c r="BL64" s="551">
        <f t="shared" si="230"/>
        <v>0</v>
      </c>
      <c r="BM64" s="555">
        <f t="shared" si="230"/>
        <v>0</v>
      </c>
      <c r="BN64" s="552">
        <f t="shared" si="230"/>
        <v>59</v>
      </c>
      <c r="BO64" s="553">
        <f t="shared" si="230"/>
        <v>0</v>
      </c>
      <c r="BP64" s="553">
        <f t="shared" si="191"/>
        <v>69</v>
      </c>
      <c r="BQ64" s="558">
        <f t="shared" si="192"/>
        <v>128</v>
      </c>
      <c r="BS64" s="554">
        <v>2016</v>
      </c>
      <c r="BT64" s="549"/>
      <c r="BU64" s="550">
        <f t="shared" ref="BU64:BY64" si="231">BU8-BU36</f>
        <v>0</v>
      </c>
      <c r="BV64" s="551">
        <f t="shared" si="231"/>
        <v>0</v>
      </c>
      <c r="BW64" s="555">
        <f t="shared" si="231"/>
        <v>0</v>
      </c>
      <c r="BX64" s="552"/>
      <c r="BY64" s="553">
        <f t="shared" si="231"/>
        <v>0</v>
      </c>
      <c r="BZ64" s="553">
        <f t="shared" si="193"/>
        <v>0</v>
      </c>
      <c r="CA64" s="558">
        <f t="shared" si="194"/>
        <v>0</v>
      </c>
      <c r="CB64" s="674"/>
      <c r="CC64" s="554">
        <v>2016</v>
      </c>
      <c r="CD64" s="549"/>
      <c r="CE64" s="550">
        <f t="shared" ref="CE64:CI64" si="232">CE8-CE36</f>
        <v>0</v>
      </c>
      <c r="CF64" s="551">
        <f t="shared" si="232"/>
        <v>0</v>
      </c>
      <c r="CG64" s="555">
        <f t="shared" si="232"/>
        <v>0</v>
      </c>
      <c r="CH64" s="552">
        <f t="shared" si="232"/>
        <v>1567</v>
      </c>
      <c r="CI64" s="553">
        <f t="shared" si="232"/>
        <v>0</v>
      </c>
      <c r="CJ64" s="553">
        <f t="shared" si="195"/>
        <v>1407</v>
      </c>
      <c r="CK64" s="558">
        <f t="shared" si="196"/>
        <v>2974</v>
      </c>
    </row>
    <row r="65" spans="1:89">
      <c r="A65" s="554">
        <v>2017</v>
      </c>
      <c r="B65" s="549">
        <f>M65+W65+AG65+AQ65+BA65+BK65+BU65+CE65</f>
        <v>13</v>
      </c>
      <c r="C65" s="550">
        <f>P65+Z65+AJ65+AT65+BD65+BN65+BX65+CH65</f>
        <v>4269</v>
      </c>
      <c r="D65" s="551">
        <f t="shared" si="175"/>
        <v>0</v>
      </c>
      <c r="E65" s="555">
        <f t="shared" si="176"/>
        <v>0</v>
      </c>
      <c r="F65" s="552">
        <f>L65+V65+AF65+AP65+AZ65+BJ65+BT65+CD65</f>
        <v>8021</v>
      </c>
      <c r="G65" s="553">
        <f t="shared" si="177"/>
        <v>101</v>
      </c>
      <c r="H65" s="553">
        <f t="shared" si="178"/>
        <v>3334</v>
      </c>
      <c r="I65" s="558">
        <f t="shared" si="179"/>
        <v>15738</v>
      </c>
      <c r="K65" s="554">
        <v>2017</v>
      </c>
      <c r="L65" s="549">
        <f t="shared" ref="L65:R65" si="233">L9-L37</f>
        <v>8021</v>
      </c>
      <c r="M65" s="550">
        <f t="shared" si="233"/>
        <v>0</v>
      </c>
      <c r="N65" s="551">
        <f t="shared" si="233"/>
        <v>0</v>
      </c>
      <c r="O65" s="555"/>
      <c r="P65" s="552">
        <f t="shared" si="233"/>
        <v>397</v>
      </c>
      <c r="Q65" s="553">
        <f t="shared" si="233"/>
        <v>0</v>
      </c>
      <c r="R65" s="553">
        <f t="shared" si="233"/>
        <v>8</v>
      </c>
      <c r="S65" s="558">
        <f t="shared" si="181"/>
        <v>8426</v>
      </c>
      <c r="U65" s="554">
        <v>2017</v>
      </c>
      <c r="V65" s="549"/>
      <c r="W65" s="550">
        <f t="shared" ref="W65:AB65" si="234">W9-W37</f>
        <v>0</v>
      </c>
      <c r="X65" s="551">
        <f t="shared" si="234"/>
        <v>0</v>
      </c>
      <c r="Y65" s="555"/>
      <c r="Z65" s="552"/>
      <c r="AA65" s="553">
        <f t="shared" si="234"/>
        <v>0</v>
      </c>
      <c r="AB65" s="553">
        <f t="shared" si="234"/>
        <v>1123</v>
      </c>
      <c r="AC65" s="558">
        <f t="shared" si="183"/>
        <v>1123</v>
      </c>
      <c r="AE65" s="554">
        <v>2017</v>
      </c>
      <c r="AF65" s="549"/>
      <c r="AG65" s="550">
        <f t="shared" ref="AG65:AL65" si="235">AG9-AG37</f>
        <v>0</v>
      </c>
      <c r="AH65" s="551">
        <f t="shared" si="235"/>
        <v>0</v>
      </c>
      <c r="AI65" s="555">
        <f t="shared" si="235"/>
        <v>0</v>
      </c>
      <c r="AJ65" s="552"/>
      <c r="AK65" s="553">
        <f t="shared" si="235"/>
        <v>0</v>
      </c>
      <c r="AL65" s="553">
        <f t="shared" si="235"/>
        <v>1</v>
      </c>
      <c r="AM65" s="558">
        <f t="shared" si="185"/>
        <v>1</v>
      </c>
      <c r="AO65" s="554">
        <v>2017</v>
      </c>
      <c r="AP65" s="549"/>
      <c r="AQ65" s="550">
        <f t="shared" ref="AQ65:AU65" si="236">AQ9-AQ37</f>
        <v>13</v>
      </c>
      <c r="AR65" s="551">
        <f t="shared" si="236"/>
        <v>0</v>
      </c>
      <c r="AS65" s="555">
        <f t="shared" si="236"/>
        <v>0</v>
      </c>
      <c r="AT65" s="552">
        <f t="shared" si="236"/>
        <v>691</v>
      </c>
      <c r="AU65" s="553">
        <f t="shared" si="236"/>
        <v>0</v>
      </c>
      <c r="AV65" s="553">
        <f t="shared" ref="AV65" si="237">AV9-AV37</f>
        <v>609</v>
      </c>
      <c r="AW65" s="558">
        <f t="shared" si="188"/>
        <v>1313</v>
      </c>
      <c r="AY65" s="554">
        <v>2017</v>
      </c>
      <c r="AZ65" s="549"/>
      <c r="BA65" s="550">
        <f t="shared" ref="BA65:BE65" si="238">BA9-BA37</f>
        <v>0</v>
      </c>
      <c r="BB65" s="551">
        <f t="shared" si="238"/>
        <v>0</v>
      </c>
      <c r="BC65" s="555">
        <f t="shared" si="238"/>
        <v>0</v>
      </c>
      <c r="BD65" s="552">
        <f t="shared" si="238"/>
        <v>1421</v>
      </c>
      <c r="BE65" s="553">
        <f t="shared" si="238"/>
        <v>0</v>
      </c>
      <c r="BF65" s="553">
        <f t="shared" si="189"/>
        <v>192</v>
      </c>
      <c r="BG65" s="558">
        <f t="shared" si="190"/>
        <v>1613</v>
      </c>
      <c r="BI65" s="554">
        <v>2017</v>
      </c>
      <c r="BJ65" s="549"/>
      <c r="BK65" s="550">
        <f t="shared" ref="BK65:BO65" si="239">BK9-BK37</f>
        <v>0</v>
      </c>
      <c r="BL65" s="551">
        <f t="shared" si="239"/>
        <v>0</v>
      </c>
      <c r="BM65" s="555">
        <f t="shared" si="239"/>
        <v>0</v>
      </c>
      <c r="BN65" s="552">
        <f t="shared" si="239"/>
        <v>60</v>
      </c>
      <c r="BO65" s="553">
        <f t="shared" si="239"/>
        <v>0</v>
      </c>
      <c r="BP65" s="553">
        <f t="shared" si="191"/>
        <v>63</v>
      </c>
      <c r="BQ65" s="558">
        <f t="shared" si="192"/>
        <v>123</v>
      </c>
      <c r="BS65" s="554">
        <v>2017</v>
      </c>
      <c r="BT65" s="549"/>
      <c r="BU65" s="550">
        <f t="shared" ref="BU65:BY65" si="240">BU9-BU37</f>
        <v>0</v>
      </c>
      <c r="BV65" s="551">
        <f t="shared" si="240"/>
        <v>0</v>
      </c>
      <c r="BW65" s="555">
        <f t="shared" si="240"/>
        <v>0</v>
      </c>
      <c r="BX65" s="552"/>
      <c r="BY65" s="553">
        <f t="shared" si="240"/>
        <v>0</v>
      </c>
      <c r="BZ65" s="553">
        <f t="shared" si="193"/>
        <v>0</v>
      </c>
      <c r="CA65" s="558">
        <f t="shared" si="194"/>
        <v>0</v>
      </c>
      <c r="CB65" s="674"/>
      <c r="CC65" s="554">
        <v>2017</v>
      </c>
      <c r="CD65" s="549"/>
      <c r="CE65" s="550">
        <f t="shared" ref="CE65:CI65" si="241">CE9-CE37</f>
        <v>0</v>
      </c>
      <c r="CF65" s="551">
        <f t="shared" si="241"/>
        <v>0</v>
      </c>
      <c r="CG65" s="555">
        <f t="shared" si="241"/>
        <v>0</v>
      </c>
      <c r="CH65" s="552">
        <f t="shared" si="241"/>
        <v>1700</v>
      </c>
      <c r="CI65" s="553">
        <f t="shared" si="241"/>
        <v>101</v>
      </c>
      <c r="CJ65" s="553">
        <f t="shared" si="195"/>
        <v>1338</v>
      </c>
      <c r="CK65" s="558">
        <f t="shared" si="196"/>
        <v>3139</v>
      </c>
    </row>
    <row r="66" spans="1:89">
      <c r="A66" s="554">
        <v>2018</v>
      </c>
      <c r="B66" s="549">
        <f>M66+W66+AG66+AQ66+BA66+BK66+BU66+CE66</f>
        <v>13</v>
      </c>
      <c r="C66" s="550">
        <f>P66+Z66+AJ66+AT66+BD66+BN66+BX66+CH66</f>
        <v>4297</v>
      </c>
      <c r="D66" s="551">
        <f t="shared" si="175"/>
        <v>0</v>
      </c>
      <c r="E66" s="555">
        <f t="shared" si="176"/>
        <v>0</v>
      </c>
      <c r="F66" s="552">
        <f>L66+V66+AF66+AP66+AZ66+BJ66+BT66+CD66</f>
        <v>8015</v>
      </c>
      <c r="G66" s="553">
        <f t="shared" si="177"/>
        <v>96</v>
      </c>
      <c r="H66" s="553">
        <f t="shared" si="178"/>
        <v>3507</v>
      </c>
      <c r="I66" s="558">
        <f t="shared" si="179"/>
        <v>15928</v>
      </c>
      <c r="K66" s="554">
        <v>2018</v>
      </c>
      <c r="L66" s="549">
        <f t="shared" ref="L66:R66" si="242">L10-L38</f>
        <v>8015</v>
      </c>
      <c r="M66" s="550">
        <f t="shared" si="242"/>
        <v>0</v>
      </c>
      <c r="N66" s="551">
        <f t="shared" si="242"/>
        <v>0</v>
      </c>
      <c r="O66" s="555"/>
      <c r="P66" s="552">
        <f t="shared" si="242"/>
        <v>391</v>
      </c>
      <c r="Q66" s="553">
        <f t="shared" si="242"/>
        <v>0</v>
      </c>
      <c r="R66" s="553">
        <f t="shared" si="242"/>
        <v>0</v>
      </c>
      <c r="S66" s="558">
        <f t="shared" si="181"/>
        <v>8406</v>
      </c>
      <c r="U66" s="554">
        <v>2018</v>
      </c>
      <c r="V66" s="549"/>
      <c r="W66" s="550">
        <f t="shared" ref="W66:AB66" si="243">W10-W38</f>
        <v>0</v>
      </c>
      <c r="X66" s="551">
        <f t="shared" si="243"/>
        <v>0</v>
      </c>
      <c r="Y66" s="555"/>
      <c r="Z66" s="552"/>
      <c r="AA66" s="553">
        <f t="shared" si="243"/>
        <v>0</v>
      </c>
      <c r="AB66" s="553">
        <f t="shared" si="243"/>
        <v>1252</v>
      </c>
      <c r="AC66" s="558">
        <f t="shared" si="183"/>
        <v>1252</v>
      </c>
      <c r="AE66" s="554">
        <v>2018</v>
      </c>
      <c r="AF66" s="549"/>
      <c r="AG66" s="550">
        <f t="shared" ref="AG66:AL66" si="244">AG10-AG38</f>
        <v>0</v>
      </c>
      <c r="AH66" s="551">
        <f t="shared" si="244"/>
        <v>0</v>
      </c>
      <c r="AI66" s="555">
        <f t="shared" si="244"/>
        <v>0</v>
      </c>
      <c r="AJ66" s="552"/>
      <c r="AK66" s="553">
        <f t="shared" si="244"/>
        <v>0</v>
      </c>
      <c r="AL66" s="553">
        <f t="shared" si="244"/>
        <v>0</v>
      </c>
      <c r="AM66" s="558">
        <f t="shared" si="185"/>
        <v>0</v>
      </c>
      <c r="AO66" s="554">
        <v>2018</v>
      </c>
      <c r="AP66" s="549"/>
      <c r="AQ66" s="550">
        <f t="shared" ref="AQ66:AU66" si="245">AQ10-AQ38</f>
        <v>13</v>
      </c>
      <c r="AR66" s="551">
        <f t="shared" si="245"/>
        <v>0</v>
      </c>
      <c r="AS66" s="555">
        <f t="shared" si="245"/>
        <v>0</v>
      </c>
      <c r="AT66" s="552">
        <f t="shared" si="245"/>
        <v>698</v>
      </c>
      <c r="AU66" s="553">
        <f t="shared" si="245"/>
        <v>0</v>
      </c>
      <c r="AV66" s="553">
        <f t="shared" ref="AV66" si="246">AV10-AV38</f>
        <v>620</v>
      </c>
      <c r="AW66" s="558">
        <f t="shared" si="188"/>
        <v>1331</v>
      </c>
      <c r="AY66" s="554">
        <v>2018</v>
      </c>
      <c r="AZ66" s="549"/>
      <c r="BA66" s="550">
        <f t="shared" ref="BA66:BE66" si="247">BA10-BA38</f>
        <v>0</v>
      </c>
      <c r="BB66" s="551">
        <f t="shared" si="247"/>
        <v>0</v>
      </c>
      <c r="BC66" s="555">
        <f t="shared" si="247"/>
        <v>0</v>
      </c>
      <c r="BD66" s="552">
        <f t="shared" si="247"/>
        <v>1414</v>
      </c>
      <c r="BE66" s="553">
        <f t="shared" si="247"/>
        <v>0</v>
      </c>
      <c r="BF66" s="553">
        <f t="shared" si="189"/>
        <v>133</v>
      </c>
      <c r="BG66" s="558">
        <f t="shared" si="190"/>
        <v>1547</v>
      </c>
      <c r="BI66" s="554">
        <v>2018</v>
      </c>
      <c r="BJ66" s="549"/>
      <c r="BK66" s="550">
        <f t="shared" ref="BK66:BO66" si="248">BK10-BK38</f>
        <v>0</v>
      </c>
      <c r="BL66" s="551">
        <f t="shared" si="248"/>
        <v>0</v>
      </c>
      <c r="BM66" s="555">
        <f t="shared" si="248"/>
        <v>0</v>
      </c>
      <c r="BN66" s="552">
        <f t="shared" si="248"/>
        <v>67</v>
      </c>
      <c r="BO66" s="553">
        <f t="shared" si="248"/>
        <v>0</v>
      </c>
      <c r="BP66" s="553">
        <f t="shared" si="191"/>
        <v>60</v>
      </c>
      <c r="BQ66" s="558">
        <f t="shared" si="192"/>
        <v>127</v>
      </c>
      <c r="BS66" s="554">
        <v>2018</v>
      </c>
      <c r="BT66" s="549"/>
      <c r="BU66" s="550">
        <f t="shared" ref="BU66:BY66" si="249">BU10-BU38</f>
        <v>0</v>
      </c>
      <c r="BV66" s="551">
        <f t="shared" si="249"/>
        <v>0</v>
      </c>
      <c r="BW66" s="555">
        <f t="shared" si="249"/>
        <v>0</v>
      </c>
      <c r="BX66" s="552"/>
      <c r="BY66" s="553">
        <f t="shared" si="249"/>
        <v>0</v>
      </c>
      <c r="BZ66" s="553">
        <f t="shared" si="193"/>
        <v>33</v>
      </c>
      <c r="CA66" s="558">
        <f t="shared" si="194"/>
        <v>33</v>
      </c>
      <c r="CB66" s="674"/>
      <c r="CC66" s="554">
        <v>2018</v>
      </c>
      <c r="CD66" s="549"/>
      <c r="CE66" s="550">
        <f t="shared" ref="CE66:CI66" si="250">CE10-CE38</f>
        <v>0</v>
      </c>
      <c r="CF66" s="551">
        <f t="shared" si="250"/>
        <v>0</v>
      </c>
      <c r="CG66" s="555">
        <f t="shared" si="250"/>
        <v>0</v>
      </c>
      <c r="CH66" s="552">
        <f t="shared" si="250"/>
        <v>1727</v>
      </c>
      <c r="CI66" s="553">
        <f t="shared" si="250"/>
        <v>96</v>
      </c>
      <c r="CJ66" s="553">
        <f t="shared" si="195"/>
        <v>1409</v>
      </c>
      <c r="CK66" s="558">
        <f t="shared" si="196"/>
        <v>3232</v>
      </c>
    </row>
    <row r="67" spans="1:89">
      <c r="A67" s="554">
        <v>2019</v>
      </c>
      <c r="B67" s="549">
        <f>M67+W67+AG67+AQ67+BA67+BK67+BU67+CE67</f>
        <v>13</v>
      </c>
      <c r="C67" s="550">
        <f>P67+Z67+AJ67+AT67+BD67+BN67+BX67+CH67</f>
        <v>4199</v>
      </c>
      <c r="D67" s="551">
        <f t="shared" si="175"/>
        <v>0</v>
      </c>
      <c r="E67" s="555">
        <f t="shared" si="176"/>
        <v>0</v>
      </c>
      <c r="F67" s="552">
        <f>L67+V67+AF67+AP67+AZ67+BJ67+BT67+CD67</f>
        <v>7772</v>
      </c>
      <c r="G67" s="553">
        <f t="shared" si="177"/>
        <v>40</v>
      </c>
      <c r="H67" s="553">
        <f t="shared" si="178"/>
        <v>2992</v>
      </c>
      <c r="I67" s="558">
        <f t="shared" si="179"/>
        <v>15016</v>
      </c>
      <c r="K67" s="554">
        <v>2019</v>
      </c>
      <c r="L67" s="549">
        <f t="shared" ref="L67:R67" si="251">L11-L39</f>
        <v>7772</v>
      </c>
      <c r="M67" s="550">
        <f t="shared" si="251"/>
        <v>0</v>
      </c>
      <c r="N67" s="551">
        <f t="shared" si="251"/>
        <v>0</v>
      </c>
      <c r="O67" s="555"/>
      <c r="P67" s="552">
        <f t="shared" si="251"/>
        <v>381</v>
      </c>
      <c r="Q67" s="553">
        <f t="shared" si="251"/>
        <v>0</v>
      </c>
      <c r="R67" s="553">
        <f t="shared" si="251"/>
        <v>0</v>
      </c>
      <c r="S67" s="558">
        <f t="shared" si="181"/>
        <v>8153</v>
      </c>
      <c r="U67" s="554">
        <v>2019</v>
      </c>
      <c r="V67" s="549"/>
      <c r="W67" s="550">
        <f t="shared" ref="W67:AB67" si="252">W11-W39</f>
        <v>0</v>
      </c>
      <c r="X67" s="551">
        <f t="shared" si="252"/>
        <v>0</v>
      </c>
      <c r="Y67" s="555"/>
      <c r="Z67" s="552"/>
      <c r="AA67" s="553">
        <f t="shared" si="252"/>
        <v>0</v>
      </c>
      <c r="AB67" s="553">
        <f t="shared" si="252"/>
        <v>1056</v>
      </c>
      <c r="AC67" s="558">
        <f t="shared" si="183"/>
        <v>1056</v>
      </c>
      <c r="AE67" s="554">
        <v>2019</v>
      </c>
      <c r="AF67" s="549"/>
      <c r="AG67" s="550">
        <f t="shared" ref="AG67:AL67" si="253">AG11-AG39</f>
        <v>0</v>
      </c>
      <c r="AH67" s="551">
        <f t="shared" si="253"/>
        <v>0</v>
      </c>
      <c r="AI67" s="555">
        <f t="shared" si="253"/>
        <v>0</v>
      </c>
      <c r="AJ67" s="552"/>
      <c r="AK67" s="553">
        <f t="shared" si="253"/>
        <v>0</v>
      </c>
      <c r="AL67" s="553">
        <f t="shared" si="253"/>
        <v>1</v>
      </c>
      <c r="AM67" s="558">
        <f t="shared" si="185"/>
        <v>1</v>
      </c>
      <c r="AO67" s="554">
        <v>2019</v>
      </c>
      <c r="AP67" s="549"/>
      <c r="AQ67" s="550">
        <f t="shared" ref="AQ67:AU67" si="254">AQ11-AQ39</f>
        <v>13</v>
      </c>
      <c r="AR67" s="551">
        <f t="shared" si="254"/>
        <v>0</v>
      </c>
      <c r="AS67" s="555">
        <f t="shared" si="254"/>
        <v>0</v>
      </c>
      <c r="AT67" s="552">
        <f t="shared" si="254"/>
        <v>695</v>
      </c>
      <c r="AU67" s="553">
        <f t="shared" si="254"/>
        <v>0</v>
      </c>
      <c r="AV67" s="553">
        <f t="shared" ref="AV67" si="255">AV11-AV39</f>
        <v>614</v>
      </c>
      <c r="AW67" s="558">
        <f t="shared" si="188"/>
        <v>1322</v>
      </c>
      <c r="AY67" s="554">
        <v>2019</v>
      </c>
      <c r="AZ67" s="549"/>
      <c r="BA67" s="550">
        <f t="shared" ref="BA67:BE67" si="256">BA11-BA39</f>
        <v>0</v>
      </c>
      <c r="BB67" s="551">
        <f t="shared" si="256"/>
        <v>0</v>
      </c>
      <c r="BC67" s="555">
        <f t="shared" si="256"/>
        <v>0</v>
      </c>
      <c r="BD67" s="552">
        <f t="shared" si="256"/>
        <v>1314</v>
      </c>
      <c r="BE67" s="553">
        <f t="shared" si="256"/>
        <v>0</v>
      </c>
      <c r="BF67" s="553">
        <f t="shared" si="189"/>
        <v>62</v>
      </c>
      <c r="BG67" s="558">
        <f t="shared" si="190"/>
        <v>1376</v>
      </c>
      <c r="BI67" s="554">
        <v>2019</v>
      </c>
      <c r="BJ67" s="549"/>
      <c r="BK67" s="550">
        <f t="shared" ref="BK67:BO67" si="257">BK11-BK39</f>
        <v>0</v>
      </c>
      <c r="BL67" s="551">
        <f t="shared" si="257"/>
        <v>0</v>
      </c>
      <c r="BM67" s="555">
        <f t="shared" si="257"/>
        <v>0</v>
      </c>
      <c r="BN67" s="552">
        <f t="shared" si="257"/>
        <v>69</v>
      </c>
      <c r="BO67" s="553">
        <f t="shared" si="257"/>
        <v>0</v>
      </c>
      <c r="BP67" s="553">
        <f t="shared" si="191"/>
        <v>52</v>
      </c>
      <c r="BQ67" s="558">
        <f t="shared" si="192"/>
        <v>121</v>
      </c>
      <c r="BS67" s="554">
        <v>2019</v>
      </c>
      <c r="BT67" s="549"/>
      <c r="BU67" s="550">
        <f t="shared" ref="BU67:BY67" si="258">BU11-BU39</f>
        <v>0</v>
      </c>
      <c r="BV67" s="551">
        <f t="shared" si="258"/>
        <v>0</v>
      </c>
      <c r="BW67" s="555">
        <f t="shared" si="258"/>
        <v>0</v>
      </c>
      <c r="BX67" s="552"/>
      <c r="BY67" s="553">
        <f t="shared" si="258"/>
        <v>0</v>
      </c>
      <c r="BZ67" s="553">
        <f t="shared" si="193"/>
        <v>36</v>
      </c>
      <c r="CA67" s="558">
        <f t="shared" si="194"/>
        <v>36</v>
      </c>
      <c r="CB67" s="674"/>
      <c r="CC67" s="554">
        <v>2019</v>
      </c>
      <c r="CD67" s="549"/>
      <c r="CE67" s="550">
        <f t="shared" ref="CE67:CI67" si="259">CE11-CE39</f>
        <v>0</v>
      </c>
      <c r="CF67" s="551">
        <f t="shared" si="259"/>
        <v>0</v>
      </c>
      <c r="CG67" s="555">
        <f t="shared" si="259"/>
        <v>0</v>
      </c>
      <c r="CH67" s="552">
        <f t="shared" si="259"/>
        <v>1740</v>
      </c>
      <c r="CI67" s="553">
        <f t="shared" si="259"/>
        <v>40</v>
      </c>
      <c r="CJ67" s="553">
        <f t="shared" si="195"/>
        <v>1171</v>
      </c>
      <c r="CK67" s="558">
        <f t="shared" si="196"/>
        <v>2951</v>
      </c>
    </row>
    <row r="68" spans="1:89">
      <c r="A68" s="554">
        <v>2020</v>
      </c>
      <c r="B68" s="549">
        <f>M68+W68+AG68+AQ68+BA68+BK68+BU68+CE68</f>
        <v>10</v>
      </c>
      <c r="C68" s="550">
        <f>P68+Z68+AJ68+AT68+BD68+BN68+BX68+CH68</f>
        <v>3880</v>
      </c>
      <c r="D68" s="551">
        <f t="shared" si="175"/>
        <v>0</v>
      </c>
      <c r="E68" s="555">
        <f t="shared" si="176"/>
        <v>0</v>
      </c>
      <c r="F68" s="552">
        <f>L68+V68+AF68+AP68+AZ68+BJ68+BT68+CD68</f>
        <v>6008</v>
      </c>
      <c r="G68" s="553">
        <f t="shared" si="177"/>
        <v>34</v>
      </c>
      <c r="H68" s="553">
        <f t="shared" si="178"/>
        <v>2417</v>
      </c>
      <c r="I68" s="558">
        <f t="shared" si="179"/>
        <v>12349</v>
      </c>
      <c r="K68" s="554">
        <v>2020</v>
      </c>
      <c r="L68" s="549">
        <f t="shared" ref="L68:R68" si="260">L12-L40</f>
        <v>6008</v>
      </c>
      <c r="M68" s="550">
        <f t="shared" si="260"/>
        <v>0</v>
      </c>
      <c r="N68" s="551">
        <f t="shared" si="260"/>
        <v>0</v>
      </c>
      <c r="O68" s="555"/>
      <c r="P68" s="552">
        <f t="shared" si="260"/>
        <v>310</v>
      </c>
      <c r="Q68" s="553">
        <f t="shared" si="260"/>
        <v>0</v>
      </c>
      <c r="R68" s="553">
        <f t="shared" si="260"/>
        <v>0</v>
      </c>
      <c r="S68" s="558">
        <f t="shared" si="181"/>
        <v>6318</v>
      </c>
      <c r="U68" s="554">
        <v>2020</v>
      </c>
      <c r="V68" s="549"/>
      <c r="W68" s="550">
        <f t="shared" ref="W68:AB68" si="261">W12-W40</f>
        <v>0</v>
      </c>
      <c r="X68" s="551">
        <f t="shared" si="261"/>
        <v>0</v>
      </c>
      <c r="Y68" s="555"/>
      <c r="Z68" s="552"/>
      <c r="AA68" s="553">
        <f t="shared" si="261"/>
        <v>0</v>
      </c>
      <c r="AB68" s="553">
        <f t="shared" si="261"/>
        <v>895</v>
      </c>
      <c r="AC68" s="558">
        <f t="shared" si="183"/>
        <v>895</v>
      </c>
      <c r="AE68" s="554">
        <v>2020</v>
      </c>
      <c r="AF68" s="549"/>
      <c r="AG68" s="550">
        <f t="shared" ref="AG68:AL68" si="262">AG12-AG40</f>
        <v>0</v>
      </c>
      <c r="AH68" s="551">
        <f t="shared" si="262"/>
        <v>0</v>
      </c>
      <c r="AI68" s="555">
        <f t="shared" si="262"/>
        <v>0</v>
      </c>
      <c r="AJ68" s="552"/>
      <c r="AK68" s="553">
        <f t="shared" si="262"/>
        <v>0</v>
      </c>
      <c r="AL68" s="553">
        <f t="shared" si="262"/>
        <v>1</v>
      </c>
      <c r="AM68" s="558">
        <f t="shared" si="185"/>
        <v>1</v>
      </c>
      <c r="AO68" s="554">
        <v>2020</v>
      </c>
      <c r="AP68" s="549"/>
      <c r="AQ68" s="550">
        <f t="shared" ref="AQ68:AU68" si="263">AQ12-AQ40</f>
        <v>10</v>
      </c>
      <c r="AR68" s="551">
        <f t="shared" si="263"/>
        <v>0</v>
      </c>
      <c r="AS68" s="555">
        <f t="shared" si="263"/>
        <v>0</v>
      </c>
      <c r="AT68" s="552">
        <f t="shared" si="263"/>
        <v>550</v>
      </c>
      <c r="AU68" s="553">
        <f t="shared" si="263"/>
        <v>0</v>
      </c>
      <c r="AV68" s="553">
        <f t="shared" ref="AV68" si="264">AV12-AV40</f>
        <v>506</v>
      </c>
      <c r="AW68" s="558">
        <f t="shared" si="188"/>
        <v>1066</v>
      </c>
      <c r="AY68" s="554">
        <v>2020</v>
      </c>
      <c r="AZ68" s="549"/>
      <c r="BA68" s="550">
        <f t="shared" ref="BA68:BE68" si="265">BA12-BA40</f>
        <v>0</v>
      </c>
      <c r="BB68" s="551">
        <f t="shared" si="265"/>
        <v>0</v>
      </c>
      <c r="BC68" s="555">
        <f t="shared" si="265"/>
        <v>0</v>
      </c>
      <c r="BD68" s="552">
        <f t="shared" si="265"/>
        <v>1455</v>
      </c>
      <c r="BE68" s="553">
        <f t="shared" si="265"/>
        <v>0</v>
      </c>
      <c r="BF68" s="553">
        <f t="shared" si="189"/>
        <v>68</v>
      </c>
      <c r="BG68" s="558">
        <f t="shared" si="190"/>
        <v>1523</v>
      </c>
      <c r="BI68" s="554">
        <v>2020</v>
      </c>
      <c r="BJ68" s="549"/>
      <c r="BK68" s="550">
        <f t="shared" ref="BK68:BO68" si="266">BK12-BK40</f>
        <v>0</v>
      </c>
      <c r="BL68" s="551">
        <f t="shared" si="266"/>
        <v>0</v>
      </c>
      <c r="BM68" s="555">
        <f t="shared" si="266"/>
        <v>0</v>
      </c>
      <c r="BN68" s="552">
        <f t="shared" si="266"/>
        <v>45</v>
      </c>
      <c r="BO68" s="553">
        <f t="shared" si="266"/>
        <v>0</v>
      </c>
      <c r="BP68" s="553">
        <f t="shared" si="191"/>
        <v>35</v>
      </c>
      <c r="BQ68" s="558">
        <f t="shared" si="192"/>
        <v>80</v>
      </c>
      <c r="BS68" s="554">
        <v>2020</v>
      </c>
      <c r="BT68" s="549"/>
      <c r="BU68" s="550">
        <f t="shared" ref="BU68:BY68" si="267">BU12-BU40</f>
        <v>0</v>
      </c>
      <c r="BV68" s="551">
        <f t="shared" si="267"/>
        <v>0</v>
      </c>
      <c r="BW68" s="555">
        <f t="shared" si="267"/>
        <v>0</v>
      </c>
      <c r="BX68" s="552"/>
      <c r="BY68" s="553">
        <f t="shared" si="267"/>
        <v>0</v>
      </c>
      <c r="BZ68" s="553">
        <f t="shared" si="193"/>
        <v>44</v>
      </c>
      <c r="CA68" s="558">
        <f t="shared" si="194"/>
        <v>44</v>
      </c>
      <c r="CB68" s="674"/>
      <c r="CC68" s="554">
        <v>2020</v>
      </c>
      <c r="CD68" s="549"/>
      <c r="CE68" s="550">
        <f t="shared" ref="CE68:CI68" si="268">CE12-CE40</f>
        <v>0</v>
      </c>
      <c r="CF68" s="551">
        <f t="shared" si="268"/>
        <v>0</v>
      </c>
      <c r="CG68" s="555">
        <f t="shared" si="268"/>
        <v>0</v>
      </c>
      <c r="CH68" s="552">
        <f t="shared" si="268"/>
        <v>1520</v>
      </c>
      <c r="CI68" s="553">
        <f t="shared" si="268"/>
        <v>34</v>
      </c>
      <c r="CJ68" s="553">
        <f t="shared" si="195"/>
        <v>868</v>
      </c>
      <c r="CK68" s="558">
        <f t="shared" si="196"/>
        <v>2422</v>
      </c>
    </row>
    <row r="69" spans="1:89">
      <c r="A69" s="554">
        <v>2021</v>
      </c>
      <c r="B69" s="549">
        <f>M69+W69+AG69+AQ69+BA69+BK69+BU69+CE69</f>
        <v>11</v>
      </c>
      <c r="C69" s="550">
        <f>P69+Z69+AJ69+AT69+BD69+BN69+BX69+CH69</f>
        <v>4025</v>
      </c>
      <c r="D69" s="551">
        <f t="shared" si="175"/>
        <v>0</v>
      </c>
      <c r="E69" s="555">
        <f t="shared" si="176"/>
        <v>0</v>
      </c>
      <c r="F69" s="552">
        <f>L69+V69+AF69+AP69+AZ69+BJ69+BT69+CD69</f>
        <v>6301</v>
      </c>
      <c r="G69" s="553">
        <f t="shared" si="177"/>
        <v>35</v>
      </c>
      <c r="H69" s="553">
        <f t="shared" si="178"/>
        <v>2470</v>
      </c>
      <c r="I69" s="558">
        <f t="shared" si="179"/>
        <v>12842</v>
      </c>
      <c r="K69" s="554">
        <v>2021</v>
      </c>
      <c r="L69" s="549">
        <f t="shared" ref="L69:R69" si="269">L13-L41</f>
        <v>6301</v>
      </c>
      <c r="M69" s="550">
        <f t="shared" si="269"/>
        <v>0</v>
      </c>
      <c r="N69" s="551">
        <f t="shared" si="269"/>
        <v>0</v>
      </c>
      <c r="O69" s="555"/>
      <c r="P69" s="552">
        <f t="shared" si="269"/>
        <v>320</v>
      </c>
      <c r="Q69" s="553">
        <f t="shared" si="269"/>
        <v>0</v>
      </c>
      <c r="R69" s="553">
        <f t="shared" si="269"/>
        <v>0</v>
      </c>
      <c r="S69" s="558">
        <f t="shared" si="181"/>
        <v>6621</v>
      </c>
      <c r="U69" s="554">
        <v>2021</v>
      </c>
      <c r="V69" s="549"/>
      <c r="W69" s="550">
        <f t="shared" ref="W69:AB69" si="270">W13-W41</f>
        <v>0</v>
      </c>
      <c r="X69" s="551">
        <f t="shared" si="270"/>
        <v>0</v>
      </c>
      <c r="Y69" s="555"/>
      <c r="Z69" s="552"/>
      <c r="AA69" s="553">
        <f t="shared" si="270"/>
        <v>0</v>
      </c>
      <c r="AB69" s="553">
        <f t="shared" si="270"/>
        <v>827</v>
      </c>
      <c r="AC69" s="558">
        <f t="shared" si="183"/>
        <v>827</v>
      </c>
      <c r="AE69" s="554">
        <v>2021</v>
      </c>
      <c r="AF69" s="549"/>
      <c r="AG69" s="550">
        <f t="shared" ref="AG69:AL69" si="271">AG13-AG41</f>
        <v>0</v>
      </c>
      <c r="AH69" s="551">
        <f t="shared" si="271"/>
        <v>0</v>
      </c>
      <c r="AI69" s="555">
        <f t="shared" si="271"/>
        <v>0</v>
      </c>
      <c r="AJ69" s="552"/>
      <c r="AK69" s="553">
        <f t="shared" si="271"/>
        <v>0</v>
      </c>
      <c r="AL69" s="553">
        <f t="shared" si="271"/>
        <v>1</v>
      </c>
      <c r="AM69" s="558">
        <f t="shared" si="185"/>
        <v>1</v>
      </c>
      <c r="AO69" s="554">
        <v>2021</v>
      </c>
      <c r="AP69" s="549"/>
      <c r="AQ69" s="550">
        <f t="shared" ref="AQ69:AU69" si="272">AQ13-AQ41</f>
        <v>11</v>
      </c>
      <c r="AR69" s="551">
        <f t="shared" si="272"/>
        <v>0</v>
      </c>
      <c r="AS69" s="555">
        <f t="shared" si="272"/>
        <v>0</v>
      </c>
      <c r="AT69" s="552">
        <f t="shared" si="272"/>
        <v>596</v>
      </c>
      <c r="AU69" s="553">
        <f t="shared" si="272"/>
        <v>0</v>
      </c>
      <c r="AV69" s="553">
        <f t="shared" ref="AV69" si="273">AV13-AV41</f>
        <v>544</v>
      </c>
      <c r="AW69" s="558">
        <f t="shared" si="188"/>
        <v>1151</v>
      </c>
      <c r="AY69" s="554">
        <v>2021</v>
      </c>
      <c r="AZ69" s="549"/>
      <c r="BA69" s="550">
        <f t="shared" ref="BA69:BE69" si="274">BA13-BA41</f>
        <v>0</v>
      </c>
      <c r="BB69" s="551">
        <f t="shared" si="274"/>
        <v>0</v>
      </c>
      <c r="BC69" s="555">
        <f t="shared" si="274"/>
        <v>0</v>
      </c>
      <c r="BD69" s="552">
        <f t="shared" si="274"/>
        <v>1434</v>
      </c>
      <c r="BE69" s="553">
        <f t="shared" si="274"/>
        <v>0</v>
      </c>
      <c r="BF69" s="553">
        <f t="shared" si="189"/>
        <v>66</v>
      </c>
      <c r="BG69" s="558">
        <f t="shared" si="190"/>
        <v>1500</v>
      </c>
      <c r="BI69" s="554">
        <v>2021</v>
      </c>
      <c r="BJ69" s="549"/>
      <c r="BK69" s="550">
        <f t="shared" ref="BK69:BO69" si="275">BK13-BK41</f>
        <v>0</v>
      </c>
      <c r="BL69" s="551">
        <f t="shared" si="275"/>
        <v>0</v>
      </c>
      <c r="BM69" s="555">
        <f t="shared" si="275"/>
        <v>0</v>
      </c>
      <c r="BN69" s="552">
        <f t="shared" si="275"/>
        <v>53</v>
      </c>
      <c r="BO69" s="553">
        <f t="shared" si="275"/>
        <v>0</v>
      </c>
      <c r="BP69" s="553">
        <f t="shared" si="191"/>
        <v>40</v>
      </c>
      <c r="BQ69" s="558">
        <f t="shared" si="192"/>
        <v>93</v>
      </c>
      <c r="BS69" s="554">
        <v>2021</v>
      </c>
      <c r="BT69" s="549"/>
      <c r="BU69" s="550">
        <f t="shared" ref="BU69:BY69" si="276">BU13-BU41</f>
        <v>0</v>
      </c>
      <c r="BV69" s="551">
        <f t="shared" si="276"/>
        <v>0</v>
      </c>
      <c r="BW69" s="555">
        <f t="shared" si="276"/>
        <v>0</v>
      </c>
      <c r="BX69" s="552"/>
      <c r="BY69" s="553">
        <f t="shared" si="276"/>
        <v>0</v>
      </c>
      <c r="BZ69" s="553">
        <f t="shared" si="193"/>
        <v>48</v>
      </c>
      <c r="CA69" s="558">
        <f t="shared" si="194"/>
        <v>48</v>
      </c>
      <c r="CB69" s="674"/>
      <c r="CC69" s="554">
        <v>2021</v>
      </c>
      <c r="CD69" s="549"/>
      <c r="CE69" s="550">
        <f t="shared" ref="CE69:CI69" si="277">CE13-CE41</f>
        <v>0</v>
      </c>
      <c r="CF69" s="551">
        <f t="shared" si="277"/>
        <v>0</v>
      </c>
      <c r="CG69" s="555">
        <f t="shared" si="277"/>
        <v>0</v>
      </c>
      <c r="CH69" s="552">
        <f t="shared" si="277"/>
        <v>1622</v>
      </c>
      <c r="CI69" s="553">
        <f t="shared" si="277"/>
        <v>35</v>
      </c>
      <c r="CJ69" s="553">
        <f t="shared" si="195"/>
        <v>944</v>
      </c>
      <c r="CK69" s="558">
        <f t="shared" si="196"/>
        <v>2601</v>
      </c>
    </row>
    <row r="71" spans="1:89">
      <c r="A71" s="672" t="s">
        <v>1053</v>
      </c>
      <c r="B71" s="673" t="s">
        <v>748</v>
      </c>
      <c r="C71" s="673" t="s">
        <v>1054</v>
      </c>
      <c r="D71" s="673" t="s">
        <v>1055</v>
      </c>
      <c r="E71" s="673" t="s">
        <v>1056</v>
      </c>
      <c r="K71" s="672" t="s">
        <v>1034</v>
      </c>
      <c r="U71" s="673" t="s">
        <v>1033</v>
      </c>
      <c r="AE71" s="673" t="s">
        <v>1032</v>
      </c>
      <c r="AO71" s="673" t="s">
        <v>1031</v>
      </c>
      <c r="AY71" s="673" t="s">
        <v>1030</v>
      </c>
      <c r="BI71" s="672" t="s">
        <v>1029</v>
      </c>
      <c r="BS71" s="673" t="s">
        <v>1028</v>
      </c>
      <c r="CC71" s="672" t="s">
        <v>1027</v>
      </c>
    </row>
    <row r="72" spans="1:89">
      <c r="A72" s="674" t="s">
        <v>481</v>
      </c>
      <c r="B72" s="674" t="s">
        <v>989</v>
      </c>
      <c r="C72" s="674" t="s">
        <v>1008</v>
      </c>
      <c r="D72" s="674" t="s">
        <v>991</v>
      </c>
      <c r="E72" s="674" t="s">
        <v>993</v>
      </c>
      <c r="F72" s="674" t="s">
        <v>988</v>
      </c>
      <c r="G72" s="674" t="s">
        <v>1009</v>
      </c>
      <c r="H72" s="674" t="s">
        <v>994</v>
      </c>
      <c r="I72" s="674" t="s">
        <v>1026</v>
      </c>
      <c r="K72" s="674" t="s">
        <v>481</v>
      </c>
      <c r="L72" s="674" t="s">
        <v>988</v>
      </c>
      <c r="M72" s="674" t="s">
        <v>989</v>
      </c>
      <c r="N72" s="674" t="s">
        <v>991</v>
      </c>
      <c r="O72" s="674"/>
      <c r="P72" s="674" t="s">
        <v>1008</v>
      </c>
      <c r="Q72" s="674" t="s">
        <v>1009</v>
      </c>
      <c r="R72" s="674" t="s">
        <v>994</v>
      </c>
      <c r="S72" s="674"/>
      <c r="U72" s="674" t="s">
        <v>481</v>
      </c>
      <c r="V72" s="674" t="s">
        <v>988</v>
      </c>
      <c r="W72" s="674" t="s">
        <v>989</v>
      </c>
      <c r="X72" s="674" t="s">
        <v>991</v>
      </c>
      <c r="Y72" s="674"/>
      <c r="Z72" s="674" t="s">
        <v>1008</v>
      </c>
      <c r="AA72" s="674" t="s">
        <v>1009</v>
      </c>
      <c r="AB72" s="674" t="s">
        <v>994</v>
      </c>
      <c r="AC72" s="674"/>
      <c r="AE72" s="674" t="s">
        <v>481</v>
      </c>
      <c r="AF72" s="674" t="s">
        <v>988</v>
      </c>
      <c r="AG72" s="674" t="s">
        <v>989</v>
      </c>
      <c r="AH72" s="674" t="s">
        <v>991</v>
      </c>
      <c r="AI72" s="674" t="s">
        <v>993</v>
      </c>
      <c r="AJ72" s="674" t="s">
        <v>1008</v>
      </c>
      <c r="AK72" s="674" t="s">
        <v>1009</v>
      </c>
      <c r="AL72" s="674" t="s">
        <v>994</v>
      </c>
      <c r="AM72" s="674"/>
      <c r="AO72" s="674" t="s">
        <v>481</v>
      </c>
      <c r="AP72" s="674" t="s">
        <v>988</v>
      </c>
      <c r="AQ72" s="674" t="s">
        <v>989</v>
      </c>
      <c r="AR72" s="674" t="s">
        <v>991</v>
      </c>
      <c r="AS72" s="674" t="s">
        <v>993</v>
      </c>
      <c r="AT72" s="674" t="s">
        <v>1008</v>
      </c>
      <c r="AU72" s="674" t="s">
        <v>1009</v>
      </c>
      <c r="AV72" s="674" t="s">
        <v>994</v>
      </c>
      <c r="AW72" s="674"/>
      <c r="AY72" s="674" t="s">
        <v>481</v>
      </c>
      <c r="AZ72" s="674" t="s">
        <v>988</v>
      </c>
      <c r="BA72" s="674" t="s">
        <v>989</v>
      </c>
      <c r="BB72" s="674" t="s">
        <v>991</v>
      </c>
      <c r="BC72" s="674" t="s">
        <v>993</v>
      </c>
      <c r="BD72" s="674" t="s">
        <v>1008</v>
      </c>
      <c r="BE72" s="674" t="s">
        <v>1009</v>
      </c>
      <c r="BF72" s="674" t="s">
        <v>994</v>
      </c>
      <c r="BG72" s="674"/>
      <c r="BI72" s="674" t="s">
        <v>481</v>
      </c>
      <c r="BJ72" s="674" t="s">
        <v>988</v>
      </c>
      <c r="BK72" s="674" t="s">
        <v>989</v>
      </c>
      <c r="BL72" s="674" t="s">
        <v>991</v>
      </c>
      <c r="BM72" s="674" t="s">
        <v>993</v>
      </c>
      <c r="BN72" s="674" t="s">
        <v>1008</v>
      </c>
      <c r="BO72" s="674" t="s">
        <v>1009</v>
      </c>
      <c r="BP72" s="674" t="s">
        <v>994</v>
      </c>
      <c r="BQ72" s="674"/>
      <c r="BS72" s="674" t="s">
        <v>481</v>
      </c>
      <c r="BT72" s="674" t="s">
        <v>988</v>
      </c>
      <c r="BU72" s="674" t="s">
        <v>989</v>
      </c>
      <c r="BV72" s="674" t="s">
        <v>991</v>
      </c>
      <c r="BW72" s="674" t="s">
        <v>993</v>
      </c>
      <c r="BY72" s="674" t="s">
        <v>1009</v>
      </c>
      <c r="BZ72" s="674" t="s">
        <v>994</v>
      </c>
      <c r="CA72" s="674"/>
      <c r="CB72" s="674"/>
      <c r="CC72" s="674" t="s">
        <v>481</v>
      </c>
      <c r="CD72" s="674" t="s">
        <v>988</v>
      </c>
      <c r="CE72" s="674" t="s">
        <v>989</v>
      </c>
      <c r="CF72" s="674" t="s">
        <v>991</v>
      </c>
      <c r="CG72" s="674" t="s">
        <v>993</v>
      </c>
      <c r="CH72" s="674" t="s">
        <v>1008</v>
      </c>
      <c r="CI72" s="674" t="s">
        <v>1009</v>
      </c>
      <c r="CJ72" s="674" t="s">
        <v>994</v>
      </c>
      <c r="CK72" s="674"/>
    </row>
    <row r="73" spans="1:89">
      <c r="A73" s="674">
        <v>2011</v>
      </c>
      <c r="B73" s="1">
        <f>B59/$I59</f>
        <v>7.4492519709479178E-4</v>
      </c>
      <c r="C73" s="1">
        <f>C59/$I59</f>
        <v>0.23967968216524924</v>
      </c>
      <c r="D73" s="1">
        <f t="shared" ref="D73:H73" si="278">D59/$I59</f>
        <v>0</v>
      </c>
      <c r="E73" s="1">
        <f t="shared" si="278"/>
        <v>0</v>
      </c>
      <c r="F73" s="1">
        <f>F59/$I59</f>
        <v>0.54373331677944003</v>
      </c>
      <c r="G73" s="1">
        <f t="shared" si="278"/>
        <v>0</v>
      </c>
      <c r="H73" s="1">
        <f t="shared" si="278"/>
        <v>0.21584207585821591</v>
      </c>
      <c r="I73" s="675">
        <f>SUM(B73:H73)</f>
        <v>1</v>
      </c>
      <c r="K73" s="674">
        <v>2011</v>
      </c>
      <c r="L73" s="1">
        <f>L59/$S59</f>
        <v>0.9452838333693071</v>
      </c>
      <c r="M73" s="1">
        <f>M59/$S59</f>
        <v>0</v>
      </c>
      <c r="N73" s="1">
        <f>N59/$S59</f>
        <v>0</v>
      </c>
      <c r="O73" s="1"/>
      <c r="P73" s="1">
        <f>P59/$S59</f>
        <v>4.8996330671271314E-2</v>
      </c>
      <c r="Q73" s="1">
        <f>Q59/$S59</f>
        <v>0</v>
      </c>
      <c r="R73" s="1">
        <f>R59/$S59</f>
        <v>5.7198359594215408E-3</v>
      </c>
      <c r="S73" s="674">
        <f>SUM(L73:R73)</f>
        <v>0.99999999999999989</v>
      </c>
      <c r="U73" s="674">
        <v>2011</v>
      </c>
      <c r="V73" s="674"/>
      <c r="W73" s="673">
        <f>W59/$AC59</f>
        <v>0</v>
      </c>
      <c r="X73" s="673">
        <f t="shared" ref="X73:AB73" si="279">X59/$AC59</f>
        <v>0</v>
      </c>
      <c r="AA73" s="673">
        <f t="shared" si="279"/>
        <v>0</v>
      </c>
      <c r="AB73" s="673">
        <f t="shared" si="279"/>
        <v>1</v>
      </c>
      <c r="AC73" s="674">
        <f>SUM(V73:AB73)</f>
        <v>1</v>
      </c>
      <c r="AE73" s="674">
        <v>2011</v>
      </c>
      <c r="AF73" s="674"/>
      <c r="AG73" s="673">
        <f>IFERROR(AG59/$AM59,0)</f>
        <v>0</v>
      </c>
      <c r="AH73" s="673">
        <f>IFERROR(AH59/$AM59,0)</f>
        <v>0</v>
      </c>
      <c r="AI73" s="673">
        <f>IFERROR(AI59/$AM59,0)</f>
        <v>0</v>
      </c>
      <c r="AK73" s="673">
        <f>IFERROR(AK59/$AM59,0)</f>
        <v>0</v>
      </c>
      <c r="AL73" s="673">
        <f>IFERROR(AL59/$AM59,0)</f>
        <v>0</v>
      </c>
      <c r="AM73" s="674">
        <f>SUM(AF73:AL73)</f>
        <v>0</v>
      </c>
      <c r="AO73" s="674">
        <v>2011</v>
      </c>
      <c r="AP73" s="674"/>
      <c r="AQ73" s="1">
        <f>IFERROR(AQ59/$AW59,0)</f>
        <v>0</v>
      </c>
      <c r="AR73" s="1">
        <f t="shared" ref="AR73:AV73" si="280">IFERROR(AR59/$AW59,0)</f>
        <v>0</v>
      </c>
      <c r="AS73" s="1">
        <f t="shared" si="280"/>
        <v>0</v>
      </c>
      <c r="AT73" s="1">
        <f t="shared" si="280"/>
        <v>0</v>
      </c>
      <c r="AU73" s="1">
        <f t="shared" si="280"/>
        <v>0</v>
      </c>
      <c r="AV73" s="1">
        <f t="shared" si="280"/>
        <v>0</v>
      </c>
      <c r="AW73" s="674">
        <f>SUM(AP73:AV73)</f>
        <v>0</v>
      </c>
      <c r="AY73" s="674">
        <v>2011</v>
      </c>
      <c r="AZ73" s="674"/>
      <c r="BA73" s="1">
        <f>IFERROR(BA59/$BG59,0)</f>
        <v>0</v>
      </c>
      <c r="BB73" s="1">
        <f t="shared" ref="BB73:BF73" si="281">IFERROR(BB59/$BG59,0)</f>
        <v>0</v>
      </c>
      <c r="BC73" s="1">
        <f t="shared" si="281"/>
        <v>0</v>
      </c>
      <c r="BD73" s="1">
        <f t="shared" si="281"/>
        <v>0</v>
      </c>
      <c r="BE73" s="1">
        <f t="shared" si="281"/>
        <v>0</v>
      </c>
      <c r="BF73" s="1">
        <f t="shared" si="281"/>
        <v>0</v>
      </c>
      <c r="BG73" s="674">
        <f>SUM(AZ73:BF73)</f>
        <v>0</v>
      </c>
      <c r="BI73" s="674">
        <v>2011</v>
      </c>
      <c r="BJ73" s="674"/>
      <c r="BK73" s="1">
        <f>IFERROR(BK59/$BQ59,0)</f>
        <v>0</v>
      </c>
      <c r="BL73" s="1">
        <f t="shared" ref="BL73:BP73" si="282">IFERROR(BL59/$BQ59,0)</f>
        <v>0</v>
      </c>
      <c r="BM73" s="1">
        <f t="shared" si="282"/>
        <v>0</v>
      </c>
      <c r="BN73" s="1">
        <f t="shared" si="282"/>
        <v>0</v>
      </c>
      <c r="BO73" s="1">
        <f t="shared" si="282"/>
        <v>0</v>
      </c>
      <c r="BP73" s="1">
        <f t="shared" si="282"/>
        <v>0</v>
      </c>
      <c r="BQ73" s="674">
        <f>SUM(BJ73:BP73)</f>
        <v>0</v>
      </c>
      <c r="BS73" s="674">
        <v>2011</v>
      </c>
      <c r="BT73" s="674"/>
      <c r="BU73" s="1">
        <f>IFERROR(BU59/$CA59,0)</f>
        <v>0</v>
      </c>
      <c r="BV73" s="1">
        <f>IFERROR(BV59/$CA59,0)</f>
        <v>0</v>
      </c>
      <c r="BW73" s="1">
        <f>IFERROR(BW59/$CA59,0)</f>
        <v>0</v>
      </c>
      <c r="BY73" s="1">
        <f>IFERROR(BY59/$CA59,0)</f>
        <v>0</v>
      </c>
      <c r="BZ73" s="1">
        <f>IFERROR(BZ59/$CA59,0)</f>
        <v>0</v>
      </c>
      <c r="CA73" s="674">
        <f>SUM(BT73:BZ73)</f>
        <v>0</v>
      </c>
      <c r="CB73" s="674"/>
      <c r="CC73" s="674">
        <v>2011</v>
      </c>
      <c r="CD73" s="674"/>
      <c r="CE73" s="1">
        <f>IFERROR(CE59/$CK59,0)</f>
        <v>2.0516327577363653E-3</v>
      </c>
      <c r="CF73" s="1">
        <f t="shared" ref="CF73:CJ73" si="283">IFERROR(CF59/$CK59,0)</f>
        <v>0</v>
      </c>
      <c r="CG73" s="1">
        <f t="shared" si="283"/>
        <v>0</v>
      </c>
      <c r="CH73" s="1">
        <f t="shared" si="283"/>
        <v>0.5824927338006497</v>
      </c>
      <c r="CI73" s="1">
        <f t="shared" si="283"/>
        <v>0</v>
      </c>
      <c r="CJ73" s="1">
        <f t="shared" si="283"/>
        <v>0.41545563344161396</v>
      </c>
      <c r="CK73" s="674">
        <f>SUM(CD73:CJ73)</f>
        <v>1</v>
      </c>
    </row>
    <row r="74" spans="1:89">
      <c r="A74" s="674">
        <v>2012</v>
      </c>
      <c r="B74" s="1">
        <f>B60/$I60</f>
        <v>8.1377151799687014E-4</v>
      </c>
      <c r="C74" s="1">
        <f>C60/$I60</f>
        <v>0.25020344287949919</v>
      </c>
      <c r="D74" s="1">
        <f t="shared" ref="D74:H74" si="284">D60/$I60</f>
        <v>0</v>
      </c>
      <c r="E74" s="1">
        <f t="shared" si="284"/>
        <v>0</v>
      </c>
      <c r="F74" s="1">
        <f>F60/$I60</f>
        <v>0.5313928012519562</v>
      </c>
      <c r="G74" s="1">
        <f t="shared" si="284"/>
        <v>0</v>
      </c>
      <c r="H74" s="1">
        <f t="shared" si="284"/>
        <v>0.21758998435054774</v>
      </c>
      <c r="I74" s="675">
        <f t="shared" ref="I74:I83" si="285">SUM(B74:H74)</f>
        <v>1</v>
      </c>
      <c r="K74" s="674">
        <v>2012</v>
      </c>
      <c r="L74" s="1">
        <f>L60/$S60</f>
        <v>0.94574420677361859</v>
      </c>
      <c r="M74" s="1">
        <f>M60/$S60</f>
        <v>0</v>
      </c>
      <c r="N74" s="1">
        <f>N60/$S60</f>
        <v>0</v>
      </c>
      <c r="O74" s="1"/>
      <c r="P74" s="1">
        <f>P60/$S60</f>
        <v>4.9131016042780751E-2</v>
      </c>
      <c r="Q74" s="1">
        <f>Q60/$S60</f>
        <v>0</v>
      </c>
      <c r="R74" s="1">
        <f>R60/$S60</f>
        <v>5.1247771836007133E-3</v>
      </c>
      <c r="S74" s="674">
        <f t="shared" ref="S74:S83" si="286">SUM(L74:R74)</f>
        <v>1</v>
      </c>
      <c r="U74" s="674">
        <v>2012</v>
      </c>
      <c r="V74" s="674"/>
      <c r="W74" s="673">
        <f t="shared" ref="W74:AB74" si="287">W60/$AC60</f>
        <v>0</v>
      </c>
      <c r="X74" s="673">
        <f t="shared" si="287"/>
        <v>0</v>
      </c>
      <c r="AA74" s="673">
        <f t="shared" si="287"/>
        <v>0</v>
      </c>
      <c r="AB74" s="673">
        <f t="shared" si="287"/>
        <v>1</v>
      </c>
      <c r="AC74" s="674">
        <f t="shared" ref="AC74:AC83" si="288">SUM(V74:AB74)</f>
        <v>1</v>
      </c>
      <c r="AE74" s="674">
        <v>2012</v>
      </c>
      <c r="AF74" s="674"/>
      <c r="AG74" s="673">
        <f>IFERROR(AG60/$AM60,0)</f>
        <v>0</v>
      </c>
      <c r="AH74" s="673">
        <f>IFERROR(AH60/$AM60,0)</f>
        <v>0</v>
      </c>
      <c r="AI74" s="673">
        <f>IFERROR(AI60/$AM60,0)</f>
        <v>0</v>
      </c>
      <c r="AK74" s="673">
        <f>IFERROR(AK60/$AM60,0)</f>
        <v>0</v>
      </c>
      <c r="AL74" s="673">
        <f>IFERROR(AL60/$AM60,0)</f>
        <v>0</v>
      </c>
      <c r="AM74" s="674">
        <f t="shared" ref="AM74:AM83" si="289">SUM(AF74:AL74)</f>
        <v>0</v>
      </c>
      <c r="AO74" s="674">
        <v>2012</v>
      </c>
      <c r="AP74" s="674"/>
      <c r="AQ74" s="1">
        <f t="shared" ref="AQ74:AV74" si="290">IFERROR(AQ60/$AW60,0)</f>
        <v>1.0458567980691875E-2</v>
      </c>
      <c r="AR74" s="1">
        <f t="shared" si="290"/>
        <v>0</v>
      </c>
      <c r="AS74" s="1">
        <f t="shared" si="290"/>
        <v>0</v>
      </c>
      <c r="AT74" s="1">
        <f t="shared" si="290"/>
        <v>0.52775543041029771</v>
      </c>
      <c r="AU74" s="1">
        <f t="shared" si="290"/>
        <v>0</v>
      </c>
      <c r="AV74" s="1">
        <f t="shared" si="290"/>
        <v>0.46178600160901045</v>
      </c>
      <c r="AW74" s="674">
        <f t="shared" ref="AW74:AW83" si="291">SUM(AP74:AV74)</f>
        <v>1</v>
      </c>
      <c r="AY74" s="674">
        <v>2012</v>
      </c>
      <c r="AZ74" s="674"/>
      <c r="BA74" s="1">
        <f t="shared" ref="BA74:BF74" si="292">IFERROR(BA60/$BG60,0)</f>
        <v>0</v>
      </c>
      <c r="BB74" s="1">
        <f t="shared" si="292"/>
        <v>0</v>
      </c>
      <c r="BC74" s="1">
        <f t="shared" si="292"/>
        <v>0</v>
      </c>
      <c r="BD74" s="1">
        <f t="shared" si="292"/>
        <v>0.80232558139534882</v>
      </c>
      <c r="BE74" s="1">
        <f t="shared" si="292"/>
        <v>0</v>
      </c>
      <c r="BF74" s="1">
        <f t="shared" si="292"/>
        <v>0.19767441860465115</v>
      </c>
      <c r="BG74" s="674">
        <f t="shared" ref="BG74:BG83" si="293">SUM(AZ74:BF74)</f>
        <v>1</v>
      </c>
      <c r="BI74" s="674">
        <v>2012</v>
      </c>
      <c r="BJ74" s="674"/>
      <c r="BK74" s="1">
        <f t="shared" ref="BK74:BP74" si="294">IFERROR(BK60/$BQ60,0)</f>
        <v>0</v>
      </c>
      <c r="BL74" s="1">
        <f t="shared" si="294"/>
        <v>0</v>
      </c>
      <c r="BM74" s="1">
        <f t="shared" si="294"/>
        <v>0</v>
      </c>
      <c r="BN74" s="1">
        <f t="shared" si="294"/>
        <v>0.37272727272727274</v>
      </c>
      <c r="BO74" s="1">
        <f t="shared" si="294"/>
        <v>0</v>
      </c>
      <c r="BP74" s="1">
        <f t="shared" si="294"/>
        <v>0.62727272727272732</v>
      </c>
      <c r="BQ74" s="674">
        <f t="shared" ref="BQ74:BQ83" si="295">SUM(BJ74:BP74)</f>
        <v>1</v>
      </c>
      <c r="BS74" s="674">
        <v>2012</v>
      </c>
      <c r="BT74" s="674"/>
      <c r="BU74" s="1">
        <f>IFERROR(BU60/$CA60,0)</f>
        <v>0</v>
      </c>
      <c r="BV74" s="1">
        <f>IFERROR(BV60/$CA60,0)</f>
        <v>0</v>
      </c>
      <c r="BW74" s="1">
        <f>IFERROR(BW60/$CA60,0)</f>
        <v>0</v>
      </c>
      <c r="BY74" s="1">
        <f>IFERROR(BY60/$CA60,0)</f>
        <v>0</v>
      </c>
      <c r="BZ74" s="1">
        <f>IFERROR(BZ60/$CA60,0)</f>
        <v>0</v>
      </c>
      <c r="CA74" s="674">
        <f t="shared" ref="CA74:CA83" si="296">SUM(BT74:BZ74)</f>
        <v>0</v>
      </c>
      <c r="CB74" s="674"/>
      <c r="CC74" s="674">
        <v>2012</v>
      </c>
      <c r="CD74" s="674"/>
      <c r="CE74" s="1">
        <f t="shared" ref="CE74:CJ74" si="297">IFERROR(CE60/$CK60,0)</f>
        <v>0</v>
      </c>
      <c r="CF74" s="1">
        <f t="shared" si="297"/>
        <v>0</v>
      </c>
      <c r="CG74" s="1">
        <f t="shared" si="297"/>
        <v>0</v>
      </c>
      <c r="CH74" s="1">
        <f t="shared" si="297"/>
        <v>0.49017341040462425</v>
      </c>
      <c r="CI74" s="1">
        <f t="shared" si="297"/>
        <v>0</v>
      </c>
      <c r="CJ74" s="1">
        <f t="shared" si="297"/>
        <v>0.50982658959537575</v>
      </c>
      <c r="CK74" s="674">
        <f t="shared" ref="CK74:CK83" si="298">SUM(CD74:CJ74)</f>
        <v>1</v>
      </c>
    </row>
    <row r="75" spans="1:89">
      <c r="A75" s="674">
        <v>2013</v>
      </c>
      <c r="B75" s="1">
        <f>B61/$I61</f>
        <v>8.1295728847476708E-4</v>
      </c>
      <c r="C75" s="1">
        <f>C61/$I61</f>
        <v>0.25101619661059343</v>
      </c>
      <c r="D75" s="1">
        <f t="shared" ref="D75:H75" si="299">D61/$I61</f>
        <v>0</v>
      </c>
      <c r="E75" s="1">
        <f t="shared" si="299"/>
        <v>0</v>
      </c>
      <c r="F75" s="1">
        <f>F61/$I61</f>
        <v>0.52767181539616037</v>
      </c>
      <c r="G75" s="1">
        <f t="shared" si="299"/>
        <v>0</v>
      </c>
      <c r="H75" s="1">
        <f t="shared" si="299"/>
        <v>0.22049903070477142</v>
      </c>
      <c r="I75" s="675">
        <f t="shared" si="285"/>
        <v>1</v>
      </c>
      <c r="K75" s="674">
        <v>2013</v>
      </c>
      <c r="L75" s="1">
        <f>L61/$S61</f>
        <v>0.94681328545780974</v>
      </c>
      <c r="M75" s="1">
        <f>M61/$S61</f>
        <v>0</v>
      </c>
      <c r="N75" s="1">
        <f>N61/$S61</f>
        <v>0</v>
      </c>
      <c r="O75" s="1"/>
      <c r="P75" s="1">
        <f>P61/$S61</f>
        <v>4.8922800718132854E-2</v>
      </c>
      <c r="Q75" s="1">
        <f>Q61/$S61</f>
        <v>0</v>
      </c>
      <c r="R75" s="1">
        <f>R61/$S61</f>
        <v>4.263913824057451E-3</v>
      </c>
      <c r="S75" s="674">
        <f t="shared" si="286"/>
        <v>1</v>
      </c>
      <c r="U75" s="674">
        <v>2013</v>
      </c>
      <c r="V75" s="674"/>
      <c r="W75" s="673">
        <f t="shared" ref="W75:AB75" si="300">W61/$AC61</f>
        <v>0</v>
      </c>
      <c r="X75" s="673">
        <f t="shared" si="300"/>
        <v>0</v>
      </c>
      <c r="AA75" s="673">
        <f t="shared" si="300"/>
        <v>0</v>
      </c>
      <c r="AB75" s="673">
        <f t="shared" si="300"/>
        <v>1</v>
      </c>
      <c r="AC75" s="674">
        <f t="shared" si="288"/>
        <v>1</v>
      </c>
      <c r="AE75" s="674">
        <v>2013</v>
      </c>
      <c r="AF75" s="674"/>
      <c r="AG75" s="673">
        <f>IFERROR(AG61/$AM61,0)</f>
        <v>0</v>
      </c>
      <c r="AH75" s="673">
        <f>IFERROR(AH61/$AM61,0)</f>
        <v>0</v>
      </c>
      <c r="AI75" s="673">
        <f>IFERROR(AI61/$AM61,0)</f>
        <v>0</v>
      </c>
      <c r="AK75" s="673">
        <f>IFERROR(AK61/$AM61,0)</f>
        <v>0</v>
      </c>
      <c r="AL75" s="673">
        <f>IFERROR(AL61/$AM61,0)</f>
        <v>1</v>
      </c>
      <c r="AM75" s="674">
        <f t="shared" si="289"/>
        <v>1</v>
      </c>
      <c r="AO75" s="674">
        <v>2013</v>
      </c>
      <c r="AP75" s="674"/>
      <c r="AQ75" s="1">
        <f t="shared" ref="AQ75:AV75" si="301">IFERROR(AQ61/$AW61,0)</f>
        <v>1.0276679841897233E-2</v>
      </c>
      <c r="AR75" s="1">
        <f t="shared" si="301"/>
        <v>0</v>
      </c>
      <c r="AS75" s="1">
        <f t="shared" si="301"/>
        <v>0</v>
      </c>
      <c r="AT75" s="1">
        <f t="shared" si="301"/>
        <v>0.5304347826086957</v>
      </c>
      <c r="AU75" s="1">
        <f t="shared" si="301"/>
        <v>0</v>
      </c>
      <c r="AV75" s="1">
        <f t="shared" si="301"/>
        <v>0.45928853754940713</v>
      </c>
      <c r="AW75" s="674">
        <f t="shared" si="291"/>
        <v>1</v>
      </c>
      <c r="AY75" s="674">
        <v>2013</v>
      </c>
      <c r="AZ75" s="674"/>
      <c r="BA75" s="1">
        <f t="shared" ref="BA75:BF75" si="302">IFERROR(BA61/$BG61,0)</f>
        <v>0</v>
      </c>
      <c r="BB75" s="1">
        <f t="shared" si="302"/>
        <v>0</v>
      </c>
      <c r="BC75" s="1">
        <f t="shared" si="302"/>
        <v>0</v>
      </c>
      <c r="BD75" s="1">
        <f t="shared" si="302"/>
        <v>0.81146223888591318</v>
      </c>
      <c r="BE75" s="1">
        <f t="shared" si="302"/>
        <v>0</v>
      </c>
      <c r="BF75" s="1">
        <f t="shared" si="302"/>
        <v>0.18853776111408677</v>
      </c>
      <c r="BG75" s="674">
        <f t="shared" si="293"/>
        <v>1</v>
      </c>
      <c r="BI75" s="674">
        <v>2013</v>
      </c>
      <c r="BJ75" s="674"/>
      <c r="BK75" s="1">
        <f t="shared" ref="BK75:BP75" si="303">IFERROR(BK61/$BQ61,0)</f>
        <v>0</v>
      </c>
      <c r="BL75" s="1">
        <f t="shared" si="303"/>
        <v>0</v>
      </c>
      <c r="BM75" s="1">
        <f t="shared" si="303"/>
        <v>0</v>
      </c>
      <c r="BN75" s="1">
        <f t="shared" si="303"/>
        <v>0.38596491228070173</v>
      </c>
      <c r="BO75" s="1">
        <f t="shared" si="303"/>
        <v>0</v>
      </c>
      <c r="BP75" s="1">
        <f t="shared" si="303"/>
        <v>0.61403508771929827</v>
      </c>
      <c r="BQ75" s="674">
        <f t="shared" si="295"/>
        <v>1</v>
      </c>
      <c r="BS75" s="674">
        <v>2013</v>
      </c>
      <c r="BT75" s="674"/>
      <c r="BU75" s="1">
        <f>IFERROR(BU61/$CA61,0)</f>
        <v>0</v>
      </c>
      <c r="BV75" s="1">
        <f>IFERROR(BV61/$CA61,0)</f>
        <v>0</v>
      </c>
      <c r="BW75" s="1">
        <f>IFERROR(BW61/$CA61,0)</f>
        <v>0</v>
      </c>
      <c r="BY75" s="1">
        <f>IFERROR(BY61/$CA61,0)</f>
        <v>0</v>
      </c>
      <c r="BZ75" s="1">
        <f>IFERROR(BZ61/$CA61,0)</f>
        <v>0</v>
      </c>
      <c r="CA75" s="674">
        <f t="shared" si="296"/>
        <v>0</v>
      </c>
      <c r="CB75" s="674"/>
      <c r="CC75" s="674">
        <v>2013</v>
      </c>
      <c r="CD75" s="674"/>
      <c r="CE75" s="1">
        <f t="shared" ref="CE75:CJ75" si="304">IFERROR(CE61/$CK61,0)</f>
        <v>0</v>
      </c>
      <c r="CF75" s="1">
        <f t="shared" si="304"/>
        <v>0</v>
      </c>
      <c r="CG75" s="1">
        <f t="shared" si="304"/>
        <v>0</v>
      </c>
      <c r="CH75" s="1">
        <f t="shared" si="304"/>
        <v>0.51060606060606062</v>
      </c>
      <c r="CI75" s="1">
        <f t="shared" si="304"/>
        <v>0</v>
      </c>
      <c r="CJ75" s="1">
        <f t="shared" si="304"/>
        <v>0.48939393939393938</v>
      </c>
      <c r="CK75" s="674">
        <f t="shared" si="298"/>
        <v>1</v>
      </c>
    </row>
    <row r="76" spans="1:89">
      <c r="A76" s="674">
        <v>2014</v>
      </c>
      <c r="B76" s="1">
        <f>B62/$I62</f>
        <v>7.4335625348448246E-4</v>
      </c>
      <c r="C76" s="1">
        <f>C62/$I62</f>
        <v>0.25614817567986126</v>
      </c>
      <c r="D76" s="1">
        <f t="shared" ref="D76:H76" si="305">D62/$I62</f>
        <v>0</v>
      </c>
      <c r="E76" s="1">
        <f t="shared" si="305"/>
        <v>0</v>
      </c>
      <c r="F76" s="1">
        <f>F62/$I62</f>
        <v>0.51526977637366045</v>
      </c>
      <c r="G76" s="1">
        <f t="shared" si="305"/>
        <v>0</v>
      </c>
      <c r="H76" s="1">
        <f t="shared" si="305"/>
        <v>0.22783869169299387</v>
      </c>
      <c r="I76" s="675">
        <f t="shared" si="285"/>
        <v>1</v>
      </c>
      <c r="K76" s="674">
        <v>2014</v>
      </c>
      <c r="L76" s="1">
        <f>L62/$S62</f>
        <v>0.94802826532938222</v>
      </c>
      <c r="M76" s="1">
        <f>M62/$S62</f>
        <v>0</v>
      </c>
      <c r="N76" s="1">
        <f>N62/$S62</f>
        <v>0</v>
      </c>
      <c r="O76" s="1"/>
      <c r="P76" s="1">
        <f>P62/$S62</f>
        <v>4.8438568497834511E-2</v>
      </c>
      <c r="Q76" s="1">
        <f>Q62/$S62</f>
        <v>0</v>
      </c>
      <c r="R76" s="1">
        <f>R62/$S62</f>
        <v>3.533166172783223E-3</v>
      </c>
      <c r="S76" s="674">
        <f t="shared" si="286"/>
        <v>0.99999999999999989</v>
      </c>
      <c r="U76" s="674">
        <v>2014</v>
      </c>
      <c r="V76" s="674"/>
      <c r="W76" s="673">
        <f t="shared" ref="W76:AB76" si="306">W62/$AC62</f>
        <v>0</v>
      </c>
      <c r="X76" s="673">
        <f t="shared" si="306"/>
        <v>0</v>
      </c>
      <c r="AA76" s="673">
        <f t="shared" si="306"/>
        <v>0</v>
      </c>
      <c r="AB76" s="673">
        <f t="shared" si="306"/>
        <v>1</v>
      </c>
      <c r="AC76" s="674">
        <f t="shared" si="288"/>
        <v>1</v>
      </c>
      <c r="AE76" s="674">
        <v>2014</v>
      </c>
      <c r="AF76" s="674"/>
      <c r="AG76" s="673">
        <f>IFERROR(AG62/$AM62,0)</f>
        <v>0</v>
      </c>
      <c r="AH76" s="673">
        <f>IFERROR(AH62/$AM62,0)</f>
        <v>0</v>
      </c>
      <c r="AI76" s="673">
        <f>IFERROR(AI62/$AM62,0)</f>
        <v>0</v>
      </c>
      <c r="AK76" s="673">
        <f>IFERROR(AK62/$AM62,0)</f>
        <v>0</v>
      </c>
      <c r="AL76" s="673">
        <f>IFERROR(AL62/$AM62,0)</f>
        <v>1</v>
      </c>
      <c r="AM76" s="674">
        <f t="shared" si="289"/>
        <v>1</v>
      </c>
      <c r="AO76" s="674">
        <v>2014</v>
      </c>
      <c r="AP76" s="674"/>
      <c r="AQ76" s="1">
        <f t="shared" ref="AQ76:AV76" si="307">IFERROR(AQ62/$AW62,0)</f>
        <v>9.4117647058823521E-3</v>
      </c>
      <c r="AR76" s="1">
        <f t="shared" si="307"/>
        <v>0</v>
      </c>
      <c r="AS76" s="1">
        <f t="shared" si="307"/>
        <v>0</v>
      </c>
      <c r="AT76" s="1">
        <f t="shared" si="307"/>
        <v>0.53019607843137251</v>
      </c>
      <c r="AU76" s="1">
        <f t="shared" si="307"/>
        <v>0</v>
      </c>
      <c r="AV76" s="1">
        <f t="shared" si="307"/>
        <v>0.46039215686274509</v>
      </c>
      <c r="AW76" s="674">
        <f t="shared" si="291"/>
        <v>1</v>
      </c>
      <c r="AY76" s="674">
        <v>2014</v>
      </c>
      <c r="AZ76" s="674"/>
      <c r="BA76" s="1">
        <f t="shared" ref="BA76:BF76" si="308">IFERROR(BA62/$BG62,0)</f>
        <v>0</v>
      </c>
      <c r="BB76" s="1">
        <f t="shared" si="308"/>
        <v>0</v>
      </c>
      <c r="BC76" s="1">
        <f t="shared" si="308"/>
        <v>0</v>
      </c>
      <c r="BD76" s="1">
        <f t="shared" si="308"/>
        <v>0.82196339434276211</v>
      </c>
      <c r="BE76" s="1">
        <f t="shared" si="308"/>
        <v>0</v>
      </c>
      <c r="BF76" s="1">
        <f t="shared" si="308"/>
        <v>0.17803660565723795</v>
      </c>
      <c r="BG76" s="674">
        <f t="shared" si="293"/>
        <v>1</v>
      </c>
      <c r="BI76" s="674">
        <v>2014</v>
      </c>
      <c r="BJ76" s="674"/>
      <c r="BK76" s="1">
        <f t="shared" ref="BK76:BP76" si="309">IFERROR(BK62/$BQ62,0)</f>
        <v>0</v>
      </c>
      <c r="BL76" s="1">
        <f t="shared" si="309"/>
        <v>0</v>
      </c>
      <c r="BM76" s="1">
        <f t="shared" si="309"/>
        <v>0</v>
      </c>
      <c r="BN76" s="1">
        <f t="shared" si="309"/>
        <v>0.40944881889763779</v>
      </c>
      <c r="BO76" s="1">
        <f t="shared" si="309"/>
        <v>0</v>
      </c>
      <c r="BP76" s="1">
        <f t="shared" si="309"/>
        <v>0.59055118110236215</v>
      </c>
      <c r="BQ76" s="674">
        <f t="shared" si="295"/>
        <v>1</v>
      </c>
      <c r="BS76" s="674">
        <v>2014</v>
      </c>
      <c r="BT76" s="674"/>
      <c r="BU76" s="1">
        <f>IFERROR(BU62/$CA62,0)</f>
        <v>0</v>
      </c>
      <c r="BV76" s="1">
        <f>IFERROR(BV62/$CA62,0)</f>
        <v>0</v>
      </c>
      <c r="BW76" s="1">
        <f>IFERROR(BW62/$CA62,0)</f>
        <v>0</v>
      </c>
      <c r="BY76" s="1">
        <f>IFERROR(BY62/$CA62,0)</f>
        <v>0</v>
      </c>
      <c r="BZ76" s="1">
        <f>IFERROR(BZ62/$CA62,0)</f>
        <v>0</v>
      </c>
      <c r="CA76" s="674">
        <f t="shared" si="296"/>
        <v>0</v>
      </c>
      <c r="CB76" s="674"/>
      <c r="CC76" s="674">
        <v>2014</v>
      </c>
      <c r="CD76" s="674"/>
      <c r="CE76" s="1">
        <f t="shared" ref="CE76:CJ76" si="310">IFERROR(CE62/$CK62,0)</f>
        <v>0</v>
      </c>
      <c r="CF76" s="1">
        <f t="shared" si="310"/>
        <v>0</v>
      </c>
      <c r="CG76" s="1">
        <f t="shared" si="310"/>
        <v>0</v>
      </c>
      <c r="CH76" s="1">
        <f t="shared" si="310"/>
        <v>0.51247010591048858</v>
      </c>
      <c r="CI76" s="1">
        <f t="shared" si="310"/>
        <v>0</v>
      </c>
      <c r="CJ76" s="1">
        <f t="shared" si="310"/>
        <v>0.48752989408951142</v>
      </c>
      <c r="CK76" s="674">
        <f t="shared" si="298"/>
        <v>1</v>
      </c>
    </row>
    <row r="77" spans="1:89">
      <c r="A77" s="674">
        <v>2015</v>
      </c>
      <c r="B77" s="1">
        <f>B63/$I63</f>
        <v>7.6103500761035003E-4</v>
      </c>
      <c r="C77" s="1">
        <f>C63/$I63</f>
        <v>0.25627853881278539</v>
      </c>
      <c r="D77" s="1">
        <f t="shared" ref="D77:H77" si="311">D63/$I63</f>
        <v>0</v>
      </c>
      <c r="E77" s="1">
        <f t="shared" si="311"/>
        <v>0</v>
      </c>
      <c r="F77" s="1">
        <f>F63/$I63</f>
        <v>0.52200659563673257</v>
      </c>
      <c r="G77" s="1">
        <f t="shared" si="311"/>
        <v>0</v>
      </c>
      <c r="H77" s="1">
        <f t="shared" si="311"/>
        <v>0.22095383054287163</v>
      </c>
      <c r="I77" s="675">
        <f t="shared" si="285"/>
        <v>1</v>
      </c>
      <c r="K77" s="674">
        <v>2015</v>
      </c>
      <c r="L77" s="1">
        <f>L63/$S63</f>
        <v>0.94925614116018908</v>
      </c>
      <c r="M77" s="1">
        <f>M63/$S63</f>
        <v>0</v>
      </c>
      <c r="N77" s="1">
        <f>N63/$S63</f>
        <v>0</v>
      </c>
      <c r="O77" s="1"/>
      <c r="P77" s="1">
        <f>P63/$S63</f>
        <v>4.8091338945911659E-2</v>
      </c>
      <c r="Q77" s="1">
        <f>Q63/$S63</f>
        <v>0</v>
      </c>
      <c r="R77" s="1">
        <f>R63/$S63</f>
        <v>2.6525198938992041E-3</v>
      </c>
      <c r="S77" s="674">
        <f t="shared" si="286"/>
        <v>1</v>
      </c>
      <c r="U77" s="674">
        <v>2015</v>
      </c>
      <c r="V77" s="674"/>
      <c r="W77" s="673">
        <f t="shared" ref="W77:AB77" si="312">W63/$AC63</f>
        <v>0</v>
      </c>
      <c r="X77" s="673">
        <f t="shared" si="312"/>
        <v>0</v>
      </c>
      <c r="AA77" s="673">
        <f t="shared" si="312"/>
        <v>0</v>
      </c>
      <c r="AB77" s="673">
        <f t="shared" si="312"/>
        <v>1</v>
      </c>
      <c r="AC77" s="674">
        <f t="shared" si="288"/>
        <v>1</v>
      </c>
      <c r="AE77" s="674">
        <v>2015</v>
      </c>
      <c r="AF77" s="674"/>
      <c r="AG77" s="673">
        <f>IFERROR(AG63/$AM63,0)</f>
        <v>0</v>
      </c>
      <c r="AH77" s="673">
        <f>IFERROR(AH63/$AM63,0)</f>
        <v>0</v>
      </c>
      <c r="AI77" s="673">
        <f>IFERROR(AI63/$AM63,0)</f>
        <v>0</v>
      </c>
      <c r="AK77" s="673">
        <f>IFERROR(AK63/$AM63,0)</f>
        <v>0</v>
      </c>
      <c r="AL77" s="673">
        <f>IFERROR(AL63/$AM63,0)</f>
        <v>0</v>
      </c>
      <c r="AM77" s="674">
        <f t="shared" si="289"/>
        <v>0</v>
      </c>
      <c r="AO77" s="674">
        <v>2015</v>
      </c>
      <c r="AP77" s="674"/>
      <c r="AQ77" s="1">
        <f t="shared" ref="AQ77:AV77" si="313">IFERROR(AQ63/$AW63,0)</f>
        <v>9.433962264150943E-3</v>
      </c>
      <c r="AR77" s="1">
        <f t="shared" si="313"/>
        <v>0</v>
      </c>
      <c r="AS77" s="1">
        <f t="shared" si="313"/>
        <v>0</v>
      </c>
      <c r="AT77" s="1">
        <f t="shared" si="313"/>
        <v>0.52908805031446537</v>
      </c>
      <c r="AU77" s="1">
        <f t="shared" si="313"/>
        <v>0</v>
      </c>
      <c r="AV77" s="1">
        <f t="shared" si="313"/>
        <v>0.46147798742138363</v>
      </c>
      <c r="AW77" s="674">
        <f t="shared" si="291"/>
        <v>1</v>
      </c>
      <c r="AY77" s="674">
        <v>2015</v>
      </c>
      <c r="AZ77" s="674"/>
      <c r="BA77" s="1">
        <f t="shared" ref="BA77:BF77" si="314">IFERROR(BA63/$BG63,0)</f>
        <v>0</v>
      </c>
      <c r="BB77" s="1">
        <f t="shared" si="314"/>
        <v>0</v>
      </c>
      <c r="BC77" s="1">
        <f t="shared" si="314"/>
        <v>0</v>
      </c>
      <c r="BD77" s="1">
        <f t="shared" si="314"/>
        <v>0.83850204798127559</v>
      </c>
      <c r="BE77" s="1">
        <f t="shared" si="314"/>
        <v>0</v>
      </c>
      <c r="BF77" s="1">
        <f t="shared" si="314"/>
        <v>0.16149795201872441</v>
      </c>
      <c r="BG77" s="674">
        <f t="shared" si="293"/>
        <v>1</v>
      </c>
      <c r="BI77" s="674">
        <v>2015</v>
      </c>
      <c r="BJ77" s="674"/>
      <c r="BK77" s="1">
        <f t="shared" ref="BK77:BP77" si="315">IFERROR(BK63/$BQ63,0)</f>
        <v>0</v>
      </c>
      <c r="BL77" s="1">
        <f t="shared" si="315"/>
        <v>0</v>
      </c>
      <c r="BM77" s="1">
        <f t="shared" si="315"/>
        <v>0</v>
      </c>
      <c r="BN77" s="1">
        <f t="shared" si="315"/>
        <v>0.4263565891472868</v>
      </c>
      <c r="BO77" s="1">
        <f t="shared" si="315"/>
        <v>0</v>
      </c>
      <c r="BP77" s="1">
        <f t="shared" si="315"/>
        <v>0.5736434108527132</v>
      </c>
      <c r="BQ77" s="674">
        <f t="shared" si="295"/>
        <v>1</v>
      </c>
      <c r="BS77" s="674">
        <v>2015</v>
      </c>
      <c r="BT77" s="674"/>
      <c r="BU77" s="1">
        <f>IFERROR(BU63/$CA63,0)</f>
        <v>0</v>
      </c>
      <c r="BV77" s="1">
        <f>IFERROR(BV63/$CA63,0)</f>
        <v>0</v>
      </c>
      <c r="BW77" s="1">
        <f>IFERROR(BW63/$CA63,0)</f>
        <v>0</v>
      </c>
      <c r="BY77" s="1">
        <f>IFERROR(BY63/$CA63,0)</f>
        <v>0</v>
      </c>
      <c r="BZ77" s="1">
        <f>IFERROR(BZ63/$CA63,0)</f>
        <v>0</v>
      </c>
      <c r="CA77" s="674">
        <f t="shared" si="296"/>
        <v>0</v>
      </c>
      <c r="CB77" s="674"/>
      <c r="CC77" s="674">
        <v>2015</v>
      </c>
      <c r="CD77" s="674"/>
      <c r="CE77" s="1">
        <f t="shared" ref="CE77:CJ77" si="316">IFERROR(CE63/$CK63,0)</f>
        <v>0</v>
      </c>
      <c r="CF77" s="1">
        <f t="shared" si="316"/>
        <v>0</v>
      </c>
      <c r="CG77" s="1">
        <f t="shared" si="316"/>
        <v>0</v>
      </c>
      <c r="CH77" s="1">
        <f t="shared" si="316"/>
        <v>0.51532229658330397</v>
      </c>
      <c r="CI77" s="1">
        <f t="shared" si="316"/>
        <v>0</v>
      </c>
      <c r="CJ77" s="1">
        <f t="shared" si="316"/>
        <v>0.48467770341669603</v>
      </c>
      <c r="CK77" s="674">
        <f t="shared" si="298"/>
        <v>1</v>
      </c>
    </row>
    <row r="78" spans="1:89">
      <c r="A78" s="674">
        <v>2016</v>
      </c>
      <c r="B78" s="1">
        <f>B64/$I64</f>
        <v>8.3226632522407165E-4</v>
      </c>
      <c r="C78" s="1">
        <f>C64/$I64</f>
        <v>0.2612676056338028</v>
      </c>
      <c r="D78" s="1">
        <f t="shared" ref="D78:H78" si="317">D64/$I64</f>
        <v>0</v>
      </c>
      <c r="E78" s="1">
        <f t="shared" si="317"/>
        <v>0</v>
      </c>
      <c r="F78" s="1">
        <f>F64/$I64</f>
        <v>0.51946222791293217</v>
      </c>
      <c r="G78" s="1">
        <f t="shared" si="317"/>
        <v>0</v>
      </c>
      <c r="H78" s="1">
        <f t="shared" si="317"/>
        <v>0.21843790012804098</v>
      </c>
      <c r="I78" s="675">
        <f t="shared" si="285"/>
        <v>1</v>
      </c>
      <c r="K78" s="674">
        <v>2016</v>
      </c>
      <c r="L78" s="1">
        <f>L64/$S64</f>
        <v>0.95067369654364386</v>
      </c>
      <c r="M78" s="1">
        <f>M64/$S64</f>
        <v>0</v>
      </c>
      <c r="N78" s="1">
        <f>N64/$S64</f>
        <v>0</v>
      </c>
      <c r="O78" s="1"/>
      <c r="P78" s="1">
        <f>P64/$S64</f>
        <v>4.7451669595782071E-2</v>
      </c>
      <c r="Q78" s="1">
        <f>Q64/$S64</f>
        <v>0</v>
      </c>
      <c r="R78" s="1">
        <f>R64/$S64</f>
        <v>1.8746338605741067E-3</v>
      </c>
      <c r="S78" s="674">
        <f t="shared" si="286"/>
        <v>1</v>
      </c>
      <c r="U78" s="674">
        <v>2016</v>
      </c>
      <c r="V78" s="674"/>
      <c r="W78" s="673">
        <f t="shared" ref="W78:AB78" si="318">W64/$AC64</f>
        <v>0</v>
      </c>
      <c r="X78" s="673">
        <f t="shared" si="318"/>
        <v>0</v>
      </c>
      <c r="AA78" s="673">
        <f t="shared" si="318"/>
        <v>0</v>
      </c>
      <c r="AB78" s="673">
        <f t="shared" si="318"/>
        <v>1</v>
      </c>
      <c r="AC78" s="674">
        <f t="shared" si="288"/>
        <v>1</v>
      </c>
      <c r="AE78" s="674">
        <v>2016</v>
      </c>
      <c r="AF78" s="674"/>
      <c r="AG78" s="673">
        <f>IFERROR(AG64/$AM64,0)</f>
        <v>0</v>
      </c>
      <c r="AH78" s="673">
        <f>IFERROR(AH64/$AM64,0)</f>
        <v>0</v>
      </c>
      <c r="AI78" s="673">
        <f>IFERROR(AI64/$AM64,0)</f>
        <v>0</v>
      </c>
      <c r="AK78" s="673">
        <f>IFERROR(AK64/$AM64,0)</f>
        <v>0</v>
      </c>
      <c r="AL78" s="673">
        <f>IFERROR(AL64/$AM64,0)</f>
        <v>1</v>
      </c>
      <c r="AM78" s="674">
        <f t="shared" si="289"/>
        <v>1</v>
      </c>
      <c r="AO78" s="674">
        <v>2016</v>
      </c>
      <c r="AP78" s="674"/>
      <c r="AQ78" s="1">
        <f t="shared" ref="AQ78:AV78" si="319">IFERROR(AQ64/$AW64,0)</f>
        <v>9.9769762087490409E-3</v>
      </c>
      <c r="AR78" s="1">
        <f t="shared" si="319"/>
        <v>0</v>
      </c>
      <c r="AS78" s="1">
        <f t="shared" si="319"/>
        <v>0</v>
      </c>
      <c r="AT78" s="1">
        <f t="shared" si="319"/>
        <v>0.52801227935533379</v>
      </c>
      <c r="AU78" s="1">
        <f t="shared" si="319"/>
        <v>0</v>
      </c>
      <c r="AV78" s="1">
        <f t="shared" si="319"/>
        <v>0.46201074443591711</v>
      </c>
      <c r="AW78" s="674">
        <f t="shared" si="291"/>
        <v>1</v>
      </c>
      <c r="AY78" s="674">
        <v>2016</v>
      </c>
      <c r="AZ78" s="674"/>
      <c r="BA78" s="1">
        <f t="shared" ref="BA78:BF78" si="320">IFERROR(BA64/$BG64,0)</f>
        <v>0</v>
      </c>
      <c r="BB78" s="1">
        <f t="shared" si="320"/>
        <v>0</v>
      </c>
      <c r="BC78" s="1">
        <f t="shared" si="320"/>
        <v>0</v>
      </c>
      <c r="BD78" s="1">
        <f t="shared" si="320"/>
        <v>0.8593059936908517</v>
      </c>
      <c r="BE78" s="1">
        <f t="shared" si="320"/>
        <v>0</v>
      </c>
      <c r="BF78" s="1">
        <f t="shared" si="320"/>
        <v>0.14069400630914827</v>
      </c>
      <c r="BG78" s="674">
        <f t="shared" si="293"/>
        <v>1</v>
      </c>
      <c r="BI78" s="674">
        <v>2016</v>
      </c>
      <c r="BJ78" s="674"/>
      <c r="BK78" s="1">
        <f t="shared" ref="BK78:BP78" si="321">IFERROR(BK64/$BQ64,0)</f>
        <v>0</v>
      </c>
      <c r="BL78" s="1">
        <f t="shared" si="321"/>
        <v>0</v>
      </c>
      <c r="BM78" s="1">
        <f t="shared" si="321"/>
        <v>0</v>
      </c>
      <c r="BN78" s="1">
        <f t="shared" si="321"/>
        <v>0.4609375</v>
      </c>
      <c r="BO78" s="1">
        <f t="shared" si="321"/>
        <v>0</v>
      </c>
      <c r="BP78" s="1">
        <f t="shared" si="321"/>
        <v>0.5390625</v>
      </c>
      <c r="BQ78" s="674">
        <f t="shared" si="295"/>
        <v>1</v>
      </c>
      <c r="BS78" s="674">
        <v>2016</v>
      </c>
      <c r="BT78" s="674"/>
      <c r="BU78" s="1">
        <f>IFERROR(BU64/$CA64,0)</f>
        <v>0</v>
      </c>
      <c r="BV78" s="1">
        <f>IFERROR(BV64/$CA64,0)</f>
        <v>0</v>
      </c>
      <c r="BW78" s="1">
        <f>IFERROR(BW64/$CA64,0)</f>
        <v>0</v>
      </c>
      <c r="BY78" s="1">
        <f>IFERROR(BY64/$CA64,0)</f>
        <v>0</v>
      </c>
      <c r="BZ78" s="1">
        <f>IFERROR(BZ64/$CA64,0)</f>
        <v>0</v>
      </c>
      <c r="CA78" s="674">
        <f t="shared" si="296"/>
        <v>0</v>
      </c>
      <c r="CB78" s="674"/>
      <c r="CC78" s="674">
        <v>2016</v>
      </c>
      <c r="CD78" s="674"/>
      <c r="CE78" s="1">
        <f t="shared" ref="CE78:CJ78" si="322">IFERROR(CE64/$CK64,0)</f>
        <v>0</v>
      </c>
      <c r="CF78" s="1">
        <f t="shared" si="322"/>
        <v>0</v>
      </c>
      <c r="CG78" s="1">
        <f t="shared" si="322"/>
        <v>0</v>
      </c>
      <c r="CH78" s="1">
        <f t="shared" si="322"/>
        <v>0.52689979825151312</v>
      </c>
      <c r="CI78" s="1">
        <f t="shared" si="322"/>
        <v>0</v>
      </c>
      <c r="CJ78" s="1">
        <f t="shared" si="322"/>
        <v>0.47310020174848688</v>
      </c>
      <c r="CK78" s="674">
        <f t="shared" si="298"/>
        <v>1</v>
      </c>
    </row>
    <row r="79" spans="1:89">
      <c r="A79" s="674">
        <v>2017</v>
      </c>
      <c r="B79" s="1">
        <f>B65/$I65</f>
        <v>8.2602617867581654E-4</v>
      </c>
      <c r="C79" s="1">
        <f>C65/$I65</f>
        <v>0.27125428898208159</v>
      </c>
      <c r="D79" s="1">
        <f t="shared" ref="D79:H79" si="323">D65/$I65</f>
        <v>0</v>
      </c>
      <c r="E79" s="1">
        <f t="shared" si="323"/>
        <v>0</v>
      </c>
      <c r="F79" s="1">
        <f>F65/$I65</f>
        <v>0.50965815224297872</v>
      </c>
      <c r="G79" s="1">
        <f t="shared" si="323"/>
        <v>6.4175880035582666E-3</v>
      </c>
      <c r="H79" s="1">
        <f t="shared" si="323"/>
        <v>0.21184394459270556</v>
      </c>
      <c r="I79" s="675">
        <f t="shared" si="285"/>
        <v>1</v>
      </c>
      <c r="K79" s="674">
        <v>2017</v>
      </c>
      <c r="L79" s="1">
        <f>L65/$S65</f>
        <v>0.95193448848801332</v>
      </c>
      <c r="M79" s="1">
        <f>M65/$S65</f>
        <v>0</v>
      </c>
      <c r="N79" s="1">
        <f>N65/$S65</f>
        <v>0</v>
      </c>
      <c r="O79" s="1"/>
      <c r="P79" s="1">
        <f>P65/$S65</f>
        <v>4.7116069309280799E-2</v>
      </c>
      <c r="Q79" s="1">
        <f>Q65/$S65</f>
        <v>0</v>
      </c>
      <c r="R79" s="1">
        <f>R65/$S65</f>
        <v>9.4944220270591032E-4</v>
      </c>
      <c r="S79" s="674">
        <f t="shared" si="286"/>
        <v>1</v>
      </c>
      <c r="U79" s="674">
        <v>2017</v>
      </c>
      <c r="V79" s="674"/>
      <c r="W79" s="673">
        <f t="shared" ref="W79:AB79" si="324">W65/$AC65</f>
        <v>0</v>
      </c>
      <c r="X79" s="673">
        <f t="shared" si="324"/>
        <v>0</v>
      </c>
      <c r="AA79" s="673">
        <f t="shared" si="324"/>
        <v>0</v>
      </c>
      <c r="AB79" s="673">
        <f t="shared" si="324"/>
        <v>1</v>
      </c>
      <c r="AC79" s="674">
        <f t="shared" si="288"/>
        <v>1</v>
      </c>
      <c r="AE79" s="674">
        <v>2017</v>
      </c>
      <c r="AF79" s="674"/>
      <c r="AG79" s="673">
        <f>IFERROR(AG65/$AM65,0)</f>
        <v>0</v>
      </c>
      <c r="AH79" s="673">
        <f>IFERROR(AH65/$AM65,0)</f>
        <v>0</v>
      </c>
      <c r="AI79" s="673">
        <f>IFERROR(AI65/$AM65,0)</f>
        <v>0</v>
      </c>
      <c r="AK79" s="673">
        <f>IFERROR(AK65/$AM65,0)</f>
        <v>0</v>
      </c>
      <c r="AL79" s="673">
        <f>IFERROR(AL65/$AM65,0)</f>
        <v>1</v>
      </c>
      <c r="AM79" s="674">
        <f t="shared" si="289"/>
        <v>1</v>
      </c>
      <c r="AO79" s="674">
        <v>2017</v>
      </c>
      <c r="AP79" s="674"/>
      <c r="AQ79" s="1">
        <f t="shared" ref="AQ79:AV79" si="325">IFERROR(AQ65/$AW65,0)</f>
        <v>9.9009900990099011E-3</v>
      </c>
      <c r="AR79" s="1">
        <f t="shared" si="325"/>
        <v>0</v>
      </c>
      <c r="AS79" s="1">
        <f t="shared" si="325"/>
        <v>0</v>
      </c>
      <c r="AT79" s="1">
        <f t="shared" si="325"/>
        <v>0.52627570449352623</v>
      </c>
      <c r="AU79" s="1">
        <f t="shared" si="325"/>
        <v>0</v>
      </c>
      <c r="AV79" s="1">
        <f t="shared" si="325"/>
        <v>0.4638233054074638</v>
      </c>
      <c r="AW79" s="674">
        <f t="shared" si="291"/>
        <v>1</v>
      </c>
      <c r="AY79" s="674">
        <v>2017</v>
      </c>
      <c r="AZ79" s="674"/>
      <c r="BA79" s="1">
        <f t="shared" ref="BA79:BF79" si="326">IFERROR(BA65/$BG65,0)</f>
        <v>0</v>
      </c>
      <c r="BB79" s="1">
        <f t="shared" si="326"/>
        <v>0</v>
      </c>
      <c r="BC79" s="1">
        <f t="shared" si="326"/>
        <v>0</v>
      </c>
      <c r="BD79" s="1">
        <f t="shared" si="326"/>
        <v>0.88096714197148174</v>
      </c>
      <c r="BE79" s="1">
        <f t="shared" si="326"/>
        <v>0</v>
      </c>
      <c r="BF79" s="1">
        <f t="shared" si="326"/>
        <v>0.11903285802851829</v>
      </c>
      <c r="BG79" s="674">
        <f t="shared" si="293"/>
        <v>1</v>
      </c>
      <c r="BI79" s="674">
        <v>2017</v>
      </c>
      <c r="BJ79" s="674"/>
      <c r="BK79" s="1">
        <f t="shared" ref="BK79:BP79" si="327">IFERROR(BK65/$BQ65,0)</f>
        <v>0</v>
      </c>
      <c r="BL79" s="1">
        <f t="shared" si="327"/>
        <v>0</v>
      </c>
      <c r="BM79" s="1">
        <f t="shared" si="327"/>
        <v>0</v>
      </c>
      <c r="BN79" s="1">
        <f t="shared" si="327"/>
        <v>0.48780487804878048</v>
      </c>
      <c r="BO79" s="1">
        <f t="shared" si="327"/>
        <v>0</v>
      </c>
      <c r="BP79" s="1">
        <f t="shared" si="327"/>
        <v>0.51219512195121952</v>
      </c>
      <c r="BQ79" s="674">
        <f t="shared" si="295"/>
        <v>1</v>
      </c>
      <c r="BS79" s="674">
        <v>2017</v>
      </c>
      <c r="BT79" s="674"/>
      <c r="BU79" s="1">
        <f>IFERROR(BU65/$CA65,0)</f>
        <v>0</v>
      </c>
      <c r="BV79" s="1">
        <f>IFERROR(BV65/$CA65,0)</f>
        <v>0</v>
      </c>
      <c r="BW79" s="1">
        <f>IFERROR(BW65/$CA65,0)</f>
        <v>0</v>
      </c>
      <c r="BY79" s="1">
        <f>IFERROR(BY65/$CA65,0)</f>
        <v>0</v>
      </c>
      <c r="BZ79" s="1">
        <f>IFERROR(BZ65/$CA65,0)</f>
        <v>0</v>
      </c>
      <c r="CA79" s="674">
        <f t="shared" si="296"/>
        <v>0</v>
      </c>
      <c r="CB79" s="674"/>
      <c r="CC79" s="674">
        <v>2017</v>
      </c>
      <c r="CD79" s="674"/>
      <c r="CE79" s="1">
        <f t="shared" ref="CE79:CJ79" si="328">IFERROR(CE65/$CK65,0)</f>
        <v>0</v>
      </c>
      <c r="CF79" s="1">
        <f t="shared" si="328"/>
        <v>0</v>
      </c>
      <c r="CG79" s="1">
        <f t="shared" si="328"/>
        <v>0</v>
      </c>
      <c r="CH79" s="1">
        <f t="shared" si="328"/>
        <v>0.54157374960178406</v>
      </c>
      <c r="CI79" s="1">
        <f t="shared" si="328"/>
        <v>3.2175852182223637E-2</v>
      </c>
      <c r="CJ79" s="1">
        <f t="shared" si="328"/>
        <v>0.42625039821599237</v>
      </c>
      <c r="CK79" s="674">
        <f t="shared" si="298"/>
        <v>1</v>
      </c>
    </row>
    <row r="80" spans="1:89">
      <c r="A80" s="674">
        <v>2018</v>
      </c>
      <c r="B80" s="1">
        <f>B66/$I66</f>
        <v>8.1617277749874431E-4</v>
      </c>
      <c r="C80" s="1">
        <f>C66/$I66</f>
        <v>0.26977649422400801</v>
      </c>
      <c r="D80" s="1">
        <f t="shared" ref="D80:H80" si="329">D66/$I66</f>
        <v>0</v>
      </c>
      <c r="E80" s="1">
        <f t="shared" si="329"/>
        <v>0</v>
      </c>
      <c r="F80" s="1">
        <f>F66/$I66</f>
        <v>0.50320190858864888</v>
      </c>
      <c r="G80" s="1">
        <f t="shared" si="329"/>
        <v>6.0271220492214969E-3</v>
      </c>
      <c r="H80" s="1">
        <f t="shared" si="329"/>
        <v>0.2201783023606228</v>
      </c>
      <c r="I80" s="675">
        <f t="shared" si="285"/>
        <v>1</v>
      </c>
      <c r="K80" s="674">
        <v>2018</v>
      </c>
      <c r="L80" s="1">
        <f>L66/$S66</f>
        <v>0.95348560551986672</v>
      </c>
      <c r="M80" s="1">
        <f>M66/$S66</f>
        <v>0</v>
      </c>
      <c r="N80" s="1">
        <f>N66/$S66</f>
        <v>0</v>
      </c>
      <c r="O80" s="1"/>
      <c r="P80" s="1">
        <f>P66/$S66</f>
        <v>4.6514394480133239E-2</v>
      </c>
      <c r="Q80" s="1">
        <f>Q66/$S66</f>
        <v>0</v>
      </c>
      <c r="R80" s="1">
        <f>R66/$S66</f>
        <v>0</v>
      </c>
      <c r="S80" s="674">
        <f t="shared" si="286"/>
        <v>1</v>
      </c>
      <c r="U80" s="674">
        <v>2018</v>
      </c>
      <c r="V80" s="674"/>
      <c r="W80" s="673">
        <f t="shared" ref="W80:AB80" si="330">W66/$AC66</f>
        <v>0</v>
      </c>
      <c r="X80" s="673">
        <f t="shared" si="330"/>
        <v>0</v>
      </c>
      <c r="AA80" s="673">
        <f t="shared" si="330"/>
        <v>0</v>
      </c>
      <c r="AB80" s="673">
        <f t="shared" si="330"/>
        <v>1</v>
      </c>
      <c r="AC80" s="674">
        <f t="shared" si="288"/>
        <v>1</v>
      </c>
      <c r="AE80" s="674">
        <v>2018</v>
      </c>
      <c r="AF80" s="674"/>
      <c r="AG80" s="673">
        <f>IFERROR(AG66/$AM66,0)</f>
        <v>0</v>
      </c>
      <c r="AH80" s="673">
        <f>IFERROR(AH66/$AM66,0)</f>
        <v>0</v>
      </c>
      <c r="AI80" s="673">
        <f>IFERROR(AI66/$AM66,0)</f>
        <v>0</v>
      </c>
      <c r="AK80" s="673">
        <f>IFERROR(AK66/$AM66,0)</f>
        <v>0</v>
      </c>
      <c r="AL80" s="673">
        <f>IFERROR(AL66/$AM66,0)</f>
        <v>0</v>
      </c>
      <c r="AM80" s="674">
        <f t="shared" si="289"/>
        <v>0</v>
      </c>
      <c r="AO80" s="674">
        <v>2018</v>
      </c>
      <c r="AP80" s="674"/>
      <c r="AQ80" s="1">
        <f t="shared" ref="AQ80:AV80" si="331">IFERROR(AQ66/$AW66,0)</f>
        <v>9.7670924117205116E-3</v>
      </c>
      <c r="AR80" s="1">
        <f t="shared" si="331"/>
        <v>0</v>
      </c>
      <c r="AS80" s="1">
        <f t="shared" si="331"/>
        <v>0</v>
      </c>
      <c r="AT80" s="1">
        <f t="shared" si="331"/>
        <v>0.52441773102930123</v>
      </c>
      <c r="AU80" s="1">
        <f t="shared" si="331"/>
        <v>0</v>
      </c>
      <c r="AV80" s="1">
        <f t="shared" si="331"/>
        <v>0.46581517655897819</v>
      </c>
      <c r="AW80" s="674">
        <f t="shared" si="291"/>
        <v>0.99999999999999989</v>
      </c>
      <c r="AY80" s="674">
        <v>2018</v>
      </c>
      <c r="AZ80" s="674"/>
      <c r="BA80" s="1">
        <f t="shared" ref="BA80:BF80" si="332">IFERROR(BA66/$BG66,0)</f>
        <v>0</v>
      </c>
      <c r="BB80" s="1">
        <f t="shared" si="332"/>
        <v>0</v>
      </c>
      <c r="BC80" s="1">
        <f t="shared" si="332"/>
        <v>0</v>
      </c>
      <c r="BD80" s="1">
        <f t="shared" si="332"/>
        <v>0.91402714932126694</v>
      </c>
      <c r="BE80" s="1">
        <f t="shared" si="332"/>
        <v>0</v>
      </c>
      <c r="BF80" s="1">
        <f t="shared" si="332"/>
        <v>8.5972850678733032E-2</v>
      </c>
      <c r="BG80" s="674">
        <f t="shared" si="293"/>
        <v>1</v>
      </c>
      <c r="BI80" s="674">
        <v>2018</v>
      </c>
      <c r="BJ80" s="674"/>
      <c r="BK80" s="1">
        <f t="shared" ref="BK80:BP80" si="333">IFERROR(BK66/$BQ66,0)</f>
        <v>0</v>
      </c>
      <c r="BL80" s="1">
        <f t="shared" si="333"/>
        <v>0</v>
      </c>
      <c r="BM80" s="1">
        <f t="shared" si="333"/>
        <v>0</v>
      </c>
      <c r="BN80" s="1">
        <f t="shared" si="333"/>
        <v>0.52755905511811019</v>
      </c>
      <c r="BO80" s="1">
        <f t="shared" si="333"/>
        <v>0</v>
      </c>
      <c r="BP80" s="1">
        <f t="shared" si="333"/>
        <v>0.47244094488188976</v>
      </c>
      <c r="BQ80" s="674">
        <f t="shared" si="295"/>
        <v>1</v>
      </c>
      <c r="BS80" s="674">
        <v>2018</v>
      </c>
      <c r="BT80" s="674"/>
      <c r="BU80" s="1">
        <f>IFERROR(BU66/$CA66,0)</f>
        <v>0</v>
      </c>
      <c r="BV80" s="1">
        <f>IFERROR(BV66/$CA66,0)</f>
        <v>0</v>
      </c>
      <c r="BW80" s="1">
        <f>IFERROR(BW66/$CA66,0)</f>
        <v>0</v>
      </c>
      <c r="BY80" s="1">
        <f>IFERROR(BY66/$CA66,0)</f>
        <v>0</v>
      </c>
      <c r="BZ80" s="1">
        <f>IFERROR(BZ66/$CA66,0)</f>
        <v>1</v>
      </c>
      <c r="CA80" s="674">
        <f t="shared" si="296"/>
        <v>1</v>
      </c>
      <c r="CB80" s="674"/>
      <c r="CC80" s="674">
        <v>2018</v>
      </c>
      <c r="CD80" s="674"/>
      <c r="CE80" s="1">
        <f t="shared" ref="CE80:CJ80" si="334">IFERROR(CE66/$CK66,0)</f>
        <v>0</v>
      </c>
      <c r="CF80" s="1">
        <f t="shared" si="334"/>
        <v>0</v>
      </c>
      <c r="CG80" s="1">
        <f t="shared" si="334"/>
        <v>0</v>
      </c>
      <c r="CH80" s="1">
        <f t="shared" si="334"/>
        <v>0.53434405940594054</v>
      </c>
      <c r="CI80" s="1">
        <f t="shared" si="334"/>
        <v>2.9702970297029702E-2</v>
      </c>
      <c r="CJ80" s="1">
        <f t="shared" si="334"/>
        <v>0.43595297029702973</v>
      </c>
      <c r="CK80" s="674">
        <f t="shared" si="298"/>
        <v>1</v>
      </c>
    </row>
    <row r="81" spans="1:89">
      <c r="A81" s="674">
        <v>2019</v>
      </c>
      <c r="B81" s="1">
        <f>B67/$I67</f>
        <v>8.6574320724560466E-4</v>
      </c>
      <c r="C81" s="1">
        <f>C67/$I67</f>
        <v>0.27963505594033033</v>
      </c>
      <c r="D81" s="1">
        <f t="shared" ref="D81:H81" si="335">D67/$I67</f>
        <v>0</v>
      </c>
      <c r="E81" s="1">
        <f t="shared" si="335"/>
        <v>0</v>
      </c>
      <c r="F81" s="1">
        <f>F67/$I67</f>
        <v>0.51758124667021843</v>
      </c>
      <c r="G81" s="1">
        <f t="shared" si="335"/>
        <v>2.6638252530633991E-3</v>
      </c>
      <c r="H81" s="1">
        <f t="shared" si="335"/>
        <v>0.19925412892914224</v>
      </c>
      <c r="I81" s="675">
        <f t="shared" si="285"/>
        <v>1</v>
      </c>
      <c r="K81" s="674">
        <v>2019</v>
      </c>
      <c r="L81" s="1">
        <f>L67/$S67</f>
        <v>0.95326873543480928</v>
      </c>
      <c r="M81" s="1">
        <f>M67/$S67</f>
        <v>0</v>
      </c>
      <c r="N81" s="1">
        <f>N67/$S67</f>
        <v>0</v>
      </c>
      <c r="O81" s="1"/>
      <c r="P81" s="1">
        <f>P67/$S67</f>
        <v>4.6731264565190729E-2</v>
      </c>
      <c r="Q81" s="1">
        <f>Q67/$S67</f>
        <v>0</v>
      </c>
      <c r="R81" s="1">
        <f>R67/$S67</f>
        <v>0</v>
      </c>
      <c r="S81" s="674">
        <f t="shared" si="286"/>
        <v>1</v>
      </c>
      <c r="U81" s="674">
        <v>2019</v>
      </c>
      <c r="V81" s="674"/>
      <c r="W81" s="673">
        <f t="shared" ref="W81:AB81" si="336">W67/$AC67</f>
        <v>0</v>
      </c>
      <c r="X81" s="673">
        <f t="shared" si="336"/>
        <v>0</v>
      </c>
      <c r="AA81" s="673">
        <f t="shared" si="336"/>
        <v>0</v>
      </c>
      <c r="AB81" s="673">
        <f t="shared" si="336"/>
        <v>1</v>
      </c>
      <c r="AC81" s="674">
        <f t="shared" si="288"/>
        <v>1</v>
      </c>
      <c r="AE81" s="674">
        <v>2019</v>
      </c>
      <c r="AF81" s="674"/>
      <c r="AG81" s="673">
        <f>IFERROR(AG67/$AM67,0)</f>
        <v>0</v>
      </c>
      <c r="AH81" s="673">
        <f>IFERROR(AH67/$AM67,0)</f>
        <v>0</v>
      </c>
      <c r="AI81" s="673">
        <f>IFERROR(AI67/$AM67,0)</f>
        <v>0</v>
      </c>
      <c r="AK81" s="673">
        <f>IFERROR(AK67/$AM67,0)</f>
        <v>0</v>
      </c>
      <c r="AL81" s="673">
        <f>IFERROR(AL67/$AM67,0)</f>
        <v>1</v>
      </c>
      <c r="AM81" s="674">
        <f t="shared" si="289"/>
        <v>1</v>
      </c>
      <c r="AO81" s="674">
        <v>2019</v>
      </c>
      <c r="AP81" s="674"/>
      <c r="AQ81" s="1">
        <f t="shared" ref="AQ81:AV81" si="337">IFERROR(AQ67/$AW67,0)</f>
        <v>9.8335854765506815E-3</v>
      </c>
      <c r="AR81" s="1">
        <f t="shared" si="337"/>
        <v>0</v>
      </c>
      <c r="AS81" s="1">
        <f t="shared" si="337"/>
        <v>0</v>
      </c>
      <c r="AT81" s="1">
        <f t="shared" si="337"/>
        <v>0.52571860816944027</v>
      </c>
      <c r="AU81" s="1">
        <f t="shared" si="337"/>
        <v>0</v>
      </c>
      <c r="AV81" s="1">
        <f t="shared" si="337"/>
        <v>0.46444780635400906</v>
      </c>
      <c r="AW81" s="674">
        <f t="shared" si="291"/>
        <v>1</v>
      </c>
      <c r="AY81" s="674">
        <v>2019</v>
      </c>
      <c r="AZ81" s="674"/>
      <c r="BA81" s="1">
        <f t="shared" ref="BA81:BF81" si="338">IFERROR(BA67/$BG67,0)</f>
        <v>0</v>
      </c>
      <c r="BB81" s="1">
        <f t="shared" si="338"/>
        <v>0</v>
      </c>
      <c r="BC81" s="1">
        <f t="shared" si="338"/>
        <v>0</v>
      </c>
      <c r="BD81" s="1">
        <f t="shared" si="338"/>
        <v>0.95494186046511631</v>
      </c>
      <c r="BE81" s="1">
        <f t="shared" si="338"/>
        <v>0</v>
      </c>
      <c r="BF81" s="1">
        <f t="shared" si="338"/>
        <v>4.5058139534883718E-2</v>
      </c>
      <c r="BG81" s="674">
        <f t="shared" si="293"/>
        <v>1</v>
      </c>
      <c r="BI81" s="674">
        <v>2019</v>
      </c>
      <c r="BJ81" s="674"/>
      <c r="BK81" s="1">
        <f t="shared" ref="BK81:BP81" si="339">IFERROR(BK67/$BQ67,0)</f>
        <v>0</v>
      </c>
      <c r="BL81" s="1">
        <f t="shared" si="339"/>
        <v>0</v>
      </c>
      <c r="BM81" s="1">
        <f t="shared" si="339"/>
        <v>0</v>
      </c>
      <c r="BN81" s="1">
        <f t="shared" si="339"/>
        <v>0.57024793388429751</v>
      </c>
      <c r="BO81" s="1">
        <f t="shared" si="339"/>
        <v>0</v>
      </c>
      <c r="BP81" s="1">
        <f t="shared" si="339"/>
        <v>0.42975206611570249</v>
      </c>
      <c r="BQ81" s="674">
        <f t="shared" si="295"/>
        <v>1</v>
      </c>
      <c r="BS81" s="674">
        <v>2019</v>
      </c>
      <c r="BT81" s="674"/>
      <c r="BU81" s="1">
        <f>IFERROR(BU67/$CA67,0)</f>
        <v>0</v>
      </c>
      <c r="BV81" s="1">
        <f>IFERROR(BV67/$CA67,0)</f>
        <v>0</v>
      </c>
      <c r="BW81" s="1">
        <f>IFERROR(BW67/$CA67,0)</f>
        <v>0</v>
      </c>
      <c r="BY81" s="1">
        <f>IFERROR(BY67/$CA67,0)</f>
        <v>0</v>
      </c>
      <c r="BZ81" s="1">
        <f>IFERROR(BZ67/$CA67,0)</f>
        <v>1</v>
      </c>
      <c r="CA81" s="674">
        <f t="shared" si="296"/>
        <v>1</v>
      </c>
      <c r="CB81" s="674"/>
      <c r="CC81" s="674">
        <v>2019</v>
      </c>
      <c r="CD81" s="674"/>
      <c r="CE81" s="1">
        <f t="shared" ref="CE81:CJ81" si="340">IFERROR(CE67/$CK67,0)</f>
        <v>0</v>
      </c>
      <c r="CF81" s="1">
        <f t="shared" si="340"/>
        <v>0</v>
      </c>
      <c r="CG81" s="1">
        <f t="shared" si="340"/>
        <v>0</v>
      </c>
      <c r="CH81" s="1">
        <f t="shared" si="340"/>
        <v>0.58963063368349711</v>
      </c>
      <c r="CI81" s="1">
        <f t="shared" si="340"/>
        <v>1.3554727211114876E-2</v>
      </c>
      <c r="CJ81" s="1">
        <f t="shared" si="340"/>
        <v>0.396814639105388</v>
      </c>
      <c r="CK81" s="674">
        <f t="shared" si="298"/>
        <v>1</v>
      </c>
    </row>
    <row r="82" spans="1:89">
      <c r="A82" s="674">
        <v>2020</v>
      </c>
      <c r="B82" s="1">
        <f>B68/$I68</f>
        <v>8.0978216859664749E-4</v>
      </c>
      <c r="C82" s="1">
        <f>C68/$I68</f>
        <v>0.31419548141549924</v>
      </c>
      <c r="D82" s="1">
        <f t="shared" ref="D82:H82" si="341">D68/$I68</f>
        <v>0</v>
      </c>
      <c r="E82" s="1">
        <f t="shared" si="341"/>
        <v>0</v>
      </c>
      <c r="F82" s="1">
        <f>F68/$I68</f>
        <v>0.4865171268928658</v>
      </c>
      <c r="G82" s="1">
        <f t="shared" si="341"/>
        <v>2.7532593732286013E-3</v>
      </c>
      <c r="H82" s="1">
        <f t="shared" si="341"/>
        <v>0.19572435014980971</v>
      </c>
      <c r="I82" s="675">
        <f t="shared" si="285"/>
        <v>1</v>
      </c>
      <c r="K82" s="674">
        <v>2020</v>
      </c>
      <c r="L82" s="1">
        <f>L68/$S68</f>
        <v>0.95093383982272872</v>
      </c>
      <c r="M82" s="1">
        <f>M68/$S68</f>
        <v>0</v>
      </c>
      <c r="N82" s="1">
        <f>N68/$S68</f>
        <v>0</v>
      </c>
      <c r="O82" s="1"/>
      <c r="P82" s="1">
        <f>P68/$S68</f>
        <v>4.9066160177271285E-2</v>
      </c>
      <c r="Q82" s="1">
        <f>Q68/$S68</f>
        <v>0</v>
      </c>
      <c r="R82" s="1">
        <f>R68/$S68</f>
        <v>0</v>
      </c>
      <c r="S82" s="674">
        <f t="shared" si="286"/>
        <v>1</v>
      </c>
      <c r="U82" s="674">
        <v>2020</v>
      </c>
      <c r="V82" s="674"/>
      <c r="W82" s="673">
        <f t="shared" ref="W82:AB82" si="342">W68/$AC68</f>
        <v>0</v>
      </c>
      <c r="X82" s="673">
        <f t="shared" si="342"/>
        <v>0</v>
      </c>
      <c r="AA82" s="673">
        <f t="shared" si="342"/>
        <v>0</v>
      </c>
      <c r="AB82" s="673">
        <f t="shared" si="342"/>
        <v>1</v>
      </c>
      <c r="AC82" s="674">
        <f t="shared" si="288"/>
        <v>1</v>
      </c>
      <c r="AE82" s="674">
        <v>2020</v>
      </c>
      <c r="AF82" s="674"/>
      <c r="AG82" s="673">
        <f>IFERROR(AG68/$AM68,0)</f>
        <v>0</v>
      </c>
      <c r="AH82" s="673">
        <f>IFERROR(AH68/$AM68,0)</f>
        <v>0</v>
      </c>
      <c r="AI82" s="673">
        <f>IFERROR(AI68/$AM68,0)</f>
        <v>0</v>
      </c>
      <c r="AK82" s="673">
        <f>IFERROR(AK68/$AM68,0)</f>
        <v>0</v>
      </c>
      <c r="AL82" s="673">
        <f>IFERROR(AL68/$AM68,0)</f>
        <v>1</v>
      </c>
      <c r="AM82" s="674">
        <f t="shared" si="289"/>
        <v>1</v>
      </c>
      <c r="AO82" s="674">
        <v>2020</v>
      </c>
      <c r="AP82" s="674"/>
      <c r="AQ82" s="1">
        <f t="shared" ref="AQ82:AV82" si="343">IFERROR(AQ68/$AW68,0)</f>
        <v>9.3808630393996256E-3</v>
      </c>
      <c r="AR82" s="1">
        <f t="shared" si="343"/>
        <v>0</v>
      </c>
      <c r="AS82" s="1">
        <f t="shared" si="343"/>
        <v>0</v>
      </c>
      <c r="AT82" s="1">
        <f t="shared" si="343"/>
        <v>0.51594746716697937</v>
      </c>
      <c r="AU82" s="1">
        <f t="shared" si="343"/>
        <v>0</v>
      </c>
      <c r="AV82" s="1">
        <f t="shared" si="343"/>
        <v>0.47467166979362102</v>
      </c>
      <c r="AW82" s="674">
        <f t="shared" si="291"/>
        <v>1</v>
      </c>
      <c r="AY82" s="674">
        <v>2020</v>
      </c>
      <c r="AZ82" s="674"/>
      <c r="BA82" s="1">
        <f t="shared" ref="BA82:BF82" si="344">IFERROR(BA68/$BG68,0)</f>
        <v>0</v>
      </c>
      <c r="BB82" s="1">
        <f t="shared" si="344"/>
        <v>0</v>
      </c>
      <c r="BC82" s="1">
        <f t="shared" si="344"/>
        <v>0</v>
      </c>
      <c r="BD82" s="1">
        <f t="shared" si="344"/>
        <v>0.95535128036769534</v>
      </c>
      <c r="BE82" s="1">
        <f t="shared" si="344"/>
        <v>0</v>
      </c>
      <c r="BF82" s="1">
        <f t="shared" si="344"/>
        <v>4.4648719632304663E-2</v>
      </c>
      <c r="BG82" s="674">
        <f t="shared" si="293"/>
        <v>1</v>
      </c>
      <c r="BI82" s="674">
        <v>2020</v>
      </c>
      <c r="BJ82" s="674"/>
      <c r="BK82" s="1">
        <f t="shared" ref="BK82:BP82" si="345">IFERROR(BK68/$BQ68,0)</f>
        <v>0</v>
      </c>
      <c r="BL82" s="1">
        <f t="shared" si="345"/>
        <v>0</v>
      </c>
      <c r="BM82" s="1">
        <f t="shared" si="345"/>
        <v>0</v>
      </c>
      <c r="BN82" s="1">
        <f t="shared" si="345"/>
        <v>0.5625</v>
      </c>
      <c r="BO82" s="1">
        <f t="shared" si="345"/>
        <v>0</v>
      </c>
      <c r="BP82" s="1">
        <f t="shared" si="345"/>
        <v>0.4375</v>
      </c>
      <c r="BQ82" s="674">
        <f t="shared" si="295"/>
        <v>1</v>
      </c>
      <c r="BS82" s="674">
        <v>2020</v>
      </c>
      <c r="BT82" s="674"/>
      <c r="BU82" s="1">
        <f>IFERROR(BU68/$CA68,0)</f>
        <v>0</v>
      </c>
      <c r="BV82" s="1">
        <f>IFERROR(BV68/$CA68,0)</f>
        <v>0</v>
      </c>
      <c r="BW82" s="1">
        <f>IFERROR(BW68/$CA68,0)</f>
        <v>0</v>
      </c>
      <c r="BY82" s="1">
        <f>IFERROR(BY68/$CA68,0)</f>
        <v>0</v>
      </c>
      <c r="BZ82" s="1">
        <f>IFERROR(BZ68/$CA68,0)</f>
        <v>1</v>
      </c>
      <c r="CA82" s="674">
        <f t="shared" si="296"/>
        <v>1</v>
      </c>
      <c r="CB82" s="674"/>
      <c r="CC82" s="674">
        <v>2020</v>
      </c>
      <c r="CD82" s="674"/>
      <c r="CE82" s="1">
        <f t="shared" ref="CE82:CJ82" si="346">IFERROR(CE68/$CK68,0)</f>
        <v>0</v>
      </c>
      <c r="CF82" s="1">
        <f t="shared" si="346"/>
        <v>0</v>
      </c>
      <c r="CG82" s="1">
        <f t="shared" si="346"/>
        <v>0</v>
      </c>
      <c r="CH82" s="1">
        <f t="shared" si="346"/>
        <v>0.62758051197357556</v>
      </c>
      <c r="CI82" s="1">
        <f t="shared" si="346"/>
        <v>1.4037985136251032E-2</v>
      </c>
      <c r="CJ82" s="1">
        <f t="shared" si="346"/>
        <v>0.3583815028901734</v>
      </c>
      <c r="CK82" s="674">
        <f t="shared" si="298"/>
        <v>1</v>
      </c>
    </row>
    <row r="83" spans="1:89">
      <c r="A83" s="674">
        <v>2021</v>
      </c>
      <c r="B83" s="1">
        <f>B69/$I69</f>
        <v>8.5656439806883666E-4</v>
      </c>
      <c r="C83" s="1">
        <f>C69/$I69</f>
        <v>0.31342470020246066</v>
      </c>
      <c r="D83" s="1">
        <f t="shared" ref="D83:H83" si="347">D69/$I69</f>
        <v>0</v>
      </c>
      <c r="E83" s="1">
        <f t="shared" si="347"/>
        <v>0</v>
      </c>
      <c r="F83" s="1">
        <f>F69/$I69</f>
        <v>0.49065566111197634</v>
      </c>
      <c r="G83" s="1">
        <f t="shared" si="347"/>
        <v>2.725432175673571E-3</v>
      </c>
      <c r="H83" s="1">
        <f t="shared" si="347"/>
        <v>0.19233764211182058</v>
      </c>
      <c r="I83" s="675">
        <f t="shared" si="285"/>
        <v>1</v>
      </c>
      <c r="K83" s="674">
        <v>2021</v>
      </c>
      <c r="L83" s="1">
        <f>L69/$S69</f>
        <v>0.95166893218547044</v>
      </c>
      <c r="M83" s="1">
        <f>M69/$S69</f>
        <v>0</v>
      </c>
      <c r="N83" s="1">
        <f>N69/$S69</f>
        <v>0</v>
      </c>
      <c r="O83" s="1"/>
      <c r="P83" s="1">
        <f>P69/$S69</f>
        <v>4.8331067814529526E-2</v>
      </c>
      <c r="Q83" s="1">
        <f>Q69/$S69</f>
        <v>0</v>
      </c>
      <c r="R83" s="1">
        <f>R69/$S69</f>
        <v>0</v>
      </c>
      <c r="S83" s="674">
        <f t="shared" si="286"/>
        <v>1</v>
      </c>
      <c r="U83" s="674">
        <v>2021</v>
      </c>
      <c r="V83" s="674"/>
      <c r="W83" s="673">
        <f t="shared" ref="W83:AB83" si="348">W69/$AC69</f>
        <v>0</v>
      </c>
      <c r="X83" s="673">
        <f t="shared" si="348"/>
        <v>0</v>
      </c>
      <c r="AA83" s="673">
        <f t="shared" si="348"/>
        <v>0</v>
      </c>
      <c r="AB83" s="673">
        <f t="shared" si="348"/>
        <v>1</v>
      </c>
      <c r="AC83" s="674">
        <f t="shared" si="288"/>
        <v>1</v>
      </c>
      <c r="AE83" s="674">
        <v>2021</v>
      </c>
      <c r="AF83" s="674"/>
      <c r="AG83" s="673">
        <f>IFERROR(AG69/$AM69,0)</f>
        <v>0</v>
      </c>
      <c r="AH83" s="673">
        <f>IFERROR(AH69/$AM69,0)</f>
        <v>0</v>
      </c>
      <c r="AI83" s="673">
        <f>IFERROR(AI69/$AM69,0)</f>
        <v>0</v>
      </c>
      <c r="AK83" s="673">
        <f>IFERROR(AK69/$AM69,0)</f>
        <v>0</v>
      </c>
      <c r="AL83" s="673">
        <f>IFERROR(AL69/$AM69,0)</f>
        <v>1</v>
      </c>
      <c r="AM83" s="674">
        <f t="shared" si="289"/>
        <v>1</v>
      </c>
      <c r="AO83" s="674">
        <v>2021</v>
      </c>
      <c r="AP83" s="674"/>
      <c r="AQ83" s="1">
        <f t="shared" ref="AQ83:AV83" si="349">IFERROR(AQ69/$AW69,0)</f>
        <v>9.5569070373588191E-3</v>
      </c>
      <c r="AR83" s="1">
        <f t="shared" si="349"/>
        <v>0</v>
      </c>
      <c r="AS83" s="1">
        <f t="shared" si="349"/>
        <v>0</v>
      </c>
      <c r="AT83" s="1">
        <f t="shared" si="349"/>
        <v>0.51781059947871411</v>
      </c>
      <c r="AU83" s="1">
        <f t="shared" si="349"/>
        <v>0</v>
      </c>
      <c r="AV83" s="1">
        <f t="shared" si="349"/>
        <v>0.472632493483927</v>
      </c>
      <c r="AW83" s="674">
        <f t="shared" si="291"/>
        <v>0.99999999999999989</v>
      </c>
      <c r="AY83" s="674">
        <v>2021</v>
      </c>
      <c r="AZ83" s="674"/>
      <c r="BA83" s="1">
        <f t="shared" ref="BA83:BF83" si="350">IFERROR(BA69/$BG69,0)</f>
        <v>0</v>
      </c>
      <c r="BB83" s="1">
        <f t="shared" si="350"/>
        <v>0</v>
      </c>
      <c r="BC83" s="1">
        <f t="shared" si="350"/>
        <v>0</v>
      </c>
      <c r="BD83" s="1">
        <f t="shared" si="350"/>
        <v>0.95599999999999996</v>
      </c>
      <c r="BE83" s="1">
        <f t="shared" si="350"/>
        <v>0</v>
      </c>
      <c r="BF83" s="1">
        <f t="shared" si="350"/>
        <v>4.3999999999999997E-2</v>
      </c>
      <c r="BG83" s="674">
        <f t="shared" si="293"/>
        <v>1</v>
      </c>
      <c r="BI83" s="674">
        <v>2021</v>
      </c>
      <c r="BJ83" s="674"/>
      <c r="BK83" s="1">
        <f t="shared" ref="BK83:BP83" si="351">IFERROR(BK69/$BQ69,0)</f>
        <v>0</v>
      </c>
      <c r="BL83" s="1">
        <f t="shared" si="351"/>
        <v>0</v>
      </c>
      <c r="BM83" s="1">
        <f t="shared" si="351"/>
        <v>0</v>
      </c>
      <c r="BN83" s="1">
        <f t="shared" si="351"/>
        <v>0.56989247311827962</v>
      </c>
      <c r="BO83" s="1">
        <f t="shared" si="351"/>
        <v>0</v>
      </c>
      <c r="BP83" s="1">
        <f t="shared" si="351"/>
        <v>0.43010752688172044</v>
      </c>
      <c r="BQ83" s="674">
        <f t="shared" si="295"/>
        <v>1</v>
      </c>
      <c r="BS83" s="674">
        <v>2021</v>
      </c>
      <c r="BT83" s="674"/>
      <c r="BU83" s="1">
        <f>IFERROR(BU69/$CA69,0)</f>
        <v>0</v>
      </c>
      <c r="BV83" s="1">
        <f>IFERROR(BV69/$CA69,0)</f>
        <v>0</v>
      </c>
      <c r="BW83" s="1">
        <f>IFERROR(BW69/$CA69,0)</f>
        <v>0</v>
      </c>
      <c r="BY83" s="1">
        <f>IFERROR(BY69/$CA69,0)</f>
        <v>0</v>
      </c>
      <c r="BZ83" s="1">
        <f>IFERROR(BZ69/$CA69,0)</f>
        <v>1</v>
      </c>
      <c r="CA83" s="674">
        <f t="shared" si="296"/>
        <v>1</v>
      </c>
      <c r="CB83" s="674"/>
      <c r="CC83" s="674">
        <v>2021</v>
      </c>
      <c r="CD83" s="674"/>
      <c r="CE83" s="1">
        <f t="shared" ref="CE83:CJ83" si="352">IFERROR(CE69/$CK69,0)</f>
        <v>0</v>
      </c>
      <c r="CF83" s="1">
        <f t="shared" si="352"/>
        <v>0</v>
      </c>
      <c r="CG83" s="1">
        <f t="shared" si="352"/>
        <v>0</v>
      </c>
      <c r="CH83" s="1">
        <f t="shared" si="352"/>
        <v>0.62360630526720495</v>
      </c>
      <c r="CI83" s="1">
        <f t="shared" si="352"/>
        <v>1.3456362937331795E-2</v>
      </c>
      <c r="CJ83" s="1">
        <f t="shared" si="352"/>
        <v>0.36293733179546328</v>
      </c>
      <c r="CK83" s="674">
        <f t="shared" si="298"/>
        <v>1</v>
      </c>
    </row>
  </sheetData>
  <phoneticPr fontId="7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4" tint="0.79998168889431442"/>
  </sheetPr>
  <dimension ref="A1:AP85"/>
  <sheetViews>
    <sheetView showGridLines="0" zoomScaleNormal="100" zoomScaleSheetLayoutView="100" workbookViewId="0">
      <pane xSplit="1" ySplit="1" topLeftCell="B2" activePane="bottomRight" state="frozen"/>
      <selection pane="topRight" activeCell="B6" sqref="B6"/>
      <selection pane="bottomLeft" activeCell="B6" sqref="B6"/>
      <selection pane="bottomRight" activeCell="B7" sqref="B7"/>
    </sheetView>
  </sheetViews>
  <sheetFormatPr baseColWidth="10" defaultColWidth="9.19921875" defaultRowHeight="14" outlineLevelRow="1" outlineLevelCol="1"/>
  <cols>
    <col min="1" max="1" width="20.3984375" style="197" customWidth="1"/>
    <col min="2" max="2" width="12.19921875" style="196" customWidth="1"/>
    <col min="3" max="3" width="19.3984375" style="196" customWidth="1"/>
    <col min="4" max="4" width="12.3984375" style="196" customWidth="1"/>
    <col min="5" max="5" width="12.19921875" style="196" customWidth="1"/>
    <col min="6" max="6" width="12" style="196" customWidth="1"/>
    <col min="7" max="7" width="16.19921875" style="197" customWidth="1"/>
    <col min="8" max="8" width="16.796875" style="197" customWidth="1"/>
    <col min="9" max="9" width="17.19921875" style="197" customWidth="1"/>
    <col min="10" max="10" width="13.796875" style="197" customWidth="1"/>
    <col min="11" max="11" width="10.3984375" style="197" customWidth="1"/>
    <col min="12" max="12" width="11.3984375" style="197" customWidth="1"/>
    <col min="13" max="14" width="10.3984375" style="197" customWidth="1"/>
    <col min="15" max="15" width="12.3984375" style="197" customWidth="1"/>
    <col min="16" max="16" width="9.3984375" style="197" customWidth="1"/>
    <col min="17" max="17" width="9.796875" style="197" customWidth="1"/>
    <col min="18" max="18" width="15.796875" style="197" customWidth="1"/>
    <col min="19" max="19" width="9.3984375" style="197" customWidth="1"/>
    <col min="20" max="20" width="14.3984375" style="197" customWidth="1" outlineLevel="1"/>
    <col min="21" max="21" width="12.796875" style="197" customWidth="1" outlineLevel="1"/>
    <col min="22" max="24" width="12.796875" style="197" customWidth="1"/>
    <col min="25" max="25" width="28.3984375" style="197" customWidth="1"/>
    <col min="26" max="26" width="12.19921875" style="196" bestFit="1" customWidth="1"/>
    <col min="27" max="27" width="12.3984375" style="196" bestFit="1" customWidth="1"/>
    <col min="28" max="28" width="17.3984375" style="196" bestFit="1" customWidth="1"/>
    <col min="29" max="29" width="11.3984375" style="196" customWidth="1"/>
    <col min="30" max="30" width="14.796875" style="196" bestFit="1" customWidth="1"/>
    <col min="31" max="33" width="13.3984375" style="196" customWidth="1"/>
    <col min="34" max="35" width="12.3984375" style="196" bestFit="1" customWidth="1"/>
    <col min="36" max="36" width="9.19921875" style="196" bestFit="1" customWidth="1"/>
    <col min="37" max="37" width="10.3984375" style="196" bestFit="1" customWidth="1"/>
    <col min="38" max="38" width="9.796875" style="196" customWidth="1"/>
    <col min="39" max="39" width="10.19921875" style="196" bestFit="1" customWidth="1"/>
    <col min="40" max="40" width="20.3984375" style="196" customWidth="1"/>
    <col min="41" max="16384" width="9.19921875" style="197"/>
  </cols>
  <sheetData>
    <row r="1" spans="1:40" ht="31.5" customHeight="1">
      <c r="A1" s="195" t="s">
        <v>708</v>
      </c>
      <c r="B1" s="195"/>
      <c r="D1" s="197"/>
      <c r="E1" s="198" t="s">
        <v>709</v>
      </c>
      <c r="F1" s="199">
        <f>+[2]FRAMEWORK!$B$2</f>
        <v>43599</v>
      </c>
      <c r="G1" s="198" t="s">
        <v>710</v>
      </c>
      <c r="H1" s="199" t="str">
        <f>+[2]FRAMEWORK!$D$2</f>
        <v>Core higher population</v>
      </c>
      <c r="I1" s="200"/>
      <c r="J1" s="201" t="s">
        <v>711</v>
      </c>
      <c r="K1" s="202" t="s">
        <v>712</v>
      </c>
      <c r="L1" s="203" t="s">
        <v>713</v>
      </c>
      <c r="M1" s="204" t="s">
        <v>714</v>
      </c>
      <c r="N1" s="205" t="s">
        <v>715</v>
      </c>
      <c r="T1" s="195"/>
      <c r="U1" s="196"/>
      <c r="V1" s="206"/>
      <c r="X1" s="207" t="s">
        <v>716</v>
      </c>
      <c r="Y1" s="195" t="s">
        <v>708</v>
      </c>
      <c r="Z1" s="197"/>
      <c r="AA1" s="197"/>
      <c r="AB1" s="198" t="s">
        <v>709</v>
      </c>
      <c r="AC1" s="199">
        <f>+[2]FRAMEWORK!$B$2</f>
        <v>43599</v>
      </c>
      <c r="AD1" s="198" t="s">
        <v>710</v>
      </c>
      <c r="AE1" s="199" t="str">
        <f>+[2]FRAMEWORK!$D$2</f>
        <v>Core higher population</v>
      </c>
      <c r="AF1" s="208"/>
      <c r="AG1" s="209" t="s">
        <v>711</v>
      </c>
      <c r="AH1" s="210" t="s">
        <v>717</v>
      </c>
      <c r="AI1" s="211" t="s">
        <v>718</v>
      </c>
      <c r="AJ1" s="212"/>
      <c r="AN1" s="213" t="s">
        <v>719</v>
      </c>
    </row>
    <row r="2" spans="1:40" s="214" customFormat="1" ht="18.75" customHeight="1">
      <c r="A2" s="640" t="s">
        <v>720</v>
      </c>
      <c r="B2" s="642" t="s">
        <v>721</v>
      </c>
      <c r="C2" s="644" t="s">
        <v>722</v>
      </c>
      <c r="D2" s="646" t="s">
        <v>723</v>
      </c>
      <c r="E2" s="647"/>
      <c r="F2" s="647"/>
      <c r="G2" s="647"/>
      <c r="H2" s="647"/>
      <c r="I2" s="647"/>
      <c r="J2" s="648"/>
      <c r="K2" s="648"/>
      <c r="L2" s="649"/>
      <c r="M2" s="643" t="s">
        <v>724</v>
      </c>
      <c r="N2" s="648"/>
      <c r="O2" s="647"/>
      <c r="P2" s="647"/>
      <c r="Q2" s="650"/>
      <c r="R2" s="651" t="s">
        <v>725</v>
      </c>
      <c r="U2" s="215"/>
      <c r="V2" s="216" t="s">
        <v>726</v>
      </c>
      <c r="W2" s="196"/>
      <c r="X2" s="196"/>
      <c r="Y2" s="196"/>
      <c r="Z2" s="217"/>
      <c r="AA2" s="217"/>
      <c r="AB2" s="217"/>
      <c r="AC2" s="217"/>
      <c r="AD2" s="217"/>
      <c r="AE2" s="217"/>
      <c r="AF2" s="217"/>
      <c r="AG2" s="217"/>
      <c r="AH2" s="217"/>
      <c r="AI2" s="217"/>
      <c r="AJ2" s="217"/>
      <c r="AK2" s="217"/>
      <c r="AL2" s="217"/>
      <c r="AM2" s="217"/>
      <c r="AN2" s="217"/>
    </row>
    <row r="3" spans="1:40" customFormat="1" ht="45" customHeight="1">
      <c r="A3" s="641"/>
      <c r="B3" s="643"/>
      <c r="C3" s="645"/>
      <c r="D3" s="218" t="s">
        <v>727</v>
      </c>
      <c r="E3" s="218" t="s">
        <v>728</v>
      </c>
      <c r="F3" s="218" t="s">
        <v>729</v>
      </c>
      <c r="G3" s="218" t="s">
        <v>730</v>
      </c>
      <c r="H3" s="218" t="s">
        <v>731</v>
      </c>
      <c r="I3" s="218" t="s">
        <v>732</v>
      </c>
      <c r="J3" s="218" t="s">
        <v>733</v>
      </c>
      <c r="K3" s="218" t="s">
        <v>734</v>
      </c>
      <c r="L3" s="218" t="s">
        <v>735</v>
      </c>
      <c r="M3" s="218" t="s">
        <v>736</v>
      </c>
      <c r="N3" s="218" t="s">
        <v>728</v>
      </c>
      <c r="O3" s="218" t="s">
        <v>539</v>
      </c>
      <c r="P3" s="218" t="s">
        <v>734</v>
      </c>
      <c r="Q3" s="218" t="s">
        <v>737</v>
      </c>
      <c r="R3" s="652"/>
      <c r="S3" s="197"/>
      <c r="T3" s="197"/>
      <c r="U3" s="219"/>
      <c r="V3" s="197"/>
      <c r="W3" s="627" t="s">
        <v>738</v>
      </c>
      <c r="X3" s="628"/>
      <c r="Y3" s="214"/>
      <c r="Z3" s="196"/>
      <c r="AA3" s="196"/>
      <c r="AB3" s="196"/>
      <c r="AC3" s="196"/>
      <c r="AD3" s="196"/>
      <c r="AE3" s="196"/>
      <c r="AF3" s="196"/>
      <c r="AG3" s="196"/>
      <c r="AH3" s="196"/>
      <c r="AI3" s="196"/>
      <c r="AJ3" s="196"/>
      <c r="AK3" s="196"/>
      <c r="AL3" s="196"/>
      <c r="AM3" s="196"/>
      <c r="AN3" s="196"/>
    </row>
    <row r="4" spans="1:40" ht="15" customHeight="1">
      <c r="A4" s="220" t="s">
        <v>739</v>
      </c>
      <c r="B4" s="221"/>
      <c r="C4" s="222"/>
      <c r="D4" s="222"/>
      <c r="E4" s="222"/>
      <c r="F4" s="222"/>
      <c r="G4" s="222"/>
      <c r="H4" s="222"/>
      <c r="I4" s="222"/>
      <c r="J4" s="222"/>
      <c r="K4" s="222"/>
      <c r="L4" s="222"/>
      <c r="M4" s="222"/>
      <c r="N4" s="222"/>
      <c r="O4" s="222"/>
      <c r="P4" s="222"/>
      <c r="Q4" s="222"/>
      <c r="R4" s="223"/>
      <c r="U4" s="224"/>
      <c r="W4" s="225">
        <v>2016</v>
      </c>
      <c r="X4" s="226">
        <v>2050</v>
      </c>
      <c r="Y4" s="196"/>
    </row>
    <row r="5" spans="1:40">
      <c r="A5" s="227" t="s">
        <v>740</v>
      </c>
      <c r="B5" s="680">
        <v>0.55000000000000004</v>
      </c>
      <c r="C5" s="228">
        <f>'[2]Key parameters rpt'!O27</f>
        <v>2174901.2425941145</v>
      </c>
      <c r="D5" s="229"/>
      <c r="E5" s="230">
        <f>'[2]Key parameters rpt'!O36</f>
        <v>0.55000000000000004</v>
      </c>
      <c r="F5" s="230">
        <f>'[2]Key parameters rpt'!$O$33</f>
        <v>0.1</v>
      </c>
      <c r="G5" s="231"/>
      <c r="H5" s="230">
        <f>'[2]Key parameters rpt'!$O$34</f>
        <v>0.5</v>
      </c>
      <c r="I5" s="230">
        <f>'[2]Key parameters rpt'!$O$35</f>
        <v>0.35</v>
      </c>
      <c r="J5" s="230">
        <f>'[2]Key parameters rpt'!$O$37</f>
        <v>0.08</v>
      </c>
      <c r="K5" s="232">
        <f>AVERAGE(E5:J5)</f>
        <v>0.316</v>
      </c>
      <c r="L5" s="233"/>
      <c r="M5" s="233"/>
      <c r="N5" s="234">
        <f>'[2]Key parameters rpt'!$O$36</f>
        <v>0.55000000000000004</v>
      </c>
      <c r="O5" s="234">
        <f>'[2]Key parameters rpt'!O34</f>
        <v>0.5</v>
      </c>
      <c r="P5" s="232">
        <f>AVERAGE(N5:O5)</f>
        <v>0.52500000000000002</v>
      </c>
      <c r="Q5" s="233"/>
      <c r="R5" s="235">
        <f>'[2]Key parameters rpt'!$O$41</f>
        <v>0</v>
      </c>
      <c r="U5" s="224"/>
      <c r="V5" s="236" t="s">
        <v>739</v>
      </c>
      <c r="W5" s="237" t="e">
        <f>Y30</f>
        <v>#VALUE!</v>
      </c>
      <c r="X5" s="237">
        <f>Y51</f>
        <v>138.12678197719634</v>
      </c>
      <c r="Y5" s="237"/>
    </row>
    <row r="6" spans="1:40">
      <c r="A6" s="227" t="s">
        <v>741</v>
      </c>
      <c r="B6" s="680">
        <v>0.45</v>
      </c>
      <c r="C6" s="228">
        <f>'[2]Key parameters rpt'!O28</f>
        <v>2121852.1582866181</v>
      </c>
      <c r="D6" s="233"/>
      <c r="E6" s="230">
        <f>'[2]Key parameters rpt'!O36</f>
        <v>0.55000000000000004</v>
      </c>
      <c r="F6" s="230">
        <f>'[2]Key parameters rpt'!$O$33</f>
        <v>0.1</v>
      </c>
      <c r="G6" s="231"/>
      <c r="H6" s="230">
        <f>'[2]Key parameters rpt'!$O$34</f>
        <v>0.5</v>
      </c>
      <c r="I6" s="230">
        <f>'[2]Key parameters rpt'!$O$35</f>
        <v>0.35</v>
      </c>
      <c r="J6" s="230">
        <f>'[2]Key parameters rpt'!$O$37</f>
        <v>0.08</v>
      </c>
      <c r="K6" s="232">
        <f>AVERAGE(E6:J6)</f>
        <v>0.316</v>
      </c>
      <c r="L6" s="232"/>
      <c r="M6" s="233"/>
      <c r="N6" s="234">
        <f>'[2]Key parameters rpt'!$O$36</f>
        <v>0.55000000000000004</v>
      </c>
      <c r="O6" s="234">
        <f>'[2]Key parameters rpt'!O35</f>
        <v>0.35</v>
      </c>
      <c r="P6" s="232">
        <f>AVERAGE(N6:O6)</f>
        <v>0.45</v>
      </c>
      <c r="Q6" s="233"/>
      <c r="R6" s="235">
        <f>'[2]Key parameters rpt'!$O$41</f>
        <v>0</v>
      </c>
      <c r="U6" s="224"/>
      <c r="V6" s="236" t="s">
        <v>742</v>
      </c>
      <c r="W6" s="237" t="e">
        <f>Y33</f>
        <v>#VALUE!</v>
      </c>
      <c r="X6" s="237">
        <f>Y54</f>
        <v>209.22299843245273</v>
      </c>
      <c r="Y6" s="237"/>
    </row>
    <row r="7" spans="1:40">
      <c r="A7" s="220" t="s">
        <v>742</v>
      </c>
      <c r="B7" s="238"/>
      <c r="C7" s="228">
        <f>'[2]Key parameters rpt'!O30</f>
        <v>5.9026996398998897</v>
      </c>
      <c r="D7" s="233"/>
      <c r="E7" s="230">
        <f>'[2]Key parameters rpt'!O36</f>
        <v>0.55000000000000004</v>
      </c>
      <c r="F7" s="230">
        <f>'[2]Key parameters rpt'!$O$33</f>
        <v>0.1</v>
      </c>
      <c r="G7" s="231"/>
      <c r="H7" s="230">
        <f>'[2]Key parameters rpt'!$O$34</f>
        <v>0.5</v>
      </c>
      <c r="I7" s="230">
        <f>'[2]Key parameters rpt'!$O$35</f>
        <v>0.35</v>
      </c>
      <c r="J7" s="230">
        <f>'[2]Key parameters rpt'!$O$37</f>
        <v>0.08</v>
      </c>
      <c r="K7" s="232">
        <f>AVERAGE(E7:J7)</f>
        <v>0.316</v>
      </c>
      <c r="L7" s="232"/>
      <c r="M7" s="233"/>
      <c r="N7" s="234">
        <f>'[2]Key parameters rpt'!$O$36</f>
        <v>0.55000000000000004</v>
      </c>
      <c r="O7" s="234">
        <f>'[2]Key parameters rpt'!O36</f>
        <v>0.55000000000000004</v>
      </c>
      <c r="P7" s="232">
        <f>AVERAGE(N7:O7)</f>
        <v>0.55000000000000004</v>
      </c>
      <c r="Q7" s="233"/>
      <c r="R7" s="235">
        <f>'[2]Key parameters rpt'!$O$41</f>
        <v>0</v>
      </c>
      <c r="U7" s="224"/>
      <c r="V7" s="236" t="s">
        <v>743</v>
      </c>
      <c r="W7" s="237" t="e">
        <f>Y41</f>
        <v>#VALUE!</v>
      </c>
      <c r="X7" s="237">
        <f>Y62</f>
        <v>28.11811987628359</v>
      </c>
      <c r="Y7" s="237"/>
    </row>
    <row r="8" spans="1:40" ht="15" thickBot="1">
      <c r="A8" s="239" t="s">
        <v>743</v>
      </c>
      <c r="B8" s="240"/>
      <c r="C8" s="241">
        <f>'[2]Key parameters rpt'!O31</f>
        <v>3.6728616334859097</v>
      </c>
      <c r="D8" s="242">
        <f>'[2]Key parameters rpt'!O38</f>
        <v>0.15</v>
      </c>
      <c r="E8" s="243"/>
      <c r="F8" s="244">
        <f>'[2]Key parameters rpt'!$O$33</f>
        <v>0.1</v>
      </c>
      <c r="G8" s="243"/>
      <c r="H8" s="243"/>
      <c r="I8" s="244">
        <f>'[2]Key parameters rpt'!$O$35</f>
        <v>0.35</v>
      </c>
      <c r="J8" s="243"/>
      <c r="K8" s="245">
        <f>AVERAGE(E8:J8)</f>
        <v>0.22499999999999998</v>
      </c>
      <c r="L8" s="246"/>
      <c r="M8" s="244">
        <f>'[2]Key parameters rpt'!$O$37</f>
        <v>0.08</v>
      </c>
      <c r="N8" s="243"/>
      <c r="O8" s="243"/>
      <c r="P8" s="246">
        <f>AVERAGE(M8:O8)</f>
        <v>0.08</v>
      </c>
      <c r="Q8" s="243"/>
      <c r="R8" s="247"/>
      <c r="U8" s="224"/>
      <c r="V8" s="197" t="s">
        <v>737</v>
      </c>
      <c r="W8" s="248" t="e">
        <f>SUM(W5:W7)</f>
        <v>#VALUE!</v>
      </c>
      <c r="X8" s="248">
        <f>SUM(X5:X7)</f>
        <v>375.46790028593261</v>
      </c>
      <c r="Y8" s="249"/>
    </row>
    <row r="9" spans="1:40" s="18" customFormat="1" ht="12.75" customHeight="1" thickTop="1">
      <c r="B9" s="250"/>
      <c r="C9" s="251"/>
      <c r="D9" s="252"/>
      <c r="E9" s="250"/>
      <c r="F9" s="252"/>
      <c r="H9" s="250"/>
      <c r="I9" s="252"/>
      <c r="J9" s="250"/>
      <c r="K9" s="253"/>
      <c r="L9" s="254"/>
      <c r="M9" s="255"/>
      <c r="N9" s="250"/>
      <c r="O9" s="250"/>
      <c r="P9" s="256"/>
      <c r="Q9" s="250"/>
      <c r="R9" s="252"/>
      <c r="U9" s="257"/>
      <c r="V9" s="253"/>
      <c r="W9" s="253"/>
      <c r="Z9" s="258"/>
      <c r="AA9" s="258"/>
      <c r="AB9" s="258"/>
      <c r="AC9" s="258"/>
      <c r="AD9" s="258"/>
      <c r="AE9" s="258"/>
      <c r="AF9" s="258"/>
      <c r="AG9" s="258"/>
      <c r="AH9" s="258"/>
      <c r="AI9" s="258"/>
      <c r="AJ9" s="258"/>
      <c r="AK9" s="258"/>
      <c r="AL9" s="258"/>
      <c r="AM9" s="258"/>
      <c r="AN9" s="258"/>
    </row>
    <row r="10" spans="1:40" customFormat="1">
      <c r="A10" s="259" t="s">
        <v>744</v>
      </c>
      <c r="D10" s="253" t="s">
        <v>745</v>
      </c>
      <c r="E10" s="260"/>
      <c r="F10" s="261"/>
      <c r="G10" s="197" t="s">
        <v>746</v>
      </c>
      <c r="H10" s="260"/>
      <c r="I10" s="261"/>
      <c r="J10" s="260"/>
      <c r="K10" s="197"/>
      <c r="L10" s="262"/>
      <c r="M10" s="263"/>
      <c r="N10" s="260"/>
      <c r="O10" s="260"/>
      <c r="P10" s="264"/>
      <c r="Q10" s="260"/>
      <c r="R10" s="261"/>
      <c r="U10" s="219"/>
      <c r="V10" s="219"/>
      <c r="W10" s="219"/>
      <c r="X10" s="219"/>
      <c r="Y10" s="219"/>
      <c r="Z10" s="146"/>
      <c r="AA10" s="146"/>
      <c r="AB10" s="146"/>
      <c r="AC10" s="146"/>
      <c r="AD10" s="146"/>
      <c r="AE10" s="146"/>
      <c r="AF10" s="146"/>
      <c r="AG10" s="146"/>
      <c r="AH10" s="146"/>
      <c r="AI10" s="146"/>
      <c r="AJ10" s="146"/>
      <c r="AK10" s="146"/>
      <c r="AL10" s="146"/>
      <c r="AM10" s="146"/>
      <c r="AN10" s="146"/>
    </row>
    <row r="11" spans="1:40" customFormat="1">
      <c r="A11" s="197"/>
      <c r="D11" s="261"/>
      <c r="E11" s="260"/>
      <c r="F11" s="261"/>
      <c r="G11" s="261"/>
      <c r="H11" s="260"/>
      <c r="I11" s="261"/>
      <c r="J11" s="260"/>
      <c r="K11" s="265" t="s">
        <v>747</v>
      </c>
      <c r="L11" s="266"/>
      <c r="M11" s="21"/>
      <c r="N11" s="267">
        <v>2016</v>
      </c>
      <c r="O11" s="268">
        <v>2050</v>
      </c>
      <c r="P11" s="263"/>
      <c r="Q11" s="260"/>
      <c r="R11" s="261"/>
      <c r="U11" s="219"/>
      <c r="V11" s="219"/>
      <c r="W11" s="219"/>
      <c r="X11" s="219"/>
      <c r="Y11" s="219"/>
      <c r="Z11" s="146"/>
      <c r="AA11" s="146"/>
      <c r="AB11" s="146"/>
      <c r="AC11" s="146"/>
      <c r="AD11" s="146"/>
      <c r="AE11" s="146"/>
      <c r="AF11" s="146"/>
      <c r="AG11" s="146"/>
      <c r="AH11" s="146"/>
      <c r="AI11" s="146"/>
      <c r="AJ11" s="146"/>
      <c r="AK11" s="146"/>
      <c r="AL11" s="146"/>
      <c r="AM11" s="146"/>
      <c r="AN11" s="146"/>
    </row>
    <row r="12" spans="1:40" customFormat="1">
      <c r="D12" s="261"/>
      <c r="E12" s="260"/>
      <c r="F12" s="261"/>
      <c r="G12" s="261"/>
      <c r="H12" s="260"/>
      <c r="I12" s="261"/>
      <c r="J12" s="260"/>
      <c r="K12" s="269" t="s">
        <v>748</v>
      </c>
      <c r="L12" s="224" t="s">
        <v>749</v>
      </c>
      <c r="N12" s="270" t="s">
        <v>750</v>
      </c>
      <c r="O12" s="271">
        <f>[2]Electricity!$K$6</f>
        <v>8.765039029278613E-3</v>
      </c>
      <c r="P12" s="263"/>
      <c r="Q12" s="260"/>
      <c r="R12" s="261"/>
      <c r="U12" s="219"/>
      <c r="V12" s="219"/>
      <c r="W12" s="219"/>
      <c r="X12" s="219"/>
      <c r="Y12" s="219"/>
      <c r="Z12" s="146"/>
      <c r="AA12" s="146"/>
      <c r="AB12" s="146"/>
      <c r="AC12" s="146"/>
      <c r="AD12" s="146"/>
      <c r="AE12" s="146"/>
      <c r="AF12" s="146"/>
      <c r="AG12" s="146"/>
      <c r="AH12" s="146"/>
      <c r="AI12" s="146"/>
      <c r="AJ12" s="146"/>
      <c r="AK12" s="146"/>
      <c r="AL12" s="146"/>
      <c r="AM12" s="146"/>
      <c r="AN12" s="146"/>
    </row>
    <row r="13" spans="1:40" customFormat="1">
      <c r="D13" s="261"/>
      <c r="E13" s="260"/>
      <c r="F13" s="261"/>
      <c r="G13" s="261"/>
      <c r="H13" s="260"/>
      <c r="I13" s="261"/>
      <c r="J13" s="260"/>
      <c r="K13" s="269" t="s">
        <v>751</v>
      </c>
      <c r="L13" s="224" t="s">
        <v>752</v>
      </c>
      <c r="N13" s="272">
        <v>65437.5</v>
      </c>
      <c r="O13" s="273">
        <v>65437.5</v>
      </c>
      <c r="P13" s="263"/>
      <c r="Q13" s="260"/>
      <c r="R13" s="261"/>
      <c r="U13" s="219"/>
      <c r="V13" s="219"/>
      <c r="W13" s="219"/>
      <c r="X13" s="219"/>
      <c r="Y13" s="219"/>
      <c r="Z13" s="146"/>
      <c r="AA13" s="146"/>
      <c r="AB13" s="146"/>
      <c r="AC13" s="146"/>
      <c r="AD13" s="146"/>
      <c r="AE13" s="146"/>
      <c r="AF13" s="146"/>
      <c r="AG13" s="146"/>
      <c r="AH13" s="146"/>
      <c r="AI13" s="146"/>
      <c r="AJ13" s="146"/>
      <c r="AK13" s="146"/>
      <c r="AL13" s="146"/>
      <c r="AM13" s="146"/>
      <c r="AN13" s="146"/>
    </row>
    <row r="14" spans="1:40" customFormat="1">
      <c r="A14" s="197"/>
      <c r="D14" s="261"/>
      <c r="E14" s="260"/>
      <c r="F14" s="261"/>
      <c r="G14" s="261"/>
      <c r="H14" s="260"/>
      <c r="I14" s="261"/>
      <c r="J14" s="260"/>
      <c r="K14" s="23"/>
      <c r="M14" s="263"/>
      <c r="N14" s="260"/>
      <c r="O14" s="274"/>
      <c r="P14" s="263"/>
      <c r="Q14" s="260"/>
      <c r="R14" s="261"/>
      <c r="U14" s="219"/>
      <c r="V14" s="219"/>
      <c r="W14" s="219"/>
      <c r="X14" s="219"/>
      <c r="Y14" s="219"/>
      <c r="Z14" s="146"/>
      <c r="AA14" s="146"/>
      <c r="AB14" s="146"/>
      <c r="AC14" s="146"/>
      <c r="AD14" s="146"/>
      <c r="AE14" s="146"/>
      <c r="AF14" s="146"/>
      <c r="AG14" s="146"/>
      <c r="AH14" s="146"/>
      <c r="AI14" s="146"/>
      <c r="AJ14" s="146"/>
      <c r="AK14" s="146"/>
      <c r="AL14" s="146"/>
      <c r="AM14" s="146"/>
      <c r="AN14" s="146"/>
    </row>
    <row r="15" spans="1:40" customFormat="1">
      <c r="A15" s="197"/>
      <c r="D15" s="261"/>
      <c r="E15" s="260"/>
      <c r="F15" s="261"/>
      <c r="G15" s="261"/>
      <c r="H15" s="260"/>
      <c r="I15" s="261"/>
      <c r="J15" s="260"/>
      <c r="K15" s="275" t="s">
        <v>753</v>
      </c>
      <c r="L15" s="261"/>
      <c r="M15" s="263"/>
      <c r="N15" s="260"/>
      <c r="O15" s="274"/>
      <c r="P15" s="263"/>
      <c r="Q15" s="260"/>
      <c r="R15" s="261"/>
      <c r="U15" s="219"/>
      <c r="V15" s="219"/>
      <c r="W15" s="219"/>
      <c r="X15" s="219"/>
      <c r="Y15" s="219"/>
      <c r="Z15" s="146"/>
      <c r="AA15" s="146"/>
      <c r="AB15" s="146"/>
      <c r="AC15" s="146"/>
      <c r="AD15" s="146"/>
      <c r="AE15" s="146"/>
      <c r="AF15" s="146"/>
      <c r="AG15" s="146"/>
      <c r="AH15" s="146"/>
      <c r="AI15" s="146"/>
      <c r="AJ15" s="146"/>
      <c r="AK15" s="146"/>
      <c r="AL15" s="146"/>
      <c r="AM15" s="146"/>
      <c r="AN15" s="146"/>
    </row>
    <row r="16" spans="1:40" customFormat="1">
      <c r="A16" s="197"/>
      <c r="D16" s="261"/>
      <c r="E16" s="260"/>
      <c r="F16" s="261"/>
      <c r="G16" s="261"/>
      <c r="H16" s="260"/>
      <c r="I16" s="261"/>
      <c r="J16" s="260"/>
      <c r="K16" s="276" t="s">
        <v>754</v>
      </c>
      <c r="L16" s="277"/>
      <c r="M16" s="278"/>
      <c r="N16" s="279"/>
      <c r="O16" s="280"/>
      <c r="P16" s="263"/>
      <c r="Q16" s="260"/>
      <c r="R16" s="261"/>
      <c r="U16" s="219"/>
      <c r="V16" s="219"/>
      <c r="W16" s="219"/>
      <c r="X16" s="219"/>
      <c r="Y16" s="219"/>
      <c r="Z16" s="146"/>
      <c r="AA16" s="146"/>
      <c r="AB16" s="146"/>
      <c r="AC16" s="146"/>
      <c r="AD16" s="146"/>
      <c r="AE16" s="146"/>
      <c r="AF16" s="146"/>
      <c r="AG16" s="146"/>
      <c r="AH16" s="146"/>
      <c r="AI16" s="146"/>
      <c r="AJ16" s="146"/>
      <c r="AK16" s="146"/>
      <c r="AL16" s="146"/>
      <c r="AM16" s="146"/>
      <c r="AN16" s="146"/>
    </row>
    <row r="17" spans="1:42" customFormat="1">
      <c r="A17" s="197"/>
      <c r="D17" s="261"/>
      <c r="E17" s="260"/>
      <c r="F17" s="261"/>
      <c r="G17" s="261"/>
      <c r="H17" s="260"/>
      <c r="I17" s="261"/>
      <c r="J17" s="260"/>
      <c r="K17" s="263"/>
      <c r="M17" s="263"/>
      <c r="N17" s="260"/>
      <c r="O17" s="260"/>
      <c r="P17" s="263"/>
      <c r="Q17" s="260"/>
      <c r="R17" s="261"/>
      <c r="U17" s="219"/>
      <c r="V17" s="219"/>
      <c r="W17" s="219"/>
      <c r="X17" s="219"/>
      <c r="Y17" s="219"/>
      <c r="Z17" s="146"/>
      <c r="AA17" s="146"/>
      <c r="AB17" s="146"/>
      <c r="AC17" s="146"/>
      <c r="AD17" s="146"/>
      <c r="AE17" s="146"/>
      <c r="AF17" s="146"/>
      <c r="AG17" s="146"/>
      <c r="AH17" s="146"/>
      <c r="AI17" s="146"/>
      <c r="AJ17" s="146"/>
      <c r="AK17" s="146"/>
      <c r="AL17" s="146"/>
      <c r="AM17" s="146"/>
      <c r="AN17" s="146"/>
    </row>
    <row r="18" spans="1:42" customFormat="1">
      <c r="A18" s="257"/>
      <c r="B18" s="260"/>
      <c r="C18" s="281"/>
      <c r="D18" s="261"/>
      <c r="E18" s="260"/>
      <c r="F18" s="261"/>
      <c r="G18" s="261"/>
      <c r="H18" s="260"/>
      <c r="I18" s="261"/>
      <c r="J18" s="260"/>
      <c r="K18" s="263"/>
      <c r="L18" s="261"/>
      <c r="M18" s="263"/>
      <c r="N18" s="260"/>
      <c r="O18" s="260"/>
      <c r="P18" s="263"/>
      <c r="Q18" s="260"/>
      <c r="R18" s="261"/>
      <c r="U18" s="219"/>
      <c r="V18" s="219"/>
      <c r="W18" s="219"/>
      <c r="X18" s="219"/>
      <c r="Y18" s="219"/>
      <c r="Z18" s="146"/>
      <c r="AA18" s="146"/>
      <c r="AB18" s="146"/>
      <c r="AC18" s="146"/>
      <c r="AD18" s="146"/>
      <c r="AE18" s="146"/>
      <c r="AF18" s="146"/>
      <c r="AG18" s="146"/>
      <c r="AH18" s="146"/>
      <c r="AI18" s="146"/>
      <c r="AJ18" s="146"/>
      <c r="AK18" s="146"/>
      <c r="AL18" s="146"/>
      <c r="AM18" s="146"/>
      <c r="AN18" s="146"/>
    </row>
    <row r="19" spans="1:42" customFormat="1">
      <c r="A19" s="257"/>
      <c r="B19" s="260"/>
      <c r="C19" s="281"/>
      <c r="D19" s="261"/>
      <c r="E19" s="260"/>
      <c r="F19" s="261"/>
      <c r="G19" s="261"/>
      <c r="H19" s="260"/>
      <c r="I19" s="261"/>
      <c r="J19" s="260"/>
      <c r="K19" s="263"/>
      <c r="L19" s="261"/>
      <c r="M19" s="263"/>
      <c r="N19" s="260"/>
      <c r="O19" s="260"/>
      <c r="P19" s="263"/>
      <c r="Q19" s="260"/>
      <c r="R19" s="261"/>
      <c r="U19" s="219"/>
      <c r="V19" s="219"/>
      <c r="W19" s="219"/>
      <c r="X19" s="219"/>
      <c r="Y19" s="219"/>
      <c r="Z19" s="265" t="s">
        <v>755</v>
      </c>
      <c r="AA19" s="282"/>
      <c r="AB19" s="21"/>
      <c r="AC19" s="282"/>
      <c r="AD19" s="282"/>
      <c r="AE19" s="282"/>
      <c r="AF19" s="283"/>
      <c r="AG19" s="284"/>
      <c r="AH19" s="284"/>
      <c r="AI19" s="146"/>
      <c r="AJ19" s="146"/>
      <c r="AK19" s="146"/>
      <c r="AL19" s="146"/>
      <c r="AM19" s="146"/>
      <c r="AN19" s="146"/>
    </row>
    <row r="20" spans="1:42" customFormat="1">
      <c r="A20" s="257"/>
      <c r="B20" s="260"/>
      <c r="C20" s="281"/>
      <c r="D20" s="261"/>
      <c r="E20" s="260"/>
      <c r="F20" s="261"/>
      <c r="G20" s="261"/>
      <c r="H20" s="260"/>
      <c r="I20" s="261"/>
      <c r="J20" s="260"/>
      <c r="K20" s="263"/>
      <c r="L20" s="261"/>
      <c r="M20" s="263"/>
      <c r="N20" s="260"/>
      <c r="O20" s="260"/>
      <c r="P20" s="263"/>
      <c r="Q20" s="260"/>
      <c r="R20" s="261"/>
      <c r="U20" s="219"/>
      <c r="V20" s="219"/>
      <c r="W20" s="219"/>
      <c r="X20" s="219"/>
      <c r="Y20" s="219"/>
      <c r="Z20" s="23" t="s">
        <v>756</v>
      </c>
      <c r="AA20" s="146"/>
      <c r="AC20" s="146"/>
      <c r="AD20" s="146"/>
      <c r="AE20" s="146"/>
      <c r="AF20" s="285"/>
      <c r="AG20" s="286"/>
      <c r="AH20" s="286"/>
      <c r="AI20" s="146"/>
      <c r="AJ20" s="146"/>
      <c r="AK20" s="146"/>
      <c r="AL20" s="146"/>
      <c r="AM20" s="146"/>
      <c r="AN20" s="146"/>
    </row>
    <row r="21" spans="1:42" customFormat="1">
      <c r="A21" s="257"/>
      <c r="B21" s="260"/>
      <c r="C21" s="281"/>
      <c r="D21" s="261"/>
      <c r="E21" s="260"/>
      <c r="F21" s="261"/>
      <c r="G21" s="261"/>
      <c r="H21" s="260"/>
      <c r="I21" s="261"/>
      <c r="J21" s="260"/>
      <c r="K21" s="263"/>
      <c r="L21" s="261"/>
      <c r="M21" s="263"/>
      <c r="N21" s="260"/>
      <c r="O21" s="260"/>
      <c r="P21" s="263"/>
      <c r="Q21" s="260"/>
      <c r="R21" s="261"/>
      <c r="U21" s="219"/>
      <c r="V21" s="219"/>
      <c r="W21" s="219"/>
      <c r="X21" s="219"/>
      <c r="Y21" s="219"/>
      <c r="Z21" s="287" t="s">
        <v>757</v>
      </c>
      <c r="AA21" s="146"/>
      <c r="AF21" s="285"/>
      <c r="AG21" s="288"/>
      <c r="AH21" s="286"/>
      <c r="AI21" s="146"/>
      <c r="AJ21" s="146"/>
      <c r="AK21" s="146"/>
      <c r="AL21" s="146"/>
      <c r="AM21" s="146"/>
      <c r="AN21" s="146"/>
    </row>
    <row r="22" spans="1:42" customFormat="1" ht="45">
      <c r="A22" s="257"/>
      <c r="B22" s="260"/>
      <c r="C22" s="281"/>
      <c r="D22" s="261"/>
      <c r="E22" s="260"/>
      <c r="F22" s="261"/>
      <c r="G22" s="261"/>
      <c r="H22" s="260"/>
      <c r="I22" s="261"/>
      <c r="J22" s="260"/>
      <c r="K22" s="263"/>
      <c r="L22" s="261"/>
      <c r="M22" s="263"/>
      <c r="N22" s="260"/>
      <c r="O22" s="260"/>
      <c r="P22" s="263"/>
      <c r="Q22" s="260"/>
      <c r="R22" s="261"/>
      <c r="U22" s="219"/>
      <c r="V22" s="219"/>
      <c r="W22" s="219"/>
      <c r="X22" s="219"/>
      <c r="Z22" s="289"/>
      <c r="AA22" s="200"/>
      <c r="AB22" s="290"/>
      <c r="AC22" s="290" t="s">
        <v>758</v>
      </c>
      <c r="AD22" s="291" t="s">
        <v>730</v>
      </c>
      <c r="AE22" s="292" t="s">
        <v>759</v>
      </c>
      <c r="AF22" s="293" t="s">
        <v>735</v>
      </c>
      <c r="AG22" s="208" t="s">
        <v>760</v>
      </c>
      <c r="AH22" s="293" t="s">
        <v>761</v>
      </c>
      <c r="AI22" s="146"/>
      <c r="AJ22" s="146"/>
      <c r="AK22" s="146"/>
      <c r="AL22" s="146"/>
      <c r="AM22" s="146"/>
      <c r="AN22" s="146"/>
    </row>
    <row r="23" spans="1:42" customFormat="1">
      <c r="A23" s="257"/>
      <c r="B23" s="260"/>
      <c r="C23" s="281"/>
      <c r="D23" s="261"/>
      <c r="E23" s="260"/>
      <c r="F23" s="261"/>
      <c r="G23" s="261"/>
      <c r="H23" s="260"/>
      <c r="I23" s="261"/>
      <c r="J23" s="260"/>
      <c r="K23" s="263"/>
      <c r="L23" s="261"/>
      <c r="M23" s="263"/>
      <c r="N23" s="260"/>
      <c r="O23" s="260"/>
      <c r="P23" s="263"/>
      <c r="Q23" s="260"/>
      <c r="R23" s="261"/>
      <c r="U23" s="219"/>
      <c r="V23" s="219"/>
      <c r="W23" s="219"/>
      <c r="X23" s="219"/>
      <c r="Z23" s="23" t="s">
        <v>762</v>
      </c>
      <c r="AD23" s="294">
        <v>0.35</v>
      </c>
      <c r="AE23" s="294">
        <v>0.2</v>
      </c>
      <c r="AF23" s="295"/>
      <c r="AG23" s="283"/>
      <c r="AH23" s="286"/>
      <c r="AI23" s="146"/>
      <c r="AJ23" s="146"/>
      <c r="AK23" s="146"/>
      <c r="AL23" s="146"/>
      <c r="AM23" s="146"/>
      <c r="AN23" s="146"/>
    </row>
    <row r="24" spans="1:42" customFormat="1">
      <c r="A24" s="257"/>
      <c r="B24" s="260"/>
      <c r="C24" s="281"/>
      <c r="D24" s="261"/>
      <c r="E24" s="260"/>
      <c r="F24" s="261"/>
      <c r="G24" s="261"/>
      <c r="H24" s="260"/>
      <c r="I24" s="261"/>
      <c r="J24" s="260"/>
      <c r="K24" s="263"/>
      <c r="L24" s="261"/>
      <c r="M24" s="263"/>
      <c r="N24" s="260"/>
      <c r="O24" s="260"/>
      <c r="P24" s="263"/>
      <c r="Q24" s="260"/>
      <c r="R24" s="261"/>
      <c r="U24" s="219"/>
      <c r="V24" s="219"/>
      <c r="W24" s="219"/>
      <c r="X24" s="219"/>
      <c r="Z24" s="629" t="s">
        <v>763</v>
      </c>
      <c r="AA24" s="630"/>
      <c r="AB24" s="630"/>
      <c r="AC24" s="296">
        <f>AF24-AE24-AD24</f>
        <v>48.741484970894732</v>
      </c>
      <c r="AD24" s="297">
        <f>'[2]Key parameters rpt'!O39*1000000/1000000</f>
        <v>2.21</v>
      </c>
      <c r="AE24" s="297">
        <f>($C$54-'[2]Key parameters rpt'!O39*1000000)*('[2]Key parameters rpt'!O40)/1000000</f>
        <v>2.5653413142576174</v>
      </c>
      <c r="AF24" s="298">
        <f>C54/1000000</f>
        <v>53.516826285152348</v>
      </c>
      <c r="AG24" s="299">
        <f>C54*AC54*'[2]EF-1'!$R$5/1000000000000-(SUM(H54:J54))</f>
        <v>745.54649073521432</v>
      </c>
      <c r="AH24" s="300">
        <f>AG24/3.6</f>
        <v>207.09624742644843</v>
      </c>
      <c r="AI24" s="146"/>
      <c r="AJ24" s="146"/>
      <c r="AK24" s="146"/>
      <c r="AL24" s="146"/>
      <c r="AM24" s="146"/>
      <c r="AN24" s="146"/>
    </row>
    <row r="25" spans="1:42" customFormat="1">
      <c r="A25" s="257"/>
      <c r="B25" s="260"/>
      <c r="C25" s="281"/>
      <c r="D25" s="261"/>
      <c r="E25" s="260"/>
      <c r="F25" s="261"/>
      <c r="G25" s="261"/>
      <c r="H25" s="260"/>
      <c r="I25" s="261"/>
      <c r="J25" s="260"/>
      <c r="K25" s="263"/>
      <c r="L25" s="261"/>
      <c r="M25" s="263"/>
      <c r="N25" s="260"/>
      <c r="O25" s="260"/>
      <c r="P25" s="263"/>
      <c r="Q25" s="260"/>
      <c r="R25" s="261"/>
      <c r="U25" s="219"/>
      <c r="V25" s="219"/>
      <c r="W25" s="219"/>
      <c r="X25" s="219"/>
      <c r="AI25" s="146"/>
      <c r="AJ25" s="146"/>
      <c r="AK25" s="146"/>
      <c r="AL25" s="146"/>
      <c r="AM25" s="146"/>
      <c r="AN25" s="146"/>
    </row>
    <row r="26" spans="1:42" customFormat="1">
      <c r="A26" s="257"/>
      <c r="B26" s="260"/>
      <c r="C26" s="281"/>
      <c r="D26" s="261"/>
      <c r="E26" s="260"/>
      <c r="F26" s="261"/>
      <c r="G26" s="261"/>
      <c r="H26" s="260"/>
      <c r="I26" s="261"/>
      <c r="J26" s="260"/>
      <c r="K26" s="263"/>
      <c r="L26" s="261"/>
      <c r="M26" s="263"/>
      <c r="N26" s="260"/>
      <c r="O26" s="260"/>
      <c r="P26" s="263"/>
      <c r="Q26" s="260"/>
      <c r="R26" s="261"/>
      <c r="U26" s="219"/>
      <c r="V26" s="219"/>
      <c r="W26" s="219"/>
      <c r="X26" s="219"/>
      <c r="Z26" s="146"/>
      <c r="AA26" s="146"/>
      <c r="AB26" s="146"/>
      <c r="AD26" s="146"/>
      <c r="AE26" s="146"/>
      <c r="AF26" s="146"/>
      <c r="AG26" s="146"/>
      <c r="AH26" s="146"/>
      <c r="AI26" s="146"/>
      <c r="AJ26" s="146"/>
      <c r="AK26" s="146"/>
      <c r="AL26" s="146"/>
      <c r="AM26" s="146"/>
      <c r="AN26" s="146"/>
    </row>
    <row r="27" spans="1:42" ht="15" customHeight="1">
      <c r="A27" s="631">
        <v>2016</v>
      </c>
      <c r="B27" s="634" t="s">
        <v>764</v>
      </c>
      <c r="C27" s="635"/>
      <c r="D27" s="635"/>
      <c r="E27" s="636"/>
      <c r="F27" s="301" t="s">
        <v>765</v>
      </c>
      <c r="G27" s="302"/>
      <c r="H27" s="302"/>
      <c r="I27" s="302"/>
      <c r="J27" s="302"/>
      <c r="K27" s="302"/>
      <c r="L27" s="302"/>
      <c r="M27" s="302"/>
      <c r="N27" s="302"/>
      <c r="O27" s="303"/>
      <c r="P27" s="301" t="s">
        <v>766</v>
      </c>
      <c r="Q27" s="302"/>
      <c r="R27" s="302"/>
      <c r="S27" s="302"/>
      <c r="T27" s="303"/>
      <c r="U27" s="304" t="s">
        <v>767</v>
      </c>
      <c r="V27" s="305"/>
      <c r="W27" s="301" t="s">
        <v>768</v>
      </c>
      <c r="X27" s="302"/>
      <c r="Y27" s="303"/>
      <c r="Z27" s="306">
        <v>2016</v>
      </c>
      <c r="AA27" s="307" t="s">
        <v>769</v>
      </c>
      <c r="AB27" s="308"/>
      <c r="AC27" s="308"/>
      <c r="AD27" s="308"/>
      <c r="AE27" s="309"/>
      <c r="AF27" s="308"/>
      <c r="AG27" s="308"/>
      <c r="AH27" s="308"/>
      <c r="AI27" s="308"/>
      <c r="AJ27" s="308"/>
      <c r="AK27" s="301" t="s">
        <v>770</v>
      </c>
      <c r="AL27" s="302"/>
      <c r="AM27" s="302"/>
      <c r="AN27" s="302"/>
      <c r="AO27" s="303"/>
      <c r="AP27" s="310" t="s">
        <v>771</v>
      </c>
    </row>
    <row r="28" spans="1:42" ht="58.5" customHeight="1">
      <c r="A28" s="632"/>
      <c r="B28" s="311" t="s">
        <v>772</v>
      </c>
      <c r="C28" s="312" t="s">
        <v>773</v>
      </c>
      <c r="D28" s="312" t="s">
        <v>774</v>
      </c>
      <c r="E28" s="313" t="s">
        <v>775</v>
      </c>
      <c r="F28" s="314" t="s">
        <v>727</v>
      </c>
      <c r="G28" s="314" t="s">
        <v>728</v>
      </c>
      <c r="H28" s="314" t="s">
        <v>729</v>
      </c>
      <c r="I28" s="314" t="s">
        <v>730</v>
      </c>
      <c r="J28" s="315" t="s">
        <v>759</v>
      </c>
      <c r="K28" s="314" t="s">
        <v>731</v>
      </c>
      <c r="L28" s="314" t="s">
        <v>732</v>
      </c>
      <c r="M28" s="314" t="s">
        <v>733</v>
      </c>
      <c r="N28" s="314" t="s">
        <v>734</v>
      </c>
      <c r="O28" s="316" t="s">
        <v>735</v>
      </c>
      <c r="P28" s="317" t="s">
        <v>727</v>
      </c>
      <c r="Q28" s="314" t="s">
        <v>728</v>
      </c>
      <c r="R28" s="318" t="s">
        <v>776</v>
      </c>
      <c r="S28" s="314" t="s">
        <v>734</v>
      </c>
      <c r="T28" s="316" t="s">
        <v>735</v>
      </c>
      <c r="U28" s="319" t="s">
        <v>748</v>
      </c>
      <c r="V28" s="320" t="s">
        <v>751</v>
      </c>
      <c r="W28" s="215" t="s">
        <v>748</v>
      </c>
      <c r="X28" s="215" t="s">
        <v>751</v>
      </c>
      <c r="Y28" s="320" t="s">
        <v>737</v>
      </c>
      <c r="Z28" s="321"/>
      <c r="AA28" s="322" t="s">
        <v>727</v>
      </c>
      <c r="AB28" s="323" t="s">
        <v>728</v>
      </c>
      <c r="AC28" s="323" t="s">
        <v>729</v>
      </c>
      <c r="AD28" s="323" t="s">
        <v>730</v>
      </c>
      <c r="AE28" s="315" t="s">
        <v>759</v>
      </c>
      <c r="AF28" s="323" t="s">
        <v>731</v>
      </c>
      <c r="AG28" s="323" t="s">
        <v>732</v>
      </c>
      <c r="AH28" s="323" t="s">
        <v>733</v>
      </c>
      <c r="AI28" s="323" t="s">
        <v>734</v>
      </c>
      <c r="AJ28" s="324" t="s">
        <v>735</v>
      </c>
      <c r="AK28" s="317" t="s">
        <v>727</v>
      </c>
      <c r="AL28" s="314" t="s">
        <v>728</v>
      </c>
      <c r="AM28" s="314" t="s">
        <v>539</v>
      </c>
      <c r="AN28" s="314" t="s">
        <v>734</v>
      </c>
      <c r="AO28" s="313" t="s">
        <v>737</v>
      </c>
      <c r="AP28" s="325"/>
    </row>
    <row r="29" spans="1:42" s="214" customFormat="1" ht="43.5" customHeight="1">
      <c r="A29" s="633"/>
      <c r="B29" s="326"/>
      <c r="C29" s="327" t="s">
        <v>777</v>
      </c>
      <c r="D29" s="327" t="s">
        <v>778</v>
      </c>
      <c r="E29" s="328" t="s">
        <v>777</v>
      </c>
      <c r="F29" s="329" t="s">
        <v>779</v>
      </c>
      <c r="G29" s="329" t="s">
        <v>779</v>
      </c>
      <c r="H29" s="329" t="s">
        <v>779</v>
      </c>
      <c r="I29" s="329" t="s">
        <v>779</v>
      </c>
      <c r="J29" s="329" t="s">
        <v>779</v>
      </c>
      <c r="K29" s="329" t="s">
        <v>779</v>
      </c>
      <c r="L29" s="329" t="s">
        <v>779</v>
      </c>
      <c r="M29" s="329" t="s">
        <v>779</v>
      </c>
      <c r="N29" s="329" t="s">
        <v>779</v>
      </c>
      <c r="O29" s="330" t="s">
        <v>779</v>
      </c>
      <c r="P29" s="327" t="s">
        <v>779</v>
      </c>
      <c r="Q29" s="327" t="s">
        <v>779</v>
      </c>
      <c r="R29" s="327" t="s">
        <v>779</v>
      </c>
      <c r="S29" s="327" t="s">
        <v>779</v>
      </c>
      <c r="T29" s="328" t="s">
        <v>779</v>
      </c>
      <c r="U29" s="331" t="s">
        <v>749</v>
      </c>
      <c r="V29" s="332" t="s">
        <v>752</v>
      </c>
      <c r="W29" s="333" t="s">
        <v>780</v>
      </c>
      <c r="X29" s="333" t="s">
        <v>780</v>
      </c>
      <c r="Y29" s="332" t="s">
        <v>780</v>
      </c>
      <c r="Z29" s="334"/>
      <c r="AA29" s="327" t="s">
        <v>781</v>
      </c>
      <c r="AB29" s="327" t="s">
        <v>781</v>
      </c>
      <c r="AC29" s="327" t="s">
        <v>781</v>
      </c>
      <c r="AD29" s="327" t="s">
        <v>781</v>
      </c>
      <c r="AE29" s="327" t="s">
        <v>781</v>
      </c>
      <c r="AF29" s="327" t="s">
        <v>781</v>
      </c>
      <c r="AG29" s="327" t="s">
        <v>781</v>
      </c>
      <c r="AH29" s="327" t="s">
        <v>781</v>
      </c>
      <c r="AI29" s="327" t="s">
        <v>781</v>
      </c>
      <c r="AJ29" s="327" t="s">
        <v>781</v>
      </c>
      <c r="AK29" s="327" t="s">
        <v>781</v>
      </c>
      <c r="AL29" s="327" t="s">
        <v>781</v>
      </c>
      <c r="AM29" s="327" t="s">
        <v>781</v>
      </c>
      <c r="AN29" s="327" t="s">
        <v>781</v>
      </c>
      <c r="AO29" s="327" t="s">
        <v>781</v>
      </c>
      <c r="AP29" s="335" t="s">
        <v>782</v>
      </c>
    </row>
    <row r="30" spans="1:42">
      <c r="A30" s="236" t="s">
        <v>783</v>
      </c>
      <c r="B30" s="336">
        <f>SUM(B31:B32)</f>
        <v>2384228</v>
      </c>
      <c r="C30" s="337">
        <f>SUM(C31:C32)</f>
        <v>86277952</v>
      </c>
      <c r="D30" s="337">
        <f>'[2]Population and GDP'!E6/1000</f>
        <v>7116.8</v>
      </c>
      <c r="E30" s="338">
        <f>C30/D30/1000</f>
        <v>12.123138489208634</v>
      </c>
      <c r="F30" s="339"/>
      <c r="G30" s="340">
        <f>SUM(G31:G32)</f>
        <v>3926</v>
      </c>
      <c r="H30" s="340">
        <f>SUM(H31:H32)</f>
        <v>15237</v>
      </c>
      <c r="I30" s="340"/>
      <c r="J30" s="309"/>
      <c r="K30" s="340">
        <f>SUM(K31:K32)</f>
        <v>9329</v>
      </c>
      <c r="L30" s="340">
        <f>SUM(L31:L32)</f>
        <v>3879</v>
      </c>
      <c r="M30" s="340">
        <f>SUM(M31:M32)</f>
        <v>6590</v>
      </c>
      <c r="N30" s="340">
        <f>SUM(N31:N32)</f>
        <v>4160</v>
      </c>
      <c r="O30" s="341">
        <f>SUM(O31:O32)</f>
        <v>43121</v>
      </c>
      <c r="P30" s="342"/>
      <c r="Q30" s="343">
        <f>SUM(Q31:Q32)</f>
        <v>10684</v>
      </c>
      <c r="R30" s="343">
        <f>SUM(R31:R32)</f>
        <v>7633</v>
      </c>
      <c r="S30" s="343">
        <f>SUM(S31:S32)</f>
        <v>31</v>
      </c>
      <c r="T30" s="344">
        <f>SUM(T31:T32)</f>
        <v>18348</v>
      </c>
      <c r="U30" s="345" t="str">
        <f t="shared" ref="U30:U41" si="0">+$N$12</f>
        <v xml:space="preserve">  </v>
      </c>
      <c r="V30" s="346">
        <f>+$N$13</f>
        <v>65437.5</v>
      </c>
      <c r="W30" s="343" t="e">
        <f>SUM(W31:W32)</f>
        <v>#VALUE!</v>
      </c>
      <c r="X30" s="347">
        <f>SUM(X31:X32)</f>
        <v>1200.64725</v>
      </c>
      <c r="Y30" s="348" t="e">
        <f>SUM(Y31:Y32)</f>
        <v>#VALUE!</v>
      </c>
      <c r="Z30" s="236" t="s">
        <v>783</v>
      </c>
      <c r="AA30" s="336"/>
      <c r="AB30" s="349"/>
      <c r="AC30" s="349"/>
      <c r="AD30" s="349"/>
      <c r="AE30" s="350"/>
      <c r="AF30" s="349"/>
      <c r="AG30" s="349"/>
      <c r="AH30" s="349"/>
      <c r="AI30" s="349"/>
      <c r="AJ30" s="349"/>
      <c r="AK30" s="311"/>
      <c r="AL30" s="312"/>
      <c r="AM30" s="312"/>
      <c r="AN30" s="312"/>
      <c r="AO30" s="313"/>
      <c r="AP30" s="351"/>
    </row>
    <row r="31" spans="1:42">
      <c r="A31" s="269" t="s">
        <v>784</v>
      </c>
      <c r="B31" s="352">
        <f>1174628+24000</f>
        <v>1198628</v>
      </c>
      <c r="C31" s="353">
        <f>50509004+1032000</f>
        <v>51541004</v>
      </c>
      <c r="D31" s="354">
        <v>0.54600000000000004</v>
      </c>
      <c r="E31" s="338">
        <f>C31/(D31*D30)/1000</f>
        <v>13.264029229912772</v>
      </c>
      <c r="F31" s="355"/>
      <c r="G31" s="272">
        <f>1882+311</f>
        <v>2193</v>
      </c>
      <c r="H31" s="272">
        <f>8197+1408</f>
        <v>9605</v>
      </c>
      <c r="I31" s="272"/>
      <c r="K31" s="272">
        <f>1965+2848+357+375</f>
        <v>5545</v>
      </c>
      <c r="L31" s="272">
        <f>2107+318</f>
        <v>2425</v>
      </c>
      <c r="M31" s="272">
        <f>3229+350</f>
        <v>3579</v>
      </c>
      <c r="N31" s="272">
        <f>2166+272</f>
        <v>2438</v>
      </c>
      <c r="O31" s="356">
        <f t="shared" ref="O31:O40" si="1">SUM(G31:N31)</f>
        <v>25785</v>
      </c>
      <c r="P31" s="357"/>
      <c r="Q31" s="358">
        <f>4760+515</f>
        <v>5275</v>
      </c>
      <c r="R31" s="358">
        <f>3129+172</f>
        <v>3301</v>
      </c>
      <c r="S31" s="358">
        <v>1</v>
      </c>
      <c r="T31" s="356">
        <f>SUM(Q31:S31)</f>
        <v>8577</v>
      </c>
      <c r="U31" s="345" t="str">
        <f t="shared" si="0"/>
        <v xml:space="preserve">  </v>
      </c>
      <c r="V31" s="346">
        <f t="shared" ref="V31:V41" si="2">+$N$13</f>
        <v>65437.5</v>
      </c>
      <c r="W31" s="359" t="e">
        <f>O31/3.6*1000000*U31/1000000</f>
        <v>#VALUE!</v>
      </c>
      <c r="X31" s="359">
        <f>T31*V31/1000000</f>
        <v>561.25743750000004</v>
      </c>
      <c r="Y31" s="348" t="e">
        <f>W31+X31</f>
        <v>#VALUE!</v>
      </c>
      <c r="Z31" s="269" t="s">
        <v>784</v>
      </c>
      <c r="AA31" s="336"/>
      <c r="AB31" s="349">
        <f>G31*1000000000000/'[2]EF-1'!$R$5/$B$31</f>
        <v>508.21995370262221</v>
      </c>
      <c r="AC31" s="349">
        <f>H31*1000000000000/'[2]EF-1'!$R$5/$B$31</f>
        <v>2225.9246034262133</v>
      </c>
      <c r="AD31" s="349">
        <f>I31*1000000000000/'[2]EF-1'!$R$5/$B$31</f>
        <v>0</v>
      </c>
      <c r="AE31" s="349">
        <f>J31*1000000000000/'[2]EF-1'!$R$5/$B$31</f>
        <v>0</v>
      </c>
      <c r="AF31" s="349">
        <f>K31*1000000000000/'[2]EF-1'!$R$5/$B$31</f>
        <v>1285.0340370638578</v>
      </c>
      <c r="AG31" s="349">
        <f>L31*1000000000000/'[2]EF-1'!$R$5/$B$31</f>
        <v>561.98512892332826</v>
      </c>
      <c r="AH31" s="349">
        <f>M31*1000000000000/'[2]EF-1'!$R$5/$B$31</f>
        <v>829.4205263573574</v>
      </c>
      <c r="AI31" s="349">
        <f>N31*1000000000000/'[2]EF-1'!$R$5/$B$31</f>
        <v>564.99783270724708</v>
      </c>
      <c r="AJ31" s="349">
        <f>SUM(AB31:AI31)</f>
        <v>5975.5820821806255</v>
      </c>
      <c r="AK31" s="360"/>
      <c r="AL31" s="349">
        <f>Q31*1000000000000/'[2]EF-1'!$R$5/$B$31</f>
        <v>1222.4624969363119</v>
      </c>
      <c r="AM31" s="349">
        <f>R31*1000000000000/'[2]EF-1'!$R$5/$B$31</f>
        <v>764.99501467047696</v>
      </c>
      <c r="AN31" s="349">
        <f>S31*1000000000000/'[2]EF-1'!$R$5/$B$31</f>
        <v>0.23174644491683638</v>
      </c>
      <c r="AO31" s="361">
        <f>SUM(AL31:AN31)</f>
        <v>1987.6892580517058</v>
      </c>
      <c r="AP31" s="362">
        <f>(G31+K31)/((G31+K31)+(Q31+R31))</f>
        <v>0.47431653794287115</v>
      </c>
    </row>
    <row r="32" spans="1:42">
      <c r="A32" s="269" t="s">
        <v>785</v>
      </c>
      <c r="B32" s="352">
        <f>1185.6*1000</f>
        <v>1185600</v>
      </c>
      <c r="C32" s="353">
        <v>34736948</v>
      </c>
      <c r="D32" s="354">
        <f>44.8%</f>
        <v>0.44799999999999995</v>
      </c>
      <c r="E32" s="338">
        <f>C32/(D32*D30)/1000</f>
        <v>10.895041360884507</v>
      </c>
      <c r="F32" s="355"/>
      <c r="G32" s="272">
        <v>1733</v>
      </c>
      <c r="H32" s="272">
        <v>5632</v>
      </c>
      <c r="I32" s="272"/>
      <c r="K32" s="272">
        <v>3784</v>
      </c>
      <c r="L32" s="272">
        <v>1454</v>
      </c>
      <c r="M32" s="272">
        <v>3011</v>
      </c>
      <c r="N32" s="272">
        <v>1722</v>
      </c>
      <c r="O32" s="356">
        <f t="shared" si="1"/>
        <v>17336</v>
      </c>
      <c r="P32" s="357"/>
      <c r="Q32" s="358">
        <v>5409</v>
      </c>
      <c r="R32" s="358">
        <v>4332</v>
      </c>
      <c r="S32" s="358">
        <v>30</v>
      </c>
      <c r="T32" s="356">
        <f>SUM(Q32:S32)</f>
        <v>9771</v>
      </c>
      <c r="U32" s="345" t="str">
        <f t="shared" si="0"/>
        <v xml:space="preserve">  </v>
      </c>
      <c r="V32" s="346">
        <f t="shared" si="2"/>
        <v>65437.5</v>
      </c>
      <c r="W32" s="359" t="e">
        <f>O32/3.6*1000000*U32/1000000</f>
        <v>#VALUE!</v>
      </c>
      <c r="X32" s="359">
        <f>T32*V32/1000000</f>
        <v>639.38981249999995</v>
      </c>
      <c r="Y32" s="348" t="e">
        <f>W32+X32</f>
        <v>#VALUE!</v>
      </c>
      <c r="Z32" s="269" t="s">
        <v>785</v>
      </c>
      <c r="AA32" s="336"/>
      <c r="AB32" s="349">
        <f>G32*1000000000000/'[2]EF-1'!$R$5/$B$31</f>
        <v>401.6165890408775</v>
      </c>
      <c r="AC32" s="349">
        <f>H32*1000000000000/'[2]EF-1'!$R$5/$B$31</f>
        <v>1305.1959777716227</v>
      </c>
      <c r="AD32" s="349">
        <f>I32*1000000000000/'[2]EF-1'!$R$5/$B$31</f>
        <v>0</v>
      </c>
      <c r="AE32" s="349">
        <f>J32*1000000000000/'[2]EF-1'!$R$5/$B$31</f>
        <v>0</v>
      </c>
      <c r="AF32" s="349">
        <f>K32*1000000000000/'[2]EF-1'!$R$5/$B$31</f>
        <v>876.92854756530892</v>
      </c>
      <c r="AG32" s="349">
        <f>L32*1000000000000/'[2]EF-1'!$R$5/$B$31</f>
        <v>336.95933090908011</v>
      </c>
      <c r="AH32" s="349">
        <f>M32*1000000000000/'[2]EF-1'!$R$5/$B$31</f>
        <v>697.78854564459436</v>
      </c>
      <c r="AI32" s="349">
        <f>N32*1000000000000/'[2]EF-1'!$R$5/$B$31</f>
        <v>399.06737814679224</v>
      </c>
      <c r="AJ32" s="349">
        <f>SUM(AB32:AI32)</f>
        <v>4017.5563690782756</v>
      </c>
      <c r="AK32" s="360"/>
      <c r="AL32" s="349">
        <f>Q32*1000000000000/'[2]EF-1'!$R$5/$B$31</f>
        <v>1253.516520555168</v>
      </c>
      <c r="AM32" s="349">
        <f>R32*1000000000000/'[2]EF-1'!$R$5/$B$31</f>
        <v>1003.9255993797352</v>
      </c>
      <c r="AN32" s="349">
        <f>S32*1000000000000/'[2]EF-1'!$R$5/$B$31</f>
        <v>6.9523933475050921</v>
      </c>
      <c r="AO32" s="361">
        <f t="shared" ref="AO32:AO40" si="3">SUM(AL32:AN32)</f>
        <v>2264.3945132824083</v>
      </c>
      <c r="AP32" s="362">
        <f>(G32+K32)/((G32+K32)+(Q32+R32))</f>
        <v>0.36158081006685017</v>
      </c>
    </row>
    <row r="33" spans="1:42">
      <c r="A33" s="236" t="s">
        <v>742</v>
      </c>
      <c r="B33" s="336"/>
      <c r="C33" s="363">
        <f>SUM('[2]Commerical demand'!D46:D51)</f>
        <v>47054400</v>
      </c>
      <c r="D33" s="337">
        <f>D30</f>
        <v>7116.8</v>
      </c>
      <c r="E33" s="338">
        <f>C33/D33/1000</f>
        <v>6.6117356115107917</v>
      </c>
      <c r="F33" s="364"/>
      <c r="G33" s="365">
        <f>SUM(G34:G40)</f>
        <v>4039</v>
      </c>
      <c r="H33" s="365">
        <f>SUM(H34:H40)</f>
        <v>30297</v>
      </c>
      <c r="I33" s="365">
        <f>SUM(I34:I40)</f>
        <v>0</v>
      </c>
      <c r="K33" s="365">
        <f>SUM(K34:K40)</f>
        <v>5340</v>
      </c>
      <c r="L33" s="365">
        <f>SUM(L34:L40)</f>
        <v>15095</v>
      </c>
      <c r="M33" s="365">
        <f>SUM(M34:M40)</f>
        <v>4464</v>
      </c>
      <c r="N33" s="365">
        <f>SUM(N34:N40)</f>
        <v>44646</v>
      </c>
      <c r="O33" s="344">
        <f t="shared" si="1"/>
        <v>103881</v>
      </c>
      <c r="P33" s="366"/>
      <c r="Q33" s="358">
        <f>SUM(Q34:Q40)</f>
        <v>8319</v>
      </c>
      <c r="R33" s="358">
        <f>SUM(R34:R40)</f>
        <v>6240</v>
      </c>
      <c r="S33" s="358">
        <f>SUM(S34:S40)</f>
        <v>5531</v>
      </c>
      <c r="T33" s="356">
        <f>SUM(T34:T40)</f>
        <v>20090</v>
      </c>
      <c r="U33" s="345" t="str">
        <f t="shared" si="0"/>
        <v xml:space="preserve">  </v>
      </c>
      <c r="V33" s="346">
        <f t="shared" si="2"/>
        <v>65437.5</v>
      </c>
      <c r="W33" s="343" t="e">
        <f>O33/3.6*1000000*U33/1000000</f>
        <v>#VALUE!</v>
      </c>
      <c r="X33" s="359">
        <f>T33*V33/1000000</f>
        <v>1314.639375</v>
      </c>
      <c r="Y33" s="348" t="e">
        <f>W33+X33</f>
        <v>#VALUE!</v>
      </c>
      <c r="Z33" s="236" t="s">
        <v>742</v>
      </c>
      <c r="AA33" s="367"/>
      <c r="AB33" s="368">
        <f>G33/$C$33*1000000000000*'[2]EF-1'!$R$6</f>
        <v>23.843560739153926</v>
      </c>
      <c r="AC33" s="368">
        <f>H33/$C$33*1000000000000*'[2]EF-1'!$R$6</f>
        <v>178.85327054076416</v>
      </c>
      <c r="AD33" s="368">
        <f t="shared" ref="AD33:AD41" si="4">AC33*(1-$AD$23)</f>
        <v>116.25462585149671</v>
      </c>
      <c r="AE33" s="368">
        <f t="shared" ref="AE33:AE41" si="5">AC33*(1-$AE$23)</f>
        <v>143.08261643261133</v>
      </c>
      <c r="AF33" s="368">
        <f>K33/$C$33*1000000000000*'[2]EF-1'!$R$6</f>
        <v>31.52379657021093</v>
      </c>
      <c r="AG33" s="368">
        <f>L33/$C$33*1000000000000*'[2]EF-1'!$R$6</f>
        <v>89.110806971410852</v>
      </c>
      <c r="AH33" s="368">
        <f>M33/$C$33*1000000000000*'[2]EF-1'!$R$6</f>
        <v>26.352477132850485</v>
      </c>
      <c r="AI33" s="368">
        <f>N33/$C$33*1000000000000*'[2]EF-1'!$R$6</f>
        <v>263.56019132465121</v>
      </c>
      <c r="AJ33" s="349">
        <f t="shared" ref="AJ33:AJ41" si="6">SUM(AB33:AI33)</f>
        <v>872.58134556314963</v>
      </c>
      <c r="AK33" s="369"/>
      <c r="AL33" s="370">
        <f>Q33/$C$33*1000000000000*'[2]EF-1'!$R$8</f>
        <v>4.9678365956126749</v>
      </c>
      <c r="AM33" s="370">
        <f>R33/$C$33*1000000000000*'[2]EF-1'!$R$8</f>
        <v>3.7263253223492119</v>
      </c>
      <c r="AN33" s="370">
        <f>S33/$C$33*1000000000000*'[2]EF-1'!$R$8</f>
        <v>3.3029335509476745</v>
      </c>
      <c r="AO33" s="361">
        <f t="shared" si="3"/>
        <v>11.997095468909562</v>
      </c>
      <c r="AP33" s="362">
        <f>(G33+K33)/((G33+K33)+(Q33+R33))</f>
        <v>0.3918038265519258</v>
      </c>
    </row>
    <row r="34" spans="1:42" ht="15" hidden="1" customHeight="1" outlineLevel="1">
      <c r="A34" s="269" t="s">
        <v>786</v>
      </c>
      <c r="B34" s="371"/>
      <c r="C34" s="363">
        <v>11838200</v>
      </c>
      <c r="D34" s="372">
        <f>$D$30</f>
        <v>7116.8</v>
      </c>
      <c r="E34" s="338">
        <f>C34/D34/1000</f>
        <v>1.6634161420863309</v>
      </c>
      <c r="F34" s="373"/>
      <c r="G34" s="272"/>
      <c r="H34" s="272">
        <v>7158</v>
      </c>
      <c r="I34" s="272"/>
      <c r="K34" s="272">
        <v>0</v>
      </c>
      <c r="L34" s="272">
        <v>1862</v>
      </c>
      <c r="M34" s="272">
        <v>1646</v>
      </c>
      <c r="N34" s="272">
        <v>2517</v>
      </c>
      <c r="O34" s="344">
        <f t="shared" si="1"/>
        <v>13183</v>
      </c>
      <c r="P34" s="357"/>
      <c r="Q34" s="374"/>
      <c r="R34" s="374">
        <v>0</v>
      </c>
      <c r="S34" s="374">
        <v>0</v>
      </c>
      <c r="T34" s="344">
        <f t="shared" ref="T34:T41" si="7">SUM(P34:S34)</f>
        <v>0</v>
      </c>
      <c r="U34" s="345" t="str">
        <f t="shared" si="0"/>
        <v xml:space="preserve">  </v>
      </c>
      <c r="V34" s="346">
        <f t="shared" si="2"/>
        <v>65437.5</v>
      </c>
      <c r="W34" s="224"/>
      <c r="X34" s="359"/>
      <c r="Y34" s="348"/>
      <c r="Z34" s="269" t="s">
        <v>786</v>
      </c>
      <c r="AA34" s="367"/>
      <c r="AB34" s="368"/>
      <c r="AC34" s="368"/>
      <c r="AD34" s="368">
        <f t="shared" si="4"/>
        <v>0</v>
      </c>
      <c r="AE34" s="368">
        <f t="shared" si="5"/>
        <v>0</v>
      </c>
      <c r="AF34" s="368"/>
      <c r="AG34" s="368"/>
      <c r="AH34" s="368"/>
      <c r="AI34" s="368"/>
      <c r="AJ34" s="349">
        <f t="shared" si="6"/>
        <v>0</v>
      </c>
      <c r="AK34" s="369"/>
      <c r="AL34" s="370"/>
      <c r="AM34" s="370"/>
      <c r="AN34" s="370"/>
      <c r="AO34" s="361">
        <f t="shared" si="3"/>
        <v>0</v>
      </c>
      <c r="AP34" s="362" t="e">
        <f t="shared" ref="AP34:AP40" si="8">(G34+K34)/((G34+K34)+(Q34+R34))</f>
        <v>#DIV/0!</v>
      </c>
    </row>
    <row r="35" spans="1:42" ht="15" hidden="1" customHeight="1" outlineLevel="1">
      <c r="A35" s="269" t="s">
        <v>787</v>
      </c>
      <c r="B35" s="371"/>
      <c r="C35" s="637">
        <v>11274200</v>
      </c>
      <c r="D35" s="638">
        <f>$D$30</f>
        <v>7116.8</v>
      </c>
      <c r="E35" s="639">
        <f>C35/D34/1000</f>
        <v>1.5841670413669064</v>
      </c>
      <c r="F35" s="373"/>
      <c r="G35" s="272">
        <v>4039</v>
      </c>
      <c r="H35" s="272">
        <v>5402</v>
      </c>
      <c r="I35" s="272"/>
      <c r="K35" s="272">
        <v>1595</v>
      </c>
      <c r="L35" s="272">
        <v>819</v>
      </c>
      <c r="M35" s="272"/>
      <c r="N35" s="272">
        <v>474</v>
      </c>
      <c r="O35" s="344">
        <f t="shared" si="1"/>
        <v>12329</v>
      </c>
      <c r="P35" s="357"/>
      <c r="Q35" s="374">
        <v>8319</v>
      </c>
      <c r="R35" s="374">
        <v>459</v>
      </c>
      <c r="S35" s="374">
        <v>56</v>
      </c>
      <c r="T35" s="344">
        <f t="shared" si="7"/>
        <v>8834</v>
      </c>
      <c r="U35" s="345" t="str">
        <f t="shared" si="0"/>
        <v xml:space="preserve">  </v>
      </c>
      <c r="V35" s="346">
        <f t="shared" si="2"/>
        <v>65437.5</v>
      </c>
      <c r="W35" s="224"/>
      <c r="X35" s="359"/>
      <c r="Y35" s="348"/>
      <c r="Z35" s="269" t="s">
        <v>787</v>
      </c>
      <c r="AA35" s="367"/>
      <c r="AB35" s="368"/>
      <c r="AC35" s="368"/>
      <c r="AD35" s="368">
        <f t="shared" si="4"/>
        <v>0</v>
      </c>
      <c r="AE35" s="368">
        <f t="shared" si="5"/>
        <v>0</v>
      </c>
      <c r="AF35" s="368"/>
      <c r="AG35" s="368"/>
      <c r="AH35" s="368"/>
      <c r="AI35" s="368"/>
      <c r="AJ35" s="349">
        <f t="shared" si="6"/>
        <v>0</v>
      </c>
      <c r="AK35" s="369"/>
      <c r="AL35" s="370"/>
      <c r="AM35" s="370"/>
      <c r="AN35" s="370"/>
      <c r="AO35" s="361">
        <f t="shared" si="3"/>
        <v>0</v>
      </c>
      <c r="AP35" s="362">
        <f t="shared" si="8"/>
        <v>0.3909242298084929</v>
      </c>
    </row>
    <row r="36" spans="1:42" ht="15" hidden="1" customHeight="1" outlineLevel="1">
      <c r="A36" s="269" t="s">
        <v>788</v>
      </c>
      <c r="B36" s="371"/>
      <c r="C36" s="637"/>
      <c r="D36" s="638"/>
      <c r="E36" s="639"/>
      <c r="F36" s="373"/>
      <c r="G36" s="272"/>
      <c r="H36" s="272">
        <v>3855</v>
      </c>
      <c r="I36" s="272"/>
      <c r="K36" s="272">
        <v>1527</v>
      </c>
      <c r="L36" s="272">
        <v>1645</v>
      </c>
      <c r="M36" s="272">
        <v>697</v>
      </c>
      <c r="N36" s="272">
        <v>4381</v>
      </c>
      <c r="O36" s="344">
        <f t="shared" si="1"/>
        <v>12105</v>
      </c>
      <c r="P36" s="357"/>
      <c r="Q36" s="374"/>
      <c r="R36" s="374">
        <v>3798</v>
      </c>
      <c r="S36" s="374">
        <v>550</v>
      </c>
      <c r="T36" s="344">
        <f t="shared" si="7"/>
        <v>4348</v>
      </c>
      <c r="U36" s="345" t="str">
        <f t="shared" si="0"/>
        <v xml:space="preserve">  </v>
      </c>
      <c r="V36" s="346">
        <f t="shared" si="2"/>
        <v>65437.5</v>
      </c>
      <c r="W36" s="224"/>
      <c r="X36" s="359"/>
      <c r="Y36" s="348"/>
      <c r="Z36" s="269" t="s">
        <v>788</v>
      </c>
      <c r="AA36" s="367"/>
      <c r="AB36" s="368"/>
      <c r="AC36" s="368"/>
      <c r="AD36" s="368">
        <f t="shared" si="4"/>
        <v>0</v>
      </c>
      <c r="AE36" s="368">
        <f t="shared" si="5"/>
        <v>0</v>
      </c>
      <c r="AF36" s="368"/>
      <c r="AG36" s="368"/>
      <c r="AH36" s="368"/>
      <c r="AI36" s="368"/>
      <c r="AJ36" s="349">
        <f t="shared" si="6"/>
        <v>0</v>
      </c>
      <c r="AK36" s="369"/>
      <c r="AL36" s="370"/>
      <c r="AM36" s="370"/>
      <c r="AN36" s="370"/>
      <c r="AO36" s="361">
        <f t="shared" si="3"/>
        <v>0</v>
      </c>
      <c r="AP36" s="362">
        <f t="shared" si="8"/>
        <v>0.28676056338028166</v>
      </c>
    </row>
    <row r="37" spans="1:42" ht="15" hidden="1" customHeight="1" outlineLevel="1">
      <c r="A37" s="269" t="s">
        <v>789</v>
      </c>
      <c r="B37" s="371"/>
      <c r="C37" s="637"/>
      <c r="D37" s="638"/>
      <c r="E37" s="639"/>
      <c r="F37" s="373"/>
      <c r="G37" s="272"/>
      <c r="H37" s="272">
        <v>5582</v>
      </c>
      <c r="I37" s="272"/>
      <c r="K37" s="272"/>
      <c r="L37" s="272">
        <v>4189</v>
      </c>
      <c r="M37" s="272"/>
      <c r="N37" s="272">
        <v>6535</v>
      </c>
      <c r="O37" s="344">
        <f t="shared" si="1"/>
        <v>16306</v>
      </c>
      <c r="P37" s="357"/>
      <c r="Q37" s="374"/>
      <c r="R37" s="374">
        <v>0</v>
      </c>
      <c r="S37" s="374">
        <v>1037</v>
      </c>
      <c r="T37" s="344">
        <f t="shared" si="7"/>
        <v>1037</v>
      </c>
      <c r="U37" s="345" t="str">
        <f t="shared" si="0"/>
        <v xml:space="preserve">  </v>
      </c>
      <c r="V37" s="346">
        <f t="shared" si="2"/>
        <v>65437.5</v>
      </c>
      <c r="W37" s="224"/>
      <c r="X37" s="359"/>
      <c r="Y37" s="348"/>
      <c r="Z37" s="269" t="s">
        <v>789</v>
      </c>
      <c r="AA37" s="367"/>
      <c r="AB37" s="368"/>
      <c r="AC37" s="368"/>
      <c r="AD37" s="368">
        <f t="shared" si="4"/>
        <v>0</v>
      </c>
      <c r="AE37" s="368">
        <f t="shared" si="5"/>
        <v>0</v>
      </c>
      <c r="AF37" s="368"/>
      <c r="AG37" s="368"/>
      <c r="AH37" s="368"/>
      <c r="AI37" s="368"/>
      <c r="AJ37" s="349">
        <f t="shared" si="6"/>
        <v>0</v>
      </c>
      <c r="AK37" s="369"/>
      <c r="AL37" s="370"/>
      <c r="AM37" s="370"/>
      <c r="AN37" s="370"/>
      <c r="AO37" s="361">
        <f t="shared" si="3"/>
        <v>0</v>
      </c>
      <c r="AP37" s="362" t="e">
        <f t="shared" si="8"/>
        <v>#DIV/0!</v>
      </c>
    </row>
    <row r="38" spans="1:42" ht="15" hidden="1" customHeight="1" outlineLevel="1">
      <c r="A38" s="269" t="s">
        <v>790</v>
      </c>
      <c r="B38" s="371"/>
      <c r="C38" s="637"/>
      <c r="D38" s="638"/>
      <c r="E38" s="639"/>
      <c r="F38" s="373"/>
      <c r="G38" s="272"/>
      <c r="H38" s="272">
        <v>1257</v>
      </c>
      <c r="I38" s="272"/>
      <c r="K38" s="272">
        <v>316</v>
      </c>
      <c r="L38" s="272">
        <v>303</v>
      </c>
      <c r="M38" s="272">
        <v>298</v>
      </c>
      <c r="N38" s="272">
        <v>1363</v>
      </c>
      <c r="O38" s="344">
        <f t="shared" si="1"/>
        <v>3537</v>
      </c>
      <c r="P38" s="357"/>
      <c r="Q38" s="374"/>
      <c r="R38" s="374">
        <v>1902</v>
      </c>
      <c r="S38" s="374">
        <v>529</v>
      </c>
      <c r="T38" s="344">
        <f t="shared" si="7"/>
        <v>2431</v>
      </c>
      <c r="U38" s="345" t="str">
        <f t="shared" si="0"/>
        <v xml:space="preserve">  </v>
      </c>
      <c r="V38" s="346">
        <f t="shared" si="2"/>
        <v>65437.5</v>
      </c>
      <c r="W38" s="224"/>
      <c r="X38" s="359"/>
      <c r="Y38" s="348"/>
      <c r="Z38" s="269" t="s">
        <v>790</v>
      </c>
      <c r="AA38" s="367"/>
      <c r="AB38" s="368"/>
      <c r="AC38" s="368"/>
      <c r="AD38" s="368">
        <f t="shared" si="4"/>
        <v>0</v>
      </c>
      <c r="AE38" s="368">
        <f t="shared" si="5"/>
        <v>0</v>
      </c>
      <c r="AF38" s="368"/>
      <c r="AG38" s="368"/>
      <c r="AH38" s="368"/>
      <c r="AI38" s="368"/>
      <c r="AJ38" s="349">
        <f t="shared" si="6"/>
        <v>0</v>
      </c>
      <c r="AK38" s="369"/>
      <c r="AL38" s="370"/>
      <c r="AM38" s="370"/>
      <c r="AN38" s="370"/>
      <c r="AO38" s="361">
        <f t="shared" si="3"/>
        <v>0</v>
      </c>
      <c r="AP38" s="362">
        <f t="shared" si="8"/>
        <v>0.1424706943192065</v>
      </c>
    </row>
    <row r="39" spans="1:42" ht="15" hidden="1" customHeight="1" outlineLevel="1">
      <c r="A39" s="269" t="s">
        <v>791</v>
      </c>
      <c r="B39" s="371"/>
      <c r="C39" s="637"/>
      <c r="D39" s="638"/>
      <c r="E39" s="639"/>
      <c r="F39" s="373"/>
      <c r="G39" s="272"/>
      <c r="H39" s="272">
        <v>1613</v>
      </c>
      <c r="I39" s="272"/>
      <c r="K39" s="272">
        <v>95</v>
      </c>
      <c r="L39" s="272">
        <v>681</v>
      </c>
      <c r="M39" s="272">
        <v>337</v>
      </c>
      <c r="N39" s="272">
        <v>472</v>
      </c>
      <c r="O39" s="344">
        <f t="shared" si="1"/>
        <v>3198</v>
      </c>
      <c r="P39" s="357"/>
      <c r="Q39" s="374"/>
      <c r="R39" s="374">
        <v>43</v>
      </c>
      <c r="S39" s="374">
        <v>84</v>
      </c>
      <c r="T39" s="344">
        <f t="shared" si="7"/>
        <v>127</v>
      </c>
      <c r="U39" s="345" t="str">
        <f t="shared" si="0"/>
        <v xml:space="preserve">  </v>
      </c>
      <c r="V39" s="346">
        <f t="shared" si="2"/>
        <v>65437.5</v>
      </c>
      <c r="W39" s="224"/>
      <c r="X39" s="359"/>
      <c r="Y39" s="348"/>
      <c r="Z39" s="269" t="s">
        <v>791</v>
      </c>
      <c r="AA39" s="367"/>
      <c r="AB39" s="368"/>
      <c r="AC39" s="368"/>
      <c r="AD39" s="368">
        <f t="shared" si="4"/>
        <v>0</v>
      </c>
      <c r="AE39" s="368">
        <f t="shared" si="5"/>
        <v>0</v>
      </c>
      <c r="AF39" s="368"/>
      <c r="AG39" s="368"/>
      <c r="AH39" s="368"/>
      <c r="AI39" s="368"/>
      <c r="AJ39" s="349">
        <f t="shared" si="6"/>
        <v>0</v>
      </c>
      <c r="AK39" s="369"/>
      <c r="AL39" s="370"/>
      <c r="AM39" s="370"/>
      <c r="AN39" s="370"/>
      <c r="AO39" s="361">
        <f t="shared" si="3"/>
        <v>0</v>
      </c>
      <c r="AP39" s="362">
        <f t="shared" si="8"/>
        <v>0.68840579710144922</v>
      </c>
    </row>
    <row r="40" spans="1:42" ht="15" hidden="1" customHeight="1" outlineLevel="1">
      <c r="A40" s="269" t="s">
        <v>792</v>
      </c>
      <c r="B40" s="371"/>
      <c r="C40" s="637"/>
      <c r="D40" s="638"/>
      <c r="E40" s="639"/>
      <c r="F40" s="373"/>
      <c r="G40" s="272"/>
      <c r="H40" s="272">
        <v>5430</v>
      </c>
      <c r="I40" s="272"/>
      <c r="K40" s="272">
        <v>1807</v>
      </c>
      <c r="L40" s="272">
        <v>5596</v>
      </c>
      <c r="M40" s="272">
        <v>1486</v>
      </c>
      <c r="N40" s="272">
        <v>28904</v>
      </c>
      <c r="O40" s="344">
        <f t="shared" si="1"/>
        <v>43223</v>
      </c>
      <c r="P40" s="357"/>
      <c r="Q40" s="374"/>
      <c r="R40" s="374">
        <v>38</v>
      </c>
      <c r="S40" s="374">
        <v>3275</v>
      </c>
      <c r="T40" s="344">
        <f t="shared" si="7"/>
        <v>3313</v>
      </c>
      <c r="U40" s="345" t="str">
        <f t="shared" si="0"/>
        <v xml:space="preserve">  </v>
      </c>
      <c r="V40" s="346">
        <f t="shared" si="2"/>
        <v>65437.5</v>
      </c>
      <c r="W40" s="224"/>
      <c r="X40" s="359"/>
      <c r="Y40" s="348"/>
      <c r="Z40" s="269" t="s">
        <v>792</v>
      </c>
      <c r="AA40" s="367"/>
      <c r="AB40" s="368"/>
      <c r="AC40" s="368"/>
      <c r="AD40" s="368">
        <f t="shared" si="4"/>
        <v>0</v>
      </c>
      <c r="AE40" s="368">
        <f t="shared" si="5"/>
        <v>0</v>
      </c>
      <c r="AF40" s="368"/>
      <c r="AG40" s="368"/>
      <c r="AH40" s="368"/>
      <c r="AI40" s="368"/>
      <c r="AJ40" s="349">
        <f t="shared" si="6"/>
        <v>0</v>
      </c>
      <c r="AK40" s="369"/>
      <c r="AL40" s="370"/>
      <c r="AM40" s="370"/>
      <c r="AN40" s="370"/>
      <c r="AO40" s="361">
        <f t="shared" si="3"/>
        <v>0</v>
      </c>
      <c r="AP40" s="362">
        <f t="shared" si="8"/>
        <v>0.97940379403794042</v>
      </c>
    </row>
    <row r="41" spans="1:42" collapsed="1">
      <c r="A41" s="236" t="s">
        <v>743</v>
      </c>
      <c r="B41" s="336"/>
      <c r="C41" s="363">
        <f>'[2]Commerical demand'!D52</f>
        <v>22305466.666666668</v>
      </c>
      <c r="D41" s="337">
        <f>D30</f>
        <v>7116.8</v>
      </c>
      <c r="E41" s="338">
        <f>C41/D41/1000</f>
        <v>3.1341988908872902</v>
      </c>
      <c r="F41" s="366">
        <v>3555</v>
      </c>
      <c r="G41" s="365"/>
      <c r="H41" s="365">
        <v>2404</v>
      </c>
      <c r="I41" s="365"/>
      <c r="K41" s="365"/>
      <c r="L41" s="365">
        <v>864</v>
      </c>
      <c r="M41" s="365"/>
      <c r="N41" s="365">
        <v>1885</v>
      </c>
      <c r="O41" s="344">
        <f>SUM(F41:N41)</f>
        <v>8708</v>
      </c>
      <c r="P41" s="366">
        <v>3959</v>
      </c>
      <c r="Q41" s="374"/>
      <c r="R41" s="374"/>
      <c r="S41" s="358">
        <v>1326</v>
      </c>
      <c r="T41" s="344">
        <f t="shared" si="7"/>
        <v>5285</v>
      </c>
      <c r="U41" s="345" t="str">
        <f t="shared" si="0"/>
        <v xml:space="preserve">  </v>
      </c>
      <c r="V41" s="346">
        <f t="shared" si="2"/>
        <v>65437.5</v>
      </c>
      <c r="W41" s="343" t="e">
        <f>O41/3.6*1000000*U41/1000000</f>
        <v>#VALUE!</v>
      </c>
      <c r="X41" s="359">
        <f>T41*V41/1000000</f>
        <v>345.83718750000003</v>
      </c>
      <c r="Y41" s="348" t="e">
        <f>W41+X41</f>
        <v>#VALUE!</v>
      </c>
      <c r="Z41" s="236" t="s">
        <v>743</v>
      </c>
      <c r="AA41" s="367">
        <f>F41/$C$41*1000000000000*'[2]EF-1'!$R$6</f>
        <v>44.271658367754391</v>
      </c>
      <c r="AB41" s="368"/>
      <c r="AC41" s="368">
        <f>H41/$C$41*1000000000000*'[2]EF-1'!$R$6</f>
        <v>29.937852803398467</v>
      </c>
      <c r="AD41" s="368">
        <f t="shared" si="4"/>
        <v>19.459604322209003</v>
      </c>
      <c r="AE41" s="368">
        <f t="shared" si="5"/>
        <v>23.950282242718774</v>
      </c>
      <c r="AF41" s="368"/>
      <c r="AG41" s="368">
        <f>L41/$C$41*1000000000000*'[2]EF-1'!$R$6</f>
        <v>10.759694185580813</v>
      </c>
      <c r="AH41" s="368"/>
      <c r="AI41" s="368">
        <f>N41/$C$41*1000000000000*'[2]EF-1'!$R$6</f>
        <v>23.474564282198877</v>
      </c>
      <c r="AJ41" s="349">
        <f t="shared" si="6"/>
        <v>107.58199783610593</v>
      </c>
      <c r="AK41" s="369">
        <f>P41/$C$41*1000000000000*'[2]EF-1'!$R$8</f>
        <v>4.9873587165049136</v>
      </c>
      <c r="AL41" s="370"/>
      <c r="AM41" s="370"/>
      <c r="AN41" s="370">
        <f>S41/$C$41*1000000000000*'[2]EF-1'!$R$8</f>
        <v>1.670431335712431</v>
      </c>
      <c r="AO41" s="361">
        <f>SUM(AK41:AN41)</f>
        <v>6.6577900522173445</v>
      </c>
      <c r="AP41" s="362"/>
    </row>
    <row r="42" spans="1:42" ht="15" hidden="1" customHeight="1">
      <c r="A42" s="269" t="s">
        <v>793</v>
      </c>
      <c r="B42" s="336"/>
      <c r="C42" s="653">
        <v>16525600</v>
      </c>
      <c r="D42" s="337"/>
      <c r="E42" s="338"/>
      <c r="F42" s="311"/>
      <c r="G42" s="224"/>
      <c r="H42" s="224"/>
      <c r="I42" s="224"/>
      <c r="K42" s="224"/>
      <c r="L42" s="224"/>
      <c r="M42" s="224"/>
      <c r="N42" s="224"/>
      <c r="O42" s="375"/>
      <c r="P42" s="269"/>
      <c r="Q42" s="224"/>
      <c r="R42" s="224"/>
      <c r="S42" s="224"/>
      <c r="T42" s="375"/>
      <c r="U42" s="269"/>
      <c r="V42" s="375"/>
      <c r="W42" s="224"/>
      <c r="X42" s="224"/>
      <c r="Y42" s="375"/>
      <c r="Z42" s="269" t="s">
        <v>793</v>
      </c>
      <c r="AA42" s="336"/>
      <c r="AB42" s="349"/>
      <c r="AC42" s="349"/>
      <c r="AD42" s="349"/>
      <c r="AE42" s="350"/>
      <c r="AF42" s="349"/>
      <c r="AG42" s="349"/>
      <c r="AH42" s="349"/>
      <c r="AI42" s="349"/>
      <c r="AJ42" s="349"/>
      <c r="AK42" s="360"/>
      <c r="AL42" s="376"/>
      <c r="AM42" s="376"/>
      <c r="AN42" s="376"/>
      <c r="AO42" s="361"/>
      <c r="AP42" s="362" t="e">
        <f>(G42+K42)/(G42+K42+Q42+R42)</f>
        <v>#DIV/0!</v>
      </c>
    </row>
    <row r="43" spans="1:42" ht="15" hidden="1" customHeight="1">
      <c r="A43" s="269" t="s">
        <v>794</v>
      </c>
      <c r="B43" s="336"/>
      <c r="C43" s="653"/>
      <c r="D43" s="337"/>
      <c r="E43" s="338"/>
      <c r="F43" s="311"/>
      <c r="G43" s="224"/>
      <c r="H43" s="224"/>
      <c r="I43" s="224"/>
      <c r="K43" s="224"/>
      <c r="L43" s="224"/>
      <c r="M43" s="224"/>
      <c r="N43" s="224"/>
      <c r="O43" s="375"/>
      <c r="P43" s="269"/>
      <c r="Q43" s="224"/>
      <c r="R43" s="224"/>
      <c r="S43" s="224"/>
      <c r="T43" s="375"/>
      <c r="U43" s="269"/>
      <c r="V43" s="375"/>
      <c r="W43" s="224"/>
      <c r="X43" s="224"/>
      <c r="Y43" s="375"/>
      <c r="Z43" s="269" t="s">
        <v>794</v>
      </c>
      <c r="AA43" s="336"/>
      <c r="AB43" s="349"/>
      <c r="AC43" s="349"/>
      <c r="AD43" s="349"/>
      <c r="AE43" s="350"/>
      <c r="AF43" s="349"/>
      <c r="AG43" s="349"/>
      <c r="AH43" s="349"/>
      <c r="AI43" s="349"/>
      <c r="AJ43" s="349"/>
      <c r="AK43" s="360"/>
      <c r="AL43" s="376"/>
      <c r="AM43" s="376"/>
      <c r="AN43" s="376"/>
      <c r="AO43" s="361"/>
      <c r="AP43" s="362" t="e">
        <f>(G43+K43)/(G43+K43+Q43+R43)</f>
        <v>#DIV/0!</v>
      </c>
    </row>
    <row r="44" spans="1:42">
      <c r="A44" s="269" t="s">
        <v>795</v>
      </c>
      <c r="B44" s="336"/>
      <c r="C44" s="337">
        <v>3810700</v>
      </c>
      <c r="D44" s="337"/>
      <c r="E44" s="338"/>
      <c r="F44" s="377"/>
      <c r="G44" s="378"/>
      <c r="H44" s="378"/>
      <c r="I44" s="378"/>
      <c r="J44" s="379"/>
      <c r="K44" s="378"/>
      <c r="L44" s="378"/>
      <c r="M44" s="378"/>
      <c r="N44" s="378"/>
      <c r="O44" s="380"/>
      <c r="P44" s="269"/>
      <c r="Q44" s="224"/>
      <c r="R44" s="224"/>
      <c r="S44" s="224"/>
      <c r="T44" s="375"/>
      <c r="U44" s="269"/>
      <c r="V44" s="375"/>
      <c r="W44" s="224"/>
      <c r="X44" s="224"/>
      <c r="Y44" s="375"/>
      <c r="Z44" s="269" t="s">
        <v>796</v>
      </c>
      <c r="AA44" s="336"/>
      <c r="AB44" s="349"/>
      <c r="AC44" s="349"/>
      <c r="AD44" s="349"/>
      <c r="AE44" s="350"/>
      <c r="AF44" s="349"/>
      <c r="AG44" s="349"/>
      <c r="AH44" s="349"/>
      <c r="AI44" s="349"/>
      <c r="AJ44" s="349"/>
      <c r="AK44" s="360"/>
      <c r="AL44" s="376"/>
      <c r="AM44" s="376"/>
      <c r="AN44" s="376"/>
      <c r="AO44" s="361"/>
      <c r="AP44" s="362"/>
    </row>
    <row r="45" spans="1:42" s="253" customFormat="1">
      <c r="A45" s="381" t="s">
        <v>797</v>
      </c>
      <c r="B45" s="382">
        <f>(B30+B33+B41)</f>
        <v>2384228</v>
      </c>
      <c r="C45" s="383">
        <f>(C30+C33+C41)</f>
        <v>155637818.66666666</v>
      </c>
      <c r="D45" s="383"/>
      <c r="E45" s="384">
        <f>(E30+E33+E41)</f>
        <v>21.869072991606714</v>
      </c>
      <c r="F45" s="383">
        <f>(F30+F33+F41)</f>
        <v>3555</v>
      </c>
      <c r="G45" s="383">
        <f>(G30+G33+G41)</f>
        <v>7965</v>
      </c>
      <c r="H45" s="383">
        <f>(H30+H33+H41)</f>
        <v>47938</v>
      </c>
      <c r="I45" s="383"/>
      <c r="J45" s="383"/>
      <c r="K45" s="383">
        <f t="shared" ref="K45:T45" si="9">(K30+K33+K41)</f>
        <v>14669</v>
      </c>
      <c r="L45" s="383">
        <f t="shared" si="9"/>
        <v>19838</v>
      </c>
      <c r="M45" s="383">
        <f t="shared" si="9"/>
        <v>11054</v>
      </c>
      <c r="N45" s="383">
        <f t="shared" si="9"/>
        <v>50691</v>
      </c>
      <c r="O45" s="385">
        <f t="shared" si="9"/>
        <v>155710</v>
      </c>
      <c r="P45" s="382">
        <f t="shared" si="9"/>
        <v>3959</v>
      </c>
      <c r="Q45" s="383">
        <f t="shared" si="9"/>
        <v>19003</v>
      </c>
      <c r="R45" s="383">
        <f t="shared" si="9"/>
        <v>13873</v>
      </c>
      <c r="S45" s="383">
        <f t="shared" si="9"/>
        <v>6888</v>
      </c>
      <c r="T45" s="385">
        <f t="shared" si="9"/>
        <v>43723</v>
      </c>
      <c r="U45" s="382"/>
      <c r="V45" s="385"/>
      <c r="W45" s="383" t="e">
        <f>(W30+W33+W41)</f>
        <v>#VALUE!</v>
      </c>
      <c r="X45" s="383">
        <f>(X30+X33+X41)</f>
        <v>2861.1238125</v>
      </c>
      <c r="Y45" s="385" t="e">
        <f>(Y30+Y33+Y41)</f>
        <v>#VALUE!</v>
      </c>
      <c r="Z45" s="381" t="s">
        <v>797</v>
      </c>
      <c r="AA45" s="382"/>
      <c r="AB45" s="383"/>
      <c r="AC45" s="383"/>
      <c r="AD45" s="383"/>
      <c r="AE45" s="386"/>
      <c r="AF45" s="383"/>
      <c r="AG45" s="383"/>
      <c r="AH45" s="383"/>
      <c r="AI45" s="383"/>
      <c r="AJ45" s="383"/>
      <c r="AK45" s="387"/>
      <c r="AL45" s="388"/>
      <c r="AM45" s="388"/>
      <c r="AN45" s="388"/>
      <c r="AO45" s="389"/>
      <c r="AP45" s="390"/>
    </row>
    <row r="46" spans="1:42">
      <c r="A46" s="391"/>
      <c r="B46" s="312"/>
      <c r="C46" s="312"/>
      <c r="D46" s="312"/>
      <c r="E46" s="312"/>
      <c r="F46" s="312"/>
      <c r="G46" s="224"/>
      <c r="H46" s="224"/>
      <c r="I46" s="224"/>
      <c r="K46" s="224"/>
      <c r="L46" s="224"/>
      <c r="M46" s="224"/>
      <c r="N46" s="224"/>
      <c r="O46" s="224"/>
      <c r="P46" s="224"/>
      <c r="Q46" s="224"/>
      <c r="R46" s="224"/>
      <c r="S46" s="224"/>
      <c r="T46" s="224"/>
      <c r="U46" s="224"/>
      <c r="V46" s="224"/>
      <c r="W46" s="224"/>
      <c r="X46" s="224"/>
      <c r="Y46" s="392"/>
      <c r="Z46" s="391"/>
      <c r="AA46" s="312"/>
      <c r="AB46" s="312"/>
      <c r="AC46" s="312"/>
      <c r="AD46" s="312"/>
      <c r="AF46" s="312"/>
      <c r="AG46" s="312"/>
      <c r="AH46" s="312"/>
      <c r="AI46" s="312"/>
      <c r="AJ46" s="312"/>
      <c r="AK46" s="393"/>
      <c r="AL46" s="393"/>
      <c r="AM46" s="393"/>
      <c r="AN46" s="393"/>
      <c r="AO46" s="393"/>
      <c r="AP46" s="312"/>
    </row>
    <row r="47" spans="1:42">
      <c r="A47" s="224"/>
      <c r="B47" s="312"/>
      <c r="C47" s="312"/>
      <c r="D47" s="312"/>
      <c r="E47" s="312"/>
      <c r="F47" s="312"/>
      <c r="G47" s="224"/>
      <c r="H47" s="224"/>
      <c r="I47" s="224"/>
      <c r="K47" s="224"/>
      <c r="L47" s="224"/>
      <c r="M47" s="224"/>
      <c r="N47" s="224"/>
      <c r="O47" s="343"/>
      <c r="P47" s="224"/>
      <c r="Q47" s="224"/>
      <c r="R47" s="224"/>
      <c r="S47" s="224"/>
      <c r="T47" s="224"/>
      <c r="U47" s="224"/>
      <c r="V47" s="224"/>
      <c r="W47" s="224"/>
      <c r="X47" s="224"/>
      <c r="Y47" s="224"/>
      <c r="Z47" s="224"/>
      <c r="AA47" s="312"/>
      <c r="AB47" s="312"/>
      <c r="AC47" s="312"/>
      <c r="AD47" s="312"/>
      <c r="AF47" s="312"/>
      <c r="AG47" s="312"/>
      <c r="AH47" s="312"/>
      <c r="AI47" s="312"/>
      <c r="AJ47" s="312"/>
      <c r="AK47" s="393"/>
      <c r="AL47" s="393"/>
      <c r="AM47" s="393"/>
      <c r="AN47" s="393"/>
      <c r="AO47" s="393"/>
      <c r="AP47" s="312"/>
    </row>
    <row r="48" spans="1:42" ht="15" customHeight="1">
      <c r="A48" s="631">
        <v>2050</v>
      </c>
      <c r="B48" s="654" t="s">
        <v>798</v>
      </c>
      <c r="C48" s="655"/>
      <c r="D48" s="655"/>
      <c r="E48" s="656"/>
      <c r="F48" s="657" t="s">
        <v>765</v>
      </c>
      <c r="G48" s="658"/>
      <c r="H48" s="658"/>
      <c r="I48" s="658"/>
      <c r="J48" s="658"/>
      <c r="K48" s="658"/>
      <c r="L48" s="658"/>
      <c r="M48" s="658"/>
      <c r="N48" s="658"/>
      <c r="O48" s="659"/>
      <c r="P48" s="301" t="s">
        <v>766</v>
      </c>
      <c r="Q48" s="302"/>
      <c r="R48" s="302"/>
      <c r="S48" s="302"/>
      <c r="T48" s="303"/>
      <c r="U48" s="339" t="s">
        <v>799</v>
      </c>
      <c r="V48" s="394"/>
      <c r="W48" s="308" t="s">
        <v>768</v>
      </c>
      <c r="X48" s="308"/>
      <c r="Y48" s="395"/>
      <c r="Z48" s="396">
        <v>2050</v>
      </c>
      <c r="AA48" s="307" t="s">
        <v>769</v>
      </c>
      <c r="AB48" s="308"/>
      <c r="AC48" s="308"/>
      <c r="AD48" s="308"/>
      <c r="AE48" s="309"/>
      <c r="AF48" s="308"/>
      <c r="AG48" s="308"/>
      <c r="AH48" s="308"/>
      <c r="AI48" s="308"/>
      <c r="AJ48" s="395"/>
      <c r="AK48" s="397" t="s">
        <v>770</v>
      </c>
      <c r="AL48" s="398"/>
      <c r="AM48" s="398"/>
      <c r="AN48" s="398"/>
      <c r="AO48" s="398"/>
      <c r="AP48" s="310" t="s">
        <v>800</v>
      </c>
    </row>
    <row r="49" spans="1:42" ht="72.75" customHeight="1">
      <c r="A49" s="632"/>
      <c r="B49" s="311" t="s">
        <v>801</v>
      </c>
      <c r="C49" s="312" t="s">
        <v>773</v>
      </c>
      <c r="D49" s="312" t="s">
        <v>774</v>
      </c>
      <c r="E49" s="313" t="s">
        <v>775</v>
      </c>
      <c r="F49" s="317" t="s">
        <v>727</v>
      </c>
      <c r="G49" s="314" t="s">
        <v>728</v>
      </c>
      <c r="H49" s="314" t="s">
        <v>729</v>
      </c>
      <c r="I49" s="314" t="s">
        <v>730</v>
      </c>
      <c r="J49" s="196" t="s">
        <v>759</v>
      </c>
      <c r="K49" s="314" t="s">
        <v>731</v>
      </c>
      <c r="L49" s="314" t="s">
        <v>732</v>
      </c>
      <c r="M49" s="314" t="s">
        <v>733</v>
      </c>
      <c r="N49" s="314" t="s">
        <v>734</v>
      </c>
      <c r="O49" s="316" t="s">
        <v>735</v>
      </c>
      <c r="P49" s="317" t="s">
        <v>727</v>
      </c>
      <c r="Q49" s="314" t="s">
        <v>728</v>
      </c>
      <c r="R49" s="318" t="s">
        <v>776</v>
      </c>
      <c r="S49" s="314" t="s">
        <v>734</v>
      </c>
      <c r="T49" s="316" t="s">
        <v>735</v>
      </c>
      <c r="U49" s="319" t="s">
        <v>748</v>
      </c>
      <c r="V49" s="320" t="s">
        <v>751</v>
      </c>
      <c r="W49" s="215" t="s">
        <v>748</v>
      </c>
      <c r="X49" s="215" t="s">
        <v>751</v>
      </c>
      <c r="Y49" s="320" t="s">
        <v>737</v>
      </c>
      <c r="Z49" s="399"/>
      <c r="AA49" s="317" t="s">
        <v>727</v>
      </c>
      <c r="AB49" s="314" t="s">
        <v>728</v>
      </c>
      <c r="AC49" s="314" t="s">
        <v>729</v>
      </c>
      <c r="AD49" s="314" t="s">
        <v>730</v>
      </c>
      <c r="AE49" s="196" t="s">
        <v>759</v>
      </c>
      <c r="AF49" s="314" t="s">
        <v>731</v>
      </c>
      <c r="AG49" s="314" t="s">
        <v>732</v>
      </c>
      <c r="AH49" s="314" t="s">
        <v>733</v>
      </c>
      <c r="AI49" s="314" t="s">
        <v>734</v>
      </c>
      <c r="AJ49" s="316" t="s">
        <v>735</v>
      </c>
      <c r="AK49" s="400" t="s">
        <v>727</v>
      </c>
      <c r="AL49" s="401" t="s">
        <v>728</v>
      </c>
      <c r="AM49" s="401" t="s">
        <v>539</v>
      </c>
      <c r="AN49" s="401" t="s">
        <v>734</v>
      </c>
      <c r="AO49" s="376" t="s">
        <v>737</v>
      </c>
      <c r="AP49" s="325"/>
    </row>
    <row r="50" spans="1:42" s="214" customFormat="1" ht="43.5" customHeight="1">
      <c r="A50" s="633"/>
      <c r="B50" s="402"/>
      <c r="C50" s="403" t="s">
        <v>777</v>
      </c>
      <c r="D50" s="403" t="s">
        <v>778</v>
      </c>
      <c r="E50" s="404" t="s">
        <v>777</v>
      </c>
      <c r="F50" s="405" t="s">
        <v>779</v>
      </c>
      <c r="G50" s="406" t="s">
        <v>779</v>
      </c>
      <c r="H50" s="406" t="s">
        <v>779</v>
      </c>
      <c r="I50" s="329" t="s">
        <v>779</v>
      </c>
      <c r="J50" s="329" t="s">
        <v>779</v>
      </c>
      <c r="K50" s="406" t="s">
        <v>779</v>
      </c>
      <c r="L50" s="406" t="s">
        <v>779</v>
      </c>
      <c r="M50" s="406" t="s">
        <v>779</v>
      </c>
      <c r="N50" s="406" t="s">
        <v>779</v>
      </c>
      <c r="O50" s="407" t="s">
        <v>779</v>
      </c>
      <c r="P50" s="402" t="s">
        <v>779</v>
      </c>
      <c r="Q50" s="403" t="s">
        <v>779</v>
      </c>
      <c r="R50" s="403" t="s">
        <v>779</v>
      </c>
      <c r="S50" s="403" t="s">
        <v>779</v>
      </c>
      <c r="T50" s="404" t="s">
        <v>779</v>
      </c>
      <c r="U50" s="408" t="s">
        <v>749</v>
      </c>
      <c r="V50" s="409" t="s">
        <v>752</v>
      </c>
      <c r="W50" s="410" t="s">
        <v>780</v>
      </c>
      <c r="X50" s="410" t="s">
        <v>780</v>
      </c>
      <c r="Y50" s="409" t="s">
        <v>780</v>
      </c>
      <c r="Z50" s="411"/>
      <c r="AA50" s="327" t="s">
        <v>781</v>
      </c>
      <c r="AB50" s="327" t="s">
        <v>781</v>
      </c>
      <c r="AC50" s="327" t="s">
        <v>781</v>
      </c>
      <c r="AD50" s="327" t="s">
        <v>781</v>
      </c>
      <c r="AE50" s="327" t="s">
        <v>781</v>
      </c>
      <c r="AF50" s="327" t="s">
        <v>781</v>
      </c>
      <c r="AG50" s="327" t="s">
        <v>781</v>
      </c>
      <c r="AH50" s="327" t="s">
        <v>781</v>
      </c>
      <c r="AI50" s="327" t="s">
        <v>781</v>
      </c>
      <c r="AJ50" s="327" t="s">
        <v>781</v>
      </c>
      <c r="AK50" s="412" t="s">
        <v>802</v>
      </c>
      <c r="AL50" s="412" t="s">
        <v>802</v>
      </c>
      <c r="AM50" s="412" t="s">
        <v>802</v>
      </c>
      <c r="AN50" s="412" t="s">
        <v>802</v>
      </c>
      <c r="AO50" s="412" t="s">
        <v>802</v>
      </c>
      <c r="AP50" s="413"/>
    </row>
    <row r="51" spans="1:42">
      <c r="A51" s="236" t="s">
        <v>739</v>
      </c>
      <c r="B51" s="336">
        <f>SUM(B52:B53)</f>
        <v>4296753.4008807326</v>
      </c>
      <c r="C51" s="414">
        <f>SUM(C52:C53)</f>
        <v>19502305830.686279</v>
      </c>
      <c r="D51" s="337">
        <f>'[2]Population and GDP'!E41/1000</f>
        <v>9066.5</v>
      </c>
      <c r="E51" s="415">
        <f>C51/D51/1000</f>
        <v>2151.0291546557414</v>
      </c>
      <c r="F51" s="339"/>
      <c r="G51" s="340">
        <f>SUM(G52:G53)</f>
        <v>3171.148760828064</v>
      </c>
      <c r="H51" s="340">
        <f>SUM(H52:H53)</f>
        <v>24658.341046202851</v>
      </c>
      <c r="I51" s="340"/>
      <c r="J51" s="309"/>
      <c r="K51" s="340">
        <f>SUM(K52:K53)</f>
        <v>8379.9627395409279</v>
      </c>
      <c r="L51" s="340">
        <f>SUM(L52:L53)</f>
        <v>4533.1416906960767</v>
      </c>
      <c r="M51" s="340">
        <f>SUM(M52:M53)</f>
        <v>10878.303296917571</v>
      </c>
      <c r="N51" s="340">
        <f>SUM(N52:N53)</f>
        <v>5110.8994899781919</v>
      </c>
      <c r="O51" s="341">
        <f>SUM(O52:O53)</f>
        <v>56731.797024163679</v>
      </c>
      <c r="P51" s="342"/>
      <c r="Q51" s="343">
        <f>SUM(Q52:Q53)</f>
        <v>8723.7159436822622</v>
      </c>
      <c r="R51" s="343">
        <f>SUM(R52:R53)</f>
        <v>8104.0668329107057</v>
      </c>
      <c r="S51" s="343">
        <f>SUM(S52:S53)</f>
        <v>30.80100631141196</v>
      </c>
      <c r="T51" s="348">
        <f>SUM(T52:T53)*(1-'[2]Key parameters rpt'!O42)</f>
        <v>0</v>
      </c>
      <c r="U51" s="416">
        <f>+O12</f>
        <v>8.765039029278613E-3</v>
      </c>
      <c r="V51" s="417">
        <f>+O13</f>
        <v>65437.5</v>
      </c>
      <c r="W51" s="418">
        <f>SUM(W52:W53)</f>
        <v>138.12678197719634</v>
      </c>
      <c r="X51" s="340">
        <f>SUM(X52:X53)</f>
        <v>0</v>
      </c>
      <c r="Y51" s="341">
        <f>W51+X51</f>
        <v>138.12678197719634</v>
      </c>
      <c r="Z51" s="236" t="s">
        <v>739</v>
      </c>
      <c r="AA51" s="339"/>
      <c r="AB51" s="419"/>
      <c r="AC51" s="419"/>
      <c r="AD51" s="419"/>
      <c r="AE51" s="315"/>
      <c r="AF51" s="419"/>
      <c r="AG51" s="419"/>
      <c r="AH51" s="419"/>
      <c r="AI51" s="419"/>
      <c r="AJ51" s="394"/>
      <c r="AK51" s="360"/>
      <c r="AL51" s="393"/>
      <c r="AM51" s="393"/>
      <c r="AN51" s="393"/>
      <c r="AO51" s="376"/>
      <c r="AP51" s="351"/>
    </row>
    <row r="52" spans="1:42">
      <c r="A52" s="269" t="s">
        <v>784</v>
      </c>
      <c r="B52" s="336">
        <f>'[2]Key parameters rpt'!O27</f>
        <v>2174901.2425941145</v>
      </c>
      <c r="C52" s="414">
        <f>D52*D51*E52</f>
        <v>10845308163.788748</v>
      </c>
      <c r="D52" s="420">
        <f>B5</f>
        <v>0.55000000000000004</v>
      </c>
      <c r="E52" s="415">
        <f>C5</f>
        <v>2174901.2425941145</v>
      </c>
      <c r="F52" s="421"/>
      <c r="G52" s="422">
        <f>$B$52*AB52*'[2]EF-1'!$R$5/1000000000000</f>
        <v>1790.6316982867093</v>
      </c>
      <c r="H52" s="422">
        <f>$B$52*AC52*'[2]EF-1'!$R$5/1000000000000</f>
        <v>15685.378442356445</v>
      </c>
      <c r="I52" s="422">
        <v>0</v>
      </c>
      <c r="K52" s="422">
        <f>$B$52*AF52*'[2]EF-1'!$R$5/1000000000000</f>
        <v>5030.6798231746479</v>
      </c>
      <c r="L52" s="422">
        <f>$B$52*AG52*'[2]EF-1'!$R$5/1000000000000</f>
        <v>2860.0934432025397</v>
      </c>
      <c r="M52" s="422">
        <f>$B$52*AH52*'[2]EF-1'!$R$5/1000000000000</f>
        <v>5974.5424130462397</v>
      </c>
      <c r="N52" s="422">
        <f>$B$52*AI52*'[2]EF-1'!$R$5/1000000000000</f>
        <v>3025.8327962804174</v>
      </c>
      <c r="O52" s="346">
        <f>SUM(F52:N52)</f>
        <v>34367.158616346998</v>
      </c>
      <c r="P52" s="423"/>
      <c r="Q52" s="422">
        <f>$B$52*AL52*'[2]EF-1'!$R$5/1000000000000</f>
        <v>4307.1510298506109</v>
      </c>
      <c r="R52" s="422">
        <f>$B$52*AM52*'[2]EF-1'!$R$5/1000000000000</f>
        <v>2994.8194943732215</v>
      </c>
      <c r="S52" s="422">
        <f>$B$52*AN52*'[2]EF-1'!$R$5/1000000000000</f>
        <v>0.86188382903803695</v>
      </c>
      <c r="T52" s="424">
        <f>SUM(Q52:S52)*(1-'[2]Key parameters rpt'!O42)-('[2]Key parameters rpt'!O43/4)</f>
        <v>0</v>
      </c>
      <c r="U52" s="345">
        <f>[2]Electricity!$K$6</f>
        <v>8.765039029278613E-3</v>
      </c>
      <c r="V52" s="422">
        <f>O13</f>
        <v>65437.5</v>
      </c>
      <c r="W52" s="423">
        <f>O52*1000000000000*'[2]EF-1'!R6*U52/1000000</f>
        <v>83.674857388247275</v>
      </c>
      <c r="X52" s="422">
        <f>T52*V52/1000000</f>
        <v>0</v>
      </c>
      <c r="Y52" s="348">
        <f>W52+X52</f>
        <v>83.674857388247275</v>
      </c>
      <c r="Z52" s="269" t="s">
        <v>784</v>
      </c>
      <c r="AA52" s="336"/>
      <c r="AB52" s="349">
        <f>AB31*(1-E5)+AL31*(1-N5)*R5</f>
        <v>228.69897916617998</v>
      </c>
      <c r="AC52" s="425">
        <f>AC31*(1-F5)</f>
        <v>2003.332143083592</v>
      </c>
      <c r="AD52" s="349"/>
      <c r="AE52" s="425"/>
      <c r="AF52" s="349">
        <f>AF31*(1-H5)+AM31*(1-O5)*R5</f>
        <v>642.5170185319289</v>
      </c>
      <c r="AG52" s="349">
        <f>AG31*(1-I5)</f>
        <v>365.29033380016341</v>
      </c>
      <c r="AH52" s="349">
        <f t="shared" ref="AG52:AI54" si="10">AH31*(1-J5)</f>
        <v>763.06688424876882</v>
      </c>
      <c r="AI52" s="349">
        <f>AI31*(1-K5)</f>
        <v>386.458517571757</v>
      </c>
      <c r="AJ52" s="426">
        <f t="shared" ref="AJ52:AJ65" si="11">SUM(AA52:AI52)</f>
        <v>4389.3638764023899</v>
      </c>
      <c r="AK52" s="360"/>
      <c r="AL52" s="393">
        <f>AL31*(1-N5)*(1-R5)</f>
        <v>550.10812362134027</v>
      </c>
      <c r="AM52" s="393">
        <f>AM31*(1-O5)*(1-R5)</f>
        <v>382.49750733523848</v>
      </c>
      <c r="AN52" s="393">
        <f>AN31*(1-P5)</f>
        <v>0.11007956133549728</v>
      </c>
      <c r="AO52" s="393">
        <f>SUM(AK52:AN52)</f>
        <v>932.71571051791432</v>
      </c>
      <c r="AP52" s="362">
        <f>(G52+K52)/((G52+K52)+(Q52+R52))</f>
        <v>0.48298345238707024</v>
      </c>
    </row>
    <row r="53" spans="1:42">
      <c r="A53" s="269" t="s">
        <v>785</v>
      </c>
      <c r="B53" s="336">
        <f>'[2]Key parameters rpt'!O28</f>
        <v>2121852.1582866181</v>
      </c>
      <c r="C53" s="414">
        <f>D53*D51*E53</f>
        <v>8656997666.8975315</v>
      </c>
      <c r="D53" s="420">
        <f>B6</f>
        <v>0.45</v>
      </c>
      <c r="E53" s="415">
        <f>C6</f>
        <v>2121852.1582866181</v>
      </c>
      <c r="F53" s="421"/>
      <c r="G53" s="422">
        <f>$B$53*AB53*'[2]EF-1'!$R$5/1000000000000</f>
        <v>1380.5170625413548</v>
      </c>
      <c r="H53" s="422">
        <f>$B$53*AC53*'[2]EF-1'!$R$5/1000000000000</f>
        <v>8972.9626038464066</v>
      </c>
      <c r="I53" s="422">
        <v>0</v>
      </c>
      <c r="K53" s="422">
        <f>$B$53*AF53*'[2]EF-1'!$R$5/1000000000000</f>
        <v>3349.28291636628</v>
      </c>
      <c r="L53" s="422">
        <f>$B$53*AG53*'[2]EF-1'!$R$5/1000000000000</f>
        <v>1673.0482474935366</v>
      </c>
      <c r="M53" s="422">
        <f>$B$53*AH53*'[2]EF-1'!$R$5/1000000000000</f>
        <v>4903.7608838713313</v>
      </c>
      <c r="N53" s="422">
        <f>$B$53*AI53*'[2]EF-1'!$R$5/1000000000000</f>
        <v>2085.0666936977741</v>
      </c>
      <c r="O53" s="346">
        <f>SUM(F53:N53)</f>
        <v>22364.638407816681</v>
      </c>
      <c r="P53" s="423"/>
      <c r="Q53" s="422">
        <f>$B$52*AL53*'[2]EF-1'!$R$5/1000000000000</f>
        <v>4416.5649138316503</v>
      </c>
      <c r="R53" s="422">
        <f>$B$52*AM53*'[2]EF-1'!$R$5/1000000000000</f>
        <v>5109.2473385374842</v>
      </c>
      <c r="S53" s="422">
        <f>$B$52*AN53*'[2]EF-1'!$R$5/1000000000000</f>
        <v>29.939122482373925</v>
      </c>
      <c r="T53" s="424">
        <f>SUM(Q53:S53)*(1-'[2]Key parameters rpt'!O42)-('[2]Key parameters rpt'!O43/4)</f>
        <v>0</v>
      </c>
      <c r="U53" s="345">
        <f>[2]Electricity!$K$6</f>
        <v>8.765039029278613E-3</v>
      </c>
      <c r="V53" s="422">
        <f>O13</f>
        <v>65437.5</v>
      </c>
      <c r="W53" s="423">
        <f>O53*1000000000000*'[2]EF-1'!R6*U53/1000000</f>
        <v>54.451924588949076</v>
      </c>
      <c r="X53" s="422">
        <f>T53*V53/1000000</f>
        <v>0</v>
      </c>
      <c r="Y53" s="348">
        <f>W53+X53</f>
        <v>54.451924588949076</v>
      </c>
      <c r="Z53" s="269" t="s">
        <v>785</v>
      </c>
      <c r="AA53" s="336"/>
      <c r="AB53" s="349">
        <f>AB32*(1-E6)+AL32*(1-N6)*R6</f>
        <v>180.72746506839485</v>
      </c>
      <c r="AC53" s="349">
        <f>AC32*(1-F6)</f>
        <v>1174.6763799944604</v>
      </c>
      <c r="AD53" s="349"/>
      <c r="AE53" s="425"/>
      <c r="AF53" s="349">
        <f>AF32*(1-H6)+AM32*(1-O6)*R6</f>
        <v>438.46427378265446</v>
      </c>
      <c r="AG53" s="349">
        <f t="shared" si="10"/>
        <v>219.02356509090208</v>
      </c>
      <c r="AH53" s="349">
        <f t="shared" si="10"/>
        <v>641.96546199302679</v>
      </c>
      <c r="AI53" s="349">
        <f t="shared" si="10"/>
        <v>272.96208665240584</v>
      </c>
      <c r="AJ53" s="426">
        <f t="shared" si="11"/>
        <v>2927.819232581845</v>
      </c>
      <c r="AK53" s="360"/>
      <c r="AL53" s="393">
        <f>AL32*(1-N6)*(1-R6)</f>
        <v>564.0824342498255</v>
      </c>
      <c r="AM53" s="393">
        <f>AM32*(1-O6)*(1-R6)</f>
        <v>652.55163959682795</v>
      </c>
      <c r="AN53" s="393">
        <f>AN32*(1-P6)</f>
        <v>3.823816341127801</v>
      </c>
      <c r="AO53" s="393">
        <f t="shared" ref="AO53:AO62" si="12">SUM(AK53:AN53)</f>
        <v>1220.4578901877812</v>
      </c>
      <c r="AP53" s="362">
        <f>(G53+K53)/((G53+K53)+(Q53+R53))</f>
        <v>0.33178511748029088</v>
      </c>
    </row>
    <row r="54" spans="1:42">
      <c r="A54" s="236" t="s">
        <v>742</v>
      </c>
      <c r="B54" s="336"/>
      <c r="C54" s="337">
        <f>D54*E54*1000</f>
        <v>53516826.285152346</v>
      </c>
      <c r="D54" s="337">
        <f>D51</f>
        <v>9066.5</v>
      </c>
      <c r="E54" s="426">
        <f>C7</f>
        <v>5.9026996398998897</v>
      </c>
      <c r="F54" s="427"/>
      <c r="G54" s="343">
        <f>$C$54*AB54*'[2]EF-1'!$R$5/1000000000000</f>
        <v>2067.1713509167821</v>
      </c>
      <c r="H54" s="428">
        <f>AC24*1000000*AC54*'[2]EF-1'!$R$5/1000000000000</f>
        <v>28244.939753708004</v>
      </c>
      <c r="I54" s="429">
        <f>AD54*'[2]EF-1'!$R$5/1000000000000*AD24*1000000</f>
        <v>832.42962294705706</v>
      </c>
      <c r="J54" s="430">
        <f>AE24*1000000*AE54*'[2]EF-1'!$R$5/1000000000000</f>
        <v>1189.2606212087583</v>
      </c>
      <c r="K54" s="343">
        <f>$C$54*AF54*'[2]EF-1'!$R$5/1000000000000</f>
        <v>3036.696380813627</v>
      </c>
      <c r="L54" s="343">
        <f>$C$54*AG54*'[2]EF-1'!$R$5/1000000000000</f>
        <v>11159.290529755846</v>
      </c>
      <c r="M54" s="343">
        <f>$C$54*AH54*'[2]EF-1'!$R$5/1000000000000</f>
        <v>4670.916716268116</v>
      </c>
      <c r="N54" s="343">
        <f>$C$54*AI54*'[2]EF-1'!$R$5/1000000000000</f>
        <v>34731.918009954599</v>
      </c>
      <c r="O54" s="348">
        <f>SUM(G54:N54)</f>
        <v>85932.622985572787</v>
      </c>
      <c r="P54" s="342"/>
      <c r="Q54" s="343">
        <f>$C$54*AL54*'[2]EF-1'!$R$7/1000000000000</f>
        <v>4257.6871671890849</v>
      </c>
      <c r="R54" s="343">
        <f>$C$54*AM54*'[2]EF-1'!$R$7/1000000000000</f>
        <v>3193.649227462422</v>
      </c>
      <c r="S54" s="343">
        <f>$C$54*AN54*'[2]EF-1'!$R$7/1000000000000</f>
        <v>2830.7810700472201</v>
      </c>
      <c r="T54" s="424">
        <f>SUM(Q54:S54)*(1-'[2]Key parameters rpt'!O42)-('[2]Key parameters rpt'!O43/4)</f>
        <v>0</v>
      </c>
      <c r="U54" s="345">
        <f>[2]Electricity!$K$6</f>
        <v>8.765039029278613E-3</v>
      </c>
      <c r="V54" s="422">
        <f>O13</f>
        <v>65437.5</v>
      </c>
      <c r="W54" s="423">
        <f>O54*1000000000000*'[2]EF-1'!R6*U54/1000000</f>
        <v>209.22299843245273</v>
      </c>
      <c r="X54" s="422">
        <f>T54*V54/1000000</f>
        <v>0</v>
      </c>
      <c r="Y54" s="348">
        <f>W54+X54</f>
        <v>209.22299843245273</v>
      </c>
      <c r="Z54" s="236" t="s">
        <v>742</v>
      </c>
      <c r="AA54" s="431"/>
      <c r="AB54" s="368">
        <f>AB33*(1-E7)+AL33*(1-N7)*R7</f>
        <v>10.729602332619265</v>
      </c>
      <c r="AC54" s="368">
        <f>AC33*(1-F7)</f>
        <v>160.96794348668774</v>
      </c>
      <c r="AD54" s="368">
        <f t="shared" ref="AD54:AD62" si="13">AC54*(1-$AD$23)</f>
        <v>104.62916326634704</v>
      </c>
      <c r="AE54" s="432">
        <f t="shared" ref="AE54:AE62" si="14">AC54*(1-$AE$23)</f>
        <v>128.77435478935021</v>
      </c>
      <c r="AF54" s="368">
        <f>AF33*(1-H7)+AM33*(1-O7)*R7</f>
        <v>15.761898285105465</v>
      </c>
      <c r="AG54" s="368">
        <f t="shared" si="10"/>
        <v>57.922024531417058</v>
      </c>
      <c r="AH54" s="368">
        <f>AH33*(1-J7)</f>
        <v>24.244278962222445</v>
      </c>
      <c r="AI54" s="368">
        <f>AI33*(1-K7)</f>
        <v>180.27517086606142</v>
      </c>
      <c r="AJ54" s="433">
        <f t="shared" si="11"/>
        <v>683.30443651981057</v>
      </c>
      <c r="AK54" s="369"/>
      <c r="AL54" s="434">
        <f>AL33*(1-N7)*(1-R7)</f>
        <v>2.2355264680257037</v>
      </c>
      <c r="AM54" s="434">
        <f>AM33*(1-O7)*(1-R7)</f>
        <v>1.6768463950571453</v>
      </c>
      <c r="AN54" s="434">
        <f>AN33*(1-P7)</f>
        <v>1.4863200979264535</v>
      </c>
      <c r="AO54" s="434">
        <f t="shared" si="12"/>
        <v>5.3986929610093028</v>
      </c>
      <c r="AP54" s="362">
        <f>(G54+K54)/((G54+K54)+(Q54+R54))</f>
        <v>0.40651411799874987</v>
      </c>
    </row>
    <row r="55" spans="1:42" ht="15" hidden="1" customHeight="1">
      <c r="A55" s="269" t="s">
        <v>786</v>
      </c>
      <c r="B55" s="371"/>
      <c r="C55" s="337"/>
      <c r="D55" s="372"/>
      <c r="E55" s="426"/>
      <c r="F55" s="311"/>
      <c r="G55" s="422"/>
      <c r="H55" s="422"/>
      <c r="I55" s="422"/>
      <c r="K55" s="422"/>
      <c r="L55" s="422"/>
      <c r="M55" s="422"/>
      <c r="N55" s="422"/>
      <c r="O55" s="346"/>
      <c r="P55" s="423"/>
      <c r="Q55" s="224"/>
      <c r="R55" s="224"/>
      <c r="S55" s="224"/>
      <c r="T55" s="346">
        <f t="shared" ref="T55:T61" si="15">SUM(Q55:S55)</f>
        <v>0</v>
      </c>
      <c r="U55" s="345">
        <f>[2]Electricity!$K$6</f>
        <v>8.765039029278613E-3</v>
      </c>
      <c r="V55" s="422"/>
      <c r="W55" s="423">
        <f t="shared" ref="W55:W61" si="16">O55*1000000000000*$AI$46*U55/1000000</f>
        <v>0</v>
      </c>
      <c r="X55" s="422"/>
      <c r="Y55" s="348"/>
      <c r="Z55" s="269" t="s">
        <v>786</v>
      </c>
      <c r="AA55" s="435"/>
      <c r="AB55" s="436"/>
      <c r="AC55" s="368">
        <f>AC34*(1-F8)</f>
        <v>0</v>
      </c>
      <c r="AD55" s="368">
        <f t="shared" si="13"/>
        <v>0</v>
      </c>
      <c r="AE55" s="432">
        <f t="shared" si="14"/>
        <v>0</v>
      </c>
      <c r="AF55" s="436"/>
      <c r="AG55" s="368">
        <f>AG34*(1-I8)</f>
        <v>0</v>
      </c>
      <c r="AH55" s="436"/>
      <c r="AI55" s="368">
        <f>AI34*(1-K8)</f>
        <v>0</v>
      </c>
      <c r="AJ55" s="433">
        <f t="shared" si="11"/>
        <v>0</v>
      </c>
      <c r="AK55" s="369"/>
      <c r="AL55" s="434"/>
      <c r="AM55" s="434"/>
      <c r="AN55" s="434"/>
      <c r="AO55" s="434">
        <f t="shared" si="12"/>
        <v>0</v>
      </c>
      <c r="AP55" s="362" t="e">
        <f>(#REF!+J71)/(#REF!+J71+Q55+R55)</f>
        <v>#REF!</v>
      </c>
    </row>
    <row r="56" spans="1:42" ht="15" hidden="1" customHeight="1">
      <c r="A56" s="269" t="s">
        <v>787</v>
      </c>
      <c r="B56" s="371"/>
      <c r="C56" s="638"/>
      <c r="D56" s="638"/>
      <c r="E56" s="660"/>
      <c r="F56" s="311"/>
      <c r="G56" s="422"/>
      <c r="H56" s="422"/>
      <c r="I56" s="422"/>
      <c r="K56" s="422"/>
      <c r="L56" s="422"/>
      <c r="M56" s="422"/>
      <c r="N56" s="422"/>
      <c r="O56" s="346"/>
      <c r="P56" s="423"/>
      <c r="Q56" s="224"/>
      <c r="R56" s="224"/>
      <c r="S56" s="224"/>
      <c r="T56" s="346">
        <f t="shared" si="15"/>
        <v>0</v>
      </c>
      <c r="U56" s="345">
        <f>[2]Electricity!$K$6</f>
        <v>8.765039029278613E-3</v>
      </c>
      <c r="V56" s="422"/>
      <c r="W56" s="423">
        <f t="shared" si="16"/>
        <v>0</v>
      </c>
      <c r="X56" s="422"/>
      <c r="Y56" s="348"/>
      <c r="Z56" s="269" t="s">
        <v>787</v>
      </c>
      <c r="AA56" s="435"/>
      <c r="AB56" s="436"/>
      <c r="AC56" s="368" t="e">
        <f>AC35*(1-#REF!)</f>
        <v>#REF!</v>
      </c>
      <c r="AD56" s="368" t="e">
        <f t="shared" si="13"/>
        <v>#REF!</v>
      </c>
      <c r="AE56" s="432" t="e">
        <f t="shared" si="14"/>
        <v>#REF!</v>
      </c>
      <c r="AF56" s="436"/>
      <c r="AG56" s="368" t="e">
        <f>AG35*(1-#REF!)</f>
        <v>#REF!</v>
      </c>
      <c r="AH56" s="436"/>
      <c r="AI56" s="368" t="e">
        <f>AI35*(1-#REF!)</f>
        <v>#REF!</v>
      </c>
      <c r="AJ56" s="433" t="e">
        <f t="shared" si="11"/>
        <v>#REF!</v>
      </c>
      <c r="AK56" s="369"/>
      <c r="AL56" s="434"/>
      <c r="AM56" s="434"/>
      <c r="AN56" s="434"/>
      <c r="AO56" s="434">
        <f t="shared" si="12"/>
        <v>0</v>
      </c>
      <c r="AP56" s="362" t="e">
        <f>(#REF!+J72)/(#REF!+J72+Q56+R56)</f>
        <v>#REF!</v>
      </c>
    </row>
    <row r="57" spans="1:42" ht="15" hidden="1" customHeight="1">
      <c r="A57" s="269" t="s">
        <v>788</v>
      </c>
      <c r="B57" s="371"/>
      <c r="C57" s="638"/>
      <c r="D57" s="638"/>
      <c r="E57" s="660"/>
      <c r="F57" s="311"/>
      <c r="G57" s="422"/>
      <c r="H57" s="422"/>
      <c r="I57" s="422"/>
      <c r="K57" s="422"/>
      <c r="L57" s="422"/>
      <c r="M57" s="422"/>
      <c r="N57" s="422"/>
      <c r="O57" s="346"/>
      <c r="P57" s="423"/>
      <c r="Q57" s="224"/>
      <c r="R57" s="224"/>
      <c r="S57" s="224"/>
      <c r="T57" s="346">
        <f t="shared" si="15"/>
        <v>0</v>
      </c>
      <c r="U57" s="345">
        <f>[2]Electricity!$K$6</f>
        <v>8.765039029278613E-3</v>
      </c>
      <c r="V57" s="422"/>
      <c r="W57" s="423">
        <f t="shared" si="16"/>
        <v>0</v>
      </c>
      <c r="X57" s="422"/>
      <c r="Y57" s="348"/>
      <c r="Z57" s="269" t="s">
        <v>788</v>
      </c>
      <c r="AA57" s="435"/>
      <c r="AB57" s="436"/>
      <c r="AC57" s="368">
        <f>AC36*(1-AC48)</f>
        <v>0</v>
      </c>
      <c r="AD57" s="368">
        <f t="shared" si="13"/>
        <v>0</v>
      </c>
      <c r="AE57" s="432">
        <f t="shared" si="14"/>
        <v>0</v>
      </c>
      <c r="AF57" s="436"/>
      <c r="AG57" s="368">
        <f>AG36*(1-AG48)</f>
        <v>0</v>
      </c>
      <c r="AH57" s="436"/>
      <c r="AI57" s="368">
        <f>AI36*(1-AI48)</f>
        <v>0</v>
      </c>
      <c r="AJ57" s="433">
        <f t="shared" si="11"/>
        <v>0</v>
      </c>
      <c r="AK57" s="369"/>
      <c r="AL57" s="434"/>
      <c r="AM57" s="434"/>
      <c r="AN57" s="434"/>
      <c r="AO57" s="434">
        <f t="shared" si="12"/>
        <v>0</v>
      </c>
      <c r="AP57" s="362" t="e">
        <f>('[2]EF-1'!S20+J73)/('[2]EF-1'!S20+J73+Q57+R57)</f>
        <v>#VALUE!</v>
      </c>
    </row>
    <row r="58" spans="1:42" ht="15" hidden="1" customHeight="1">
      <c r="A58" s="269" t="s">
        <v>789</v>
      </c>
      <c r="B58" s="371"/>
      <c r="C58" s="638"/>
      <c r="D58" s="638"/>
      <c r="E58" s="660"/>
      <c r="F58" s="311"/>
      <c r="G58" s="422"/>
      <c r="H58" s="422"/>
      <c r="I58" s="422"/>
      <c r="K58" s="422"/>
      <c r="L58" s="422"/>
      <c r="M58" s="422"/>
      <c r="N58" s="422"/>
      <c r="O58" s="346"/>
      <c r="P58" s="423"/>
      <c r="Q58" s="224"/>
      <c r="R58" s="224"/>
      <c r="S58" s="224"/>
      <c r="T58" s="346">
        <f t="shared" si="15"/>
        <v>0</v>
      </c>
      <c r="U58" s="345">
        <f>[2]Electricity!$K$6</f>
        <v>8.765039029278613E-3</v>
      </c>
      <c r="V58" s="422"/>
      <c r="W58" s="423">
        <f t="shared" si="16"/>
        <v>0</v>
      </c>
      <c r="X58" s="422"/>
      <c r="Y58" s="348"/>
      <c r="Z58" s="269" t="s">
        <v>789</v>
      </c>
      <c r="AA58" s="435"/>
      <c r="AB58" s="436"/>
      <c r="AC58" s="368" t="e">
        <f>AC37*(1-AC49)</f>
        <v>#VALUE!</v>
      </c>
      <c r="AD58" s="368" t="e">
        <f t="shared" si="13"/>
        <v>#VALUE!</v>
      </c>
      <c r="AE58" s="432" t="e">
        <f t="shared" si="14"/>
        <v>#VALUE!</v>
      </c>
      <c r="AF58" s="436"/>
      <c r="AG58" s="368" t="e">
        <f>AG37*(1-AG49)</f>
        <v>#VALUE!</v>
      </c>
      <c r="AH58" s="436"/>
      <c r="AI58" s="368" t="e">
        <f>AI37*(1-AI49)</f>
        <v>#VALUE!</v>
      </c>
      <c r="AJ58" s="433" t="e">
        <f t="shared" si="11"/>
        <v>#VALUE!</v>
      </c>
      <c r="AK58" s="369"/>
      <c r="AL58" s="434"/>
      <c r="AM58" s="434"/>
      <c r="AN58" s="434"/>
      <c r="AO58" s="434">
        <f t="shared" si="12"/>
        <v>0</v>
      </c>
      <c r="AP58" s="362" t="e">
        <f>(#REF!+J74)/(#REF!+J74+Q58+R58)</f>
        <v>#REF!</v>
      </c>
    </row>
    <row r="59" spans="1:42" ht="15" hidden="1" customHeight="1">
      <c r="A59" s="269" t="s">
        <v>790</v>
      </c>
      <c r="B59" s="371"/>
      <c r="C59" s="638"/>
      <c r="D59" s="638"/>
      <c r="E59" s="660"/>
      <c r="F59" s="311"/>
      <c r="G59" s="422"/>
      <c r="H59" s="422"/>
      <c r="I59" s="422"/>
      <c r="K59" s="422"/>
      <c r="L59" s="422"/>
      <c r="M59" s="422"/>
      <c r="N59" s="422"/>
      <c r="O59" s="346"/>
      <c r="P59" s="423"/>
      <c r="Q59" s="224"/>
      <c r="R59" s="224"/>
      <c r="S59" s="224"/>
      <c r="T59" s="346">
        <f t="shared" si="15"/>
        <v>0</v>
      </c>
      <c r="U59" s="345">
        <f>[2]Electricity!$K$6</f>
        <v>8.765039029278613E-3</v>
      </c>
      <c r="V59" s="422"/>
      <c r="W59" s="423">
        <f t="shared" si="16"/>
        <v>0</v>
      </c>
      <c r="X59" s="422"/>
      <c r="Y59" s="348"/>
      <c r="Z59" s="269" t="s">
        <v>790</v>
      </c>
      <c r="AA59" s="435"/>
      <c r="AB59" s="436"/>
      <c r="AC59" s="368" t="e">
        <f>AC38*(1-AC50)</f>
        <v>#VALUE!</v>
      </c>
      <c r="AD59" s="368" t="e">
        <f t="shared" si="13"/>
        <v>#VALUE!</v>
      </c>
      <c r="AE59" s="432" t="e">
        <f t="shared" si="14"/>
        <v>#VALUE!</v>
      </c>
      <c r="AF59" s="436"/>
      <c r="AG59" s="368" t="e">
        <f>AG38*(1-AG50)</f>
        <v>#VALUE!</v>
      </c>
      <c r="AH59" s="436"/>
      <c r="AI59" s="368" t="e">
        <f>AI38*(1-AI50)</f>
        <v>#VALUE!</v>
      </c>
      <c r="AJ59" s="433" t="e">
        <f t="shared" si="11"/>
        <v>#VALUE!</v>
      </c>
      <c r="AK59" s="369"/>
      <c r="AL59" s="434"/>
      <c r="AM59" s="434"/>
      <c r="AN59" s="434"/>
      <c r="AO59" s="434">
        <f t="shared" si="12"/>
        <v>0</v>
      </c>
      <c r="AP59" s="362" t="e">
        <f>(#REF!+J75)/(#REF!+J75+Q59+R59)</f>
        <v>#REF!</v>
      </c>
    </row>
    <row r="60" spans="1:42" ht="15" hidden="1" customHeight="1">
      <c r="A60" s="269" t="s">
        <v>791</v>
      </c>
      <c r="B60" s="371"/>
      <c r="C60" s="638"/>
      <c r="D60" s="638"/>
      <c r="E60" s="660"/>
      <c r="F60" s="311"/>
      <c r="G60" s="422"/>
      <c r="H60" s="422"/>
      <c r="I60" s="422"/>
      <c r="K60" s="422"/>
      <c r="L60" s="422"/>
      <c r="M60" s="422"/>
      <c r="N60" s="422"/>
      <c r="O60" s="346"/>
      <c r="P60" s="423"/>
      <c r="Q60" s="224"/>
      <c r="R60" s="224"/>
      <c r="S60" s="224"/>
      <c r="T60" s="346">
        <f t="shared" si="15"/>
        <v>0</v>
      </c>
      <c r="U60" s="345">
        <f>[2]Electricity!$K$6</f>
        <v>8.765039029278613E-3</v>
      </c>
      <c r="V60" s="422"/>
      <c r="W60" s="423">
        <f t="shared" si="16"/>
        <v>0</v>
      </c>
      <c r="X60" s="422"/>
      <c r="Y60" s="348"/>
      <c r="Z60" s="269" t="s">
        <v>791</v>
      </c>
      <c r="AA60" s="435"/>
      <c r="AB60" s="436"/>
      <c r="AC60" s="368">
        <f>AC39*(1-AC51)</f>
        <v>0</v>
      </c>
      <c r="AD60" s="368">
        <f t="shared" si="13"/>
        <v>0</v>
      </c>
      <c r="AE60" s="432">
        <f t="shared" si="14"/>
        <v>0</v>
      </c>
      <c r="AF60" s="436"/>
      <c r="AG60" s="368">
        <f>AG39*(1-AG51)</f>
        <v>0</v>
      </c>
      <c r="AH60" s="436"/>
      <c r="AI60" s="368">
        <f>AI39*(1-AI51)</f>
        <v>0</v>
      </c>
      <c r="AJ60" s="433">
        <f t="shared" si="11"/>
        <v>0</v>
      </c>
      <c r="AK60" s="369"/>
      <c r="AL60" s="434"/>
      <c r="AM60" s="434"/>
      <c r="AN60" s="434"/>
      <c r="AO60" s="434">
        <f t="shared" si="12"/>
        <v>0</v>
      </c>
      <c r="AP60" s="362" t="e">
        <f>(#REF!+J76)/(#REF!+J76+Q60+R60)</f>
        <v>#REF!</v>
      </c>
    </row>
    <row r="61" spans="1:42" ht="15" hidden="1" customHeight="1">
      <c r="A61" s="269" t="s">
        <v>792</v>
      </c>
      <c r="B61" s="371"/>
      <c r="C61" s="638"/>
      <c r="D61" s="638"/>
      <c r="E61" s="660"/>
      <c r="F61" s="311"/>
      <c r="G61" s="422"/>
      <c r="H61" s="422"/>
      <c r="I61" s="422"/>
      <c r="K61" s="422"/>
      <c r="L61" s="422"/>
      <c r="M61" s="422"/>
      <c r="N61" s="422"/>
      <c r="O61" s="346"/>
      <c r="P61" s="423"/>
      <c r="Q61" s="224"/>
      <c r="R61" s="224"/>
      <c r="S61" s="224"/>
      <c r="T61" s="346">
        <f t="shared" si="15"/>
        <v>0</v>
      </c>
      <c r="U61" s="345">
        <f>[2]Electricity!$K$6</f>
        <v>8.765039029278613E-3</v>
      </c>
      <c r="V61" s="422"/>
      <c r="W61" s="423">
        <f t="shared" si="16"/>
        <v>0</v>
      </c>
      <c r="X61" s="422"/>
      <c r="Y61" s="348"/>
      <c r="Z61" s="269" t="s">
        <v>792</v>
      </c>
      <c r="AA61" s="435"/>
      <c r="AB61" s="436"/>
      <c r="AC61" s="368">
        <f>AC40*(1-AC52)</f>
        <v>0</v>
      </c>
      <c r="AD61" s="368">
        <f t="shared" si="13"/>
        <v>0</v>
      </c>
      <c r="AE61" s="432">
        <f t="shared" si="14"/>
        <v>0</v>
      </c>
      <c r="AF61" s="436"/>
      <c r="AG61" s="368">
        <f>AG40*(1-AG52)</f>
        <v>0</v>
      </c>
      <c r="AH61" s="436"/>
      <c r="AI61" s="368">
        <f>AI40*(1-AI52)</f>
        <v>0</v>
      </c>
      <c r="AJ61" s="433">
        <f t="shared" si="11"/>
        <v>0</v>
      </c>
      <c r="AK61" s="369"/>
      <c r="AL61" s="434"/>
      <c r="AM61" s="434"/>
      <c r="AN61" s="434"/>
      <c r="AO61" s="434">
        <f t="shared" si="12"/>
        <v>0</v>
      </c>
      <c r="AP61" s="362" t="e">
        <f>(#REF!+J77)/(#REF!+J77+Q61+R61)</f>
        <v>#REF!</v>
      </c>
    </row>
    <row r="62" spans="1:42">
      <c r="A62" s="236" t="s">
        <v>743</v>
      </c>
      <c r="B62" s="336"/>
      <c r="C62" s="337">
        <f>D62*E62*1000</f>
        <v>33300000</v>
      </c>
      <c r="D62" s="337">
        <f>D51</f>
        <v>9066.5</v>
      </c>
      <c r="E62" s="426">
        <f>C8</f>
        <v>3.6728616334859097</v>
      </c>
      <c r="F62" s="342">
        <f>$C$62*AA62*'[2]EF-1'!$R$5/1000000000000</f>
        <v>5299.3254755187072</v>
      </c>
      <c r="G62" s="343">
        <f>$C$62*AB62*'[2]EF-1'!$R$5/1000000000000</f>
        <v>0</v>
      </c>
      <c r="H62" s="343">
        <f>$C$62*AC62*'[2]EF-1'!$R$5/1000000000000</f>
        <v>3230.0548146642677</v>
      </c>
      <c r="I62" s="343"/>
      <c r="K62" s="343">
        <f>$C$62*AF62*'[2]EF-1'!$R$5/1000000000000</f>
        <v>0</v>
      </c>
      <c r="L62" s="343">
        <f>$C$62*AG62*'[2]EF-1'!$R$5/1000000000000</f>
        <v>838.41689032882812</v>
      </c>
      <c r="M62" s="343">
        <f>$C$62*AH62*'[2]EF-1'!$R$5/1000000000000</f>
        <v>0</v>
      </c>
      <c r="N62" s="343">
        <f>$C$62*AI62*'[2]EF-1'!$R$5/1000000000000</f>
        <v>2180.9513437662513</v>
      </c>
      <c r="O62" s="348">
        <f>SUM(F62:N62)</f>
        <v>11548.748524278055</v>
      </c>
      <c r="P62" s="342">
        <f>$C$62*AK62*'[2]EF-1'!$R$7/1000000000000</f>
        <v>5437.5873776832004</v>
      </c>
      <c r="Q62" s="224"/>
      <c r="R62" s="224"/>
      <c r="S62" s="343">
        <f>$C$62*AN62*'[2]EF-1'!$R$7/1000000000000</f>
        <v>1821.2278006587323</v>
      </c>
      <c r="T62" s="424">
        <f>SUM(P62:S62)*(1-'[2]Key parameters rpt'!O42)-('[2]Key parameters rpt'!O43/4)</f>
        <v>0</v>
      </c>
      <c r="U62" s="345">
        <f>[2]Electricity!$K$6</f>
        <v>8.765039029278613E-3</v>
      </c>
      <c r="V62" s="422">
        <f>O13</f>
        <v>65437.5</v>
      </c>
      <c r="W62" s="423">
        <f>O62*1000000000000*'[2]EF-1'!R6*U62/1000000</f>
        <v>28.11811987628359</v>
      </c>
      <c r="X62" s="422">
        <f>T62*V62/1000000</f>
        <v>0</v>
      </c>
      <c r="Y62" s="348">
        <f>W62+X62</f>
        <v>28.11811987628359</v>
      </c>
      <c r="Z62" s="236" t="s">
        <v>743</v>
      </c>
      <c r="AA62" s="437">
        <f>AA41*(1-D8%)</f>
        <v>44.205250880202762</v>
      </c>
      <c r="AB62" s="436"/>
      <c r="AC62" s="368">
        <f>AC41*(1-F8)</f>
        <v>26.944067523058621</v>
      </c>
      <c r="AD62" s="368">
        <f t="shared" si="13"/>
        <v>17.513643889988103</v>
      </c>
      <c r="AE62" s="432">
        <f t="shared" si="14"/>
        <v>21.555254018446899</v>
      </c>
      <c r="AF62" s="436"/>
      <c r="AG62" s="368">
        <f>AG41*(1-I8)</f>
        <v>6.9938012206275282</v>
      </c>
      <c r="AH62" s="436"/>
      <c r="AI62" s="368">
        <f>AI41*(1-K8)</f>
        <v>18.192787318704131</v>
      </c>
      <c r="AJ62" s="433">
        <f t="shared" si="11"/>
        <v>135.40480485102805</v>
      </c>
      <c r="AK62" s="369">
        <f>AK41*(1-M8)</f>
        <v>4.5883700191845209</v>
      </c>
      <c r="AL62" s="434"/>
      <c r="AM62" s="434"/>
      <c r="AN62" s="434">
        <f>AN41*(1-P8)</f>
        <v>1.5367968288554366</v>
      </c>
      <c r="AO62" s="434">
        <f t="shared" si="12"/>
        <v>6.1251668480399575</v>
      </c>
      <c r="AP62" s="438"/>
    </row>
    <row r="63" spans="1:42" ht="15" hidden="1" customHeight="1">
      <c r="A63" s="269" t="s">
        <v>793</v>
      </c>
      <c r="B63" s="336"/>
      <c r="C63" s="653"/>
      <c r="D63" s="337"/>
      <c r="E63" s="426"/>
      <c r="F63" s="311"/>
      <c r="G63" s="224"/>
      <c r="H63" s="224"/>
      <c r="I63" s="224"/>
      <c r="K63" s="224"/>
      <c r="L63" s="224"/>
      <c r="M63" s="224"/>
      <c r="N63" s="224"/>
      <c r="O63" s="375"/>
      <c r="P63" s="269"/>
      <c r="Q63" s="224"/>
      <c r="R63" s="224"/>
      <c r="S63" s="224"/>
      <c r="T63" s="375"/>
      <c r="U63" s="269"/>
      <c r="V63" s="224"/>
      <c r="W63" s="269"/>
      <c r="X63" s="224"/>
      <c r="Y63" s="375"/>
      <c r="Z63" s="269" t="s">
        <v>793</v>
      </c>
      <c r="AA63" s="435"/>
      <c r="AB63" s="436"/>
      <c r="AC63" s="436"/>
      <c r="AD63" s="436"/>
      <c r="AE63" s="439"/>
      <c r="AF63" s="436"/>
      <c r="AG63" s="436"/>
      <c r="AH63" s="436"/>
      <c r="AI63" s="436"/>
      <c r="AJ63" s="433">
        <f t="shared" si="11"/>
        <v>0</v>
      </c>
      <c r="AK63" s="369"/>
      <c r="AL63" s="434"/>
      <c r="AM63" s="434"/>
      <c r="AN63" s="434"/>
      <c r="AO63" s="370"/>
      <c r="AP63" s="438"/>
    </row>
    <row r="64" spans="1:42" ht="15" hidden="1" customHeight="1">
      <c r="A64" s="269" t="s">
        <v>794</v>
      </c>
      <c r="B64" s="336"/>
      <c r="C64" s="653"/>
      <c r="D64" s="337"/>
      <c r="E64" s="426"/>
      <c r="F64" s="311"/>
      <c r="G64" s="224"/>
      <c r="H64" s="224"/>
      <c r="I64" s="224"/>
      <c r="K64" s="224"/>
      <c r="L64" s="224"/>
      <c r="M64" s="224"/>
      <c r="N64" s="224"/>
      <c r="O64" s="375"/>
      <c r="P64" s="269"/>
      <c r="Q64" s="224"/>
      <c r="R64" s="224"/>
      <c r="S64" s="224"/>
      <c r="T64" s="375"/>
      <c r="U64" s="269"/>
      <c r="V64" s="224"/>
      <c r="W64" s="269"/>
      <c r="X64" s="224"/>
      <c r="Y64" s="375"/>
      <c r="Z64" s="269" t="s">
        <v>794</v>
      </c>
      <c r="AA64" s="435"/>
      <c r="AB64" s="436"/>
      <c r="AC64" s="436"/>
      <c r="AD64" s="436"/>
      <c r="AE64" s="439"/>
      <c r="AF64" s="436"/>
      <c r="AG64" s="436"/>
      <c r="AH64" s="436"/>
      <c r="AI64" s="436"/>
      <c r="AJ64" s="433">
        <f t="shared" si="11"/>
        <v>0</v>
      </c>
      <c r="AK64" s="369"/>
      <c r="AL64" s="434"/>
      <c r="AM64" s="434"/>
      <c r="AN64" s="434"/>
      <c r="AO64" s="370"/>
      <c r="AP64" s="438"/>
    </row>
    <row r="65" spans="1:42" ht="15" hidden="1" customHeight="1">
      <c r="A65" s="269" t="s">
        <v>795</v>
      </c>
      <c r="B65" s="336"/>
      <c r="C65" s="337"/>
      <c r="D65" s="337"/>
      <c r="E65" s="426"/>
      <c r="F65" s="311"/>
      <c r="G65" s="224"/>
      <c r="H65" s="224"/>
      <c r="I65" s="224"/>
      <c r="K65" s="224"/>
      <c r="L65" s="224"/>
      <c r="M65" s="224"/>
      <c r="N65" s="224"/>
      <c r="O65" s="375"/>
      <c r="P65" s="269"/>
      <c r="Q65" s="224"/>
      <c r="R65" s="224"/>
      <c r="S65" s="224"/>
      <c r="T65" s="375"/>
      <c r="U65" s="269"/>
      <c r="V65" s="224"/>
      <c r="W65" s="269"/>
      <c r="X65" s="224"/>
      <c r="Y65" s="375"/>
      <c r="Z65" s="269" t="s">
        <v>795</v>
      </c>
      <c r="AA65" s="435"/>
      <c r="AB65" s="436"/>
      <c r="AC65" s="436"/>
      <c r="AD65" s="436"/>
      <c r="AE65" s="439"/>
      <c r="AF65" s="436"/>
      <c r="AG65" s="436"/>
      <c r="AH65" s="436"/>
      <c r="AI65" s="436"/>
      <c r="AJ65" s="433">
        <f t="shared" si="11"/>
        <v>0</v>
      </c>
      <c r="AK65" s="369"/>
      <c r="AL65" s="434"/>
      <c r="AM65" s="434"/>
      <c r="AN65" s="434"/>
      <c r="AO65" s="370"/>
      <c r="AP65" s="438"/>
    </row>
    <row r="66" spans="1:42" s="253" customFormat="1">
      <c r="A66" s="381" t="s">
        <v>797</v>
      </c>
      <c r="B66" s="382">
        <f>(B51+B54+B62)</f>
        <v>4296753.4008807326</v>
      </c>
      <c r="C66" s="383">
        <f>(C51+C54+C62)</f>
        <v>19589122656.971432</v>
      </c>
      <c r="D66" s="383">
        <f>(D51)</f>
        <v>9066.5</v>
      </c>
      <c r="E66" s="385">
        <f>(E51+E54+E62)</f>
        <v>2160.604715929127</v>
      </c>
      <c r="F66" s="382">
        <f t="shared" ref="F66:S66" si="17">(F51+F54+F62)</f>
        <v>5299.3254755187072</v>
      </c>
      <c r="G66" s="383">
        <f t="shared" si="17"/>
        <v>5238.3201117448461</v>
      </c>
      <c r="H66" s="383">
        <f>(H51+H54+H62)</f>
        <v>56133.335614575124</v>
      </c>
      <c r="I66" s="383">
        <f t="shared" si="17"/>
        <v>832.42962294705706</v>
      </c>
      <c r="J66" s="383">
        <f t="shared" si="17"/>
        <v>1189.2606212087583</v>
      </c>
      <c r="K66" s="383">
        <f t="shared" si="17"/>
        <v>11416.659120354554</v>
      </c>
      <c r="L66" s="383">
        <f t="shared" si="17"/>
        <v>16530.849110780749</v>
      </c>
      <c r="M66" s="383">
        <f t="shared" si="17"/>
        <v>15549.220013185688</v>
      </c>
      <c r="N66" s="383">
        <f t="shared" si="17"/>
        <v>42023.768843699043</v>
      </c>
      <c r="O66" s="385">
        <f>(O51+O54+O62)</f>
        <v>154213.16853401452</v>
      </c>
      <c r="P66" s="382">
        <f t="shared" si="17"/>
        <v>5437.5873776832004</v>
      </c>
      <c r="Q66" s="383">
        <f t="shared" si="17"/>
        <v>12981.403110871346</v>
      </c>
      <c r="R66" s="383">
        <f t="shared" si="17"/>
        <v>11297.716060373128</v>
      </c>
      <c r="S66" s="383">
        <f t="shared" si="17"/>
        <v>4682.8098770173647</v>
      </c>
      <c r="T66" s="440">
        <f>(T51+T54+T62)</f>
        <v>0</v>
      </c>
      <c r="U66" s="382">
        <f>(O12+U54+U62)</f>
        <v>2.6295117087835839E-2</v>
      </c>
      <c r="V66" s="383">
        <f>(O13+V54+V62)</f>
        <v>196312.5</v>
      </c>
      <c r="W66" s="382">
        <f>(W51+W54+W62)</f>
        <v>375.46790028593261</v>
      </c>
      <c r="X66" s="383">
        <f>(X51+X54+X62)</f>
        <v>0</v>
      </c>
      <c r="Y66" s="385">
        <f>(Y51+Y54+Y62)</f>
        <v>375.46790028593261</v>
      </c>
      <c r="Z66" s="381" t="s">
        <v>797</v>
      </c>
      <c r="AA66" s="382"/>
      <c r="AB66" s="383"/>
      <c r="AC66" s="383"/>
      <c r="AD66" s="383"/>
      <c r="AE66" s="441"/>
      <c r="AF66" s="383"/>
      <c r="AG66" s="383"/>
      <c r="AH66" s="383"/>
      <c r="AI66" s="383"/>
      <c r="AJ66" s="385"/>
      <c r="AK66" s="387"/>
      <c r="AL66" s="388"/>
      <c r="AM66" s="388"/>
      <c r="AN66" s="388"/>
      <c r="AO66" s="388"/>
      <c r="AP66" s="390"/>
    </row>
    <row r="67" spans="1:42">
      <c r="F67" s="197"/>
      <c r="AI67" s="442"/>
      <c r="AJ67" s="442"/>
      <c r="AK67" s="442"/>
      <c r="AL67" s="442"/>
      <c r="AM67" s="442"/>
    </row>
    <row r="68" spans="1:42">
      <c r="B68" s="197"/>
      <c r="C68" s="197"/>
      <c r="F68" s="197"/>
      <c r="G68" s="417"/>
      <c r="M68" s="417"/>
      <c r="N68" s="443"/>
      <c r="S68" s="417"/>
    </row>
    <row r="69" spans="1:42">
      <c r="M69" s="443"/>
      <c r="N69" s="444"/>
      <c r="O69" s="417"/>
      <c r="P69" s="444"/>
      <c r="AA69" s="445"/>
    </row>
    <row r="70" spans="1:42">
      <c r="J70" s="417"/>
      <c r="K70" s="417"/>
      <c r="M70" s="417"/>
      <c r="N70" s="443"/>
      <c r="O70" s="417"/>
    </row>
    <row r="71" spans="1:42">
      <c r="O71" s="417"/>
    </row>
    <row r="85" spans="30:30">
      <c r="AD85" s="446"/>
    </row>
  </sheetData>
  <mergeCells count="21">
    <mergeCell ref="C63:C64"/>
    <mergeCell ref="C42:C43"/>
    <mergeCell ref="A48:A50"/>
    <mergeCell ref="B48:E48"/>
    <mergeCell ref="F48:O48"/>
    <mergeCell ref="C56:C61"/>
    <mergeCell ref="D56:D61"/>
    <mergeCell ref="E56:E61"/>
    <mergeCell ref="W3:X3"/>
    <mergeCell ref="Z24:AB24"/>
    <mergeCell ref="A27:A29"/>
    <mergeCell ref="B27:E27"/>
    <mergeCell ref="C35:C40"/>
    <mergeCell ref="D35:D40"/>
    <mergeCell ref="E35:E40"/>
    <mergeCell ref="A2:A3"/>
    <mergeCell ref="B2:B3"/>
    <mergeCell ref="C2:C3"/>
    <mergeCell ref="D2:L2"/>
    <mergeCell ref="M2:Q2"/>
    <mergeCell ref="R2:R3"/>
  </mergeCells>
  <phoneticPr fontId="3" type="noConversion"/>
  <hyperlinks>
    <hyperlink ref="Z21" r:id="rId1" xr:uid="{00000000-0004-0000-0D00-000000000000}"/>
  </hyperlinks>
  <pageMargins left="0.23622047244094491" right="0.23622047244094491" top="0.74803149606299213" bottom="0.74803149606299213" header="0.31496062992125984" footer="0.31496062992125984"/>
  <pageSetup paperSize="8" scale="69" orientation="landscape" r:id="rId2"/>
  <colBreaks count="1" manualBreakCount="1">
    <brk id="24" max="64" man="1"/>
  </colBreaks>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BO64"/>
  <sheetViews>
    <sheetView zoomScaleNormal="90" workbookViewId="0">
      <pane xSplit="1" ySplit="1" topLeftCell="B2" activePane="bottomRight" state="frozen"/>
      <selection pane="topRight" activeCell="B1" sqref="B1"/>
      <selection pane="bottomLeft" activeCell="A2" sqref="A2"/>
      <selection pane="bottomRight" activeCell="D15" sqref="D15"/>
    </sheetView>
  </sheetViews>
  <sheetFormatPr baseColWidth="10" defaultColWidth="8.796875" defaultRowHeight="14"/>
  <cols>
    <col min="3" max="3" width="15.3984375" customWidth="1"/>
    <col min="4" max="4" width="14.796875" customWidth="1"/>
    <col min="5" max="6" width="13.796875" customWidth="1"/>
    <col min="8" max="8" width="11.19921875" customWidth="1"/>
    <col min="10" max="10" width="8.796875" bestFit="1" customWidth="1"/>
    <col min="11" max="11" width="9.3984375" bestFit="1" customWidth="1"/>
    <col min="12" max="12" width="8.796875" bestFit="1" customWidth="1"/>
    <col min="13" max="13" width="2.796875" customWidth="1"/>
    <col min="25" max="25" width="11.796875" bestFit="1" customWidth="1"/>
    <col min="26" max="26" width="16.796875" customWidth="1"/>
    <col min="27" max="27" width="11.796875" bestFit="1" customWidth="1"/>
    <col min="28" max="28" width="17" customWidth="1"/>
    <col min="29" max="29" width="12.796875" bestFit="1" customWidth="1"/>
    <col min="30" max="30" width="13.796875" customWidth="1"/>
    <col min="31" max="31" width="15.796875" customWidth="1"/>
    <col min="34" max="34" width="15.3984375" customWidth="1"/>
    <col min="38" max="38" width="10.3984375" bestFit="1" customWidth="1"/>
    <col min="39" max="39" width="9.796875" bestFit="1" customWidth="1"/>
    <col min="40" max="40" width="21.3984375" customWidth="1"/>
    <col min="41" max="41" width="14.3984375" bestFit="1" customWidth="1"/>
    <col min="48" max="48" width="16.796875" customWidth="1"/>
    <col min="49" max="49" width="15.796875" bestFit="1" customWidth="1"/>
    <col min="50" max="50" width="13.796875" customWidth="1"/>
    <col min="51" max="51" width="17.19921875" customWidth="1"/>
    <col min="55" max="55" width="19.796875" bestFit="1" customWidth="1"/>
    <col min="56" max="56" width="19.3984375" customWidth="1"/>
    <col min="57" max="57" width="11.796875" customWidth="1"/>
    <col min="60" max="60" width="10.19921875" customWidth="1"/>
    <col min="61" max="61" width="14.19921875" customWidth="1"/>
    <col min="62" max="62" width="14.796875" customWidth="1"/>
    <col min="65" max="65" width="8.796875" customWidth="1"/>
    <col min="67" max="67" width="20.3984375" customWidth="1"/>
  </cols>
  <sheetData>
    <row r="1" spans="1:67" ht="30">
      <c r="A1" s="48" t="s">
        <v>699</v>
      </c>
      <c r="B1" s="541" t="s">
        <v>803</v>
      </c>
      <c r="C1" s="148" t="s">
        <v>804</v>
      </c>
      <c r="D1" s="148" t="s">
        <v>805</v>
      </c>
      <c r="E1" s="148" t="s">
        <v>806</v>
      </c>
      <c r="F1" s="148" t="s">
        <v>807</v>
      </c>
      <c r="G1" s="148" t="s">
        <v>808</v>
      </c>
      <c r="H1" s="148" t="s">
        <v>809</v>
      </c>
      <c r="I1" s="148" t="s">
        <v>810</v>
      </c>
      <c r="J1" s="48" t="s">
        <v>811</v>
      </c>
      <c r="K1" s="48" t="s">
        <v>812</v>
      </c>
      <c r="L1" s="48" t="s">
        <v>813</v>
      </c>
      <c r="N1" s="48" t="s">
        <v>814</v>
      </c>
      <c r="T1" s="48" t="s">
        <v>699</v>
      </c>
      <c r="U1" s="189" t="s">
        <v>815</v>
      </c>
      <c r="V1" s="190" t="s">
        <v>816</v>
      </c>
      <c r="W1" s="190" t="s">
        <v>817</v>
      </c>
      <c r="X1" s="190" t="s">
        <v>818</v>
      </c>
      <c r="Y1" s="190" t="s">
        <v>819</v>
      </c>
      <c r="Z1" s="190" t="s">
        <v>820</v>
      </c>
      <c r="AA1" s="190" t="s">
        <v>821</v>
      </c>
      <c r="AB1" s="190" t="s">
        <v>822</v>
      </c>
      <c r="AC1" s="190" t="s">
        <v>823</v>
      </c>
      <c r="AD1" s="190" t="s">
        <v>824</v>
      </c>
      <c r="AE1" s="191" t="s">
        <v>825</v>
      </c>
      <c r="AF1" s="192" t="s">
        <v>826</v>
      </c>
      <c r="AG1" s="192" t="s">
        <v>827</v>
      </c>
      <c r="AH1" s="192" t="s">
        <v>828</v>
      </c>
      <c r="AI1" s="192" t="s">
        <v>829</v>
      </c>
      <c r="AJ1" s="192" t="s">
        <v>830</v>
      </c>
      <c r="AL1" s="449" t="s">
        <v>831</v>
      </c>
      <c r="AM1" s="450" t="s">
        <v>832</v>
      </c>
      <c r="AN1" s="450" t="s">
        <v>828</v>
      </c>
      <c r="AO1" s="451" t="s">
        <v>829</v>
      </c>
    </row>
    <row r="2" spans="1:67" ht="43" customHeight="1">
      <c r="A2">
        <v>2005</v>
      </c>
      <c r="B2" s="447">
        <v>6.8132000000000001</v>
      </c>
      <c r="C2" s="447">
        <f>TREND($C$49:$C$50,$A$49:$A$50,$A2)</f>
        <v>3.8801467857142882</v>
      </c>
      <c r="D2" s="447">
        <f>TREND($D$49:$D$50,$A$49:$A$50,$A2)</f>
        <v>3.468619285714285</v>
      </c>
      <c r="G2" s="49">
        <v>196.28290661555027</v>
      </c>
      <c r="H2" s="49">
        <v>28.809209566070319</v>
      </c>
      <c r="I2" s="49">
        <v>2.1970999999999998</v>
      </c>
      <c r="J2" s="96">
        <v>3.1823114754098398</v>
      </c>
      <c r="K2" s="96">
        <v>95.573849999999993</v>
      </c>
      <c r="L2" s="96">
        <v>42.557142857142935</v>
      </c>
      <c r="N2" t="s">
        <v>803</v>
      </c>
      <c r="O2" t="s">
        <v>833</v>
      </c>
      <c r="T2">
        <v>2005</v>
      </c>
      <c r="U2" s="190"/>
      <c r="V2" s="190"/>
      <c r="W2" s="190"/>
      <c r="X2" s="190"/>
      <c r="Y2" s="190"/>
      <c r="Z2" s="448" t="s">
        <v>834</v>
      </c>
      <c r="AA2" s="190"/>
      <c r="AB2" s="448" t="s">
        <v>835</v>
      </c>
      <c r="AC2" s="190"/>
      <c r="AD2" s="190"/>
      <c r="AE2" s="191" t="s">
        <v>836</v>
      </c>
      <c r="AF2" s="192"/>
      <c r="AG2" s="192"/>
      <c r="AH2" s="192"/>
      <c r="AI2" s="192"/>
      <c r="AJ2" s="192"/>
      <c r="AL2" s="452"/>
      <c r="AM2" s="192"/>
      <c r="AN2" s="192"/>
      <c r="AO2" s="453"/>
    </row>
    <row r="3" spans="1:67">
      <c r="A3">
        <v>2006</v>
      </c>
      <c r="B3" s="447">
        <v>6.8571</v>
      </c>
      <c r="C3" s="447">
        <f>TREND($C$49:$C$50,$A$49:$A$50,$A3)</f>
        <v>3.8917528571428583</v>
      </c>
      <c r="D3" s="447">
        <f>TREND($D$49:$D$50,$A$49:$A$50,$A3)</f>
        <v>3.4715828571428573</v>
      </c>
      <c r="G3" s="49">
        <v>210.08695475935278</v>
      </c>
      <c r="H3" s="49">
        <v>30.637872389108043</v>
      </c>
      <c r="I3" s="49">
        <v>2.2208999999999999</v>
      </c>
      <c r="J3" s="96">
        <v>3.1695081967213135</v>
      </c>
      <c r="K3" s="96">
        <v>96.60915</v>
      </c>
      <c r="L3" s="96">
        <v>43.285714285714448</v>
      </c>
      <c r="N3" t="s">
        <v>808</v>
      </c>
      <c r="O3" t="s">
        <v>837</v>
      </c>
      <c r="T3">
        <v>2006</v>
      </c>
      <c r="V3" s="56">
        <v>53982</v>
      </c>
      <c r="W3" s="87">
        <f t="shared" ref="W3:W13" si="0">V3/I3/1000</f>
        <v>24.30636228555991</v>
      </c>
      <c r="X3" s="87">
        <f>V3/B3/1000</f>
        <v>7.872424202651267</v>
      </c>
      <c r="Y3" s="701">
        <f>'Private,Public8EndUse'!T6</f>
        <v>26211</v>
      </c>
      <c r="Z3" s="87">
        <f>Y3/C3</f>
        <v>6735.0114362716449</v>
      </c>
      <c r="AA3" s="701">
        <f>'Private,Public8EndUse'!AE6</f>
        <v>24967</v>
      </c>
      <c r="AB3" s="87">
        <f>AA3/D3</f>
        <v>7191.8202812385289</v>
      </c>
      <c r="AC3" s="700">
        <v>111884</v>
      </c>
      <c r="AD3" s="87">
        <f t="shared" ref="AD3:AD13" si="1">AC3/L3/1000</f>
        <v>2.5847788778877789</v>
      </c>
      <c r="AF3" s="92">
        <v>53982</v>
      </c>
      <c r="AG3" s="92">
        <v>111884</v>
      </c>
      <c r="AH3" s="92">
        <v>53982</v>
      </c>
      <c r="AI3" s="92">
        <v>111884</v>
      </c>
      <c r="AJ3" s="1">
        <f>(AI3-AG3)/AG3</f>
        <v>0</v>
      </c>
      <c r="AL3" s="454">
        <f>Y3</f>
        <v>26211</v>
      </c>
      <c r="AM3" s="107">
        <f>AA3</f>
        <v>24967</v>
      </c>
      <c r="AN3" s="50">
        <f>SUM(AL3:AM3)</f>
        <v>51178</v>
      </c>
      <c r="AO3" s="455">
        <f>AI3</f>
        <v>111884</v>
      </c>
      <c r="AU3" s="18" t="s">
        <v>852</v>
      </c>
      <c r="BA3" s="18" t="s">
        <v>853</v>
      </c>
      <c r="BG3" s="18" t="s">
        <v>854</v>
      </c>
      <c r="BM3" s="18" t="s">
        <v>855</v>
      </c>
    </row>
    <row r="4" spans="1:67">
      <c r="A4">
        <v>2007</v>
      </c>
      <c r="B4" s="447">
        <v>6.9163000000000006</v>
      </c>
      <c r="C4" s="447">
        <f>TREND($C$49:$C$50,$A$49:$A$50,$A4)</f>
        <v>3.9033589285714321</v>
      </c>
      <c r="D4" s="447">
        <f>TREND($D$49:$D$50,$A$49:$A$50,$A4)</f>
        <v>3.4745464285714287</v>
      </c>
      <c r="G4" s="49">
        <v>223.66872639495065</v>
      </c>
      <c r="H4" s="49">
        <v>32.339361565425243</v>
      </c>
      <c r="I4" s="49">
        <v>2.2499000000000002</v>
      </c>
      <c r="J4" s="96">
        <v>3.1567049180327906</v>
      </c>
      <c r="K4" s="96">
        <v>97.870650000000012</v>
      </c>
      <c r="L4" s="96">
        <v>44.014285714285734</v>
      </c>
      <c r="N4" t="s">
        <v>838</v>
      </c>
      <c r="O4" t="s">
        <v>839</v>
      </c>
      <c r="T4">
        <v>2007</v>
      </c>
      <c r="V4" s="56">
        <v>54717</v>
      </c>
      <c r="W4" s="87">
        <f t="shared" si="0"/>
        <v>24.3197475443353</v>
      </c>
      <c r="X4" s="87">
        <f t="shared" ref="X4:X13" si="2">V4/B4/1000</f>
        <v>7.9113109610629957</v>
      </c>
      <c r="Y4" s="701">
        <f>'Private,Public8EndUse'!T7</f>
        <v>26733</v>
      </c>
      <c r="Z4" s="87">
        <f t="shared" ref="Z4:Z18" si="3">Y4/C4</f>
        <v>6848.7168331670327</v>
      </c>
      <c r="AA4" s="701">
        <f>'Private,Public8EndUse'!AE7</f>
        <v>25185</v>
      </c>
      <c r="AB4" s="87">
        <f t="shared" ref="AB4:AB18" si="4">AA4/D4</f>
        <v>7248.4281093215659</v>
      </c>
      <c r="AC4" s="700">
        <v>113914</v>
      </c>
      <c r="AD4" s="87">
        <f t="shared" si="1"/>
        <v>2.5881142486205766</v>
      </c>
      <c r="AF4" s="92">
        <v>54717</v>
      </c>
      <c r="AG4" s="92">
        <v>113914</v>
      </c>
      <c r="AH4" s="92">
        <v>54717</v>
      </c>
      <c r="AI4" s="92">
        <v>113914</v>
      </c>
      <c r="AJ4" s="1">
        <f t="shared" ref="AJ4:AJ47" si="5">(AI4-AG4)/AG4</f>
        <v>0</v>
      </c>
      <c r="AL4" s="454">
        <f t="shared" ref="AL4:AL47" si="6">Y4</f>
        <v>26733</v>
      </c>
      <c r="AM4" s="107">
        <f t="shared" ref="AM4:AM47" si="7">AA4</f>
        <v>25185</v>
      </c>
      <c r="AN4" s="50">
        <f t="shared" ref="AN4:AN47" si="8">SUM(AL4:AM4)</f>
        <v>51918</v>
      </c>
      <c r="AO4" s="455">
        <f t="shared" ref="AO4:AO47" si="9">AI4</f>
        <v>113914</v>
      </c>
      <c r="AV4" s="528" t="s">
        <v>1041</v>
      </c>
      <c r="AW4" s="661" t="s">
        <v>856</v>
      </c>
      <c r="AX4" s="661" t="s">
        <v>857</v>
      </c>
      <c r="AY4" s="662" t="s">
        <v>858</v>
      </c>
      <c r="BO4" s="662" t="s">
        <v>858</v>
      </c>
    </row>
    <row r="5" spans="1:67">
      <c r="A5">
        <v>2008</v>
      </c>
      <c r="B5" s="447">
        <v>6.9577999999999998</v>
      </c>
      <c r="C5" s="447">
        <f>TREND($C$49:$C$50,$A$49:$A$50,$A5)</f>
        <v>3.9149650000000022</v>
      </c>
      <c r="D5" s="447">
        <f>TREND($D$49:$D$50,$A$49:$A$50,$A5)</f>
        <v>3.4775100000000001</v>
      </c>
      <c r="G5" s="49">
        <v>228.42826443840249</v>
      </c>
      <c r="H5" s="49">
        <v>32.830530403058795</v>
      </c>
      <c r="I5" s="49">
        <v>2.2791000000000001</v>
      </c>
      <c r="J5" s="96">
        <v>3.1439016393442643</v>
      </c>
      <c r="K5" s="96">
        <v>99.14085</v>
      </c>
      <c r="L5" s="96">
        <v>44.742857142857247</v>
      </c>
      <c r="N5" t="s">
        <v>810</v>
      </c>
      <c r="O5" t="s">
        <v>840</v>
      </c>
      <c r="T5">
        <v>2008</v>
      </c>
      <c r="V5" s="56">
        <v>55849</v>
      </c>
      <c r="W5" s="87">
        <f t="shared" si="0"/>
        <v>24.504848405072174</v>
      </c>
      <c r="X5" s="87">
        <f t="shared" si="2"/>
        <v>8.0268188220414505</v>
      </c>
      <c r="Y5" s="701">
        <f>'Private,Public8EndUse'!T8</f>
        <v>27701</v>
      </c>
      <c r="Z5" s="87">
        <f t="shared" si="3"/>
        <v>7075.6698974320288</v>
      </c>
      <c r="AA5" s="701">
        <f>'Private,Public8EndUse'!AE8</f>
        <v>25533</v>
      </c>
      <c r="AB5" s="87">
        <f>AA5/D5</f>
        <v>7342.322523874841</v>
      </c>
      <c r="AC5" s="700">
        <v>113753</v>
      </c>
      <c r="AD5" s="87">
        <f t="shared" si="1"/>
        <v>2.5423722860791766</v>
      </c>
      <c r="AF5" s="92">
        <v>55849</v>
      </c>
      <c r="AG5" s="92">
        <v>113753</v>
      </c>
      <c r="AH5" s="92">
        <v>55849</v>
      </c>
      <c r="AI5" s="92">
        <v>113753</v>
      </c>
      <c r="AJ5" s="1">
        <f t="shared" si="5"/>
        <v>0</v>
      </c>
      <c r="AL5" s="454">
        <f t="shared" si="6"/>
        <v>27701</v>
      </c>
      <c r="AM5" s="107">
        <f t="shared" si="7"/>
        <v>25533</v>
      </c>
      <c r="AN5" s="50">
        <f t="shared" si="8"/>
        <v>53234</v>
      </c>
      <c r="AO5" s="455">
        <f t="shared" si="9"/>
        <v>113753</v>
      </c>
      <c r="AU5" s="18" t="s">
        <v>859</v>
      </c>
      <c r="AV5" s="529" t="s">
        <v>860</v>
      </c>
      <c r="AW5" s="661"/>
      <c r="AX5" s="661"/>
      <c r="AY5" s="662"/>
      <c r="BC5" s="529" t="s">
        <v>861</v>
      </c>
      <c r="BD5" s="18" t="s">
        <v>862</v>
      </c>
      <c r="BE5" s="18" t="s">
        <v>863</v>
      </c>
      <c r="BI5" s="539" t="s">
        <v>862</v>
      </c>
      <c r="BJ5" s="539" t="s">
        <v>864</v>
      </c>
      <c r="BO5" s="662"/>
    </row>
    <row r="6" spans="1:67">
      <c r="A6">
        <v>2009</v>
      </c>
      <c r="B6" s="447">
        <v>6.9728000000000003</v>
      </c>
      <c r="C6" s="447">
        <f>TREND($C$49:$C$50,$A$49:$A$50,$A6)</f>
        <v>3.9265710714285724</v>
      </c>
      <c r="D6" s="447">
        <f>TREND($D$49:$D$50,$A$49:$A$50,$A6)</f>
        <v>3.4804735714285715</v>
      </c>
      <c r="G6" s="49">
        <v>222.81110013156828</v>
      </c>
      <c r="H6" s="49">
        <v>31.954322529194627</v>
      </c>
      <c r="I6" s="49">
        <v>2.2971999999999997</v>
      </c>
      <c r="J6" s="96">
        <v>3.1310983606557414</v>
      </c>
      <c r="K6" s="96">
        <v>99.92819999999999</v>
      </c>
      <c r="L6" s="96">
        <v>45.471428571428532</v>
      </c>
      <c r="N6" t="s">
        <v>841</v>
      </c>
      <c r="O6" t="s">
        <v>842</v>
      </c>
      <c r="T6">
        <v>2009</v>
      </c>
      <c r="V6" s="56">
        <v>57731</v>
      </c>
      <c r="W6" s="87">
        <f t="shared" si="0"/>
        <v>25.131029078878637</v>
      </c>
      <c r="X6" s="87">
        <f t="shared" si="2"/>
        <v>8.2794573198715007</v>
      </c>
      <c r="Y6" s="701">
        <f>'Private,Public8EndUse'!T9</f>
        <v>28544</v>
      </c>
      <c r="Z6" s="87">
        <f t="shared" si="3"/>
        <v>7269.4469247477718</v>
      </c>
      <c r="AA6" s="701">
        <f>'Private,Public8EndUse'!AE9</f>
        <v>26068</v>
      </c>
      <c r="AB6" s="87">
        <f t="shared" si="4"/>
        <v>7489.7853596688301</v>
      </c>
      <c r="AC6" s="700">
        <v>114297</v>
      </c>
      <c r="AD6" s="87">
        <f t="shared" si="1"/>
        <v>2.5136003770028297</v>
      </c>
      <c r="AF6" s="92">
        <v>57731</v>
      </c>
      <c r="AG6" s="92">
        <v>114297</v>
      </c>
      <c r="AH6" s="92">
        <v>57731</v>
      </c>
      <c r="AI6" s="92">
        <v>114297</v>
      </c>
      <c r="AJ6" s="1">
        <f t="shared" si="5"/>
        <v>0</v>
      </c>
      <c r="AL6" s="454">
        <f t="shared" si="6"/>
        <v>28544</v>
      </c>
      <c r="AM6" s="107">
        <f t="shared" si="7"/>
        <v>26068</v>
      </c>
      <c r="AN6" s="50">
        <f t="shared" si="8"/>
        <v>54612</v>
      </c>
      <c r="AO6" s="455">
        <f t="shared" si="9"/>
        <v>114297</v>
      </c>
      <c r="AU6">
        <v>2009</v>
      </c>
      <c r="AV6">
        <v>1659245</v>
      </c>
      <c r="AW6" s="530">
        <f t="shared" ref="AW6:AW17" si="10">(AV7-AV6)/AV6</f>
        <v>7.056643232313492E-2</v>
      </c>
      <c r="AX6">
        <v>237960</v>
      </c>
    </row>
    <row r="7" spans="1:67">
      <c r="A7">
        <v>2010</v>
      </c>
      <c r="B7" s="447">
        <v>7.0241999999999996</v>
      </c>
      <c r="C7" s="447">
        <f>TREND($C$49:$C$50,$A$49:$A$50,$A7)</f>
        <v>3.9381771428571462</v>
      </c>
      <c r="D7" s="447">
        <f>TREND($D$49:$D$50,$A$49:$A$50,$A7)</f>
        <v>3.4834371428571429</v>
      </c>
      <c r="G7" s="49">
        <v>237.89024818360531</v>
      </c>
      <c r="H7" s="49">
        <v>33.86723729159268</v>
      </c>
      <c r="I7" s="49">
        <v>2.3250999999999999</v>
      </c>
      <c r="J7" s="96">
        <v>3.1182950819672151</v>
      </c>
      <c r="K7" s="96">
        <v>101.14184999999999</v>
      </c>
      <c r="L7" s="96">
        <v>46.200000000000045</v>
      </c>
      <c r="N7" t="s">
        <v>811</v>
      </c>
      <c r="O7" t="s">
        <v>843</v>
      </c>
      <c r="T7">
        <v>2010</v>
      </c>
      <c r="V7" s="56">
        <v>58396</v>
      </c>
      <c r="W7" s="87">
        <f t="shared" si="0"/>
        <v>25.115478904133155</v>
      </c>
      <c r="X7" s="87">
        <f t="shared" si="2"/>
        <v>8.3135446029441074</v>
      </c>
      <c r="Y7" s="701">
        <f>'Private,Public8EndUse'!T10</f>
        <v>28730</v>
      </c>
      <c r="Z7" s="87">
        <f t="shared" si="3"/>
        <v>7295.2533514417773</v>
      </c>
      <c r="AA7" s="701">
        <f>'Private,Public8EndUse'!AE10</f>
        <v>16152</v>
      </c>
      <c r="AB7" s="87">
        <f t="shared" si="4"/>
        <v>4636.7996141741778</v>
      </c>
      <c r="AC7" s="700">
        <v>116391</v>
      </c>
      <c r="AD7" s="87">
        <f t="shared" si="1"/>
        <v>2.5192857142857119</v>
      </c>
      <c r="AF7" s="92">
        <v>58396</v>
      </c>
      <c r="AG7" s="92">
        <v>116391</v>
      </c>
      <c r="AH7" s="92">
        <v>58396</v>
      </c>
      <c r="AI7" s="92">
        <v>116391</v>
      </c>
      <c r="AJ7" s="1">
        <f t="shared" si="5"/>
        <v>0</v>
      </c>
      <c r="AL7" s="454">
        <f t="shared" si="6"/>
        <v>28730</v>
      </c>
      <c r="AM7" s="107">
        <f t="shared" si="7"/>
        <v>16152</v>
      </c>
      <c r="AN7" s="50">
        <f t="shared" si="8"/>
        <v>44882</v>
      </c>
      <c r="AO7" s="455">
        <f t="shared" si="9"/>
        <v>116391</v>
      </c>
      <c r="AR7" s="48" t="s">
        <v>844</v>
      </c>
      <c r="AU7">
        <v>2010</v>
      </c>
      <c r="AV7">
        <v>1776332</v>
      </c>
      <c r="AW7" s="530">
        <f t="shared" si="10"/>
        <v>8.9002506288238914E-2</v>
      </c>
      <c r="AX7">
        <v>252887</v>
      </c>
    </row>
    <row r="8" spans="1:67">
      <c r="A8">
        <v>2011</v>
      </c>
      <c r="B8" s="447">
        <v>7.0716000000000001</v>
      </c>
      <c r="C8" s="447">
        <f>TREND($C$49:$C$50,$A$49:$A$50,$A8)</f>
        <v>3.9497832142857163</v>
      </c>
      <c r="D8" s="447">
        <f>TREND($D$49:$D$50,$A$49:$A$50,$A8)</f>
        <v>3.4864007142857143</v>
      </c>
      <c r="G8" s="49">
        <v>249.34391970689373</v>
      </c>
      <c r="H8" s="49">
        <v>35.259901536695189</v>
      </c>
      <c r="I8" s="49">
        <v>2.3593000000000002</v>
      </c>
      <c r="J8" s="96">
        <v>3.1054918032786922</v>
      </c>
      <c r="K8" s="96">
        <v>102.62955000000001</v>
      </c>
      <c r="L8" s="96">
        <v>46.370000000000005</v>
      </c>
      <c r="N8" t="s">
        <v>812</v>
      </c>
      <c r="O8" t="s">
        <v>845</v>
      </c>
      <c r="T8">
        <v>2011</v>
      </c>
      <c r="V8" s="56">
        <v>58826</v>
      </c>
      <c r="W8" s="87">
        <f t="shared" si="0"/>
        <v>24.933666765566056</v>
      </c>
      <c r="X8" s="87">
        <f t="shared" si="2"/>
        <v>8.318626619152667</v>
      </c>
      <c r="Y8" s="701">
        <f>'Private,Public8EndUse'!T11</f>
        <v>29134</v>
      </c>
      <c r="Z8" s="87">
        <f t="shared" si="3"/>
        <v>7376.1010210958193</v>
      </c>
      <c r="AA8" s="701">
        <f>'Private,Public8EndUse'!AE11</f>
        <v>16424</v>
      </c>
      <c r="AB8" s="87">
        <f t="shared" si="4"/>
        <v>4710.8755837221397</v>
      </c>
      <c r="AC8" s="700">
        <f>Commerical_EndUSE!I3</f>
        <v>116012</v>
      </c>
      <c r="AD8" s="87">
        <f t="shared" si="1"/>
        <v>2.5018762130687944</v>
      </c>
      <c r="AF8" s="92">
        <v>58826</v>
      </c>
      <c r="AG8" s="92">
        <v>118558</v>
      </c>
      <c r="AH8" s="92">
        <v>58826</v>
      </c>
      <c r="AI8" s="92">
        <v>118558</v>
      </c>
      <c r="AJ8" s="1">
        <f t="shared" si="5"/>
        <v>0</v>
      </c>
      <c r="AL8" s="454">
        <f t="shared" si="6"/>
        <v>29134</v>
      </c>
      <c r="AM8" s="107">
        <f t="shared" si="7"/>
        <v>16424</v>
      </c>
      <c r="AN8" s="50">
        <f t="shared" si="8"/>
        <v>45558</v>
      </c>
      <c r="AO8" s="455">
        <f t="shared" si="9"/>
        <v>118558</v>
      </c>
      <c r="AU8">
        <v>2011</v>
      </c>
      <c r="AV8">
        <v>1934430</v>
      </c>
      <c r="AW8" s="530">
        <f t="shared" si="10"/>
        <v>5.305387116618332E-2</v>
      </c>
      <c r="AX8">
        <v>273549</v>
      </c>
    </row>
    <row r="9" spans="1:67">
      <c r="A9">
        <v>2012</v>
      </c>
      <c r="B9" s="447">
        <v>7.1501000000000001</v>
      </c>
      <c r="C9" s="447">
        <f>B9*B62</f>
        <v>3.7824029000000001</v>
      </c>
      <c r="D9" s="447">
        <f>B9*C62</f>
        <v>3.3319466000000002</v>
      </c>
      <c r="G9" s="49">
        <v>253.58353381643323</v>
      </c>
      <c r="H9" s="49">
        <v>35.465732481564345</v>
      </c>
      <c r="I9" s="49">
        <v>2.3861999999999997</v>
      </c>
      <c r="J9" s="96">
        <v>3.0926885245901659</v>
      </c>
      <c r="K9" s="96">
        <v>103.79969999999999</v>
      </c>
      <c r="L9" s="96">
        <v>46.539999999999964</v>
      </c>
      <c r="N9" t="s">
        <v>813</v>
      </c>
      <c r="O9" t="s">
        <v>846</v>
      </c>
      <c r="T9">
        <v>2012</v>
      </c>
      <c r="V9" s="56">
        <v>59932</v>
      </c>
      <c r="W9" s="87">
        <f t="shared" si="0"/>
        <v>25.116084150532231</v>
      </c>
      <c r="X9" s="87">
        <f t="shared" si="2"/>
        <v>8.3819806715989973</v>
      </c>
      <c r="Y9" s="701">
        <f>'Private,Public8EndUse'!T12</f>
        <v>29323</v>
      </c>
      <c r="Z9" s="87">
        <f t="shared" si="3"/>
        <v>7752.479250690084</v>
      </c>
      <c r="AA9" s="701">
        <f>'Private,Public8EndUse'!AE12</f>
        <v>16866</v>
      </c>
      <c r="AB9" s="87">
        <f t="shared" si="4"/>
        <v>5061.9058540734113</v>
      </c>
      <c r="AC9" s="700">
        <f>Commerical_EndUSE!I4</f>
        <v>118331</v>
      </c>
      <c r="AD9" s="87">
        <f t="shared" si="1"/>
        <v>2.5425655350236376</v>
      </c>
      <c r="AF9" s="92">
        <v>59932</v>
      </c>
      <c r="AG9" s="92">
        <v>120970</v>
      </c>
      <c r="AH9" s="92">
        <v>59932</v>
      </c>
      <c r="AI9" s="92">
        <v>120970</v>
      </c>
      <c r="AJ9" s="1">
        <f t="shared" si="5"/>
        <v>0</v>
      </c>
      <c r="AL9" s="454">
        <f>Y9</f>
        <v>29323</v>
      </c>
      <c r="AM9" s="107">
        <f t="shared" si="7"/>
        <v>16866</v>
      </c>
      <c r="AN9" s="50">
        <f t="shared" si="8"/>
        <v>46189</v>
      </c>
      <c r="AO9" s="455">
        <f t="shared" si="9"/>
        <v>120970</v>
      </c>
      <c r="AU9">
        <v>2012</v>
      </c>
      <c r="AV9">
        <v>2037059</v>
      </c>
      <c r="AW9" s="530">
        <f t="shared" si="10"/>
        <v>4.9702045939759229E-2</v>
      </c>
      <c r="AX9">
        <v>284899</v>
      </c>
    </row>
    <row r="10" spans="1:67">
      <c r="A10">
        <v>2013</v>
      </c>
      <c r="B10" s="447">
        <v>7.1788999999999996</v>
      </c>
      <c r="C10" s="447">
        <f>TREND($C$49:$C$52,$A$49:$A$52,$A10)</f>
        <v>3.9007607899048224</v>
      </c>
      <c r="D10" s="447">
        <f>TREND($D$49:$D$52,$A$49:$A$52,$A10)</f>
        <v>3.3501408216036914</v>
      </c>
      <c r="G10" s="49">
        <v>261.4483987932918</v>
      </c>
      <c r="H10" s="49">
        <v>36.419005529160707</v>
      </c>
      <c r="I10" s="49">
        <v>2.4073000000000002</v>
      </c>
      <c r="J10" s="96">
        <v>3.079885245901643</v>
      </c>
      <c r="K10" s="96">
        <v>104.71755</v>
      </c>
      <c r="L10" s="96">
        <v>46.70999999999998</v>
      </c>
      <c r="N10" t="s">
        <v>847</v>
      </c>
      <c r="O10" t="s">
        <v>848</v>
      </c>
      <c r="T10">
        <v>2013</v>
      </c>
      <c r="V10" s="56">
        <v>58394</v>
      </c>
      <c r="W10" s="87">
        <f t="shared" si="0"/>
        <v>24.257051468450129</v>
      </c>
      <c r="X10" s="87">
        <f t="shared" si="2"/>
        <v>8.134115254426165</v>
      </c>
      <c r="Y10" s="701">
        <f>'Private,Public8EndUse'!T13</f>
        <v>28490</v>
      </c>
      <c r="Z10" s="87">
        <f t="shared" si="3"/>
        <v>7303.7034400397442</v>
      </c>
      <c r="AA10" s="701">
        <f>'Private,Public8EndUse'!AE13</f>
        <v>16604</v>
      </c>
      <c r="AB10" s="87">
        <f t="shared" si="4"/>
        <v>4956.2095697373607</v>
      </c>
      <c r="AC10" s="700">
        <f>Commerical_EndUSE!I5</f>
        <v>118207</v>
      </c>
      <c r="AD10" s="87">
        <f t="shared" si="1"/>
        <v>2.5306572468422193</v>
      </c>
      <c r="AF10" s="92">
        <v>58394</v>
      </c>
      <c r="AG10" s="92">
        <v>121215</v>
      </c>
      <c r="AH10" s="92">
        <v>58394</v>
      </c>
      <c r="AI10" s="92">
        <v>121215</v>
      </c>
      <c r="AJ10" s="1">
        <f t="shared" si="5"/>
        <v>0</v>
      </c>
      <c r="AL10" s="454">
        <f t="shared" si="6"/>
        <v>28490</v>
      </c>
      <c r="AM10" s="107">
        <f t="shared" si="7"/>
        <v>16604</v>
      </c>
      <c r="AN10" s="50">
        <f t="shared" si="8"/>
        <v>45094</v>
      </c>
      <c r="AO10" s="455">
        <f t="shared" si="9"/>
        <v>121215</v>
      </c>
      <c r="AU10">
        <v>2013</v>
      </c>
      <c r="AV10">
        <v>2138305</v>
      </c>
      <c r="AW10" s="530">
        <f t="shared" si="10"/>
        <v>5.691423814656936E-2</v>
      </c>
      <c r="AX10">
        <v>297860</v>
      </c>
    </row>
    <row r="11" spans="1:67">
      <c r="A11">
        <v>2014</v>
      </c>
      <c r="B11" s="447">
        <v>7.2294999999999998</v>
      </c>
      <c r="C11" s="447">
        <f>TREND($C$49:$C$52,$A$49:$A$52,$A11)</f>
        <v>3.9149464621574879</v>
      </c>
      <c r="D11" s="447">
        <f t="shared" ref="D11:D13" si="11">TREND($D$49:$D$52,$A$49:$A$52,$A11)</f>
        <v>3.3574153769829813</v>
      </c>
      <c r="G11" s="49">
        <v>268.67069284922229</v>
      </c>
      <c r="H11" s="49">
        <v>37.163108492872574</v>
      </c>
      <c r="I11" s="49">
        <v>2.4323999999999999</v>
      </c>
      <c r="J11" s="96">
        <v>3.0670819672131167</v>
      </c>
      <c r="K11" s="96">
        <v>105.8094</v>
      </c>
      <c r="L11" s="96">
        <v>46.879999999999995</v>
      </c>
      <c r="N11" t="s">
        <v>849</v>
      </c>
      <c r="O11" t="s">
        <v>850</v>
      </c>
      <c r="T11">
        <v>2014</v>
      </c>
      <c r="V11" s="56">
        <v>61910</v>
      </c>
      <c r="W11" s="87">
        <f t="shared" si="0"/>
        <v>25.452228251932251</v>
      </c>
      <c r="X11" s="87">
        <f t="shared" si="2"/>
        <v>8.5635244484404183</v>
      </c>
      <c r="Y11" s="701">
        <f>'Private,Public8EndUse'!T14</f>
        <v>30548</v>
      </c>
      <c r="Z11" s="87">
        <f t="shared" si="3"/>
        <v>7802.9164115734302</v>
      </c>
      <c r="AA11" s="701">
        <f>'Private,Public8EndUse'!AE14</f>
        <v>17372</v>
      </c>
      <c r="AB11" s="87">
        <f t="shared" si="4"/>
        <v>5174.2182748953492</v>
      </c>
      <c r="AC11" s="700">
        <f>Commerical_EndUSE!I6</f>
        <v>119614</v>
      </c>
      <c r="AD11" s="87">
        <f t="shared" si="1"/>
        <v>2.5514931740614339</v>
      </c>
      <c r="AF11" s="92">
        <v>61910</v>
      </c>
      <c r="AG11" s="92">
        <v>122711</v>
      </c>
      <c r="AH11" s="92">
        <v>61910</v>
      </c>
      <c r="AI11" s="92">
        <v>122711</v>
      </c>
      <c r="AJ11" s="1">
        <f t="shared" si="5"/>
        <v>0</v>
      </c>
      <c r="AL11" s="454">
        <f t="shared" si="6"/>
        <v>30548</v>
      </c>
      <c r="AM11" s="107">
        <f t="shared" si="7"/>
        <v>17372</v>
      </c>
      <c r="AN11" s="50">
        <f t="shared" si="8"/>
        <v>47920</v>
      </c>
      <c r="AO11" s="455">
        <f t="shared" si="9"/>
        <v>122711</v>
      </c>
      <c r="AU11">
        <v>2014</v>
      </c>
      <c r="AV11">
        <v>2260005</v>
      </c>
      <c r="AW11" s="530">
        <f t="shared" si="10"/>
        <v>6.1183492956873989E-2</v>
      </c>
      <c r="AX11">
        <v>312609</v>
      </c>
    </row>
    <row r="12" spans="1:67">
      <c r="A12">
        <v>2015</v>
      </c>
      <c r="B12" s="447">
        <v>7.2913000000000006</v>
      </c>
      <c r="C12" s="447">
        <f t="shared" ref="C12:C13" si="12">TREND($C$49:$C$52,$A$49:$A$52,$A12)</f>
        <v>3.9291321344101569</v>
      </c>
      <c r="D12" s="447">
        <f t="shared" si="11"/>
        <v>3.364689932362273</v>
      </c>
      <c r="G12" s="49">
        <v>275.08613446344197</v>
      </c>
      <c r="H12" s="49">
        <v>37.727995619908931</v>
      </c>
      <c r="I12" s="49">
        <v>2.4710999999999999</v>
      </c>
      <c r="J12" s="96">
        <v>3.0542786885245938</v>
      </c>
      <c r="K12" s="96">
        <v>107.49284999999999</v>
      </c>
      <c r="L12" s="96">
        <v>47.050000000000011</v>
      </c>
      <c r="T12">
        <v>2015</v>
      </c>
      <c r="V12" s="56">
        <v>60214</v>
      </c>
      <c r="W12" s="87">
        <f t="shared" si="0"/>
        <v>24.36728582412691</v>
      </c>
      <c r="X12" s="87">
        <f t="shared" si="2"/>
        <v>8.2583352762881788</v>
      </c>
      <c r="Y12" s="701">
        <f>'Private,Public8EndUse'!T15</f>
        <v>29240</v>
      </c>
      <c r="Z12" s="87">
        <f t="shared" si="3"/>
        <v>7441.8469523905496</v>
      </c>
      <c r="AA12" s="701">
        <f>'Private,Public8EndUse'!AE15</f>
        <v>16971</v>
      </c>
      <c r="AB12" s="87">
        <f t="shared" si="4"/>
        <v>5043.8525811158606</v>
      </c>
      <c r="AC12" s="700">
        <f>Commerical_EndUSE!I7</f>
        <v>120414</v>
      </c>
      <c r="AD12" s="87">
        <f t="shared" si="1"/>
        <v>2.559277364505844</v>
      </c>
      <c r="AF12" s="92">
        <v>60214</v>
      </c>
      <c r="AG12" s="92">
        <v>123674</v>
      </c>
      <c r="AH12" s="92">
        <v>60214</v>
      </c>
      <c r="AI12" s="92">
        <v>123674</v>
      </c>
      <c r="AJ12" s="1">
        <f t="shared" si="5"/>
        <v>0</v>
      </c>
      <c r="AL12" s="454">
        <f t="shared" si="6"/>
        <v>29240</v>
      </c>
      <c r="AM12" s="107">
        <f t="shared" si="7"/>
        <v>16971</v>
      </c>
      <c r="AN12" s="50">
        <f t="shared" si="8"/>
        <v>46211</v>
      </c>
      <c r="AO12" s="455">
        <f t="shared" si="9"/>
        <v>123674</v>
      </c>
      <c r="AU12">
        <v>2015</v>
      </c>
      <c r="AV12">
        <v>2398280</v>
      </c>
      <c r="AW12" s="530">
        <f t="shared" si="10"/>
        <v>3.8493420284537248E-2</v>
      </c>
      <c r="AX12">
        <v>328924</v>
      </c>
    </row>
    <row r="13" spans="1:67">
      <c r="A13">
        <v>2016</v>
      </c>
      <c r="B13" s="447">
        <v>7.3366000000000007</v>
      </c>
      <c r="C13" s="447">
        <f t="shared" si="12"/>
        <v>3.9433178066628258</v>
      </c>
      <c r="D13" s="447">
        <f t="shared" si="11"/>
        <v>3.3719644877415629</v>
      </c>
      <c r="E13" s="447">
        <f>$B13*C13/($C13+$D13)</f>
        <v>3.9548091592435286</v>
      </c>
      <c r="F13" s="447">
        <f>$B13*D13/($C13+$D13)</f>
        <v>3.3817908407564721</v>
      </c>
      <c r="G13" s="49">
        <v>281.03603654829504</v>
      </c>
      <c r="H13" s="49">
        <v>38.306032296744412</v>
      </c>
      <c r="I13" s="526">
        <v>2.8</v>
      </c>
      <c r="J13" s="96">
        <v>3.0414754098360675</v>
      </c>
      <c r="K13" s="96">
        <v>108.70214999999999</v>
      </c>
      <c r="L13" s="96">
        <v>47.21999999999997</v>
      </c>
      <c r="T13">
        <v>2016</v>
      </c>
      <c r="V13" s="56">
        <v>61439</v>
      </c>
      <c r="W13" s="87">
        <f t="shared" si="0"/>
        <v>21.942499999999999</v>
      </c>
      <c r="X13" s="87">
        <f t="shared" si="2"/>
        <v>8.3743150778289657</v>
      </c>
      <c r="Y13" s="701">
        <f>'Private,Public8EndUse'!T16</f>
        <v>30488</v>
      </c>
      <c r="Z13" s="87">
        <f t="shared" si="3"/>
        <v>7731.5604510714202</v>
      </c>
      <c r="AA13" s="701">
        <f>'Private,Public8EndUse'!AE16</f>
        <v>17189</v>
      </c>
      <c r="AB13" s="87">
        <f t="shared" si="4"/>
        <v>5097.6218944442853</v>
      </c>
      <c r="AC13" s="700">
        <f>Commerical_EndUSE!I8</f>
        <v>120458</v>
      </c>
      <c r="AD13" s="87">
        <f t="shared" si="1"/>
        <v>2.5509953409572232</v>
      </c>
      <c r="AF13" s="92">
        <v>61439</v>
      </c>
      <c r="AG13" s="92">
        <v>123969</v>
      </c>
      <c r="AH13" s="92">
        <v>61439</v>
      </c>
      <c r="AI13" s="92">
        <v>123969</v>
      </c>
      <c r="AJ13" s="1">
        <f t="shared" si="5"/>
        <v>0</v>
      </c>
      <c r="AL13" s="454">
        <f t="shared" si="6"/>
        <v>30488</v>
      </c>
      <c r="AM13" s="107">
        <f t="shared" si="7"/>
        <v>17189</v>
      </c>
      <c r="AN13" s="50">
        <f t="shared" si="8"/>
        <v>47677</v>
      </c>
      <c r="AO13" s="455">
        <f t="shared" si="9"/>
        <v>123969</v>
      </c>
      <c r="AU13">
        <v>2016</v>
      </c>
      <c r="AV13">
        <v>2490598</v>
      </c>
      <c r="AW13" s="530">
        <f t="shared" si="10"/>
        <v>6.7860409427775978E-2</v>
      </c>
      <c r="AX13">
        <v>339476</v>
      </c>
    </row>
    <row r="14" spans="1:67">
      <c r="A14">
        <v>2017</v>
      </c>
      <c r="B14" s="447">
        <v>7.3917000000000002</v>
      </c>
      <c r="C14" s="447">
        <f>B14*B63</f>
        <v>4.0358682000000003</v>
      </c>
      <c r="D14" s="447">
        <f>B14*C63</f>
        <v>3.3040899000000001</v>
      </c>
      <c r="E14" s="447">
        <f t="shared" ref="E14:E46" si="13">$B14*C14/($C14+$D14)</f>
        <v>4.0643184290030216</v>
      </c>
      <c r="F14" s="447">
        <f t="shared" ref="F14:F47" si="14">$B14*D14/($C14+$D14)</f>
        <v>3.327381570996979</v>
      </c>
      <c r="G14" s="49">
        <v>291.69109227205433</v>
      </c>
      <c r="H14" s="49">
        <v>39.461976578061119</v>
      </c>
      <c r="I14" s="526">
        <v>2.8</v>
      </c>
      <c r="J14" s="96">
        <v>3.0286721311475446</v>
      </c>
      <c r="K14" s="96">
        <v>110.25945</v>
      </c>
      <c r="L14" s="96">
        <v>47.389999999999986</v>
      </c>
      <c r="T14">
        <v>2017</v>
      </c>
      <c r="V14" s="56"/>
      <c r="W14" s="87"/>
      <c r="X14" s="56"/>
      <c r="Y14" s="701">
        <f>'Private,Public8EndUse'!T17</f>
        <v>30225</v>
      </c>
      <c r="Z14" s="87">
        <f t="shared" si="3"/>
        <v>7489.0949114740661</v>
      </c>
      <c r="AA14" s="701">
        <f>'Private,Public8EndUse'!AE17</f>
        <v>16681</v>
      </c>
      <c r="AB14" s="87">
        <f t="shared" si="4"/>
        <v>5048.5914441976893</v>
      </c>
      <c r="AC14" s="700">
        <f>Commerical_EndUSE!I9</f>
        <v>120409</v>
      </c>
      <c r="AD14" s="87">
        <f>AD13</f>
        <v>2.5509953409572232</v>
      </c>
      <c r="AF14" s="92">
        <v>62377.589756447647</v>
      </c>
      <c r="AG14" s="92">
        <v>126310.48669229099</v>
      </c>
      <c r="AH14" s="92">
        <f t="shared" ref="AH14:AH47" si="15">I14*$W$16*1000</f>
        <v>68586.326500003895</v>
      </c>
      <c r="AI14" s="193">
        <f>L14*$AD$16*1000</f>
        <v>120891.66920796278</v>
      </c>
      <c r="AJ14" s="1">
        <f t="shared" si="5"/>
        <v>-4.2900772740502198E-2</v>
      </c>
      <c r="AL14" s="454">
        <f t="shared" si="6"/>
        <v>30225</v>
      </c>
      <c r="AM14" s="107">
        <f t="shared" si="7"/>
        <v>16681</v>
      </c>
      <c r="AN14" s="50">
        <f t="shared" si="8"/>
        <v>46906</v>
      </c>
      <c r="AO14" s="108">
        <f t="shared" si="9"/>
        <v>120891.66920796278</v>
      </c>
      <c r="AU14">
        <v>2017</v>
      </c>
      <c r="AV14">
        <v>2659611</v>
      </c>
      <c r="AW14" s="530">
        <f t="shared" si="10"/>
        <v>6.6106659958918804E-2</v>
      </c>
      <c r="AX14">
        <v>359737</v>
      </c>
    </row>
    <row r="15" spans="1:67">
      <c r="A15">
        <v>2018</v>
      </c>
      <c r="B15" s="447">
        <v>7.4509999999999996</v>
      </c>
      <c r="C15" s="447">
        <f>TREND($C$49:$C$52,$A$49:$A$52,$A15)</f>
        <v>3.9716891511681602</v>
      </c>
      <c r="D15" s="447">
        <f>TREND($D$49:$D$52,$A$49:$A$52,$A15)</f>
        <v>3.3865135985001444</v>
      </c>
      <c r="E15" s="447">
        <f t="shared" si="13"/>
        <v>4.0217777183005685</v>
      </c>
      <c r="F15" s="447">
        <f t="shared" si="14"/>
        <v>3.4292222816994316</v>
      </c>
      <c r="G15" s="49">
        <v>301.90028050157622</v>
      </c>
      <c r="H15" s="49">
        <v>40.518088914451248</v>
      </c>
      <c r="I15" s="526">
        <v>2.8</v>
      </c>
      <c r="J15" s="96">
        <v>3.0158688524590183</v>
      </c>
      <c r="K15" s="96">
        <v>110.89632222222214</v>
      </c>
      <c r="L15" s="96">
        <v>47.56</v>
      </c>
      <c r="T15">
        <v>2018</v>
      </c>
      <c r="V15" s="56"/>
      <c r="W15" s="87" t="s">
        <v>851</v>
      </c>
      <c r="X15" s="56"/>
      <c r="Y15" s="701">
        <f>'Private,Public8EndUse'!T18</f>
        <v>30220</v>
      </c>
      <c r="Z15" s="87">
        <f t="shared" si="3"/>
        <v>7608.8532737038695</v>
      </c>
      <c r="AA15" s="701">
        <f>'Private,Public8EndUse'!AE18</f>
        <v>16860</v>
      </c>
      <c r="AB15" s="87">
        <f t="shared" si="4"/>
        <v>4978.5714746478907</v>
      </c>
      <c r="AC15" s="700">
        <f>Commerical_EndUSE!I10</f>
        <v>122221</v>
      </c>
      <c r="AD15" s="87">
        <f t="shared" ref="AD15:AD47" si="16">AD14</f>
        <v>2.5509953409572232</v>
      </c>
      <c r="AF15" s="92">
        <v>62807.111646458419</v>
      </c>
      <c r="AG15" s="92">
        <v>127689.14928938542</v>
      </c>
      <c r="AH15" s="92">
        <f t="shared" si="15"/>
        <v>68586.326500003895</v>
      </c>
      <c r="AI15" s="193">
        <f t="shared" ref="AI15:AI47" si="17">L15*$AD$16*1000</f>
        <v>121325.33841592554</v>
      </c>
      <c r="AJ15" s="1">
        <f t="shared" si="5"/>
        <v>-4.9838305830023195E-2</v>
      </c>
      <c r="AL15" s="454">
        <f t="shared" si="6"/>
        <v>30220</v>
      </c>
      <c r="AM15" s="107">
        <f t="shared" si="7"/>
        <v>16860</v>
      </c>
      <c r="AN15" s="50">
        <f t="shared" si="8"/>
        <v>47080</v>
      </c>
      <c r="AO15" s="108">
        <f t="shared" si="9"/>
        <v>121325.33841592554</v>
      </c>
      <c r="AU15">
        <v>2018</v>
      </c>
      <c r="AV15">
        <v>2835429</v>
      </c>
      <c r="AW15" s="530">
        <f t="shared" si="10"/>
        <v>3.3832622858833705E-3</v>
      </c>
      <c r="AX15">
        <v>380462</v>
      </c>
    </row>
    <row r="16" spans="1:67" ht="15" customHeight="1">
      <c r="A16">
        <v>2019</v>
      </c>
      <c r="B16" s="447">
        <v>7.5026000000000002</v>
      </c>
      <c r="C16" s="447">
        <f t="shared" ref="C16:C18" si="18">TREND($C$49:$C$52,$A$49:$A$52,$A16)</f>
        <v>3.9858748234208292</v>
      </c>
      <c r="D16" s="447">
        <f t="shared" ref="D16:D18" si="19">TREND($D$49:$D$52,$A$49:$A$52,$A16)</f>
        <v>3.3937881538794343</v>
      </c>
      <c r="E16" s="447">
        <f t="shared" si="13"/>
        <v>4.0522750892801866</v>
      </c>
      <c r="F16" s="447">
        <f t="shared" si="14"/>
        <v>3.4503249107198135</v>
      </c>
      <c r="G16" s="49">
        <v>310.65538863612193</v>
      </c>
      <c r="H16" s="49">
        <v>41.406364278533033</v>
      </c>
      <c r="I16" s="526">
        <v>2.8</v>
      </c>
      <c r="J16" s="96">
        <v>3.0030655737704954</v>
      </c>
      <c r="K16" s="96">
        <v>111.5331944444444</v>
      </c>
      <c r="L16" s="96">
        <v>47.729999999999961</v>
      </c>
      <c r="T16">
        <v>2019</v>
      </c>
      <c r="V16" s="56"/>
      <c r="W16" s="87">
        <f>AVERAGE(W3:W13)</f>
        <v>24.495116607144247</v>
      </c>
      <c r="X16" s="56"/>
      <c r="Y16" s="701">
        <f>'Private,Public8EndUse'!T19</f>
        <v>30115</v>
      </c>
      <c r="Z16" s="87">
        <f t="shared" si="3"/>
        <v>7555.4304472999384</v>
      </c>
      <c r="AA16" s="701">
        <f>'Private,Public8EndUse'!AE19</f>
        <v>16702</v>
      </c>
      <c r="AB16" s="87">
        <f t="shared" si="4"/>
        <v>4921.3443039772437</v>
      </c>
      <c r="AC16" s="700">
        <f>Commerical_EndUSE!I11</f>
        <v>123003</v>
      </c>
      <c r="AD16" s="87">
        <f t="shared" si="16"/>
        <v>2.5509953409572232</v>
      </c>
      <c r="AF16" s="92">
        <v>63353.1262185222</v>
      </c>
      <c r="AG16" s="92">
        <v>129082.92646772019</v>
      </c>
      <c r="AH16" s="92">
        <f t="shared" si="15"/>
        <v>68586.326500003895</v>
      </c>
      <c r="AI16" s="193">
        <f t="shared" si="17"/>
        <v>121759.00762388816</v>
      </c>
      <c r="AJ16" s="1">
        <f t="shared" si="5"/>
        <v>-5.6738091118994902E-2</v>
      </c>
      <c r="AL16" s="454">
        <f t="shared" si="6"/>
        <v>30115</v>
      </c>
      <c r="AM16" s="107">
        <f t="shared" si="7"/>
        <v>16702</v>
      </c>
      <c r="AN16" s="50">
        <f t="shared" si="8"/>
        <v>46817</v>
      </c>
      <c r="AO16" s="108">
        <f t="shared" si="9"/>
        <v>121759.00762388816</v>
      </c>
      <c r="AU16">
        <v>2019</v>
      </c>
      <c r="AV16">
        <v>2845022</v>
      </c>
      <c r="AW16" s="530">
        <f t="shared" si="10"/>
        <v>-5.9482492578264774E-2</v>
      </c>
      <c r="AX16">
        <v>378937</v>
      </c>
    </row>
    <row r="17" spans="1:67">
      <c r="A17">
        <v>2020</v>
      </c>
      <c r="B17" s="447">
        <v>7.5581000000000005</v>
      </c>
      <c r="C17" s="447">
        <f t="shared" si="18"/>
        <v>4.0000604956734982</v>
      </c>
      <c r="D17" s="447">
        <f t="shared" si="19"/>
        <v>3.4010627092587242</v>
      </c>
      <c r="E17" s="447">
        <f t="shared" si="13"/>
        <v>4.0849012231281634</v>
      </c>
      <c r="F17" s="447">
        <f t="shared" si="14"/>
        <v>3.4731987768718371</v>
      </c>
      <c r="G17" s="49">
        <v>319.97505029520562</v>
      </c>
      <c r="H17" s="49">
        <v>42.335381947209697</v>
      </c>
      <c r="I17" s="526">
        <v>2.7</v>
      </c>
      <c r="J17" s="96">
        <v>2.9902622950819691</v>
      </c>
      <c r="K17" s="96">
        <v>112.17006666666666</v>
      </c>
      <c r="L17" s="96">
        <v>47.899999999999977</v>
      </c>
      <c r="T17">
        <v>2020</v>
      </c>
      <c r="V17" s="56"/>
      <c r="W17" s="56"/>
      <c r="X17" s="56"/>
      <c r="Y17" s="701">
        <f>'Private,Public8EndUse'!T20</f>
        <v>32855</v>
      </c>
      <c r="Z17" s="87">
        <f t="shared" si="3"/>
        <v>8213.6257777941773</v>
      </c>
      <c r="AA17" s="701">
        <f>'Private,Public8EndUse'!AE20</f>
        <v>18118</v>
      </c>
      <c r="AB17" s="87">
        <f t="shared" si="4"/>
        <v>5327.1584645226649</v>
      </c>
      <c r="AC17" s="700">
        <f>Commerical_EndUSE!I12</f>
        <v>114515</v>
      </c>
      <c r="AD17" s="87">
        <f t="shared" si="16"/>
        <v>2.5509953409572232</v>
      </c>
      <c r="AF17" s="92">
        <v>63846.350857307261</v>
      </c>
      <c r="AG17" s="92">
        <v>130491.81822729623</v>
      </c>
      <c r="AH17" s="92">
        <f t="shared" si="15"/>
        <v>66136.814839289465</v>
      </c>
      <c r="AI17" s="193">
        <f t="shared" si="17"/>
        <v>122192.67683185093</v>
      </c>
      <c r="AJ17" s="1">
        <f t="shared" si="5"/>
        <v>-6.3598940594034051E-2</v>
      </c>
      <c r="AL17" s="454">
        <f t="shared" si="6"/>
        <v>32855</v>
      </c>
      <c r="AM17" s="107">
        <f t="shared" si="7"/>
        <v>18118</v>
      </c>
      <c r="AN17" s="50">
        <f t="shared" si="8"/>
        <v>50973</v>
      </c>
      <c r="AO17" s="108">
        <f t="shared" si="9"/>
        <v>122192.67683185093</v>
      </c>
      <c r="AU17">
        <v>2020</v>
      </c>
      <c r="AV17">
        <v>2675793</v>
      </c>
      <c r="AW17" s="530">
        <f t="shared" si="10"/>
        <v>7.1821699212158793E-2</v>
      </c>
      <c r="AX17">
        <v>357679</v>
      </c>
    </row>
    <row r="18" spans="1:67">
      <c r="A18">
        <v>2021</v>
      </c>
      <c r="B18" s="447">
        <f>BO18</f>
        <v>7.5801999999999996</v>
      </c>
      <c r="C18" s="447">
        <f t="shared" si="18"/>
        <v>4.0142461679261636</v>
      </c>
      <c r="D18" s="447">
        <f t="shared" si="19"/>
        <v>3.4083372646380141</v>
      </c>
      <c r="E18" s="447">
        <f t="shared" si="13"/>
        <v>4.0994876081308105</v>
      </c>
      <c r="F18" s="447">
        <f t="shared" si="14"/>
        <v>3.4807123918691891</v>
      </c>
      <c r="G18" s="49">
        <f t="shared" ref="G18:G47" si="20">BE18</f>
        <v>367.68884615384621</v>
      </c>
      <c r="H18" s="49">
        <f t="shared" ref="H18:H47" si="21">BJ18</f>
        <v>49.599871794871795</v>
      </c>
      <c r="I18" s="526">
        <v>2.7</v>
      </c>
      <c r="J18" s="96">
        <v>2.9774590163934462</v>
      </c>
      <c r="K18" s="96">
        <v>112.80693888888892</v>
      </c>
      <c r="L18" s="96">
        <v>48.269999999999982</v>
      </c>
      <c r="T18">
        <v>2021</v>
      </c>
      <c r="V18" s="56"/>
      <c r="W18" s="56"/>
      <c r="X18" s="56"/>
      <c r="Y18" s="701">
        <f>'Private,Public8EndUse'!T21</f>
        <v>32236</v>
      </c>
      <c r="Z18" s="87">
        <f t="shared" si="3"/>
        <v>8030.3993954246544</v>
      </c>
      <c r="AA18" s="701">
        <f>'Private,Public8EndUse'!AE21</f>
        <v>18300</v>
      </c>
      <c r="AB18" s="87">
        <f t="shared" si="4"/>
        <v>5369.1869610044505</v>
      </c>
      <c r="AC18" s="700">
        <f>Commerical_EndUSE!I13</f>
        <v>120084</v>
      </c>
      <c r="AD18" s="87">
        <f t="shared" si="16"/>
        <v>2.5509953409572232</v>
      </c>
      <c r="AF18" s="92">
        <v>64283.849508860963</v>
      </c>
      <c r="AG18" s="92">
        <v>132413.99363611278</v>
      </c>
      <c r="AH18" s="92">
        <f t="shared" si="15"/>
        <v>66136.814839289465</v>
      </c>
      <c r="AI18" s="193">
        <f t="shared" si="17"/>
        <v>123136.54510800513</v>
      </c>
      <c r="AJ18" s="1">
        <f t="shared" si="5"/>
        <v>-7.0063958297361131E-2</v>
      </c>
      <c r="AL18" s="454">
        <f t="shared" si="6"/>
        <v>32236</v>
      </c>
      <c r="AM18" s="107">
        <f t="shared" si="7"/>
        <v>18300</v>
      </c>
      <c r="AN18" s="50">
        <f t="shared" si="8"/>
        <v>50536</v>
      </c>
      <c r="AO18" s="108">
        <f t="shared" si="9"/>
        <v>123136.54510800513</v>
      </c>
      <c r="AU18">
        <v>2021</v>
      </c>
      <c r="AV18" s="527">
        <v>2867973</v>
      </c>
      <c r="AW18" s="530">
        <f>(AV19-AV18)/AV18</f>
        <v>-2.0569231300294668E-2</v>
      </c>
      <c r="AX18" s="532">
        <v>386879</v>
      </c>
      <c r="AY18" s="527">
        <v>7580200</v>
      </c>
      <c r="BC18" s="535">
        <f>AV18*1000000</f>
        <v>2867973000000</v>
      </c>
      <c r="BD18" s="536">
        <f t="shared" ref="BD18:BD48" si="22">BC18/7.8</f>
        <v>367688846153.84619</v>
      </c>
      <c r="BE18" s="538">
        <f t="shared" ref="BE18:BE48" si="23">BD18/1000000000</f>
        <v>367.68884615384621</v>
      </c>
      <c r="BI18" s="540">
        <f>AX18/7.8</f>
        <v>49599.871794871797</v>
      </c>
      <c r="BJ18" s="538">
        <f t="shared" ref="BJ18:BJ48" si="24">BI18/1000</f>
        <v>49.599871794871795</v>
      </c>
      <c r="BO18" s="679">
        <f>AY18/1000000</f>
        <v>7.5801999999999996</v>
      </c>
    </row>
    <row r="19" spans="1:67">
      <c r="A19">
        <v>2022</v>
      </c>
      <c r="B19" s="447">
        <f t="shared" ref="B19:B47" si="25">BO19</f>
        <v>7.65</v>
      </c>
      <c r="C19" s="447">
        <f>B19*B64</f>
        <v>4.0774500000000007</v>
      </c>
      <c r="D19" s="447">
        <f>B19*C64</f>
        <v>3.5190000000000001</v>
      </c>
      <c r="E19" s="447">
        <f t="shared" si="13"/>
        <v>4.1061933534743211</v>
      </c>
      <c r="F19" s="447">
        <f t="shared" si="14"/>
        <v>3.5438066465256797</v>
      </c>
      <c r="G19" s="49">
        <f t="shared" si="20"/>
        <v>360.12576923076921</v>
      </c>
      <c r="H19" s="49">
        <f t="shared" si="21"/>
        <v>49.02269230769231</v>
      </c>
      <c r="I19" s="526">
        <v>2.7</v>
      </c>
      <c r="J19" s="96">
        <v>2.9646557377049199</v>
      </c>
      <c r="K19" s="96">
        <v>113.44381111111103</v>
      </c>
      <c r="L19" s="96">
        <v>48.639999999999986</v>
      </c>
      <c r="T19">
        <v>2022</v>
      </c>
      <c r="V19" s="56"/>
      <c r="W19" s="56"/>
      <c r="X19" s="194"/>
      <c r="Y19" s="700">
        <f t="shared" ref="Y19:Y47" si="26">Z19*E19</f>
        <v>33150.259375137699</v>
      </c>
      <c r="Z19" s="87" cm="1">
        <f t="array" ref="Z19">TREND(Z3:Z18,T3:T18,T19)</f>
        <v>8073.2338985178794</v>
      </c>
      <c r="AA19" s="700">
        <f>AB19*F19</f>
        <v>18520.986171652046</v>
      </c>
      <c r="AB19" s="87" cm="1">
        <f t="array" ref="AB19">TREND(AB9:AB18,T9:T18,T19)</f>
        <v>5226.2970356494698</v>
      </c>
      <c r="AC19" s="700" cm="1">
        <f t="array" ref="AC19">TREND(AC8:AC18,T8:T18,T19)</f>
        <v>120734.89090909093</v>
      </c>
      <c r="AD19" s="87">
        <f t="shared" si="16"/>
        <v>2.5509953409572232</v>
      </c>
      <c r="AF19" s="92">
        <v>64690.115069186955</v>
      </c>
      <c r="AG19" s="92">
        <v>134424.15144217026</v>
      </c>
      <c r="AH19" s="92">
        <f t="shared" si="15"/>
        <v>66136.814839289465</v>
      </c>
      <c r="AI19" s="193">
        <f t="shared" si="17"/>
        <v>124080.4133841593</v>
      </c>
      <c r="AJ19" s="1">
        <f t="shared" si="5"/>
        <v>-7.6948509230209822E-2</v>
      </c>
      <c r="AL19" s="454">
        <f>Y19</f>
        <v>33150.259375137699</v>
      </c>
      <c r="AM19" s="107">
        <f t="shared" si="7"/>
        <v>18520.986171652046</v>
      </c>
      <c r="AN19" s="50">
        <f>SUM(AL19:AM19)</f>
        <v>51671.245546789745</v>
      </c>
      <c r="AO19" s="108">
        <f t="shared" si="9"/>
        <v>124080.4133841593</v>
      </c>
      <c r="AU19">
        <v>2022</v>
      </c>
      <c r="AV19" s="527">
        <v>2808981</v>
      </c>
      <c r="AW19" s="530">
        <f t="shared" ref="AW19" si="27">(AV20-AV19)/AV19</f>
        <v>6.1452889855787562E-2</v>
      </c>
      <c r="AX19" s="532">
        <v>382377</v>
      </c>
      <c r="AY19" s="527">
        <v>7650000</v>
      </c>
      <c r="BC19" s="535">
        <f t="shared" ref="BC19:BC48" si="28">AV19*1000000</f>
        <v>2808981000000</v>
      </c>
      <c r="BD19" s="537">
        <f t="shared" si="22"/>
        <v>360125769230.76923</v>
      </c>
      <c r="BE19" s="538">
        <f t="shared" si="23"/>
        <v>360.12576923076921</v>
      </c>
      <c r="BI19" s="538">
        <f t="shared" ref="BI19:BI48" si="29">AX19/7.8</f>
        <v>49022.692307692312</v>
      </c>
      <c r="BJ19" s="538">
        <f t="shared" si="24"/>
        <v>49.02269230769231</v>
      </c>
      <c r="BO19" s="538">
        <f t="shared" ref="BO19:BO48" si="30">AY19/1000000</f>
        <v>7.65</v>
      </c>
    </row>
    <row r="20" spans="1:67">
      <c r="A20">
        <v>2023</v>
      </c>
      <c r="B20" s="447">
        <f t="shared" si="25"/>
        <v>7.6976000000000004</v>
      </c>
      <c r="C20" s="447">
        <f>TREND($C$49:$C$52,$A$49:$A$52,$A20)</f>
        <v>4.0426175124315016</v>
      </c>
      <c r="D20" s="447">
        <f>TREND($D$49:$D$52,$A$49:$A$52,$A20)</f>
        <v>3.4228863753965957</v>
      </c>
      <c r="E20" s="447">
        <f t="shared" si="13"/>
        <v>4.1682990232486326</v>
      </c>
      <c r="F20" s="447">
        <f t="shared" si="14"/>
        <v>3.5293009767513679</v>
      </c>
      <c r="G20" s="49">
        <f t="shared" si="20"/>
        <v>382.25653846153847</v>
      </c>
      <c r="H20" s="49">
        <f t="shared" si="21"/>
        <v>50.723333333333336</v>
      </c>
      <c r="I20" s="526">
        <v>2.7</v>
      </c>
      <c r="J20" s="96">
        <v>2.951852459016397</v>
      </c>
      <c r="K20" s="96">
        <v>114.0806833333333</v>
      </c>
      <c r="L20" s="96">
        <v>49.009999999999991</v>
      </c>
      <c r="T20">
        <v>2023</v>
      </c>
      <c r="V20" s="56"/>
      <c r="W20" s="56"/>
      <c r="X20" s="194"/>
      <c r="Y20" s="700">
        <f t="shared" si="26"/>
        <v>33819.666460106368</v>
      </c>
      <c r="Z20" s="87" cm="1">
        <f t="array" ref="Z20">TREND(Z4:Z19,T4:T19,T20)</f>
        <v>8113.541344197627</v>
      </c>
      <c r="AA20" s="700">
        <f>AB20*F20</f>
        <v>18592.639970146829</v>
      </c>
      <c r="AB20" s="87" cm="1">
        <f t="array" ref="AB20">TREND(AB10:AB19,T10:T19,T20)</f>
        <v>5268.0800228210865</v>
      </c>
      <c r="AC20" s="700" cm="1">
        <f t="array" ref="AC20">TREND(AC9:AC19,T9:T19,T20)</f>
        <v>120426.70578512397</v>
      </c>
      <c r="AD20" s="87">
        <f t="shared" si="16"/>
        <v>2.5509953409572232</v>
      </c>
      <c r="AF20" s="92">
        <v>65064.348153172497</v>
      </c>
      <c r="AG20" s="92">
        <v>136522.29164546856</v>
      </c>
      <c r="AH20" s="92">
        <f t="shared" si="15"/>
        <v>66136.814839289465</v>
      </c>
      <c r="AI20" s="193">
        <f t="shared" si="17"/>
        <v>125024.28166031349</v>
      </c>
      <c r="AJ20" s="1">
        <f t="shared" si="5"/>
        <v>-8.4220751399441643E-2</v>
      </c>
      <c r="AL20" s="454">
        <f t="shared" si="6"/>
        <v>33819.666460106368</v>
      </c>
      <c r="AM20" s="107">
        <f t="shared" si="7"/>
        <v>18592.639970146829</v>
      </c>
      <c r="AN20" s="50">
        <f t="shared" si="8"/>
        <v>52412.3064302532</v>
      </c>
      <c r="AO20" s="108">
        <f t="shared" si="9"/>
        <v>125024.28166031349</v>
      </c>
      <c r="AU20" t="s">
        <v>1044</v>
      </c>
      <c r="AV20" s="527">
        <v>2981601</v>
      </c>
      <c r="AW20" s="530">
        <v>2.7E-2</v>
      </c>
      <c r="AX20" s="532">
        <v>395642</v>
      </c>
      <c r="AY20" s="527">
        <v>7697600</v>
      </c>
      <c r="BC20" s="535">
        <f t="shared" si="28"/>
        <v>2981601000000</v>
      </c>
      <c r="BD20" s="537">
        <f t="shared" si="22"/>
        <v>382256538461.53845</v>
      </c>
      <c r="BE20" s="538">
        <f t="shared" si="23"/>
        <v>382.25653846153847</v>
      </c>
      <c r="BI20" s="538">
        <f t="shared" si="29"/>
        <v>50723.333333333336</v>
      </c>
      <c r="BJ20" s="538">
        <f t="shared" si="24"/>
        <v>50.723333333333336</v>
      </c>
      <c r="BO20" s="538">
        <f t="shared" si="30"/>
        <v>7.6976000000000004</v>
      </c>
    </row>
    <row r="21" spans="1:67">
      <c r="A21">
        <v>2024</v>
      </c>
      <c r="B21" s="447">
        <f t="shared" si="25"/>
        <v>7.7382999999999997</v>
      </c>
      <c r="C21" s="447">
        <f t="shared" ref="C21:C46" si="31">TREND($C$49:$C$52,$A$49:$A$52,$A21)</f>
        <v>4.0568031846841706</v>
      </c>
      <c r="D21" s="447">
        <f t="shared" ref="D21:D46" si="32">TREND($D$49:$D$52,$A$49:$A$52,$A21)</f>
        <v>3.4301609307758856</v>
      </c>
      <c r="E21" s="447">
        <f t="shared" si="13"/>
        <v>4.1929892543785092</v>
      </c>
      <c r="F21" s="447">
        <f t="shared" si="14"/>
        <v>3.5453107456214901</v>
      </c>
      <c r="G21" s="49">
        <f t="shared" si="20"/>
        <v>392.57746500000002</v>
      </c>
      <c r="H21" s="49">
        <f t="shared" si="21"/>
        <v>50.731745344584731</v>
      </c>
      <c r="I21" s="526">
        <v>2.7</v>
      </c>
      <c r="J21" s="96">
        <v>2.9390491803278707</v>
      </c>
      <c r="K21" s="96">
        <v>114.71755555555555</v>
      </c>
      <c r="L21" s="96">
        <v>49.379999999999995</v>
      </c>
      <c r="T21">
        <v>2024</v>
      </c>
      <c r="V21" s="56"/>
      <c r="W21" s="56"/>
      <c r="X21" s="194"/>
      <c r="Y21" s="700">
        <f t="shared" si="26"/>
        <v>34162.488545432701</v>
      </c>
      <c r="Z21" s="87" cm="1">
        <f t="array" ref="Z21">TREND(Z5:Z20,T5:T20,T21)</f>
        <v>8147.5258992754825</v>
      </c>
      <c r="AA21" s="700">
        <f>AB21*F21</f>
        <v>18745.586355597174</v>
      </c>
      <c r="AB21" s="87" cm="1">
        <f t="array" ref="AB21">TREND(AB11:AB20,T11:T20,T21)</f>
        <v>5287.4311169333305</v>
      </c>
      <c r="AC21" s="700" cm="1">
        <f t="array" ref="AC21">TREND(AC10:AC20,T10:T20,T21)</f>
        <v>120296.96838467316</v>
      </c>
      <c r="AD21" s="87">
        <f t="shared" si="16"/>
        <v>2.5509953409572232</v>
      </c>
      <c r="AF21" s="92">
        <v>65555.531467310619</v>
      </c>
      <c r="AG21" s="92">
        <v>138708.4142460078</v>
      </c>
      <c r="AH21" s="92">
        <f t="shared" si="15"/>
        <v>66136.814839289465</v>
      </c>
      <c r="AI21" s="193">
        <f t="shared" si="17"/>
        <v>125968.14993646767</v>
      </c>
      <c r="AJ21" s="1">
        <f t="shared" si="5"/>
        <v>-9.1849253549568355E-2</v>
      </c>
      <c r="AL21" s="454">
        <f t="shared" si="6"/>
        <v>34162.488545432701</v>
      </c>
      <c r="AM21" s="107">
        <f t="shared" si="7"/>
        <v>18745.586355597174</v>
      </c>
      <c r="AN21" s="50">
        <f t="shared" si="8"/>
        <v>52908.074901029875</v>
      </c>
      <c r="AO21" s="108">
        <f t="shared" si="9"/>
        <v>125968.14993646767</v>
      </c>
      <c r="AU21">
        <v>2024</v>
      </c>
      <c r="AV21" s="527">
        <f>AV20*(1+AW20)</f>
        <v>3062104.227</v>
      </c>
      <c r="AW21" s="530">
        <v>0.03</v>
      </c>
      <c r="AX21" s="532">
        <f t="shared" ref="AX21:AX46" si="33">AV21*1000000/AY21</f>
        <v>395707.6136877609</v>
      </c>
      <c r="AY21" s="527">
        <v>7738300</v>
      </c>
      <c r="BC21" s="535">
        <f t="shared" si="28"/>
        <v>3062104227000</v>
      </c>
      <c r="BD21" s="537">
        <f t="shared" si="22"/>
        <v>392577465000</v>
      </c>
      <c r="BE21" s="538">
        <f t="shared" si="23"/>
        <v>392.57746500000002</v>
      </c>
      <c r="BI21" s="538">
        <f t="shared" si="29"/>
        <v>50731.745344584728</v>
      </c>
      <c r="BJ21" s="538">
        <f t="shared" si="24"/>
        <v>50.731745344584731</v>
      </c>
      <c r="BO21" s="538">
        <f t="shared" si="30"/>
        <v>7.7382999999999997</v>
      </c>
    </row>
    <row r="22" spans="1:67">
      <c r="A22">
        <v>2025</v>
      </c>
      <c r="B22" s="447">
        <f t="shared" si="25"/>
        <v>7.7747999999999999</v>
      </c>
      <c r="C22" s="447">
        <f t="shared" si="31"/>
        <v>4.070988856936836</v>
      </c>
      <c r="D22" s="447">
        <f t="shared" si="32"/>
        <v>3.4374354861551772</v>
      </c>
      <c r="E22" s="447">
        <f t="shared" si="13"/>
        <v>4.2154149417557285</v>
      </c>
      <c r="F22" s="447">
        <f t="shared" si="14"/>
        <v>3.5593850582442714</v>
      </c>
      <c r="G22" s="49">
        <f t="shared" si="20"/>
        <v>404.35478895</v>
      </c>
      <c r="H22" s="49">
        <f t="shared" si="21"/>
        <v>52.008384646550397</v>
      </c>
      <c r="I22" s="526">
        <v>2.7</v>
      </c>
      <c r="J22" s="96">
        <v>2.9262459016393478</v>
      </c>
      <c r="K22" s="96">
        <v>115.35442777777781</v>
      </c>
      <c r="L22" s="96">
        <v>49.75</v>
      </c>
      <c r="T22">
        <v>2025</v>
      </c>
      <c r="V22" s="56"/>
      <c r="W22" s="56"/>
      <c r="X22" s="56"/>
      <c r="Y22" s="700">
        <f t="shared" si="26"/>
        <v>34534.487362892338</v>
      </c>
      <c r="Z22" s="87" cm="1">
        <f t="array" ref="Z22">TREND(Z6:Z21,T6:T21,T22)</f>
        <v>8192.4289399867848</v>
      </c>
      <c r="AA22" s="700">
        <f>AB22*F22</f>
        <v>19049.355219450485</v>
      </c>
      <c r="AB22" s="87" cm="1">
        <f t="array" ref="AB22">TREND(AB12:AB21,T12:T21,T22)</f>
        <v>5351.866939860367</v>
      </c>
      <c r="AC22" s="700" cm="1">
        <f t="array" ref="AC22">TREND(AC11:AC21,T11:T21,T22)</f>
        <v>119976.43343214258</v>
      </c>
      <c r="AD22" s="87">
        <f t="shared" si="16"/>
        <v>2.5509953409572232</v>
      </c>
      <c r="AF22" s="92">
        <v>65947.365032926842</v>
      </c>
      <c r="AG22" s="92">
        <v>140982.51924378762</v>
      </c>
      <c r="AH22" s="92">
        <f t="shared" si="15"/>
        <v>66136.814839289465</v>
      </c>
      <c r="AI22" s="193">
        <f t="shared" si="17"/>
        <v>126912.01821262186</v>
      </c>
      <c r="AJ22" s="1">
        <f t="shared" si="5"/>
        <v>-9.9803160750979295E-2</v>
      </c>
      <c r="AL22" s="454">
        <f t="shared" si="6"/>
        <v>34534.487362892338</v>
      </c>
      <c r="AM22" s="107">
        <f t="shared" si="7"/>
        <v>19049.355219450485</v>
      </c>
      <c r="AN22" s="50">
        <f t="shared" si="8"/>
        <v>53583.842582342826</v>
      </c>
      <c r="AO22" s="108">
        <f t="shared" si="9"/>
        <v>126912.01821262186</v>
      </c>
      <c r="AU22">
        <v>2025</v>
      </c>
      <c r="AV22" s="527">
        <f t="shared" ref="AV22:AV46" si="34">AV21*(1+AW21)</f>
        <v>3153967.3538100002</v>
      </c>
      <c r="AW22" s="530">
        <v>0.03</v>
      </c>
      <c r="AX22" s="532">
        <f t="shared" si="33"/>
        <v>405665.40024309309</v>
      </c>
      <c r="AY22" s="527">
        <v>7774800</v>
      </c>
      <c r="BC22" s="535">
        <f t="shared" si="28"/>
        <v>3153967353810</v>
      </c>
      <c r="BD22" s="537">
        <f t="shared" si="22"/>
        <v>404354788950</v>
      </c>
      <c r="BE22" s="538">
        <f t="shared" si="23"/>
        <v>404.35478895</v>
      </c>
      <c r="BI22" s="538">
        <f t="shared" si="29"/>
        <v>52008.384646550396</v>
      </c>
      <c r="BJ22" s="538">
        <f t="shared" si="24"/>
        <v>52.008384646550397</v>
      </c>
      <c r="BO22" s="538">
        <f t="shared" si="30"/>
        <v>7.7747999999999999</v>
      </c>
    </row>
    <row r="23" spans="1:67">
      <c r="A23">
        <v>2026</v>
      </c>
      <c r="B23" s="447">
        <f t="shared" si="25"/>
        <v>7.8063000000000002</v>
      </c>
      <c r="C23" s="447">
        <f t="shared" si="31"/>
        <v>4.085174529189505</v>
      </c>
      <c r="D23" s="447">
        <f t="shared" si="32"/>
        <v>3.4447100415344671</v>
      </c>
      <c r="E23" s="447">
        <f t="shared" si="13"/>
        <v>4.2351376873956399</v>
      </c>
      <c r="F23" s="447">
        <f t="shared" si="14"/>
        <v>3.5711623126043603</v>
      </c>
      <c r="G23" s="49">
        <f t="shared" si="20"/>
        <v>416.48543261850006</v>
      </c>
      <c r="H23" s="49">
        <f t="shared" si="21"/>
        <v>53.352475900042279</v>
      </c>
      <c r="I23" s="526">
        <v>2.7</v>
      </c>
      <c r="J23" s="96">
        <v>2.9134426229508215</v>
      </c>
      <c r="K23" s="96">
        <v>115.99129999999991</v>
      </c>
      <c r="L23" s="96">
        <v>50.120000000000005</v>
      </c>
      <c r="T23">
        <v>2026</v>
      </c>
      <c r="V23" s="56"/>
      <c r="W23" s="56"/>
      <c r="X23" s="56"/>
      <c r="Y23" s="700">
        <f t="shared" si="26"/>
        <v>34943.392170021441</v>
      </c>
      <c r="Z23" s="87" cm="1">
        <f t="array" ref="Z23">TREND(Z7:Z22,T7:T22,T23)</f>
        <v>8250.8278949272062</v>
      </c>
      <c r="AA23" s="700">
        <f>AB23*F23</f>
        <v>19283.438636774186</v>
      </c>
      <c r="AB23" s="87" cm="1">
        <f t="array" ref="AB23">TREND(AB13:AB22,T13:T22,T23)</f>
        <v>5399.7653841477877</v>
      </c>
      <c r="AC23" s="700" cm="1">
        <f t="array" ref="AC23">TREND(AC12:AC22,T12:T22,T23)</f>
        <v>119757.90567589144</v>
      </c>
      <c r="AD23" s="87">
        <f t="shared" si="16"/>
        <v>2.5509953409572232</v>
      </c>
      <c r="AF23" s="92">
        <v>66341.944783217972</v>
      </c>
      <c r="AG23" s="92">
        <v>143344.60663880815</v>
      </c>
      <c r="AH23" s="92">
        <f t="shared" si="15"/>
        <v>66136.814839289465</v>
      </c>
      <c r="AI23" s="193">
        <f t="shared" si="17"/>
        <v>127855.88648877604</v>
      </c>
      <c r="AJ23" s="1">
        <f t="shared" si="5"/>
        <v>-0.10805233983486895</v>
      </c>
      <c r="AL23" s="454">
        <f t="shared" si="6"/>
        <v>34943.392170021441</v>
      </c>
      <c r="AM23" s="107">
        <f t="shared" si="7"/>
        <v>19283.438636774186</v>
      </c>
      <c r="AN23" s="50">
        <f t="shared" si="8"/>
        <v>54226.830806795624</v>
      </c>
      <c r="AO23" s="108">
        <f t="shared" si="9"/>
        <v>127855.88648877604</v>
      </c>
      <c r="AU23">
        <v>2026</v>
      </c>
      <c r="AV23" s="527">
        <f t="shared" si="34"/>
        <v>3248586.3744243002</v>
      </c>
      <c r="AW23" s="530">
        <v>2.5000000000000001E-2</v>
      </c>
      <c r="AX23" s="532">
        <f t="shared" si="33"/>
        <v>416149.31202032976</v>
      </c>
      <c r="AY23" s="527">
        <v>7806300</v>
      </c>
      <c r="BC23" s="535">
        <f t="shared" si="28"/>
        <v>3248586374424.3003</v>
      </c>
      <c r="BD23" s="537">
        <f t="shared" si="22"/>
        <v>416485432618.50006</v>
      </c>
      <c r="BE23" s="538">
        <f t="shared" si="23"/>
        <v>416.48543261850006</v>
      </c>
      <c r="BI23" s="538">
        <f t="shared" si="29"/>
        <v>53352.475900042278</v>
      </c>
      <c r="BJ23" s="538">
        <f t="shared" si="24"/>
        <v>53.352475900042279</v>
      </c>
      <c r="BO23" s="538">
        <f t="shared" si="30"/>
        <v>7.8063000000000002</v>
      </c>
    </row>
    <row r="24" spans="1:67">
      <c r="A24">
        <v>2027</v>
      </c>
      <c r="B24" s="447">
        <f t="shared" si="25"/>
        <v>7.8353999999999999</v>
      </c>
      <c r="C24" s="447">
        <f t="shared" si="31"/>
        <v>4.0993602014421739</v>
      </c>
      <c r="D24" s="447">
        <f t="shared" si="32"/>
        <v>3.451984596913757</v>
      </c>
      <c r="E24" s="447">
        <f t="shared" si="13"/>
        <v>4.2535638061942507</v>
      </c>
      <c r="F24" s="447">
        <f t="shared" si="14"/>
        <v>3.5818361938057497</v>
      </c>
      <c r="G24" s="49">
        <f t="shared" si="20"/>
        <v>426.89756843396248</v>
      </c>
      <c r="H24" s="49">
        <f t="shared" si="21"/>
        <v>54.483187639937015</v>
      </c>
      <c r="I24" s="526">
        <v>2.7</v>
      </c>
      <c r="J24" s="96">
        <v>2.9006393442622986</v>
      </c>
      <c r="K24" s="96">
        <v>116.62817222222218</v>
      </c>
      <c r="L24" s="96">
        <v>50.490000000000009</v>
      </c>
      <c r="T24">
        <v>2027</v>
      </c>
      <c r="V24" s="56"/>
      <c r="W24" s="56"/>
      <c r="X24" s="56"/>
      <c r="Y24" s="700">
        <f t="shared" si="26"/>
        <v>35324.243826356062</v>
      </c>
      <c r="Z24" s="87" cm="1">
        <f t="array" ref="Z24">TREND(Z8:Z23,T8:T23,T24)</f>
        <v>8304.6230022258387</v>
      </c>
      <c r="AA24" s="700">
        <f>AB24*F24</f>
        <v>19559.07285906074</v>
      </c>
      <c r="AB24" s="87" cm="1">
        <f t="array" ref="AB24">TREND(AB14:AB23,T14:T23,T24)</f>
        <v>5460.6273991214985</v>
      </c>
      <c r="AC24" s="700" cm="1">
        <f t="array" ref="AC24">TREND(AC13:AC23,T13:T23,T24)</f>
        <v>119629.23509379578</v>
      </c>
      <c r="AD24" s="87">
        <f t="shared" si="16"/>
        <v>2.5509953409572232</v>
      </c>
      <c r="AF24" s="92">
        <v>66743.783078173758</v>
      </c>
      <c r="AG24" s="92">
        <v>145794.67643106973</v>
      </c>
      <c r="AH24" s="92">
        <f t="shared" si="15"/>
        <v>66136.814839289465</v>
      </c>
      <c r="AI24" s="193">
        <f t="shared" si="17"/>
        <v>128799.75476493021</v>
      </c>
      <c r="AJ24" s="1">
        <f t="shared" si="5"/>
        <v>-0.11656750494709968</v>
      </c>
      <c r="AL24" s="454">
        <f t="shared" si="6"/>
        <v>35324.243826356062</v>
      </c>
      <c r="AM24" s="107">
        <f t="shared" si="7"/>
        <v>19559.07285906074</v>
      </c>
      <c r="AN24" s="50">
        <f t="shared" si="8"/>
        <v>54883.316685416801</v>
      </c>
      <c r="AO24" s="108">
        <f t="shared" si="9"/>
        <v>128799.75476493021</v>
      </c>
      <c r="AU24">
        <v>2027</v>
      </c>
      <c r="AV24" s="527">
        <f t="shared" si="34"/>
        <v>3329801.0337849073</v>
      </c>
      <c r="AW24" s="530">
        <v>2.5000000000000001E-2</v>
      </c>
      <c r="AX24" s="532">
        <f t="shared" si="33"/>
        <v>424968.86359150871</v>
      </c>
      <c r="AY24" s="527">
        <v>7835400</v>
      </c>
      <c r="BC24" s="535">
        <f t="shared" si="28"/>
        <v>3329801033784.9072</v>
      </c>
      <c r="BD24" s="537">
        <f t="shared" si="22"/>
        <v>426897568433.96246</v>
      </c>
      <c r="BE24" s="538">
        <f t="shared" si="23"/>
        <v>426.89756843396248</v>
      </c>
      <c r="BI24" s="538">
        <f t="shared" si="29"/>
        <v>54483.187639937016</v>
      </c>
      <c r="BJ24" s="538">
        <f t="shared" si="24"/>
        <v>54.483187639937015</v>
      </c>
      <c r="BO24" s="538">
        <f t="shared" si="30"/>
        <v>7.8353999999999999</v>
      </c>
    </row>
    <row r="25" spans="1:67">
      <c r="A25">
        <v>2028</v>
      </c>
      <c r="B25" s="447">
        <f t="shared" si="25"/>
        <v>7.8646000000000003</v>
      </c>
      <c r="C25" s="447">
        <f t="shared" si="31"/>
        <v>4.1135458736948394</v>
      </c>
      <c r="D25" s="447">
        <f t="shared" si="32"/>
        <v>3.4592591522930487</v>
      </c>
      <c r="E25" s="447">
        <f t="shared" si="13"/>
        <v>4.2720488335879381</v>
      </c>
      <c r="F25" s="447">
        <f t="shared" si="14"/>
        <v>3.5925511664120617</v>
      </c>
      <c r="G25" s="49">
        <f t="shared" si="20"/>
        <v>437.57000764481154</v>
      </c>
      <c r="H25" s="49">
        <f t="shared" si="21"/>
        <v>55.637922798974074</v>
      </c>
      <c r="I25" s="526">
        <v>2.7</v>
      </c>
      <c r="J25" s="96">
        <v>2.8878360655737723</v>
      </c>
      <c r="K25" s="96">
        <v>117.26504444444444</v>
      </c>
      <c r="L25" s="96">
        <v>50.860000000000014</v>
      </c>
      <c r="T25">
        <v>2028</v>
      </c>
      <c r="V25" s="56"/>
      <c r="W25" s="56"/>
      <c r="X25" s="56"/>
      <c r="Y25" s="700">
        <f t="shared" si="26"/>
        <v>35714.775417860255</v>
      </c>
      <c r="Z25" s="87" cm="1">
        <f t="array" ref="Z25">TREND(Z9:Z24,T9:T24,T25)</f>
        <v>8360.1046732100949</v>
      </c>
      <c r="AA25" s="700">
        <f>AB25*F25</f>
        <v>19804.356959343077</v>
      </c>
      <c r="AB25" s="87" cm="1">
        <f t="array" ref="AB25">TREND(AB15:AB24,T15:T24,T25)</f>
        <v>5512.6165340386797</v>
      </c>
      <c r="AC25" s="700" cm="1">
        <f t="array" ref="AC25">TREND(AC14:AC24,T14:T24,T25)</f>
        <v>119499.96217225306</v>
      </c>
      <c r="AD25" s="87">
        <f t="shared" si="16"/>
        <v>2.5509953409572232</v>
      </c>
      <c r="AF25" s="92">
        <v>67147.727398747345</v>
      </c>
      <c r="AG25" s="92">
        <v>148332.72862057225</v>
      </c>
      <c r="AH25" s="92">
        <f t="shared" si="15"/>
        <v>66136.814839289465</v>
      </c>
      <c r="AI25" s="193">
        <f t="shared" si="17"/>
        <v>129743.62304108441</v>
      </c>
      <c r="AJ25" s="1">
        <f t="shared" si="5"/>
        <v>-0.12532032379069788</v>
      </c>
      <c r="AL25" s="454">
        <f t="shared" si="6"/>
        <v>35714.775417860255</v>
      </c>
      <c r="AM25" s="107">
        <f t="shared" si="7"/>
        <v>19804.356959343077</v>
      </c>
      <c r="AN25" s="50">
        <f t="shared" si="8"/>
        <v>55519.132377203336</v>
      </c>
      <c r="AO25" s="108">
        <f t="shared" si="9"/>
        <v>129743.62304108441</v>
      </c>
      <c r="AU25">
        <v>2028</v>
      </c>
      <c r="AV25" s="527">
        <f t="shared" si="34"/>
        <v>3413046.0596295297</v>
      </c>
      <c r="AW25" s="530">
        <v>2.5000000000000001E-2</v>
      </c>
      <c r="AX25" s="532">
        <f t="shared" si="33"/>
        <v>433975.7978319978</v>
      </c>
      <c r="AY25" s="527">
        <v>7864600</v>
      </c>
      <c r="BC25" s="535">
        <f t="shared" si="28"/>
        <v>3413046059629.5298</v>
      </c>
      <c r="BD25" s="537">
        <f t="shared" si="22"/>
        <v>437570007644.81152</v>
      </c>
      <c r="BE25" s="538">
        <f t="shared" si="23"/>
        <v>437.57000764481154</v>
      </c>
      <c r="BI25" s="538">
        <f t="shared" si="29"/>
        <v>55637.922798974076</v>
      </c>
      <c r="BJ25" s="538">
        <f t="shared" si="24"/>
        <v>55.637922798974074</v>
      </c>
      <c r="BO25" s="538">
        <f t="shared" si="30"/>
        <v>7.8646000000000003</v>
      </c>
    </row>
    <row r="26" spans="1:67">
      <c r="A26">
        <v>2029</v>
      </c>
      <c r="B26" s="447">
        <f t="shared" si="25"/>
        <v>7.8935000000000004</v>
      </c>
      <c r="C26" s="447">
        <f t="shared" si="31"/>
        <v>4.1277315459475084</v>
      </c>
      <c r="D26" s="447">
        <f t="shared" si="32"/>
        <v>3.4665337076723386</v>
      </c>
      <c r="E26" s="447">
        <f t="shared" si="13"/>
        <v>4.2903754174778337</v>
      </c>
      <c r="F26" s="447">
        <f t="shared" si="14"/>
        <v>3.6031245825221663</v>
      </c>
      <c r="G26" s="49">
        <f t="shared" si="20"/>
        <v>448.50925783593181</v>
      </c>
      <c r="H26" s="49">
        <f t="shared" si="21"/>
        <v>56.820074470885132</v>
      </c>
      <c r="I26" s="526">
        <v>2.7</v>
      </c>
      <c r="J26" s="96">
        <v>2.8750327868852494</v>
      </c>
      <c r="K26" s="96">
        <v>117.90191666666669</v>
      </c>
      <c r="L26" s="96">
        <v>51.230000000000018</v>
      </c>
      <c r="T26">
        <v>2029</v>
      </c>
      <c r="V26" s="56"/>
      <c r="W26" s="56"/>
      <c r="X26" s="56"/>
      <c r="Y26" s="700">
        <f t="shared" si="26"/>
        <v>36308.161962649574</v>
      </c>
      <c r="Z26" s="87" cm="1">
        <f t="array" ref="Z26">TREND(Z10:Z25,T10:T25,T26)</f>
        <v>8462.7004468513187</v>
      </c>
      <c r="AA26" s="700">
        <f>AB26*F26</f>
        <v>19958.644838389533</v>
      </c>
      <c r="AB26" s="87" cm="1">
        <f t="array" ref="AB26">TREND(AB16:AB25,T16:T25,T26)</f>
        <v>5539.2602673812071</v>
      </c>
      <c r="AC26" s="700" cm="1">
        <f t="array" ref="AC26">TREND(AC15:AC25,T15:T25,T26)</f>
        <v>119357.3044559423</v>
      </c>
      <c r="AD26" s="87">
        <f t="shared" si="16"/>
        <v>2.5509953409572232</v>
      </c>
      <c r="AF26" s="92">
        <v>67545.656184680731</v>
      </c>
      <c r="AG26" s="92">
        <v>150958.763207315</v>
      </c>
      <c r="AH26" s="92">
        <f t="shared" si="15"/>
        <v>66136.814839289465</v>
      </c>
      <c r="AI26" s="193">
        <f t="shared" si="17"/>
        <v>130687.4913172386</v>
      </c>
      <c r="AJ26" s="1">
        <f t="shared" si="5"/>
        <v>-0.13428350537184394</v>
      </c>
      <c r="AL26" s="454">
        <f t="shared" si="6"/>
        <v>36308.161962649574</v>
      </c>
      <c r="AM26" s="107">
        <f t="shared" si="7"/>
        <v>19958.644838389533</v>
      </c>
      <c r="AN26" s="50">
        <f t="shared" si="8"/>
        <v>56266.806801039107</v>
      </c>
      <c r="AO26" s="108">
        <f t="shared" si="9"/>
        <v>130687.4913172386</v>
      </c>
      <c r="AU26">
        <v>2029</v>
      </c>
      <c r="AV26" s="527">
        <f t="shared" si="34"/>
        <v>3498372.2111202679</v>
      </c>
      <c r="AW26" s="530">
        <v>2.5000000000000001E-2</v>
      </c>
      <c r="AX26" s="532">
        <f t="shared" si="33"/>
        <v>443196.58087290404</v>
      </c>
      <c r="AY26" s="527">
        <v>7893500</v>
      </c>
      <c r="BC26" s="535">
        <f t="shared" si="28"/>
        <v>3498372211120.2681</v>
      </c>
      <c r="BD26" s="537">
        <f t="shared" si="22"/>
        <v>448509257835.93182</v>
      </c>
      <c r="BE26" s="538">
        <f t="shared" si="23"/>
        <v>448.50925783593181</v>
      </c>
      <c r="BI26" s="538">
        <f t="shared" si="29"/>
        <v>56820.074470885134</v>
      </c>
      <c r="BJ26" s="538">
        <f t="shared" si="24"/>
        <v>56.820074470885132</v>
      </c>
      <c r="BO26" s="538">
        <f t="shared" si="30"/>
        <v>7.8935000000000004</v>
      </c>
    </row>
    <row r="27" spans="1:67">
      <c r="A27">
        <v>2030</v>
      </c>
      <c r="B27" s="447">
        <f t="shared" si="25"/>
        <v>7.9200999999999997</v>
      </c>
      <c r="C27" s="447">
        <f t="shared" si="31"/>
        <v>4.1419172182001773</v>
      </c>
      <c r="D27" s="447">
        <f t="shared" si="32"/>
        <v>3.4738082630516285</v>
      </c>
      <c r="E27" s="447">
        <f t="shared" si="13"/>
        <v>4.3074554933242064</v>
      </c>
      <c r="F27" s="447">
        <f t="shared" si="14"/>
        <v>3.6126445066757937</v>
      </c>
      <c r="G27" s="49">
        <f t="shared" si="20"/>
        <v>459.72198928183008</v>
      </c>
      <c r="H27" s="49">
        <f t="shared" si="21"/>
        <v>58.044972826331744</v>
      </c>
      <c r="I27" s="526">
        <v>2.7</v>
      </c>
      <c r="J27" s="96">
        <v>2.8622295081967231</v>
      </c>
      <c r="K27" s="96">
        <v>118.5387888888888</v>
      </c>
      <c r="L27" s="96">
        <v>51.600000000000023</v>
      </c>
      <c r="T27">
        <v>2030</v>
      </c>
      <c r="V27" s="56"/>
      <c r="W27" s="56"/>
      <c r="X27" s="56"/>
      <c r="Y27" s="700">
        <f t="shared" si="26"/>
        <v>36649.718677868768</v>
      </c>
      <c r="Z27" s="87" cm="1">
        <f t="array" ref="Z27">TREND(Z11:Z26,T11:T26,T27)</f>
        <v>8508.4381567422679</v>
      </c>
      <c r="AA27" s="700">
        <f>AB27*F27</f>
        <v>19962.382204648318</v>
      </c>
      <c r="AB27" s="87" cm="1">
        <f t="array" ref="AB27">TREND(AB17:AB26,T17:T26,T27)</f>
        <v>5525.6979112558402</v>
      </c>
      <c r="AC27" s="700" cm="1">
        <f t="array" ref="AC27">TREND(AC16:AC26,T16:T26,T27)</f>
        <v>119640.64599703197</v>
      </c>
      <c r="AD27" s="87">
        <f t="shared" si="16"/>
        <v>2.5509953409572232</v>
      </c>
      <c r="AF27" s="92">
        <v>67916.939340117126</v>
      </c>
      <c r="AG27" s="92">
        <v>153672.78019129904</v>
      </c>
      <c r="AH27" s="92">
        <f t="shared" si="15"/>
        <v>66136.814839289465</v>
      </c>
      <c r="AI27" s="193">
        <f t="shared" si="17"/>
        <v>131631.35959339279</v>
      </c>
      <c r="AJ27" s="1">
        <f t="shared" si="5"/>
        <v>-0.14343087025866302</v>
      </c>
      <c r="AL27" s="454">
        <f t="shared" si="6"/>
        <v>36649.718677868768</v>
      </c>
      <c r="AM27" s="107">
        <f t="shared" si="7"/>
        <v>19962.382204648318</v>
      </c>
      <c r="AN27" s="50">
        <f t="shared" si="8"/>
        <v>56612.100882517087</v>
      </c>
      <c r="AO27" s="108">
        <f t="shared" si="9"/>
        <v>131631.35959339279</v>
      </c>
      <c r="AU27">
        <v>2030</v>
      </c>
      <c r="AV27" s="527">
        <f t="shared" si="34"/>
        <v>3585831.5163982743</v>
      </c>
      <c r="AW27" s="530">
        <v>2.5000000000000001E-2</v>
      </c>
      <c r="AX27" s="532">
        <f t="shared" si="33"/>
        <v>452750.7880453876</v>
      </c>
      <c r="AY27" s="527">
        <v>7920100</v>
      </c>
      <c r="BC27" s="535">
        <f t="shared" si="28"/>
        <v>3585831516398.2744</v>
      </c>
      <c r="BD27" s="537">
        <f t="shared" si="22"/>
        <v>459721989281.83008</v>
      </c>
      <c r="BE27" s="538">
        <f t="shared" si="23"/>
        <v>459.72198928183008</v>
      </c>
      <c r="BI27" s="538">
        <f t="shared" si="29"/>
        <v>58044.972826331745</v>
      </c>
      <c r="BJ27" s="538">
        <f t="shared" si="24"/>
        <v>58.044972826331744</v>
      </c>
      <c r="BO27" s="538">
        <f t="shared" si="30"/>
        <v>7.9200999999999997</v>
      </c>
    </row>
    <row r="28" spans="1:67">
      <c r="A28">
        <v>2031</v>
      </c>
      <c r="B28" s="447">
        <f t="shared" si="25"/>
        <v>7.9458000000000002</v>
      </c>
      <c r="C28" s="447">
        <f t="shared" si="31"/>
        <v>4.1561028904528463</v>
      </c>
      <c r="D28" s="447">
        <f t="shared" si="32"/>
        <v>3.4810828184309202</v>
      </c>
      <c r="E28" s="447">
        <f t="shared" si="13"/>
        <v>4.3240486228515289</v>
      </c>
      <c r="F28" s="447">
        <f t="shared" si="14"/>
        <v>3.6217513771484713</v>
      </c>
      <c r="G28" s="49">
        <f t="shared" si="20"/>
        <v>471.21503901387581</v>
      </c>
      <c r="H28" s="49">
        <f t="shared" si="21"/>
        <v>59.303662188058567</v>
      </c>
      <c r="I28" s="526">
        <v>2.6</v>
      </c>
      <c r="J28" s="96">
        <v>2.8494262295082002</v>
      </c>
      <c r="K28" s="96">
        <v>119.17566111111107</v>
      </c>
      <c r="L28" s="96">
        <v>51.970000000000027</v>
      </c>
      <c r="T28">
        <v>2031</v>
      </c>
      <c r="V28" s="56"/>
      <c r="W28" s="56"/>
      <c r="X28" s="56"/>
      <c r="Y28" s="700">
        <f t="shared" si="26"/>
        <v>37236.619585142522</v>
      </c>
      <c r="Z28" s="87" cm="1">
        <f t="array" ref="Z28">TREND(Z12:Z27,T12:T27,T28)</f>
        <v>8611.5173146657471</v>
      </c>
      <c r="AA28" s="700">
        <f>AB28*F28</f>
        <v>20186.676344224234</v>
      </c>
      <c r="AB28" s="87" cm="1">
        <f t="array" ref="AB28">TREND(AB18:AB27,T18:T27,T28)</f>
        <v>5573.7333245988557</v>
      </c>
      <c r="AC28" s="700" cm="1">
        <f t="array" ref="AC28">TREND(AC17:AC27,T17:T27,T28)</f>
        <v>120368.05876455744</v>
      </c>
      <c r="AD28" s="87">
        <f t="shared" si="16"/>
        <v>2.5509953409572232</v>
      </c>
      <c r="AF28" s="92">
        <v>68301.447427082458</v>
      </c>
      <c r="AG28" s="92">
        <v>156474.77957252355</v>
      </c>
      <c r="AH28" s="92">
        <f t="shared" si="15"/>
        <v>63687.303178575043</v>
      </c>
      <c r="AI28" s="193">
        <f t="shared" si="17"/>
        <v>132575.22786954694</v>
      </c>
      <c r="AJ28" s="1">
        <f t="shared" si="5"/>
        <v>-0.15273740450868983</v>
      </c>
      <c r="AL28" s="454">
        <f t="shared" si="6"/>
        <v>37236.619585142522</v>
      </c>
      <c r="AM28" s="107">
        <f t="shared" si="7"/>
        <v>20186.676344224234</v>
      </c>
      <c r="AN28" s="50">
        <f t="shared" si="8"/>
        <v>57423.295929366752</v>
      </c>
      <c r="AO28" s="108">
        <f t="shared" si="9"/>
        <v>132575.22786954694</v>
      </c>
      <c r="AU28">
        <v>2031</v>
      </c>
      <c r="AV28" s="527">
        <f t="shared" si="34"/>
        <v>3675477.304308231</v>
      </c>
      <c r="AW28" s="530">
        <v>2.5000000000000001E-2</v>
      </c>
      <c r="AX28" s="532">
        <f t="shared" si="33"/>
        <v>462568.5650668568</v>
      </c>
      <c r="AY28" s="527">
        <v>7945800</v>
      </c>
      <c r="BC28" s="535">
        <f t="shared" si="28"/>
        <v>3675477304308.231</v>
      </c>
      <c r="BD28" s="537">
        <f t="shared" si="22"/>
        <v>471215039013.87579</v>
      </c>
      <c r="BE28" s="538">
        <f t="shared" si="23"/>
        <v>471.21503901387581</v>
      </c>
      <c r="BI28" s="538">
        <f t="shared" si="29"/>
        <v>59303.662188058566</v>
      </c>
      <c r="BJ28" s="538">
        <f t="shared" si="24"/>
        <v>59.303662188058567</v>
      </c>
      <c r="BO28" s="538">
        <f t="shared" si="30"/>
        <v>7.9458000000000002</v>
      </c>
    </row>
    <row r="29" spans="1:67">
      <c r="A29">
        <v>2032</v>
      </c>
      <c r="B29" s="447">
        <f t="shared" si="25"/>
        <v>7.9711999999999996</v>
      </c>
      <c r="C29" s="447">
        <f t="shared" si="31"/>
        <v>4.1702885627055117</v>
      </c>
      <c r="D29" s="447">
        <f t="shared" si="32"/>
        <v>3.48835737381021</v>
      </c>
      <c r="E29" s="447">
        <f t="shared" si="13"/>
        <v>4.3404806106184379</v>
      </c>
      <c r="F29" s="447">
        <f t="shared" si="14"/>
        <v>3.6307193893815621</v>
      </c>
      <c r="G29" s="49">
        <f t="shared" si="20"/>
        <v>482.99541498922258</v>
      </c>
      <c r="H29" s="49">
        <f t="shared" si="21"/>
        <v>60.592560089976736</v>
      </c>
      <c r="I29" s="526">
        <v>2.6</v>
      </c>
      <c r="J29" s="96">
        <v>2.8366229508196739</v>
      </c>
      <c r="K29" s="96">
        <v>119.81253333333332</v>
      </c>
      <c r="L29" s="96">
        <v>52.340000000000032</v>
      </c>
      <c r="T29">
        <v>2032</v>
      </c>
      <c r="V29" s="56"/>
      <c r="W29" s="56"/>
      <c r="X29" s="56"/>
      <c r="Y29" s="700">
        <f t="shared" si="26"/>
        <v>37625.750455836482</v>
      </c>
      <c r="Z29" s="87" cm="1">
        <f t="array" ref="Z29">TREND(Z13:Z28,T13:T28,T29)</f>
        <v>8668.5677995634469</v>
      </c>
      <c r="AA29" s="700">
        <f>AB29*F29</f>
        <v>20473.461581406649</v>
      </c>
      <c r="AB29" s="87" cm="1">
        <f t="array" ref="AB29">TREND(AB19:AB28,T19:T28,T29)</f>
        <v>5638.9545392253494</v>
      </c>
      <c r="AC29" s="700" cm="1">
        <f t="array" ref="AC29">TREND(AC18:AC28,T18:T28,T29)</f>
        <v>119537.13184770857</v>
      </c>
      <c r="AD29" s="87">
        <f t="shared" si="16"/>
        <v>2.5509953409572232</v>
      </c>
      <c r="AF29" s="92">
        <v>68678.990565792541</v>
      </c>
      <c r="AG29" s="92">
        <v>159364.76135098923</v>
      </c>
      <c r="AH29" s="92">
        <f t="shared" si="15"/>
        <v>63687.303178575043</v>
      </c>
      <c r="AI29" s="193">
        <f t="shared" si="17"/>
        <v>133519.09614570116</v>
      </c>
      <c r="AJ29" s="1">
        <f t="shared" si="5"/>
        <v>-0.16217929852362331</v>
      </c>
      <c r="AL29" s="454">
        <f t="shared" si="6"/>
        <v>37625.750455836482</v>
      </c>
      <c r="AM29" s="107">
        <f t="shared" si="7"/>
        <v>20473.461581406649</v>
      </c>
      <c r="AN29" s="50">
        <f t="shared" si="8"/>
        <v>58099.212037243131</v>
      </c>
      <c r="AO29" s="108">
        <f t="shared" si="9"/>
        <v>133519.09614570116</v>
      </c>
      <c r="AU29">
        <v>2032</v>
      </c>
      <c r="AV29" s="527">
        <f t="shared" si="34"/>
        <v>3767364.2369159362</v>
      </c>
      <c r="AW29" s="530">
        <v>2.5000000000000001E-2</v>
      </c>
      <c r="AX29" s="532">
        <f t="shared" si="33"/>
        <v>472621.96870181855</v>
      </c>
      <c r="AY29" s="527">
        <v>7971200</v>
      </c>
      <c r="BC29" s="535">
        <f t="shared" si="28"/>
        <v>3767364236915.936</v>
      </c>
      <c r="BD29" s="537">
        <f t="shared" si="22"/>
        <v>482995414989.2226</v>
      </c>
      <c r="BE29" s="538">
        <f t="shared" si="23"/>
        <v>482.99541498922258</v>
      </c>
      <c r="BI29" s="538">
        <f t="shared" si="29"/>
        <v>60592.560089976738</v>
      </c>
      <c r="BJ29" s="538">
        <f t="shared" si="24"/>
        <v>60.592560089976736</v>
      </c>
      <c r="BO29" s="538">
        <f t="shared" si="30"/>
        <v>7.9711999999999996</v>
      </c>
    </row>
    <row r="30" spans="1:67">
      <c r="A30">
        <v>2033</v>
      </c>
      <c r="B30" s="447">
        <f t="shared" si="25"/>
        <v>7.9984000000000002</v>
      </c>
      <c r="C30" s="447">
        <f t="shared" si="31"/>
        <v>4.1844742349581807</v>
      </c>
      <c r="D30" s="447">
        <f t="shared" si="32"/>
        <v>3.4956319291894999</v>
      </c>
      <c r="E30" s="447">
        <f t="shared" si="13"/>
        <v>4.3578953214384155</v>
      </c>
      <c r="F30" s="447">
        <f t="shared" si="14"/>
        <v>3.6405046785615847</v>
      </c>
      <c r="G30" s="49">
        <f t="shared" si="20"/>
        <v>495.07030036395315</v>
      </c>
      <c r="H30" s="49">
        <f t="shared" si="21"/>
        <v>61.896166778849917</v>
      </c>
      <c r="I30" s="526">
        <v>2.6</v>
      </c>
      <c r="J30" s="96">
        <v>2.823819672131151</v>
      </c>
      <c r="K30" s="96">
        <v>120.44940555555559</v>
      </c>
      <c r="L30" s="96">
        <v>52.710000000000036</v>
      </c>
      <c r="T30">
        <v>2033</v>
      </c>
      <c r="V30" s="56"/>
      <c r="W30" s="56"/>
      <c r="X30" s="56"/>
      <c r="Y30" s="700">
        <f t="shared" si="26"/>
        <v>38149.434748900261</v>
      </c>
      <c r="Z30" s="87" cm="1">
        <f t="array" ref="Z30">TREND(Z14:Z29,T14:T29,T30)</f>
        <v>8754.0961714308069</v>
      </c>
      <c r="AA30" s="700">
        <f>AB30*F30</f>
        <v>20672.692589981165</v>
      </c>
      <c r="AB30" s="87" cm="1">
        <f t="array" ref="AB30">TREND(AB20:AB29,T20:T29,T30)</f>
        <v>5678.5238353681343</v>
      </c>
      <c r="AC30" s="700" cm="1">
        <f t="array" ref="AC30">TREND(AC19:AC29,T19:T29,T30)</f>
        <v>119401.10102848423</v>
      </c>
      <c r="AD30" s="87">
        <f t="shared" si="16"/>
        <v>2.5509953409572232</v>
      </c>
      <c r="AF30" s="92">
        <v>69047.855184966029</v>
      </c>
      <c r="AG30" s="92">
        <v>162342.72552669549</v>
      </c>
      <c r="AH30" s="92">
        <f t="shared" si="15"/>
        <v>63687.303178575043</v>
      </c>
      <c r="AI30" s="193">
        <f t="shared" si="17"/>
        <v>134462.96442185534</v>
      </c>
      <c r="AJ30" s="1">
        <f t="shared" si="5"/>
        <v>-0.17173397215297845</v>
      </c>
      <c r="AL30" s="454">
        <f t="shared" si="6"/>
        <v>38149.434748900261</v>
      </c>
      <c r="AM30" s="107">
        <f t="shared" si="7"/>
        <v>20672.692589981165</v>
      </c>
      <c r="AN30" s="50">
        <f t="shared" si="8"/>
        <v>58822.12733888143</v>
      </c>
      <c r="AO30" s="108">
        <f t="shared" si="9"/>
        <v>134462.96442185534</v>
      </c>
      <c r="AU30">
        <v>2033</v>
      </c>
      <c r="AV30" s="527">
        <f t="shared" si="34"/>
        <v>3861548.3428388345</v>
      </c>
      <c r="AW30" s="530">
        <v>2.5000000000000001E-2</v>
      </c>
      <c r="AX30" s="532">
        <f t="shared" si="33"/>
        <v>482790.10087502934</v>
      </c>
      <c r="AY30" s="527">
        <v>7998400</v>
      </c>
      <c r="BC30" s="535">
        <f t="shared" si="28"/>
        <v>3861548342838.8345</v>
      </c>
      <c r="BD30" s="537">
        <f t="shared" si="22"/>
        <v>495070300363.95312</v>
      </c>
      <c r="BE30" s="538">
        <f t="shared" si="23"/>
        <v>495.07030036395315</v>
      </c>
      <c r="BI30" s="538">
        <f t="shared" si="29"/>
        <v>61896.166778849918</v>
      </c>
      <c r="BJ30" s="538">
        <f t="shared" si="24"/>
        <v>61.896166778849917</v>
      </c>
      <c r="BO30" s="538">
        <f t="shared" si="30"/>
        <v>7.9984000000000002</v>
      </c>
    </row>
    <row r="31" spans="1:67">
      <c r="A31">
        <v>2034</v>
      </c>
      <c r="B31" s="447">
        <f t="shared" si="25"/>
        <v>8.0241000000000007</v>
      </c>
      <c r="C31" s="447">
        <f t="shared" si="31"/>
        <v>4.1986599072108497</v>
      </c>
      <c r="D31" s="447">
        <f t="shared" si="32"/>
        <v>3.5029064845687916</v>
      </c>
      <c r="E31" s="447">
        <f t="shared" si="13"/>
        <v>4.3744954269835947</v>
      </c>
      <c r="F31" s="447">
        <f t="shared" si="14"/>
        <v>3.6496045730164064</v>
      </c>
      <c r="G31" s="49">
        <f t="shared" si="20"/>
        <v>507.44705787305196</v>
      </c>
      <c r="H31" s="49">
        <f t="shared" si="21"/>
        <v>63.240370617645837</v>
      </c>
      <c r="I31" s="526">
        <v>2.6</v>
      </c>
      <c r="J31" s="96">
        <v>2.8110163934426247</v>
      </c>
      <c r="K31" s="96">
        <v>121.0862777777777</v>
      </c>
      <c r="L31" s="96">
        <v>53.080000000000041</v>
      </c>
      <c r="T31">
        <v>2034</v>
      </c>
      <c r="V31" s="56"/>
      <c r="W31" s="56"/>
      <c r="X31" s="56"/>
      <c r="Y31" s="700">
        <f t="shared" si="26"/>
        <v>38500.859990661418</v>
      </c>
      <c r="Z31" s="87" cm="1">
        <f t="array" ref="Z31">TREND(Z15:Z30,T15:T30,T31)</f>
        <v>8801.2116216131108</v>
      </c>
      <c r="AA31" s="700">
        <f>AB31*F31</f>
        <v>20866.805676162974</v>
      </c>
      <c r="AB31" s="87" cm="1">
        <f t="array" ref="AB31">TREND(AB21:AB30,T21:T30,T31)</f>
        <v>5717.552479642065</v>
      </c>
      <c r="AC31" s="700" cm="1">
        <f t="array" ref="AC31">TREND(AC20:AC30,T20:T30,T31)</f>
        <v>119399.2805709067</v>
      </c>
      <c r="AD31" s="87">
        <f t="shared" si="16"/>
        <v>2.5509953409572232</v>
      </c>
      <c r="AF31" s="92">
        <v>69409.534151050844</v>
      </c>
      <c r="AG31" s="92">
        <v>165408.67209964269</v>
      </c>
      <c r="AH31" s="92">
        <f t="shared" si="15"/>
        <v>63687.303178575043</v>
      </c>
      <c r="AI31" s="193">
        <f t="shared" si="17"/>
        <v>135406.8326980095</v>
      </c>
      <c r="AJ31" s="1">
        <f t="shared" si="5"/>
        <v>-0.1813800873968687</v>
      </c>
      <c r="AL31" s="454">
        <f t="shared" si="6"/>
        <v>38500.859990661418</v>
      </c>
      <c r="AM31" s="107">
        <f t="shared" si="7"/>
        <v>20866.805676162974</v>
      </c>
      <c r="AN31" s="50">
        <f t="shared" si="8"/>
        <v>59367.665666824396</v>
      </c>
      <c r="AO31" s="108">
        <f t="shared" si="9"/>
        <v>135406.8326980095</v>
      </c>
      <c r="AU31">
        <v>2034</v>
      </c>
      <c r="AV31" s="527">
        <f t="shared" si="34"/>
        <v>3958087.0514098052</v>
      </c>
      <c r="AW31" s="530">
        <v>2.5000000000000001E-2</v>
      </c>
      <c r="AX31" s="532">
        <f t="shared" si="33"/>
        <v>493274.8908176375</v>
      </c>
      <c r="AY31" s="527">
        <v>8024100</v>
      </c>
      <c r="BC31" s="535">
        <f t="shared" si="28"/>
        <v>3958087051409.8052</v>
      </c>
      <c r="BD31" s="537">
        <f t="shared" si="22"/>
        <v>507447057873.05194</v>
      </c>
      <c r="BE31" s="538">
        <f t="shared" si="23"/>
        <v>507.44705787305196</v>
      </c>
      <c r="BI31" s="538">
        <f t="shared" si="29"/>
        <v>63240.370617645836</v>
      </c>
      <c r="BJ31" s="538">
        <f t="shared" si="24"/>
        <v>63.240370617645837</v>
      </c>
      <c r="BO31" s="538">
        <f t="shared" si="30"/>
        <v>8.0241000000000007</v>
      </c>
    </row>
    <row r="32" spans="1:67">
      <c r="A32">
        <v>2035</v>
      </c>
      <c r="B32" s="447">
        <f t="shared" si="25"/>
        <v>8.0459999999999994</v>
      </c>
      <c r="C32" s="447">
        <f t="shared" si="31"/>
        <v>4.2128455794635187</v>
      </c>
      <c r="D32" s="447">
        <f t="shared" si="32"/>
        <v>3.5101810399480815</v>
      </c>
      <c r="E32" s="447">
        <f t="shared" si="13"/>
        <v>4.3890248218445187</v>
      </c>
      <c r="F32" s="447">
        <f t="shared" si="14"/>
        <v>3.6569751781554816</v>
      </c>
      <c r="G32" s="49">
        <f t="shared" si="20"/>
        <v>520.13323431987828</v>
      </c>
      <c r="H32" s="49">
        <f t="shared" si="21"/>
        <v>64.644945851339585</v>
      </c>
      <c r="I32" s="526">
        <v>2.6</v>
      </c>
      <c r="J32" s="96">
        <v>2.7982131147541018</v>
      </c>
      <c r="K32" s="96">
        <v>121.72314999999995</v>
      </c>
      <c r="L32" s="96">
        <v>53.450000000000045</v>
      </c>
      <c r="T32">
        <v>2035</v>
      </c>
      <c r="V32" s="56"/>
      <c r="W32" s="56"/>
      <c r="X32" s="56"/>
      <c r="Y32" s="700">
        <f t="shared" si="26"/>
        <v>38827.265185421675</v>
      </c>
      <c r="Z32" s="87" cm="1">
        <f t="array" ref="Z32">TREND(Z16:Z31,T16:T31,T32)</f>
        <v>8846.4446571765438</v>
      </c>
      <c r="AA32" s="700">
        <f>AB32*F32</f>
        <v>21027.570531127469</v>
      </c>
      <c r="AB32" s="87" cm="1">
        <f t="array" ref="AB32">TREND(AB22:AB31,T22:T31,T32)</f>
        <v>5749.9899525523797</v>
      </c>
      <c r="AC32" s="700" cm="1">
        <f t="array" ref="AC32">TREND(AC21:AC31,T21:T31,T32)</f>
        <v>119396.70654748729</v>
      </c>
      <c r="AD32" s="87">
        <f t="shared" si="16"/>
        <v>2.5509953409572232</v>
      </c>
      <c r="AF32" s="92">
        <v>69766.954977472575</v>
      </c>
      <c r="AG32" s="92">
        <v>168562.60106983059</v>
      </c>
      <c r="AH32" s="92">
        <f t="shared" si="15"/>
        <v>63687.303178575043</v>
      </c>
      <c r="AI32" s="193">
        <f t="shared" si="17"/>
        <v>136350.70097416369</v>
      </c>
      <c r="AJ32" s="1">
        <f t="shared" si="5"/>
        <v>-0.19109755005692189</v>
      </c>
      <c r="AL32" s="454">
        <f t="shared" si="6"/>
        <v>38827.265185421675</v>
      </c>
      <c r="AM32" s="107">
        <f t="shared" si="7"/>
        <v>21027.570531127469</v>
      </c>
      <c r="AN32" s="50">
        <f t="shared" si="8"/>
        <v>59854.835716549147</v>
      </c>
      <c r="AO32" s="108">
        <f t="shared" si="9"/>
        <v>136350.70097416369</v>
      </c>
      <c r="AU32">
        <v>2035</v>
      </c>
      <c r="AV32" s="527">
        <f t="shared" si="34"/>
        <v>4057039.2276950502</v>
      </c>
      <c r="AW32" s="530">
        <v>2.5000000000000001E-2</v>
      </c>
      <c r="AX32" s="532">
        <f t="shared" si="33"/>
        <v>504230.5776404487</v>
      </c>
      <c r="AY32" s="527">
        <v>8046000</v>
      </c>
      <c r="BC32" s="535">
        <f t="shared" si="28"/>
        <v>4057039227695.0503</v>
      </c>
      <c r="BD32" s="537">
        <f t="shared" si="22"/>
        <v>520133234319.87823</v>
      </c>
      <c r="BE32" s="538">
        <f t="shared" si="23"/>
        <v>520.13323431987828</v>
      </c>
      <c r="BI32" s="538">
        <f t="shared" si="29"/>
        <v>64644.94585133958</v>
      </c>
      <c r="BJ32" s="538">
        <f t="shared" si="24"/>
        <v>64.644945851339585</v>
      </c>
      <c r="BO32" s="538">
        <f t="shared" si="30"/>
        <v>8.0459999999999994</v>
      </c>
    </row>
    <row r="33" spans="1:67">
      <c r="A33">
        <v>2036</v>
      </c>
      <c r="B33" s="447">
        <f t="shared" si="25"/>
        <v>8.0626999999999995</v>
      </c>
      <c r="C33" s="447">
        <f t="shared" si="31"/>
        <v>4.2270312517161841</v>
      </c>
      <c r="D33" s="447">
        <f t="shared" si="32"/>
        <v>3.5174555953273714</v>
      </c>
      <c r="E33" s="447">
        <f t="shared" si="13"/>
        <v>4.4007157021930441</v>
      </c>
      <c r="F33" s="447">
        <f t="shared" si="14"/>
        <v>3.6619842978069554</v>
      </c>
      <c r="G33" s="49">
        <f t="shared" si="20"/>
        <v>533.13656517787513</v>
      </c>
      <c r="H33" s="49">
        <f t="shared" si="21"/>
        <v>66.123825167484242</v>
      </c>
      <c r="I33" s="526">
        <v>2.6</v>
      </c>
      <c r="J33" s="96">
        <v>2.7854098360655755</v>
      </c>
      <c r="K33" s="96">
        <v>122.36002222222221</v>
      </c>
      <c r="L33" s="96">
        <v>53.819999999999936</v>
      </c>
      <c r="T33">
        <v>2036</v>
      </c>
      <c r="V33" s="56"/>
      <c r="W33" s="56"/>
      <c r="X33" s="56"/>
      <c r="Y33" s="700">
        <f t="shared" si="26"/>
        <v>39013.064520487045</v>
      </c>
      <c r="Z33" s="87" cm="1">
        <f t="array" ref="Z33">TREND(Z17:Z32,T17:T32,T33)</f>
        <v>8865.1635689725081</v>
      </c>
      <c r="AA33" s="700">
        <f>AB33*F33</f>
        <v>21180.589589216575</v>
      </c>
      <c r="AB33" s="87" cm="1">
        <f t="array" ref="AB33">TREND(AB23:AB32,T23:T32,T33)</f>
        <v>5783.9105432267825</v>
      </c>
      <c r="AC33" s="700" cm="1">
        <f t="array" ref="AC33">TREND(AC22:AC32,T22:T32,T33)</f>
        <v>119418.57268712974</v>
      </c>
      <c r="AD33" s="87">
        <f t="shared" si="16"/>
        <v>2.5509953409572232</v>
      </c>
      <c r="AF33" s="92">
        <v>70122.523690213275</v>
      </c>
      <c r="AG33" s="92">
        <v>171804.51243725861</v>
      </c>
      <c r="AH33" s="92">
        <f t="shared" si="15"/>
        <v>63687.303178575043</v>
      </c>
      <c r="AI33" s="193">
        <f t="shared" si="17"/>
        <v>137294.56925031758</v>
      </c>
      <c r="AJ33" s="1">
        <f t="shared" si="5"/>
        <v>-0.20086750165857103</v>
      </c>
      <c r="AL33" s="454">
        <f t="shared" si="6"/>
        <v>39013.064520487045</v>
      </c>
      <c r="AM33" s="107">
        <f t="shared" si="7"/>
        <v>21180.589589216575</v>
      </c>
      <c r="AN33" s="50">
        <f t="shared" si="8"/>
        <v>60193.654109703624</v>
      </c>
      <c r="AO33" s="108">
        <f t="shared" si="9"/>
        <v>137294.56925031758</v>
      </c>
      <c r="AU33">
        <v>2036</v>
      </c>
      <c r="AV33" s="527">
        <f t="shared" si="34"/>
        <v>4158465.2083874261</v>
      </c>
      <c r="AW33" s="530">
        <v>2.5000000000000001E-2</v>
      </c>
      <c r="AX33" s="532">
        <f t="shared" si="33"/>
        <v>515765.83630637708</v>
      </c>
      <c r="AY33" s="527">
        <v>8062700</v>
      </c>
      <c r="BC33" s="535">
        <f t="shared" si="28"/>
        <v>4158465208387.4263</v>
      </c>
      <c r="BD33" s="537">
        <f t="shared" si="22"/>
        <v>533136565177.87518</v>
      </c>
      <c r="BE33" s="538">
        <f t="shared" si="23"/>
        <v>533.13656517787513</v>
      </c>
      <c r="BI33" s="538">
        <f t="shared" si="29"/>
        <v>66123.825167484247</v>
      </c>
      <c r="BJ33" s="538">
        <f t="shared" si="24"/>
        <v>66.123825167484242</v>
      </c>
      <c r="BO33" s="538">
        <f t="shared" si="30"/>
        <v>8.0626999999999995</v>
      </c>
    </row>
    <row r="34" spans="1:67">
      <c r="A34">
        <v>2037</v>
      </c>
      <c r="B34" s="447">
        <f t="shared" si="25"/>
        <v>8.0751000000000008</v>
      </c>
      <c r="C34" s="447">
        <f t="shared" si="31"/>
        <v>4.2412169239688531</v>
      </c>
      <c r="D34" s="447">
        <f t="shared" si="32"/>
        <v>3.5247301507066631</v>
      </c>
      <c r="E34" s="447">
        <f t="shared" si="13"/>
        <v>4.4100546209519305</v>
      </c>
      <c r="F34" s="447">
        <f t="shared" si="14"/>
        <v>3.6650453790480699</v>
      </c>
      <c r="G34" s="49">
        <f t="shared" si="20"/>
        <v>546.46497930732198</v>
      </c>
      <c r="H34" s="49">
        <f t="shared" si="21"/>
        <v>67.672843594174935</v>
      </c>
      <c r="I34" s="526">
        <v>2.6</v>
      </c>
      <c r="J34" s="96">
        <v>2.7726065573770526</v>
      </c>
      <c r="K34" s="96">
        <v>122.99689444444448</v>
      </c>
      <c r="L34" s="96">
        <v>54.189999999999941</v>
      </c>
      <c r="T34">
        <v>2037</v>
      </c>
      <c r="V34" s="56"/>
      <c r="W34" s="56"/>
      <c r="X34" s="56"/>
      <c r="Y34" s="700">
        <f t="shared" si="26"/>
        <v>39492.110366433932</v>
      </c>
      <c r="Z34" s="87" cm="1">
        <f t="array" ref="Z34">TREND(Z18:Z33,T18:T33,T34)</f>
        <v>8955.0161530446931</v>
      </c>
      <c r="AA34" s="700">
        <f>AB34*F34</f>
        <v>21321.880713671315</v>
      </c>
      <c r="AB34" s="87" cm="1">
        <f t="array" ref="AB34">TREND(AB24:AB33,T24:T33,T34)</f>
        <v>5817.6307544681185</v>
      </c>
      <c r="AC34" s="700" cm="1">
        <f t="array" ref="AC34">TREND(AC23:AC33,T23:T33,T34)</f>
        <v>119421.73253443601</v>
      </c>
      <c r="AD34" s="87">
        <f t="shared" si="16"/>
        <v>2.5509953409572232</v>
      </c>
      <c r="AF34" s="92">
        <v>70468.89613578812</v>
      </c>
      <c r="AG34" s="92">
        <v>175134.40620192804</v>
      </c>
      <c r="AH34" s="92">
        <f t="shared" si="15"/>
        <v>63687.303178575043</v>
      </c>
      <c r="AI34" s="193">
        <f t="shared" si="17"/>
        <v>138238.4375264718</v>
      </c>
      <c r="AJ34" s="1">
        <f t="shared" si="5"/>
        <v>-0.21067230292210884</v>
      </c>
      <c r="AL34" s="454">
        <f t="shared" si="6"/>
        <v>39492.110366433932</v>
      </c>
      <c r="AM34" s="107">
        <f t="shared" si="7"/>
        <v>21321.880713671315</v>
      </c>
      <c r="AN34" s="50">
        <f t="shared" si="8"/>
        <v>60813.991080105247</v>
      </c>
      <c r="AO34" s="108">
        <f t="shared" si="9"/>
        <v>138238.4375264718</v>
      </c>
      <c r="AU34">
        <v>2037</v>
      </c>
      <c r="AV34" s="527">
        <f t="shared" si="34"/>
        <v>4262426.8385971114</v>
      </c>
      <c r="AW34" s="530">
        <v>2.5000000000000001E-2</v>
      </c>
      <c r="AX34" s="532">
        <f t="shared" si="33"/>
        <v>527848.18003456446</v>
      </c>
      <c r="AY34" s="527">
        <v>8075100</v>
      </c>
      <c r="BC34" s="535">
        <f t="shared" si="28"/>
        <v>4262426838597.1113</v>
      </c>
      <c r="BD34" s="537">
        <f t="shared" si="22"/>
        <v>546464979307.32196</v>
      </c>
      <c r="BE34" s="538">
        <f t="shared" si="23"/>
        <v>546.46497930732198</v>
      </c>
      <c r="BI34" s="538">
        <f t="shared" si="29"/>
        <v>67672.843594174934</v>
      </c>
      <c r="BJ34" s="538">
        <f t="shared" si="24"/>
        <v>67.672843594174935</v>
      </c>
      <c r="BO34" s="538">
        <f t="shared" si="30"/>
        <v>8.0751000000000008</v>
      </c>
    </row>
    <row r="35" spans="1:67">
      <c r="A35">
        <v>2038</v>
      </c>
      <c r="B35" s="447">
        <f t="shared" si="25"/>
        <v>8.0875000000000004</v>
      </c>
      <c r="C35" s="447">
        <f t="shared" si="31"/>
        <v>4.2554025962215221</v>
      </c>
      <c r="D35" s="447">
        <f t="shared" si="32"/>
        <v>3.532004706085953</v>
      </c>
      <c r="E35" s="447">
        <f t="shared" si="13"/>
        <v>4.4193872441658391</v>
      </c>
      <c r="F35" s="447">
        <f t="shared" si="14"/>
        <v>3.6681127558341617</v>
      </c>
      <c r="G35" s="49">
        <f t="shared" si="20"/>
        <v>560.12660379000499</v>
      </c>
      <c r="H35" s="49">
        <f t="shared" si="21"/>
        <v>69.258312678825959</v>
      </c>
      <c r="I35" s="526">
        <v>2.6</v>
      </c>
      <c r="J35" s="96">
        <v>2.7598032786885263</v>
      </c>
      <c r="K35" s="96">
        <v>123.63376666666657</v>
      </c>
      <c r="L35" s="96">
        <v>54.559999999999945</v>
      </c>
      <c r="T35">
        <v>2038</v>
      </c>
      <c r="V35" s="56"/>
      <c r="W35" s="56"/>
      <c r="X35" s="56"/>
      <c r="Y35" s="700">
        <f t="shared" si="26"/>
        <v>39878.603667303265</v>
      </c>
      <c r="Z35" s="87" cm="1">
        <f t="array" ref="Z35">TREND(Z19:Z34,T19:T34,T35)</f>
        <v>9023.559481000033</v>
      </c>
      <c r="AA35" s="700">
        <f>AB35*F35</f>
        <v>21478.484742693188</v>
      </c>
      <c r="AB35" s="87" cm="1">
        <f t="array" ref="AB35">TREND(AB25:AB34,T25:T34,T35)</f>
        <v>5855.4592435937229</v>
      </c>
      <c r="AC35" s="700" cm="1">
        <f t="array" ref="AC35">TREND(AC24:AC34,T24:T34,T35)</f>
        <v>119404.81816992225</v>
      </c>
      <c r="AD35" s="87">
        <f t="shared" si="16"/>
        <v>2.5509953409572232</v>
      </c>
      <c r="AF35" s="92">
        <v>70810.13765477523</v>
      </c>
      <c r="AG35" s="92">
        <v>178552.28236383852</v>
      </c>
      <c r="AH35" s="92">
        <f t="shared" si="15"/>
        <v>63687.303178575043</v>
      </c>
      <c r="AI35" s="193">
        <f t="shared" si="17"/>
        <v>139182.30580262595</v>
      </c>
      <c r="AJ35" s="1">
        <f t="shared" si="5"/>
        <v>-0.22049550999851014</v>
      </c>
      <c r="AL35" s="454">
        <f t="shared" si="6"/>
        <v>39878.603667303265</v>
      </c>
      <c r="AM35" s="107">
        <f t="shared" si="7"/>
        <v>21478.484742693188</v>
      </c>
      <c r="AN35" s="50">
        <f t="shared" si="8"/>
        <v>61357.088409996453</v>
      </c>
      <c r="AO35" s="108">
        <f t="shared" si="9"/>
        <v>139182.30580262595</v>
      </c>
      <c r="AU35">
        <v>2038</v>
      </c>
      <c r="AV35" s="527">
        <f t="shared" si="34"/>
        <v>4368987.5095620388</v>
      </c>
      <c r="AW35" s="530">
        <v>2.5000000000000001E-2</v>
      </c>
      <c r="AX35" s="532">
        <f t="shared" si="33"/>
        <v>540214.83889484243</v>
      </c>
      <c r="AY35" s="527">
        <v>8087500</v>
      </c>
      <c r="BC35" s="535">
        <f t="shared" si="28"/>
        <v>4368987509562.0386</v>
      </c>
      <c r="BD35" s="537">
        <f t="shared" si="22"/>
        <v>560126603790.005</v>
      </c>
      <c r="BE35" s="538">
        <f t="shared" si="23"/>
        <v>560.12660379000499</v>
      </c>
      <c r="BI35" s="538">
        <f t="shared" si="29"/>
        <v>69258.312678825954</v>
      </c>
      <c r="BJ35" s="538">
        <f t="shared" si="24"/>
        <v>69.258312678825959</v>
      </c>
      <c r="BO35" s="538">
        <f t="shared" si="30"/>
        <v>8.0875000000000004</v>
      </c>
    </row>
    <row r="36" spans="1:67">
      <c r="A36">
        <v>2039</v>
      </c>
      <c r="B36" s="447">
        <f t="shared" si="25"/>
        <v>8.0974000000000004</v>
      </c>
      <c r="C36" s="447">
        <f t="shared" si="31"/>
        <v>4.2695882684741875</v>
      </c>
      <c r="D36" s="447">
        <f t="shared" si="32"/>
        <v>3.5392792614652429</v>
      </c>
      <c r="E36" s="447">
        <f t="shared" si="13"/>
        <v>4.4273467199425083</v>
      </c>
      <c r="F36" s="447">
        <f t="shared" si="14"/>
        <v>3.670053280057493</v>
      </c>
      <c r="G36" s="49">
        <f t="shared" si="20"/>
        <v>574.12976888475509</v>
      </c>
      <c r="H36" s="49">
        <f t="shared" si="21"/>
        <v>70.902977361221517</v>
      </c>
      <c r="I36" s="526">
        <v>2.6</v>
      </c>
      <c r="J36" s="96">
        <v>2.7470000000000034</v>
      </c>
      <c r="K36" s="96">
        <v>124.27063888888884</v>
      </c>
      <c r="L36" s="96">
        <v>54.92999999999995</v>
      </c>
      <c r="T36">
        <v>2039</v>
      </c>
      <c r="V36" s="56"/>
      <c r="W36" s="56"/>
      <c r="X36" s="56"/>
      <c r="Y36" s="700">
        <f t="shared" si="26"/>
        <v>40255.864323447087</v>
      </c>
      <c r="Z36" s="87" cm="1">
        <f t="array" ref="Z36">TREND(Z20:Z35,T20:T35,T36)</f>
        <v>9092.5483974676899</v>
      </c>
      <c r="AA36" s="700">
        <f>AB36*F36</f>
        <v>21647.745685042984</v>
      </c>
      <c r="AB36" s="87" cm="1">
        <f t="array" ref="AB36">TREND(AB26:AB35,T26:T35,T36)</f>
        <v>5898.4826739910059</v>
      </c>
      <c r="AC36" s="700" cm="1">
        <f t="array" ref="AC36">TREND(AC25:AC35,T25:T35,T36)</f>
        <v>119369.67679753303</v>
      </c>
      <c r="AD36" s="87">
        <f t="shared" si="16"/>
        <v>2.5509953409572232</v>
      </c>
      <c r="AF36" s="92">
        <v>71146.740118657792</v>
      </c>
      <c r="AG36" s="92">
        <v>182058.14092298946</v>
      </c>
      <c r="AH36" s="92">
        <f t="shared" si="15"/>
        <v>63687.303178575043</v>
      </c>
      <c r="AI36" s="193">
        <f t="shared" si="17"/>
        <v>140126.17407878014</v>
      </c>
      <c r="AJ36" s="1">
        <f t="shared" si="5"/>
        <v>-0.23032184461307079</v>
      </c>
      <c r="AL36" s="454">
        <f t="shared" si="6"/>
        <v>40255.864323447087</v>
      </c>
      <c r="AM36" s="107">
        <f t="shared" si="7"/>
        <v>21647.745685042984</v>
      </c>
      <c r="AN36" s="50">
        <f t="shared" si="8"/>
        <v>61903.610008490068</v>
      </c>
      <c r="AO36" s="108">
        <f t="shared" si="9"/>
        <v>140126.17407878014</v>
      </c>
      <c r="AU36">
        <v>2039</v>
      </c>
      <c r="AV36" s="527">
        <f t="shared" si="34"/>
        <v>4478212.1973010898</v>
      </c>
      <c r="AW36" s="530">
        <v>2.5000000000000001E-2</v>
      </c>
      <c r="AX36" s="532">
        <f t="shared" si="33"/>
        <v>553043.22341752786</v>
      </c>
      <c r="AY36" s="527">
        <v>8097400</v>
      </c>
      <c r="BC36" s="535">
        <f t="shared" si="28"/>
        <v>4478212197301.0898</v>
      </c>
      <c r="BD36" s="537">
        <f t="shared" si="22"/>
        <v>574129768884.75513</v>
      </c>
      <c r="BE36" s="538">
        <f t="shared" si="23"/>
        <v>574.12976888475509</v>
      </c>
      <c r="BI36" s="538">
        <f t="shared" si="29"/>
        <v>70902.977361221521</v>
      </c>
      <c r="BJ36" s="538">
        <f t="shared" si="24"/>
        <v>70.902977361221517</v>
      </c>
      <c r="BO36" s="538">
        <f t="shared" si="30"/>
        <v>8.0974000000000004</v>
      </c>
    </row>
    <row r="37" spans="1:67">
      <c r="A37">
        <v>2040</v>
      </c>
      <c r="B37" s="447">
        <f t="shared" si="25"/>
        <v>8.1049000000000007</v>
      </c>
      <c r="C37" s="447">
        <f t="shared" si="31"/>
        <v>4.2837739407268565</v>
      </c>
      <c r="D37" s="447">
        <f t="shared" si="32"/>
        <v>3.5465538168445327</v>
      </c>
      <c r="E37" s="447">
        <f t="shared" si="13"/>
        <v>4.4339854584791381</v>
      </c>
      <c r="F37" s="447">
        <f t="shared" si="14"/>
        <v>3.6709145415208622</v>
      </c>
      <c r="G37" s="49">
        <f t="shared" si="20"/>
        <v>588.48301310687407</v>
      </c>
      <c r="H37" s="49">
        <f t="shared" si="21"/>
        <v>72.608300300666755</v>
      </c>
      <c r="I37" s="526">
        <v>2.6</v>
      </c>
      <c r="J37" s="96">
        <v>2.7341967213114771</v>
      </c>
      <c r="K37" s="96">
        <v>124.90751111111111</v>
      </c>
      <c r="L37" s="96">
        <v>55.299999999999955</v>
      </c>
      <c r="T37">
        <v>2040</v>
      </c>
      <c r="V37" s="56"/>
      <c r="W37" s="56"/>
      <c r="X37" s="56"/>
      <c r="Y37" s="700">
        <f t="shared" si="26"/>
        <v>40620.062339269971</v>
      </c>
      <c r="Z37" s="87" cm="1">
        <f t="array" ref="Z37">TREND(Z21:Z36,T21:T36,T37)</f>
        <v>9161.0725203421607</v>
      </c>
      <c r="AA37" s="700">
        <f>AB37*F37</f>
        <v>21816.114037290019</v>
      </c>
      <c r="AB37" s="87" cm="1">
        <f t="array" ref="AB37">TREND(AB27:AB36,T27:T36,T37)</f>
        <v>5942.9642914682481</v>
      </c>
      <c r="AC37" s="700" cm="1">
        <f t="array" ref="AC37">TREND(AC26:AC36,T26:T36,T37)</f>
        <v>119303.44224957605</v>
      </c>
      <c r="AD37" s="87">
        <f t="shared" si="16"/>
        <v>2.5509953409572232</v>
      </c>
      <c r="AF37" s="92">
        <v>71478.242604225554</v>
      </c>
      <c r="AG37" s="92">
        <v>185651.98187938135</v>
      </c>
      <c r="AH37" s="92">
        <f t="shared" si="15"/>
        <v>63687.303178575043</v>
      </c>
      <c r="AI37" s="193">
        <f t="shared" si="17"/>
        <v>141070.04235493432</v>
      </c>
      <c r="AJ37" s="1">
        <f t="shared" si="5"/>
        <v>-0.24013715917889875</v>
      </c>
      <c r="AL37" s="454">
        <f t="shared" si="6"/>
        <v>40620.062339269971</v>
      </c>
      <c r="AM37" s="107">
        <f t="shared" si="7"/>
        <v>21816.114037290019</v>
      </c>
      <c r="AN37" s="50">
        <f t="shared" si="8"/>
        <v>62436.17637655999</v>
      </c>
      <c r="AO37" s="108">
        <f t="shared" si="9"/>
        <v>141070.04235493432</v>
      </c>
      <c r="AU37">
        <v>2040</v>
      </c>
      <c r="AV37" s="527">
        <f t="shared" si="34"/>
        <v>4590167.502233617</v>
      </c>
      <c r="AW37" s="530">
        <v>2.5000000000000001E-2</v>
      </c>
      <c r="AX37" s="532">
        <f t="shared" si="33"/>
        <v>566344.74234520074</v>
      </c>
      <c r="AY37" s="527">
        <v>8104900</v>
      </c>
      <c r="BC37" s="535">
        <f t="shared" si="28"/>
        <v>4590167502233.6172</v>
      </c>
      <c r="BD37" s="537">
        <f t="shared" si="22"/>
        <v>588483013106.87402</v>
      </c>
      <c r="BE37" s="538">
        <f t="shared" si="23"/>
        <v>588.48301310687407</v>
      </c>
      <c r="BI37" s="538">
        <f t="shared" si="29"/>
        <v>72608.300300666757</v>
      </c>
      <c r="BJ37" s="538">
        <f t="shared" si="24"/>
        <v>72.608300300666755</v>
      </c>
      <c r="BO37" s="538">
        <f t="shared" si="30"/>
        <v>8.1049000000000007</v>
      </c>
    </row>
    <row r="38" spans="1:67">
      <c r="A38">
        <v>2041</v>
      </c>
      <c r="B38" s="447">
        <f t="shared" si="25"/>
        <v>8.1084999999999994</v>
      </c>
      <c r="C38" s="447">
        <f t="shared" si="31"/>
        <v>4.2979596129795254</v>
      </c>
      <c r="D38" s="447">
        <f t="shared" si="32"/>
        <v>3.5538283722238244</v>
      </c>
      <c r="E38" s="447">
        <f t="shared" si="13"/>
        <v>4.4384802019003979</v>
      </c>
      <c r="F38" s="447">
        <f t="shared" si="14"/>
        <v>3.6700197980996019</v>
      </c>
      <c r="G38" s="49">
        <f t="shared" si="20"/>
        <v>603.19508843454582</v>
      </c>
      <c r="H38" s="49">
        <f t="shared" si="21"/>
        <v>74.390465367767874</v>
      </c>
      <c r="I38" s="526">
        <v>2.6</v>
      </c>
      <c r="J38" s="96">
        <v>2.7213934426229542</v>
      </c>
      <c r="K38" s="96">
        <v>125.54438333333336</v>
      </c>
      <c r="L38" s="96">
        <v>55.669999999999959</v>
      </c>
      <c r="T38">
        <v>2041</v>
      </c>
      <c r="V38" s="56"/>
      <c r="W38" s="56"/>
      <c r="X38" s="56"/>
      <c r="Y38" s="700">
        <f t="shared" si="26"/>
        <v>40955.41109377228</v>
      </c>
      <c r="Z38" s="87" cm="1">
        <f t="array" ref="Z38">TREND(Z22:Z37,T22:T37,T38)</f>
        <v>9227.3501808652072</v>
      </c>
      <c r="AA38" s="700">
        <f>AB38*F38</f>
        <v>21938.181072188563</v>
      </c>
      <c r="AB38" s="87" cm="1">
        <f t="array" ref="AB38">TREND(AB28:AB37,T28:T37,T38)</f>
        <v>5977.6737671956216</v>
      </c>
      <c r="AC38" s="700" cm="1">
        <f t="array" ref="AC38">TREND(AC27:AC37,T27:T37,T38)</f>
        <v>119186.50978985523</v>
      </c>
      <c r="AD38" s="87">
        <f t="shared" si="16"/>
        <v>2.5509953409572232</v>
      </c>
      <c r="AF38" s="92">
        <v>71803.865208677569</v>
      </c>
      <c r="AG38" s="92">
        <v>189333.80523301405</v>
      </c>
      <c r="AH38" s="92">
        <f t="shared" si="15"/>
        <v>63687.303178575043</v>
      </c>
      <c r="AI38" s="193">
        <f t="shared" si="17"/>
        <v>142013.91063108851</v>
      </c>
      <c r="AJ38" s="1">
        <f t="shared" si="5"/>
        <v>-0.24992839785630838</v>
      </c>
      <c r="AL38" s="454">
        <f t="shared" si="6"/>
        <v>40955.41109377228</v>
      </c>
      <c r="AM38" s="107">
        <f t="shared" si="7"/>
        <v>21938.181072188563</v>
      </c>
      <c r="AN38" s="50">
        <f t="shared" si="8"/>
        <v>62893.592165960843</v>
      </c>
      <c r="AO38" s="108">
        <f t="shared" si="9"/>
        <v>142013.91063108851</v>
      </c>
      <c r="AU38">
        <v>2041</v>
      </c>
      <c r="AV38" s="527">
        <f t="shared" si="34"/>
        <v>4704921.6897894572</v>
      </c>
      <c r="AW38" s="530">
        <v>2.5000000000000001E-2</v>
      </c>
      <c r="AX38" s="532">
        <f t="shared" si="33"/>
        <v>580245.62986858934</v>
      </c>
      <c r="AY38" s="527">
        <v>8108500</v>
      </c>
      <c r="BC38" s="535">
        <f t="shared" si="28"/>
        <v>4704921689789.457</v>
      </c>
      <c r="BD38" s="537">
        <f t="shared" si="22"/>
        <v>603195088434.54578</v>
      </c>
      <c r="BE38" s="538">
        <f t="shared" si="23"/>
        <v>603.19508843454582</v>
      </c>
      <c r="BI38" s="538">
        <f t="shared" si="29"/>
        <v>74390.465367767873</v>
      </c>
      <c r="BJ38" s="538">
        <f t="shared" si="24"/>
        <v>74.390465367767874</v>
      </c>
      <c r="BO38" s="538">
        <f t="shared" si="30"/>
        <v>8.1084999999999994</v>
      </c>
    </row>
    <row r="39" spans="1:67">
      <c r="A39">
        <v>2042</v>
      </c>
      <c r="B39" s="447">
        <f t="shared" si="25"/>
        <v>8.1083999999999996</v>
      </c>
      <c r="C39" s="447">
        <f t="shared" si="31"/>
        <v>4.3121452852321944</v>
      </c>
      <c r="D39" s="447">
        <f t="shared" si="32"/>
        <v>3.5611029276031143</v>
      </c>
      <c r="E39" s="447">
        <f t="shared" si="13"/>
        <v>4.4409369405851988</v>
      </c>
      <c r="F39" s="447">
        <f t="shared" si="14"/>
        <v>3.6674630594148003</v>
      </c>
      <c r="G39" s="49">
        <f t="shared" si="20"/>
        <v>618.27496564540945</v>
      </c>
      <c r="H39" s="49">
        <f t="shared" si="21"/>
        <v>76.251167387574554</v>
      </c>
      <c r="I39" s="526">
        <v>2.6</v>
      </c>
      <c r="J39" s="96">
        <v>2.7085901639344279</v>
      </c>
      <c r="K39" s="96">
        <v>126.18125555555547</v>
      </c>
      <c r="L39" s="96">
        <v>56.039999999999964</v>
      </c>
      <c r="T39">
        <v>2042</v>
      </c>
      <c r="V39" s="56"/>
      <c r="W39" s="56"/>
      <c r="X39" s="56"/>
      <c r="Y39" s="700">
        <f t="shared" si="26"/>
        <v>41263.383240683492</v>
      </c>
      <c r="Z39" s="87" cm="1">
        <f t="array" ref="Z39">TREND(Z23:Z38,T23:T38,T39)</f>
        <v>9291.5940470990026</v>
      </c>
      <c r="AA39" s="700">
        <f>AB39*F39</f>
        <v>22046.069289184834</v>
      </c>
      <c r="AB39" s="87" cm="1">
        <f t="array" ref="AB39">TREND(AB29:AB38,T29:T38,T39)</f>
        <v>6011.2587180912524</v>
      </c>
      <c r="AC39" s="700" cm="1">
        <f t="array" ref="AC39">TREND(AC28:AC38,T28:T38,T39)</f>
        <v>119096.96601120433</v>
      </c>
      <c r="AD39" s="87">
        <f t="shared" si="16"/>
        <v>2.5509953409572232</v>
      </c>
      <c r="AF39" s="92">
        <v>72123.452299555065</v>
      </c>
      <c r="AG39" s="92">
        <v>193103.61098388757</v>
      </c>
      <c r="AH39" s="92">
        <f t="shared" si="15"/>
        <v>63687.303178575043</v>
      </c>
      <c r="AI39" s="193">
        <f t="shared" si="17"/>
        <v>142957.7789072427</v>
      </c>
      <c r="AJ39" s="1">
        <f t="shared" si="5"/>
        <v>-0.25968355444595498</v>
      </c>
      <c r="AL39" s="454">
        <f t="shared" si="6"/>
        <v>41263.383240683492</v>
      </c>
      <c r="AM39" s="107">
        <f t="shared" si="7"/>
        <v>22046.069289184834</v>
      </c>
      <c r="AN39" s="50">
        <f t="shared" si="8"/>
        <v>63309.452529868329</v>
      </c>
      <c r="AO39" s="108">
        <f t="shared" si="9"/>
        <v>142957.7789072427</v>
      </c>
      <c r="AU39">
        <v>2042</v>
      </c>
      <c r="AV39" s="527">
        <f t="shared" si="34"/>
        <v>4822544.7320341934</v>
      </c>
      <c r="AW39" s="530">
        <v>2.5000000000000001E-2</v>
      </c>
      <c r="AX39" s="532">
        <f t="shared" si="33"/>
        <v>594759.10562308144</v>
      </c>
      <c r="AY39" s="527">
        <v>8108400</v>
      </c>
      <c r="BC39" s="535">
        <f t="shared" si="28"/>
        <v>4822544732034.1934</v>
      </c>
      <c r="BD39" s="537">
        <f t="shared" si="22"/>
        <v>618274965645.40942</v>
      </c>
      <c r="BE39" s="538">
        <f t="shared" si="23"/>
        <v>618.27496564540945</v>
      </c>
      <c r="BI39" s="538">
        <f t="shared" si="29"/>
        <v>76251.167387574547</v>
      </c>
      <c r="BJ39" s="538">
        <f t="shared" si="24"/>
        <v>76.251167387574554</v>
      </c>
      <c r="BO39" s="538">
        <f t="shared" si="30"/>
        <v>8.1083999999999996</v>
      </c>
    </row>
    <row r="40" spans="1:67">
      <c r="A40">
        <v>2043</v>
      </c>
      <c r="B40" s="447">
        <f t="shared" si="25"/>
        <v>8.1060999999999996</v>
      </c>
      <c r="C40" s="447">
        <f t="shared" si="31"/>
        <v>4.3263309574848599</v>
      </c>
      <c r="D40" s="447">
        <f t="shared" si="32"/>
        <v>3.5683774829824042</v>
      </c>
      <c r="E40" s="447">
        <f t="shared" si="13"/>
        <v>4.4421743550028241</v>
      </c>
      <c r="F40" s="447">
        <f t="shared" si="14"/>
        <v>3.6639256449971751</v>
      </c>
      <c r="G40" s="49">
        <f t="shared" si="20"/>
        <v>633.73183978654458</v>
      </c>
      <c r="H40" s="49">
        <f t="shared" si="21"/>
        <v>78.179622726902522</v>
      </c>
      <c r="I40" s="526">
        <v>2.6</v>
      </c>
      <c r="J40" s="96">
        <v>2.695786885245905</v>
      </c>
      <c r="K40" s="96">
        <v>126.81812777777773</v>
      </c>
      <c r="L40" s="96">
        <v>56.409999999999968</v>
      </c>
      <c r="T40">
        <v>2043</v>
      </c>
      <c r="V40" s="56"/>
      <c r="W40" s="56"/>
      <c r="X40" s="56"/>
      <c r="Y40" s="700">
        <f t="shared" si="26"/>
        <v>41555.58909804008</v>
      </c>
      <c r="Z40" s="87" cm="1">
        <f t="array" ref="Z40">TREND(Z24:Z39,T24:T39,T40)</f>
        <v>9354.7856921103812</v>
      </c>
      <c r="AA40" s="700">
        <f>AB40*F40</f>
        <v>22162.135842401472</v>
      </c>
      <c r="AB40" s="87" cm="1">
        <f t="array" ref="AB40">TREND(AB30:AB39,T30:T39,T40)</f>
        <v>6048.7406104057445</v>
      </c>
      <c r="AC40" s="700" cm="1">
        <f t="array" ref="AC40">TREND(AC29:AC39,T29:T39,T40)</f>
        <v>119171.5658512142</v>
      </c>
      <c r="AD40" s="87">
        <f t="shared" si="16"/>
        <v>2.5509953409572232</v>
      </c>
      <c r="AF40" s="92">
        <v>72438.352051571419</v>
      </c>
      <c r="AG40" s="92">
        <v>196961.3991320018</v>
      </c>
      <c r="AH40" s="92">
        <f t="shared" si="15"/>
        <v>63687.303178575043</v>
      </c>
      <c r="AI40" s="193">
        <f t="shared" si="17"/>
        <v>143901.64718339688</v>
      </c>
      <c r="AJ40" s="1">
        <f t="shared" si="5"/>
        <v>-0.26939162791509585</v>
      </c>
      <c r="AL40" s="454">
        <f t="shared" si="6"/>
        <v>41555.58909804008</v>
      </c>
      <c r="AM40" s="107">
        <f t="shared" si="7"/>
        <v>22162.135842401472</v>
      </c>
      <c r="AN40" s="50">
        <f t="shared" si="8"/>
        <v>63717.724940441549</v>
      </c>
      <c r="AO40" s="108">
        <f t="shared" si="9"/>
        <v>143901.64718339688</v>
      </c>
      <c r="AU40">
        <v>2043</v>
      </c>
      <c r="AV40" s="527">
        <f t="shared" si="34"/>
        <v>4943108.3503350476</v>
      </c>
      <c r="AW40" s="530">
        <v>2.5000000000000001E-2</v>
      </c>
      <c r="AX40" s="532">
        <f t="shared" si="33"/>
        <v>609801.05726983969</v>
      </c>
      <c r="AY40" s="527">
        <v>8106100</v>
      </c>
      <c r="BC40" s="535">
        <f t="shared" si="28"/>
        <v>4943108350335.0479</v>
      </c>
      <c r="BD40" s="537">
        <f t="shared" si="22"/>
        <v>633731839786.54456</v>
      </c>
      <c r="BE40" s="538">
        <f t="shared" si="23"/>
        <v>633.73183978654458</v>
      </c>
      <c r="BI40" s="538">
        <f t="shared" si="29"/>
        <v>78179.622726902526</v>
      </c>
      <c r="BJ40" s="538">
        <f t="shared" si="24"/>
        <v>78.179622726902522</v>
      </c>
      <c r="BO40" s="538">
        <f t="shared" si="30"/>
        <v>8.1060999999999996</v>
      </c>
    </row>
    <row r="41" spans="1:67">
      <c r="A41">
        <v>2044</v>
      </c>
      <c r="B41" s="447">
        <f t="shared" si="25"/>
        <v>8.1012000000000004</v>
      </c>
      <c r="C41" s="447">
        <f t="shared" si="31"/>
        <v>4.3405166297375288</v>
      </c>
      <c r="D41" s="447">
        <f t="shared" si="32"/>
        <v>3.5756520383616959</v>
      </c>
      <c r="E41" s="447">
        <f t="shared" si="13"/>
        <v>4.4419712104584121</v>
      </c>
      <c r="F41" s="447">
        <f t="shared" si="14"/>
        <v>3.6592287895415883</v>
      </c>
      <c r="G41" s="49">
        <f t="shared" si="20"/>
        <v>649.57513578120813</v>
      </c>
      <c r="H41" s="49">
        <f t="shared" si="21"/>
        <v>80.182582306474117</v>
      </c>
      <c r="I41" s="526">
        <v>2.6</v>
      </c>
      <c r="J41" s="96">
        <v>2.6829836065573787</v>
      </c>
      <c r="K41" s="96">
        <v>127.45500000000001</v>
      </c>
      <c r="L41" s="96">
        <v>56.779999999999973</v>
      </c>
      <c r="T41">
        <v>2044</v>
      </c>
      <c r="V41" s="56"/>
      <c r="W41" s="56"/>
      <c r="X41" s="56"/>
      <c r="Y41" s="700">
        <f t="shared" si="26"/>
        <v>41824.825174778431</v>
      </c>
      <c r="Z41" s="87" cm="1">
        <f t="array" ref="Z41">TREND(Z25:Z40,T25:T40,T41)</f>
        <v>9415.8253606650687</v>
      </c>
      <c r="AA41" s="700">
        <f>AB41*F41</f>
        <v>22273.530946669791</v>
      </c>
      <c r="AB41" s="87" cm="1">
        <f t="array" ref="AB41">TREND(AB31:AB40,T31:T40,T41)</f>
        <v>6086.9467933597334</v>
      </c>
      <c r="AC41" s="700" cm="1">
        <f t="array" ref="AC41">TREND(AC30:AC40,T30:T40,T41)</f>
        <v>119146.22433015541</v>
      </c>
      <c r="AD41" s="87">
        <f t="shared" si="16"/>
        <v>2.5509953409572232</v>
      </c>
      <c r="AF41" s="92">
        <v>72747.731220703572</v>
      </c>
      <c r="AG41" s="92">
        <v>200907.16967735731</v>
      </c>
      <c r="AH41" s="92">
        <f t="shared" si="15"/>
        <v>63687.303178575043</v>
      </c>
      <c r="AI41" s="193">
        <f t="shared" si="17"/>
        <v>144845.51545955104</v>
      </c>
      <c r="AJ41" s="1">
        <f t="shared" si="5"/>
        <v>-0.27904257626961404</v>
      </c>
      <c r="AL41" s="454">
        <f t="shared" si="6"/>
        <v>41824.825174778431</v>
      </c>
      <c r="AM41" s="107">
        <f t="shared" si="7"/>
        <v>22273.530946669791</v>
      </c>
      <c r="AN41" s="50">
        <f t="shared" si="8"/>
        <v>64098.356121448218</v>
      </c>
      <c r="AO41" s="108">
        <f t="shared" si="9"/>
        <v>144845.51545955104</v>
      </c>
      <c r="AU41">
        <v>2044</v>
      </c>
      <c r="AV41" s="527">
        <f t="shared" si="34"/>
        <v>5066686.0590934232</v>
      </c>
      <c r="AW41" s="530">
        <v>2.5000000000000001E-2</v>
      </c>
      <c r="AX41" s="532">
        <f t="shared" si="33"/>
        <v>625424.14199049806</v>
      </c>
      <c r="AY41" s="527">
        <v>8101200</v>
      </c>
      <c r="BC41" s="535">
        <f t="shared" si="28"/>
        <v>5066686059093.4229</v>
      </c>
      <c r="BD41" s="537">
        <f t="shared" si="22"/>
        <v>649575135781.20813</v>
      </c>
      <c r="BE41" s="538">
        <f t="shared" si="23"/>
        <v>649.57513578120813</v>
      </c>
      <c r="BI41" s="538">
        <f t="shared" si="29"/>
        <v>80182.582306474113</v>
      </c>
      <c r="BJ41" s="538">
        <f t="shared" si="24"/>
        <v>80.182582306474117</v>
      </c>
      <c r="BO41" s="538">
        <f t="shared" si="30"/>
        <v>8.1012000000000004</v>
      </c>
    </row>
    <row r="42" spans="1:67">
      <c r="A42">
        <v>2045</v>
      </c>
      <c r="B42" s="447">
        <f t="shared" si="25"/>
        <v>8.0936000000000003</v>
      </c>
      <c r="C42" s="447">
        <f t="shared" si="31"/>
        <v>4.3547023019901978</v>
      </c>
      <c r="D42" s="447">
        <f t="shared" si="32"/>
        <v>3.5829265937409858</v>
      </c>
      <c r="E42" s="447">
        <f t="shared" si="13"/>
        <v>4.4402703898569209</v>
      </c>
      <c r="F42" s="447">
        <f t="shared" si="14"/>
        <v>3.653329610143079</v>
      </c>
      <c r="G42" s="49">
        <f t="shared" si="20"/>
        <v>665.81451417573817</v>
      </c>
      <c r="H42" s="49">
        <f t="shared" si="21"/>
        <v>82.264321707983868</v>
      </c>
      <c r="I42" s="526">
        <v>2.6</v>
      </c>
      <c r="J42" s="96">
        <v>2.6701803278688558</v>
      </c>
      <c r="K42" s="96">
        <v>127.28100000000001</v>
      </c>
      <c r="L42" s="96">
        <v>57.149999999999977</v>
      </c>
      <c r="T42">
        <v>2045</v>
      </c>
      <c r="V42" s="56"/>
      <c r="W42" s="56"/>
      <c r="X42" s="56"/>
      <c r="Y42" s="700">
        <f t="shared" si="26"/>
        <v>42067.97922185465</v>
      </c>
      <c r="Z42" s="87" cm="1">
        <f t="array" ref="Z42">TREND(Z26:Z41,T26:T41,T42)</f>
        <v>9474.1931297589763</v>
      </c>
      <c r="AA42" s="700">
        <f>AB42*F42</f>
        <v>22380.888920190937</v>
      </c>
      <c r="AB42" s="87" cm="1">
        <f t="array" ref="AB42">TREND(AB32:AB41,T32:T41,T42)</f>
        <v>6126.1619696325215</v>
      </c>
      <c r="AC42" s="700" cm="1">
        <f t="array" ref="AC42">TREND(AC31:AC41,T31:T41,T42)</f>
        <v>119099.45493488551</v>
      </c>
      <c r="AD42" s="87">
        <f t="shared" si="16"/>
        <v>2.5509953409572232</v>
      </c>
      <c r="AF42" s="92">
        <v>73051.467462893226</v>
      </c>
      <c r="AG42" s="92">
        <v>204940.92261995294</v>
      </c>
      <c r="AH42" s="92">
        <f t="shared" si="15"/>
        <v>63687.303178575043</v>
      </c>
      <c r="AI42" s="193">
        <f t="shared" si="17"/>
        <v>145789.38373570525</v>
      </c>
      <c r="AJ42" s="1">
        <f t="shared" si="5"/>
        <v>-0.2886272694006537</v>
      </c>
      <c r="AL42" s="454">
        <f t="shared" si="6"/>
        <v>42067.97922185465</v>
      </c>
      <c r="AM42" s="107">
        <f t="shared" si="7"/>
        <v>22380.888920190937</v>
      </c>
      <c r="AN42" s="50">
        <f t="shared" si="8"/>
        <v>64448.868142045583</v>
      </c>
      <c r="AO42" s="108">
        <f t="shared" si="9"/>
        <v>145789.38373570525</v>
      </c>
      <c r="AU42">
        <v>2045</v>
      </c>
      <c r="AV42" s="527">
        <f t="shared" si="34"/>
        <v>5193353.2105707582</v>
      </c>
      <c r="AW42" s="530">
        <v>2.5000000000000001E-2</v>
      </c>
      <c r="AX42" s="532">
        <f t="shared" si="33"/>
        <v>641661.70932227408</v>
      </c>
      <c r="AY42" s="527">
        <v>8093600</v>
      </c>
      <c r="BC42" s="535">
        <f t="shared" si="28"/>
        <v>5193353210570.7578</v>
      </c>
      <c r="BD42" s="537">
        <f t="shared" si="22"/>
        <v>665814514175.73816</v>
      </c>
      <c r="BE42" s="538">
        <f t="shared" si="23"/>
        <v>665.81451417573817</v>
      </c>
      <c r="BI42" s="538">
        <f t="shared" si="29"/>
        <v>82264.321707983865</v>
      </c>
      <c r="BJ42" s="538">
        <f t="shared" si="24"/>
        <v>82.264321707983868</v>
      </c>
      <c r="BO42" s="538">
        <f t="shared" si="30"/>
        <v>8.0936000000000003</v>
      </c>
    </row>
    <row r="43" spans="1:67">
      <c r="A43">
        <v>2046</v>
      </c>
      <c r="B43" s="447">
        <f t="shared" si="25"/>
        <v>8.0829000000000004</v>
      </c>
      <c r="C43" s="447">
        <f t="shared" si="31"/>
        <v>4.3688879742428668</v>
      </c>
      <c r="D43" s="447">
        <f t="shared" si="32"/>
        <v>3.5902011491202757</v>
      </c>
      <c r="E43" s="447">
        <f t="shared" si="13"/>
        <v>4.4368500037710232</v>
      </c>
      <c r="F43" s="447">
        <f t="shared" si="14"/>
        <v>3.6460499962289772</v>
      </c>
      <c r="G43" s="49">
        <f t="shared" si="20"/>
        <v>682.45987703013157</v>
      </c>
      <c r="H43" s="49">
        <f t="shared" si="21"/>
        <v>84.432552305500693</v>
      </c>
      <c r="I43" s="526">
        <v>2.6</v>
      </c>
      <c r="J43" s="96">
        <v>2.6573770491803295</v>
      </c>
      <c r="K43" s="96">
        <v>127.10699999999994</v>
      </c>
      <c r="L43" s="96">
        <v>57.519999999999982</v>
      </c>
      <c r="T43">
        <v>2046</v>
      </c>
      <c r="V43" s="56"/>
      <c r="W43" s="56"/>
      <c r="X43" s="56"/>
      <c r="Y43" s="700">
        <f t="shared" si="26"/>
        <v>42310.46356955119</v>
      </c>
      <c r="Z43" s="87" cm="1">
        <f t="array" ref="Z43">TREND(Z27:Z42,T27:T42,T43)</f>
        <v>9536.1491899861721</v>
      </c>
      <c r="AA43" s="700">
        <f>AB43*F43</f>
        <v>22478.215147284896</v>
      </c>
      <c r="AB43" s="87" cm="1">
        <f t="array" ref="AB43">TREND(AB33:AB42,T33:T42,T43)</f>
        <v>6165.0869216092979</v>
      </c>
      <c r="AC43" s="700" cm="1">
        <f t="array" ref="AC43">TREND(AC32:AC42,T32:T42,T43)</f>
        <v>119049.15056218072</v>
      </c>
      <c r="AD43" s="87">
        <f t="shared" si="16"/>
        <v>2.5509953409572232</v>
      </c>
      <c r="AF43" s="92">
        <v>73349.697134095099</v>
      </c>
      <c r="AG43" s="92">
        <v>209062.65795978962</v>
      </c>
      <c r="AH43" s="92">
        <f t="shared" si="15"/>
        <v>63687.303178575043</v>
      </c>
      <c r="AI43" s="193">
        <f t="shared" si="17"/>
        <v>146733.25201185944</v>
      </c>
      <c r="AJ43" s="1">
        <f t="shared" si="5"/>
        <v>-0.29813744145507992</v>
      </c>
      <c r="AL43" s="454">
        <f t="shared" si="6"/>
        <v>42310.46356955119</v>
      </c>
      <c r="AM43" s="107">
        <f t="shared" si="7"/>
        <v>22478.215147284896</v>
      </c>
      <c r="AN43" s="50">
        <f t="shared" si="8"/>
        <v>64788.67871683609</v>
      </c>
      <c r="AO43" s="108">
        <f t="shared" si="9"/>
        <v>146733.25201185944</v>
      </c>
      <c r="AU43">
        <v>2046</v>
      </c>
      <c r="AV43" s="527">
        <f t="shared" si="34"/>
        <v>5323187.0408350267</v>
      </c>
      <c r="AW43" s="530">
        <v>2.5000000000000001E-2</v>
      </c>
      <c r="AX43" s="532">
        <f t="shared" si="33"/>
        <v>658573.9079829054</v>
      </c>
      <c r="AY43" s="527">
        <v>8082900</v>
      </c>
      <c r="BC43" s="535">
        <f t="shared" si="28"/>
        <v>5323187040835.0264</v>
      </c>
      <c r="BD43" s="537">
        <f t="shared" si="22"/>
        <v>682459877030.13159</v>
      </c>
      <c r="BE43" s="538">
        <f t="shared" si="23"/>
        <v>682.45987703013157</v>
      </c>
      <c r="BI43" s="538">
        <f t="shared" si="29"/>
        <v>84432.552305500692</v>
      </c>
      <c r="BJ43" s="538">
        <f t="shared" si="24"/>
        <v>84.432552305500693</v>
      </c>
      <c r="BO43" s="538">
        <f t="shared" si="30"/>
        <v>8.0829000000000004</v>
      </c>
    </row>
    <row r="44" spans="1:67">
      <c r="A44">
        <v>2047</v>
      </c>
      <c r="B44" s="447">
        <f t="shared" si="25"/>
        <v>8.0676000000000005</v>
      </c>
      <c r="C44" s="447">
        <f t="shared" si="31"/>
        <v>4.3830736464955322</v>
      </c>
      <c r="D44" s="447">
        <f t="shared" si="32"/>
        <v>3.5974757044995673</v>
      </c>
      <c r="E44" s="447">
        <f t="shared" si="13"/>
        <v>4.4308835639313715</v>
      </c>
      <c r="F44" s="447">
        <f t="shared" si="14"/>
        <v>3.636716436068629</v>
      </c>
      <c r="G44" s="49">
        <f t="shared" si="20"/>
        <v>699.52137395588488</v>
      </c>
      <c r="H44" s="49">
        <f t="shared" si="21"/>
        <v>86.707493425043992</v>
      </c>
      <c r="I44" s="526">
        <v>2.6</v>
      </c>
      <c r="J44" s="96">
        <v>2.6445737704918066</v>
      </c>
      <c r="K44" s="96">
        <v>126.93299999999996</v>
      </c>
      <c r="L44" s="96">
        <v>57.889999999999986</v>
      </c>
      <c r="T44">
        <v>2047</v>
      </c>
      <c r="V44" s="56"/>
      <c r="W44" s="56"/>
      <c r="X44" s="56"/>
      <c r="Y44" s="700">
        <f t="shared" si="26"/>
        <v>42515.070432748318</v>
      </c>
      <c r="Z44" s="87" cm="1">
        <f t="array" ref="Z44">TREND(Z28:Z43,T28:T43,T44)</f>
        <v>9595.167604681119</v>
      </c>
      <c r="AA44" s="700">
        <f>AB44*F44</f>
        <v>22560.54937669987</v>
      </c>
      <c r="AB44" s="87" cm="1">
        <f t="array" ref="AB44">TREND(AB34:AB43,T34:T43,T44)</f>
        <v>6203.5492107513128</v>
      </c>
      <c r="AC44" s="700" cm="1">
        <f t="array" ref="AC44">TREND(AC33:AC43,T33:T43,T44)</f>
        <v>118996.29941037617</v>
      </c>
      <c r="AD44" s="87">
        <f t="shared" si="16"/>
        <v>2.5509953409572232</v>
      </c>
      <c r="AF44" s="92">
        <v>73642.602442886477</v>
      </c>
      <c r="AG44" s="92">
        <v>213272.37569686712</v>
      </c>
      <c r="AH44" s="92">
        <f t="shared" si="15"/>
        <v>63687.303178575043</v>
      </c>
      <c r="AI44" s="193">
        <f t="shared" si="17"/>
        <v>147677.1202880136</v>
      </c>
      <c r="AJ44" s="1">
        <f t="shared" si="5"/>
        <v>-0.30756564320400681</v>
      </c>
      <c r="AL44" s="454">
        <f t="shared" si="6"/>
        <v>42515.070432748318</v>
      </c>
      <c r="AM44" s="107">
        <f t="shared" si="7"/>
        <v>22560.54937669987</v>
      </c>
      <c r="AN44" s="50">
        <f t="shared" si="8"/>
        <v>65075.619809448188</v>
      </c>
      <c r="AO44" s="108">
        <f t="shared" si="9"/>
        <v>147677.1202880136</v>
      </c>
      <c r="AU44">
        <v>2047</v>
      </c>
      <c r="AV44" s="527">
        <f t="shared" si="34"/>
        <v>5456266.7168559022</v>
      </c>
      <c r="AW44" s="530">
        <v>2.5000000000000001E-2</v>
      </c>
      <c r="AX44" s="532">
        <f t="shared" si="33"/>
        <v>676318.44871534314</v>
      </c>
      <c r="AY44" s="527">
        <v>8067600</v>
      </c>
      <c r="BC44" s="535">
        <f t="shared" si="28"/>
        <v>5456266716855.9023</v>
      </c>
      <c r="BD44" s="537">
        <f t="shared" si="22"/>
        <v>699521373955.88489</v>
      </c>
      <c r="BE44" s="538">
        <f t="shared" si="23"/>
        <v>699.52137395588488</v>
      </c>
      <c r="BI44" s="538">
        <f t="shared" si="29"/>
        <v>86707.493425043998</v>
      </c>
      <c r="BJ44" s="538">
        <f t="shared" si="24"/>
        <v>86.707493425043992</v>
      </c>
      <c r="BO44" s="538">
        <f t="shared" si="30"/>
        <v>8.0676000000000005</v>
      </c>
    </row>
    <row r="45" spans="1:67">
      <c r="A45">
        <v>2048</v>
      </c>
      <c r="B45" s="447">
        <f t="shared" si="25"/>
        <v>8.0500000000000007</v>
      </c>
      <c r="C45" s="447">
        <f t="shared" si="31"/>
        <v>4.3972593187482012</v>
      </c>
      <c r="D45" s="447">
        <f t="shared" si="32"/>
        <v>3.6047502598788572</v>
      </c>
      <c r="E45" s="447">
        <f t="shared" si="13"/>
        <v>4.4236309852051452</v>
      </c>
      <c r="F45" s="447">
        <f t="shared" si="14"/>
        <v>3.6263690147948555</v>
      </c>
      <c r="G45" s="49">
        <f t="shared" si="20"/>
        <v>717.00940830478191</v>
      </c>
      <c r="H45" s="49">
        <f t="shared" si="21"/>
        <v>89.069491714879746</v>
      </c>
      <c r="I45" s="526">
        <v>2.6</v>
      </c>
      <c r="J45" s="96">
        <v>2.6317704918032803</v>
      </c>
      <c r="K45" s="96">
        <v>126.75899999999999</v>
      </c>
      <c r="L45" s="96">
        <v>58.259999999999991</v>
      </c>
      <c r="T45">
        <v>2048</v>
      </c>
      <c r="V45" s="56"/>
      <c r="W45" s="56"/>
      <c r="X45" s="56"/>
      <c r="Y45" s="700">
        <f t="shared" si="26"/>
        <v>42726.567598507267</v>
      </c>
      <c r="Z45" s="87" cm="1">
        <f t="array" ref="Z45">TREND(Z29:Z44,T29:T44,T45)</f>
        <v>9658.709720907209</v>
      </c>
      <c r="AA45" s="700">
        <f>AB45*F45</f>
        <v>22632.084575248355</v>
      </c>
      <c r="AB45" s="87" cm="1">
        <f t="array" ref="AB45">TREND(AB35:AB44,T35:T44,T45)</f>
        <v>6240.9767133223359</v>
      </c>
      <c r="AC45" s="700" cm="1">
        <f t="array" ref="AC45">TREND(AC34:AC44,T34:T44,T45)</f>
        <v>118948.35561739317</v>
      </c>
      <c r="AD45" s="87">
        <f t="shared" si="16"/>
        <v>2.5509953409572232</v>
      </c>
      <c r="AF45" s="92">
        <v>73930.152440606384</v>
      </c>
      <c r="AG45" s="92">
        <v>217570.07583118568</v>
      </c>
      <c r="AH45" s="92">
        <f t="shared" si="15"/>
        <v>63687.303178575043</v>
      </c>
      <c r="AI45" s="193">
        <f t="shared" si="17"/>
        <v>148620.98856416781</v>
      </c>
      <c r="AJ45" s="1">
        <f t="shared" si="5"/>
        <v>-0.31690519481418022</v>
      </c>
      <c r="AL45" s="454">
        <f t="shared" si="6"/>
        <v>42726.567598507267</v>
      </c>
      <c r="AM45" s="107">
        <f t="shared" si="7"/>
        <v>22632.084575248355</v>
      </c>
      <c r="AN45" s="50">
        <f t="shared" si="8"/>
        <v>65358.652173755618</v>
      </c>
      <c r="AO45" s="108">
        <f t="shared" si="9"/>
        <v>148620.98856416781</v>
      </c>
      <c r="AU45">
        <v>2048</v>
      </c>
      <c r="AV45" s="527">
        <f t="shared" si="34"/>
        <v>5592673.3847772991</v>
      </c>
      <c r="AW45" s="530">
        <v>2.5000000000000001E-2</v>
      </c>
      <c r="AX45" s="532">
        <f t="shared" si="33"/>
        <v>694742.03537606192</v>
      </c>
      <c r="AY45" s="527">
        <v>8050000</v>
      </c>
      <c r="BC45" s="535">
        <f t="shared" si="28"/>
        <v>5592673384777.2988</v>
      </c>
      <c r="BD45" s="537">
        <f t="shared" si="22"/>
        <v>717009408304.78186</v>
      </c>
      <c r="BE45" s="538">
        <f t="shared" si="23"/>
        <v>717.00940830478191</v>
      </c>
      <c r="BI45" s="538">
        <f t="shared" si="29"/>
        <v>89069.491714879739</v>
      </c>
      <c r="BJ45" s="538">
        <f t="shared" si="24"/>
        <v>89.069491714879746</v>
      </c>
      <c r="BO45" s="538">
        <f t="shared" si="30"/>
        <v>8.0500000000000007</v>
      </c>
    </row>
    <row r="46" spans="1:67">
      <c r="A46">
        <v>2049</v>
      </c>
      <c r="B46" s="447">
        <f t="shared" si="25"/>
        <v>8.0289000000000001</v>
      </c>
      <c r="C46" s="447">
        <f t="shared" si="31"/>
        <v>4.4114449910008702</v>
      </c>
      <c r="D46" s="447">
        <f t="shared" si="32"/>
        <v>3.6120248152581471</v>
      </c>
      <c r="E46" s="447">
        <f t="shared" si="13"/>
        <v>4.4144306071441664</v>
      </c>
      <c r="F46" s="447">
        <f t="shared" si="14"/>
        <v>3.6144693928558329</v>
      </c>
      <c r="G46" s="49">
        <f t="shared" si="20"/>
        <v>734.93464351240141</v>
      </c>
      <c r="H46" s="49">
        <f t="shared" si="21"/>
        <v>91.536156075228405</v>
      </c>
      <c r="I46" s="526">
        <v>2.6</v>
      </c>
      <c r="J46" s="96">
        <v>2.6189672131147539</v>
      </c>
      <c r="K46" s="96">
        <v>126.58500000000001</v>
      </c>
      <c r="L46" s="96">
        <v>58.629999999999995</v>
      </c>
      <c r="T46">
        <v>2049</v>
      </c>
      <c r="V46" s="56"/>
      <c r="W46" s="56"/>
      <c r="X46" s="56"/>
      <c r="Y46" s="700">
        <f t="shared" si="26"/>
        <v>42917.552058211179</v>
      </c>
      <c r="Z46" s="87" cm="1">
        <f t="array" ref="Z46">TREND(Z30:Z45,T30:T45,T46)</f>
        <v>9722.1036816741107</v>
      </c>
      <c r="AA46" s="700">
        <f>AB46*F46</f>
        <v>22690.680713728823</v>
      </c>
      <c r="AB46" s="87" cm="1">
        <f t="array" ref="AB46">TREND(AB36:AB45,T36:T45,T46)</f>
        <v>6277.7349169363588</v>
      </c>
      <c r="AC46" s="700" cm="1">
        <f t="array" ref="AC46">TREND(AC35:AC45,T35:T45,T46)</f>
        <v>118906.75767869345</v>
      </c>
      <c r="AD46" s="87">
        <f t="shared" si="16"/>
        <v>2.5509953409572232</v>
      </c>
      <c r="AF46" s="92">
        <v>74212.10143843267</v>
      </c>
      <c r="AG46" s="92">
        <v>221955.75836274482</v>
      </c>
      <c r="AH46" s="92">
        <f t="shared" si="15"/>
        <v>63687.303178575043</v>
      </c>
      <c r="AI46" s="193">
        <f t="shared" si="17"/>
        <v>149564.856840322</v>
      </c>
      <c r="AJ46" s="1">
        <f t="shared" si="5"/>
        <v>-0.32615013936296955</v>
      </c>
      <c r="AL46" s="454">
        <f t="shared" si="6"/>
        <v>42917.552058211179</v>
      </c>
      <c r="AM46" s="107">
        <f t="shared" si="7"/>
        <v>22690.680713728823</v>
      </c>
      <c r="AN46" s="50">
        <f t="shared" si="8"/>
        <v>65608.232771940005</v>
      </c>
      <c r="AO46" s="108">
        <f t="shared" si="9"/>
        <v>149564.856840322</v>
      </c>
      <c r="AU46">
        <v>2049</v>
      </c>
      <c r="AV46" s="527">
        <f t="shared" si="34"/>
        <v>5732490.2193967309</v>
      </c>
      <c r="AW46" s="530">
        <v>2.5000000000000001E-2</v>
      </c>
      <c r="AX46" s="532">
        <f t="shared" si="33"/>
        <v>713982.01738678152</v>
      </c>
      <c r="AY46" s="527">
        <v>8028900</v>
      </c>
      <c r="BC46" s="535">
        <f t="shared" si="28"/>
        <v>5732490219396.7305</v>
      </c>
      <c r="BD46" s="537">
        <f t="shared" si="22"/>
        <v>734934643512.40137</v>
      </c>
      <c r="BE46" s="538">
        <f t="shared" si="23"/>
        <v>734.93464351240141</v>
      </c>
      <c r="BI46" s="538">
        <f t="shared" si="29"/>
        <v>91536.156075228399</v>
      </c>
      <c r="BJ46" s="538">
        <f t="shared" si="24"/>
        <v>91.536156075228405</v>
      </c>
      <c r="BO46" s="538">
        <f t="shared" si="30"/>
        <v>8.0289000000000001</v>
      </c>
    </row>
    <row r="47" spans="1:67">
      <c r="A47">
        <v>2050</v>
      </c>
      <c r="B47" s="447">
        <f t="shared" si="25"/>
        <v>8.0044000000000004</v>
      </c>
      <c r="C47" s="447">
        <f>B47*Building!B5</f>
        <v>4.4024200000000002</v>
      </c>
      <c r="D47" s="96">
        <f>B47*Building!B6</f>
        <v>3.6019800000000002</v>
      </c>
      <c r="E47" s="447">
        <f>$B47*C47/($C47+$D47)</f>
        <v>4.4024200000000002</v>
      </c>
      <c r="F47" s="447">
        <f t="shared" si="14"/>
        <v>3.6019800000000002</v>
      </c>
      <c r="G47" s="49">
        <f t="shared" si="20"/>
        <v>799.05396780503156</v>
      </c>
      <c r="H47" s="49">
        <f t="shared" si="21"/>
        <v>100.67582655760204</v>
      </c>
      <c r="I47" s="526">
        <v>2.6</v>
      </c>
      <c r="J47" s="96">
        <v>2.6061639344262311</v>
      </c>
      <c r="K47" s="96">
        <v>126.41100000000003</v>
      </c>
      <c r="L47" s="96">
        <v>59</v>
      </c>
      <c r="T47">
        <v>2050</v>
      </c>
      <c r="V47" s="56"/>
      <c r="W47" s="56"/>
      <c r="X47" s="56"/>
      <c r="Y47" s="700">
        <f t="shared" si="26"/>
        <v>43097.146498522408</v>
      </c>
      <c r="Z47" s="87" cm="1">
        <f t="array" ref="Z47">TREND(Z31:Z46,T31:T46,T47)</f>
        <v>9789.4218403792474</v>
      </c>
      <c r="AA47" s="700">
        <f>AB47*F47</f>
        <v>22913.018881800646</v>
      </c>
      <c r="AB47" s="87">
        <f t="shared" ref="AB20:AB47" si="35">AB46*(1+0.0133)</f>
        <v>6361.2287913316131</v>
      </c>
      <c r="AC47" s="56" cm="1">
        <f t="array" ref="AC47">TREND(AC36:AC46,T36:T46,T47)</f>
        <v>118871.85583523834</v>
      </c>
      <c r="AD47" s="87">
        <f t="shared" si="16"/>
        <v>2.5509953409572232</v>
      </c>
      <c r="AF47" s="92">
        <v>74488.622941007663</v>
      </c>
      <c r="AG47" s="92">
        <v>226429.42329154455</v>
      </c>
      <c r="AH47" s="92">
        <f t="shared" si="15"/>
        <v>63687.303178575043</v>
      </c>
      <c r="AI47" s="193">
        <f t="shared" si="17"/>
        <v>150508.72511647618</v>
      </c>
      <c r="AJ47" s="1">
        <f t="shared" si="5"/>
        <v>-0.3352951973795158</v>
      </c>
      <c r="AL47" s="456">
        <f t="shared" si="6"/>
        <v>43097.146498522408</v>
      </c>
      <c r="AM47" s="109">
        <f t="shared" si="7"/>
        <v>22913.018881800646</v>
      </c>
      <c r="AN47" s="115">
        <f t="shared" si="8"/>
        <v>66010.165380323058</v>
      </c>
      <c r="AO47" s="458">
        <f t="shared" si="9"/>
        <v>150508.72511647618</v>
      </c>
      <c r="AU47">
        <v>2050</v>
      </c>
      <c r="AV47" s="527">
        <v>6232620.9488792457</v>
      </c>
      <c r="AW47" s="530">
        <v>2.5000000000000001E-2</v>
      </c>
      <c r="AX47" s="532">
        <v>785271.44714929583</v>
      </c>
      <c r="AY47" s="527">
        <v>8004400</v>
      </c>
      <c r="BC47" s="535">
        <f t="shared" si="28"/>
        <v>6232620948879.2461</v>
      </c>
      <c r="BD47" s="537">
        <f t="shared" si="22"/>
        <v>799053967805.03162</v>
      </c>
      <c r="BE47" s="538">
        <f t="shared" si="23"/>
        <v>799.05396780503156</v>
      </c>
      <c r="BI47" s="538">
        <f t="shared" si="29"/>
        <v>100675.82655760203</v>
      </c>
      <c r="BJ47" s="538">
        <f t="shared" si="24"/>
        <v>100.67582655760204</v>
      </c>
      <c r="BO47" s="538">
        <f t="shared" si="30"/>
        <v>8.0044000000000004</v>
      </c>
    </row>
    <row r="48" spans="1:67" ht="15" thickBot="1">
      <c r="I48" t="s">
        <v>865</v>
      </c>
      <c r="AU48">
        <v>2050</v>
      </c>
      <c r="AV48" s="527">
        <v>6232620.9488792457</v>
      </c>
      <c r="AW48" s="531">
        <v>2.5000000000000001E-2</v>
      </c>
      <c r="AX48" s="533">
        <v>687434</v>
      </c>
      <c r="AY48" s="534">
        <v>9066500</v>
      </c>
      <c r="BC48" s="535">
        <f t="shared" si="28"/>
        <v>6232620948879.2461</v>
      </c>
      <c r="BD48" s="537">
        <f t="shared" si="22"/>
        <v>799053967805.03162</v>
      </c>
      <c r="BE48" s="538">
        <f t="shared" si="23"/>
        <v>799.05396780503156</v>
      </c>
      <c r="BI48" s="538">
        <f t="shared" si="29"/>
        <v>88132.564102564109</v>
      </c>
      <c r="BJ48" s="538">
        <f t="shared" si="24"/>
        <v>88.132564102564103</v>
      </c>
      <c r="BO48" s="538">
        <f t="shared" si="30"/>
        <v>9.0664999999999996</v>
      </c>
    </row>
    <row r="49" spans="1:6">
      <c r="A49">
        <v>2022</v>
      </c>
      <c r="C49" s="447">
        <f>C19</f>
        <v>4.0774500000000007</v>
      </c>
      <c r="D49" s="447">
        <f>D19</f>
        <v>3.5190000000000001</v>
      </c>
      <c r="E49" s="447"/>
      <c r="F49" s="447"/>
    </row>
    <row r="50" spans="1:6">
      <c r="A50">
        <v>2050</v>
      </c>
      <c r="C50" s="447">
        <f>C47</f>
        <v>4.4024200000000002</v>
      </c>
      <c r="D50" s="447">
        <f>D47</f>
        <v>3.6019800000000002</v>
      </c>
      <c r="E50" s="447"/>
      <c r="F50" s="447"/>
    </row>
    <row r="51" spans="1:6">
      <c r="A51">
        <v>2017</v>
      </c>
      <c r="C51" s="447">
        <f>C14</f>
        <v>4.0358682000000003</v>
      </c>
      <c r="D51" s="447">
        <f>D14</f>
        <v>3.3040899000000001</v>
      </c>
    </row>
    <row r="52" spans="1:6">
      <c r="A52">
        <v>2012</v>
      </c>
      <c r="C52" s="447">
        <f>C9</f>
        <v>3.7824029000000001</v>
      </c>
      <c r="D52" s="447">
        <f>D9</f>
        <v>3.3319466000000002</v>
      </c>
    </row>
    <row r="53" spans="1:6">
      <c r="B53" s="678"/>
    </row>
    <row r="55" spans="1:6">
      <c r="B55">
        <v>3</v>
      </c>
      <c r="C55" t="s">
        <v>1038</v>
      </c>
      <c r="D55" t="s">
        <v>1037</v>
      </c>
      <c r="E55" t="s">
        <v>1036</v>
      </c>
    </row>
    <row r="56" spans="1:6">
      <c r="B56">
        <v>4</v>
      </c>
      <c r="C56" t="s">
        <v>1040</v>
      </c>
      <c r="E56" t="s">
        <v>1039</v>
      </c>
    </row>
    <row r="57" spans="1:6">
      <c r="B57">
        <v>5</v>
      </c>
      <c r="C57" t="s">
        <v>1043</v>
      </c>
      <c r="E57" t="s">
        <v>1042</v>
      </c>
    </row>
    <row r="58" spans="1:6">
      <c r="B58">
        <v>6</v>
      </c>
      <c r="C58" t="s">
        <v>1045</v>
      </c>
      <c r="E58" t="s">
        <v>1046</v>
      </c>
    </row>
    <row r="60" spans="1:6">
      <c r="A60" t="s">
        <v>1049</v>
      </c>
    </row>
    <row r="61" spans="1:6">
      <c r="B61" t="s">
        <v>1047</v>
      </c>
      <c r="C61" t="s">
        <v>1048</v>
      </c>
    </row>
    <row r="62" spans="1:6">
      <c r="A62">
        <v>2012</v>
      </c>
      <c r="B62">
        <v>0.52900000000000003</v>
      </c>
      <c r="C62">
        <v>0.46600000000000003</v>
      </c>
    </row>
    <row r="63" spans="1:6">
      <c r="A63">
        <v>2017</v>
      </c>
      <c r="B63">
        <v>0.54600000000000004</v>
      </c>
      <c r="C63">
        <v>0.44700000000000001</v>
      </c>
    </row>
    <row r="64" spans="1:6">
      <c r="A64">
        <v>2022</v>
      </c>
      <c r="B64">
        <v>0.53300000000000003</v>
      </c>
      <c r="C64">
        <v>0.46</v>
      </c>
    </row>
  </sheetData>
  <mergeCells count="4">
    <mergeCell ref="AW4:AW5"/>
    <mergeCell ref="AX4:AX5"/>
    <mergeCell ref="AY4:AY5"/>
    <mergeCell ref="BO4:BO5"/>
  </mergeCells>
  <phoneticPr fontId="3" type="noConversion"/>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8"/>
  <sheetViews>
    <sheetView zoomScale="93" workbookViewId="0">
      <selection activeCell="O3" sqref="O3"/>
    </sheetView>
  </sheetViews>
  <sheetFormatPr baseColWidth="10" defaultColWidth="8.796875" defaultRowHeight="14"/>
  <cols>
    <col min="1" max="1" width="21.19921875" customWidth="1"/>
    <col min="14" max="14" width="10.3984375" customWidth="1"/>
  </cols>
  <sheetData>
    <row r="1" spans="1:20" ht="25" customHeight="1">
      <c r="A1" s="100" t="s">
        <v>866</v>
      </c>
    </row>
    <row r="2" spans="1:20" s="140" customFormat="1" ht="16.5" customHeight="1">
      <c r="A2" s="140" t="s">
        <v>554</v>
      </c>
      <c r="B2" s="145">
        <v>2005</v>
      </c>
      <c r="C2" s="145">
        <v>2006</v>
      </c>
      <c r="D2" s="145">
        <v>2007</v>
      </c>
      <c r="E2" s="145">
        <v>2008</v>
      </c>
      <c r="F2" s="145">
        <v>2009</v>
      </c>
      <c r="G2" s="145">
        <v>2010</v>
      </c>
      <c r="H2" s="145">
        <v>2011</v>
      </c>
      <c r="I2" s="145">
        <v>2012</v>
      </c>
      <c r="J2" s="145">
        <v>2013</v>
      </c>
      <c r="K2" s="145">
        <v>2014</v>
      </c>
      <c r="L2" s="145">
        <v>2015</v>
      </c>
      <c r="M2" s="145">
        <v>2016</v>
      </c>
      <c r="N2" s="145">
        <v>2017</v>
      </c>
      <c r="O2" s="145">
        <v>2026</v>
      </c>
      <c r="P2" s="145">
        <v>2031</v>
      </c>
      <c r="Q2" s="145">
        <v>2036</v>
      </c>
      <c r="R2" s="145">
        <v>2041</v>
      </c>
      <c r="S2" s="145">
        <v>2046</v>
      </c>
      <c r="T2" s="145">
        <v>2051</v>
      </c>
    </row>
    <row r="3" spans="1:20" s="144" customFormat="1">
      <c r="A3" s="141" t="s">
        <v>867</v>
      </c>
      <c r="B3" s="142">
        <v>2.1970999999999998</v>
      </c>
      <c r="C3" s="142">
        <v>2.2208999999999999</v>
      </c>
      <c r="D3" s="142">
        <v>2.2499000000000002</v>
      </c>
      <c r="E3" s="142">
        <v>2.2791000000000001</v>
      </c>
      <c r="F3" s="142">
        <v>2.2971999999999997</v>
      </c>
      <c r="G3" s="142">
        <v>2.3250999999999999</v>
      </c>
      <c r="H3" s="142">
        <v>2.3593000000000002</v>
      </c>
      <c r="I3" s="142">
        <v>2.3861999999999997</v>
      </c>
      <c r="J3" s="142">
        <v>2.4073000000000002</v>
      </c>
      <c r="K3" s="142">
        <v>2.4323999999999999</v>
      </c>
      <c r="L3" s="142">
        <v>2.4710999999999999</v>
      </c>
      <c r="M3" s="142">
        <v>2.4988999999999999</v>
      </c>
      <c r="N3" s="142">
        <v>2.5347</v>
      </c>
      <c r="O3" s="143">
        <v>2.7688999999999999</v>
      </c>
      <c r="P3" s="143">
        <v>2.8544999999999998</v>
      </c>
      <c r="Q3" s="143">
        <v>2.9201999999999999</v>
      </c>
      <c r="R3" s="143">
        <v>2.9613999999999998</v>
      </c>
      <c r="S3" s="143">
        <v>2.9723000000000002</v>
      </c>
      <c r="T3" s="143">
        <v>2.9495</v>
      </c>
    </row>
    <row r="5" spans="1:20" ht="28" customHeight="1">
      <c r="A5" s="146" t="s">
        <v>868</v>
      </c>
      <c r="B5" t="s">
        <v>675</v>
      </c>
    </row>
    <row r="7" spans="1:20" ht="48" customHeight="1">
      <c r="A7" s="577" t="s">
        <v>869</v>
      </c>
      <c r="B7" s="577"/>
      <c r="C7" s="577"/>
      <c r="D7" s="577"/>
      <c r="E7" s="577"/>
      <c r="F7" s="577"/>
      <c r="G7" s="577"/>
      <c r="H7" s="577"/>
      <c r="I7" s="577"/>
      <c r="J7" s="577"/>
      <c r="K7" s="577"/>
      <c r="L7" s="577"/>
      <c r="M7" s="577"/>
      <c r="N7" s="577"/>
    </row>
    <row r="8" spans="1:20">
      <c r="B8" t="s">
        <v>870</v>
      </c>
      <c r="J8" t="s">
        <v>871</v>
      </c>
      <c r="R8" t="s">
        <v>872</v>
      </c>
    </row>
  </sheetData>
  <mergeCells count="1">
    <mergeCell ref="A7:N7"/>
  </mergeCells>
  <phoneticPr fontId="3"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
  <sheetViews>
    <sheetView workbookViewId="0">
      <selection activeCell="G21" sqref="G21"/>
    </sheetView>
  </sheetViews>
  <sheetFormatPr baseColWidth="10" defaultColWidth="8.796875" defaultRowHeight="14"/>
  <cols>
    <col min="1" max="1" width="13.796875" customWidth="1"/>
    <col min="6" max="6" width="10.19921875" bestFit="1" customWidth="1"/>
  </cols>
  <sheetData>
    <row r="1" spans="1:6" ht="25.5" customHeight="1">
      <c r="A1" s="100" t="s">
        <v>873</v>
      </c>
    </row>
    <row r="2" spans="1:6">
      <c r="A2" t="s">
        <v>874</v>
      </c>
      <c r="B2" t="s">
        <v>875</v>
      </c>
    </row>
    <row r="4" spans="1:6">
      <c r="B4" t="s">
        <v>876</v>
      </c>
      <c r="C4">
        <v>947.8</v>
      </c>
      <c r="E4" t="s">
        <v>877</v>
      </c>
      <c r="F4">
        <f>C4*10^6</f>
        <v>947800000</v>
      </c>
    </row>
  </sheetData>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79998168889431442"/>
  </sheetPr>
  <dimension ref="A1:AV56"/>
  <sheetViews>
    <sheetView workbookViewId="0">
      <selection activeCell="AC23" sqref="AC23"/>
    </sheetView>
  </sheetViews>
  <sheetFormatPr baseColWidth="10" defaultColWidth="8.796875" defaultRowHeight="14"/>
  <cols>
    <col min="1" max="1" width="8.19921875" customWidth="1"/>
    <col min="2" max="2" width="10.3984375" customWidth="1"/>
    <col min="3" max="3" width="10.796875" customWidth="1"/>
    <col min="5" max="5" width="13.3984375" customWidth="1"/>
    <col min="8" max="8" width="8.3984375" bestFit="1" customWidth="1"/>
    <col min="11" max="11" width="8.796875" style="197"/>
    <col min="13" max="13" width="8.3984375" bestFit="1" customWidth="1"/>
    <col min="22" max="22" width="24.796875" customWidth="1"/>
    <col min="27" max="27" width="9.3984375" bestFit="1" customWidth="1"/>
    <col min="30" max="31" width="10" customWidth="1"/>
    <col min="36" max="36" width="9.3984375" bestFit="1" customWidth="1"/>
    <col min="39" max="39" width="10" customWidth="1"/>
    <col min="42" max="42" width="12.19921875" customWidth="1"/>
    <col min="44" max="44" width="7.796875" customWidth="1"/>
    <col min="45" max="45" width="8.19921875" customWidth="1"/>
    <col min="46" max="46" width="10.3984375" customWidth="1"/>
    <col min="47" max="47" width="8.3984375" customWidth="1"/>
    <col min="48" max="48" width="14" customWidth="1"/>
  </cols>
  <sheetData>
    <row r="1" spans="1:48" ht="22">
      <c r="A1" s="100" t="s">
        <v>878</v>
      </c>
      <c r="AC1" t="s">
        <v>879</v>
      </c>
    </row>
    <row r="3" spans="1:48">
      <c r="B3" s="20" t="s">
        <v>880</v>
      </c>
      <c r="C3" s="21"/>
      <c r="D3" s="21"/>
      <c r="E3" s="22"/>
      <c r="G3" s="101" t="s">
        <v>1059</v>
      </c>
      <c r="H3" s="21"/>
      <c r="I3" s="21"/>
      <c r="J3" s="22"/>
      <c r="K3" s="706"/>
      <c r="L3" s="128" t="s">
        <v>1057</v>
      </c>
      <c r="M3" s="21"/>
      <c r="N3" s="21"/>
      <c r="O3" s="22"/>
      <c r="Q3" s="20" t="s">
        <v>880</v>
      </c>
      <c r="R3" s="21"/>
      <c r="S3" s="21"/>
      <c r="T3" s="22"/>
      <c r="W3" s="20" t="s">
        <v>881</v>
      </c>
      <c r="X3" s="21"/>
      <c r="Y3" s="21"/>
      <c r="Z3" s="21"/>
      <c r="AA3" s="21" t="s">
        <v>882</v>
      </c>
      <c r="AB3" s="21"/>
      <c r="AC3" s="21"/>
      <c r="AD3" s="22"/>
      <c r="AF3" s="20" t="s">
        <v>883</v>
      </c>
      <c r="AG3" s="21"/>
      <c r="AH3" s="21"/>
      <c r="AI3" s="21"/>
      <c r="AJ3" s="21" t="s">
        <v>882</v>
      </c>
      <c r="AK3" s="21"/>
      <c r="AL3" s="21"/>
      <c r="AM3" s="22"/>
      <c r="AO3" s="20" t="s">
        <v>883</v>
      </c>
      <c r="AP3" s="21"/>
      <c r="AQ3" s="21"/>
      <c r="AR3" s="21"/>
      <c r="AS3" s="21" t="s">
        <v>884</v>
      </c>
      <c r="AT3" s="21"/>
      <c r="AU3" s="21"/>
      <c r="AV3" s="22"/>
    </row>
    <row r="4" spans="1:48" ht="12" customHeight="1">
      <c r="B4" s="101" t="s">
        <v>551</v>
      </c>
      <c r="E4" s="24"/>
      <c r="J4" s="24"/>
      <c r="K4" s="706"/>
      <c r="L4" s="23"/>
      <c r="M4" s="668"/>
      <c r="N4" s="668"/>
      <c r="O4" s="24"/>
      <c r="Q4" s="101" t="s">
        <v>551</v>
      </c>
      <c r="R4" s="668"/>
      <c r="S4" s="668"/>
      <c r="T4" s="24"/>
      <c r="W4" s="23"/>
      <c r="AB4" t="s">
        <v>885</v>
      </c>
      <c r="AD4" s="24"/>
      <c r="AF4" s="23"/>
      <c r="AG4" s="668"/>
      <c r="AH4" s="668"/>
      <c r="AI4" s="668"/>
      <c r="AJ4" s="668"/>
      <c r="AK4" s="668" t="s">
        <v>885</v>
      </c>
      <c r="AL4" s="668"/>
      <c r="AM4" s="24"/>
      <c r="AO4" s="23"/>
      <c r="AV4" s="24"/>
    </row>
    <row r="5" spans="1:48">
      <c r="B5" s="101"/>
      <c r="C5" s="664" t="s">
        <v>495</v>
      </c>
      <c r="D5" s="664"/>
      <c r="E5" s="663" t="s">
        <v>503</v>
      </c>
      <c r="G5" s="101"/>
      <c r="H5" s="664" t="s">
        <v>495</v>
      </c>
      <c r="I5" s="664"/>
      <c r="J5" s="663" t="s">
        <v>503</v>
      </c>
      <c r="K5" s="707"/>
      <c r="L5" s="101"/>
      <c r="M5" s="711" t="s">
        <v>495</v>
      </c>
      <c r="N5" s="711"/>
      <c r="O5" s="663" t="s">
        <v>503</v>
      </c>
      <c r="Q5" s="101"/>
      <c r="R5" s="711" t="s">
        <v>495</v>
      </c>
      <c r="S5" s="711"/>
      <c r="T5" s="663" t="s">
        <v>503</v>
      </c>
      <c r="W5" s="101" t="s">
        <v>886</v>
      </c>
      <c r="Z5" t="s">
        <v>887</v>
      </c>
      <c r="AD5" s="24"/>
      <c r="AF5" s="128" t="s">
        <v>888</v>
      </c>
      <c r="AG5" s="21"/>
      <c r="AH5" s="21"/>
      <c r="AI5" s="21" t="s">
        <v>887</v>
      </c>
      <c r="AJ5" s="21"/>
      <c r="AK5" s="21"/>
      <c r="AL5" s="21"/>
      <c r="AM5" s="22"/>
      <c r="AO5" s="101" t="s">
        <v>889</v>
      </c>
      <c r="AR5" t="s">
        <v>887</v>
      </c>
      <c r="AV5" s="24"/>
    </row>
    <row r="6" spans="1:48" ht="20.25" customHeight="1">
      <c r="B6" s="101" t="s">
        <v>554</v>
      </c>
      <c r="C6" s="149" t="s">
        <v>890</v>
      </c>
      <c r="D6" s="149" t="s">
        <v>891</v>
      </c>
      <c r="E6" s="663"/>
      <c r="G6" s="101" t="s">
        <v>554</v>
      </c>
      <c r="H6" s="149" t="s">
        <v>890</v>
      </c>
      <c r="I6" s="149" t="s">
        <v>891</v>
      </c>
      <c r="J6" s="663"/>
      <c r="K6" s="707"/>
      <c r="L6" s="101" t="s">
        <v>554</v>
      </c>
      <c r="M6" s="712" t="s">
        <v>890</v>
      </c>
      <c r="N6" s="712" t="s">
        <v>891</v>
      </c>
      <c r="O6" s="663"/>
      <c r="Q6" s="101" t="s">
        <v>554</v>
      </c>
      <c r="R6" s="712" t="s">
        <v>890</v>
      </c>
      <c r="S6" s="712" t="s">
        <v>891</v>
      </c>
      <c r="T6" s="663"/>
      <c r="W6" s="461" t="s">
        <v>496</v>
      </c>
      <c r="X6" s="665" t="s">
        <v>497</v>
      </c>
      <c r="Y6" s="665"/>
      <c r="Z6" s="666" t="s">
        <v>498</v>
      </c>
      <c r="AA6" s="666"/>
      <c r="AB6" s="667" t="s">
        <v>499</v>
      </c>
      <c r="AC6" s="667"/>
      <c r="AD6" s="462" t="s">
        <v>500</v>
      </c>
      <c r="AE6" s="459"/>
      <c r="AF6" s="110" t="s">
        <v>496</v>
      </c>
      <c r="AG6" s="720" t="s">
        <v>497</v>
      </c>
      <c r="AH6" s="720"/>
      <c r="AI6" s="721" t="s">
        <v>498</v>
      </c>
      <c r="AJ6" s="721"/>
      <c r="AK6" s="722" t="s">
        <v>499</v>
      </c>
      <c r="AL6" s="722"/>
      <c r="AM6" s="111" t="s">
        <v>500</v>
      </c>
      <c r="AO6" s="461" t="s">
        <v>496</v>
      </c>
      <c r="AP6" s="665" t="s">
        <v>497</v>
      </c>
      <c r="AQ6" s="665"/>
      <c r="AR6" s="734" t="s">
        <v>892</v>
      </c>
      <c r="AS6" s="666"/>
      <c r="AT6" s="735" t="s">
        <v>499</v>
      </c>
      <c r="AU6" s="735"/>
      <c r="AV6" s="462" t="s">
        <v>500</v>
      </c>
    </row>
    <row r="7" spans="1:48">
      <c r="B7" s="23">
        <v>2006</v>
      </c>
      <c r="C7" s="107">
        <f>'Future Total Energy'!AL3</f>
        <v>26211</v>
      </c>
      <c r="D7" s="107">
        <f>'Future Total Energy'!AM3</f>
        <v>24967</v>
      </c>
      <c r="E7" s="457">
        <f>'Future Total Energy'!AO3</f>
        <v>111884</v>
      </c>
      <c r="G7" s="23">
        <v>2006</v>
      </c>
      <c r="H7" s="107"/>
      <c r="I7" s="107"/>
      <c r="J7" s="457"/>
      <c r="K7" s="706"/>
      <c r="L7" s="23">
        <v>2006</v>
      </c>
      <c r="M7" s="713">
        <v>0</v>
      </c>
      <c r="N7" s="713">
        <v>0</v>
      </c>
      <c r="O7" s="457">
        <v>0</v>
      </c>
      <c r="Q7" s="23">
        <v>2006</v>
      </c>
      <c r="R7" s="713">
        <f>'Future Total Energy'!AL3</f>
        <v>26211</v>
      </c>
      <c r="S7" s="713">
        <f>'Future Total Energy'!AM3</f>
        <v>24967</v>
      </c>
      <c r="T7" s="457">
        <f>'Future Total Energy'!AO3</f>
        <v>111884</v>
      </c>
      <c r="W7" s="112">
        <v>2006</v>
      </c>
      <c r="X7" s="723">
        <f>R7*Y7</f>
        <v>8911.74</v>
      </c>
      <c r="Y7" s="724">
        <v>0.34</v>
      </c>
      <c r="Z7" s="725">
        <f>R7*AA7</f>
        <v>0</v>
      </c>
      <c r="AA7" s="726">
        <v>0</v>
      </c>
      <c r="AB7" s="727">
        <f>R7*AC7</f>
        <v>17299.260000000002</v>
      </c>
      <c r="AC7" s="728">
        <v>0.66</v>
      </c>
      <c r="AD7" s="113">
        <f>'History Type Share'!H5</f>
        <v>53982</v>
      </c>
      <c r="AE7" s="460"/>
      <c r="AF7" s="112">
        <v>2006</v>
      </c>
      <c r="AG7" s="723">
        <v>9789</v>
      </c>
      <c r="AH7" s="724">
        <f t="shared" ref="AH7:AH17" si="0">1-AL7-AJ7</f>
        <v>0.39209324681566926</v>
      </c>
      <c r="AI7" s="725">
        <f>S7*AJ7</f>
        <v>0</v>
      </c>
      <c r="AJ7" s="726">
        <v>0</v>
      </c>
      <c r="AK7" s="727">
        <v>15177</v>
      </c>
      <c r="AL7" s="728">
        <f>AK7/AM7</f>
        <v>0.60790675318433074</v>
      </c>
      <c r="AM7" s="113">
        <f>AK7+AG7</f>
        <v>24966</v>
      </c>
      <c r="AO7" s="116">
        <v>2006</v>
      </c>
      <c r="AP7" s="723">
        <f>Commercial8Fuel!B5</f>
        <v>13631</v>
      </c>
      <c r="AQ7" s="730">
        <f>Commercial8Fuel!C5</f>
        <v>0.12</v>
      </c>
      <c r="AR7" s="731">
        <f>Commercial8Fuel!D5</f>
        <v>4936</v>
      </c>
      <c r="AS7" s="726">
        <f>Commercial8Fuel!E5</f>
        <v>0.04</v>
      </c>
      <c r="AT7" s="732">
        <f>Commercial8Fuel!F5</f>
        <v>93317</v>
      </c>
      <c r="AU7" s="733">
        <f>Commercial8Fuel!G5</f>
        <v>0.86</v>
      </c>
      <c r="AV7" s="113">
        <f>Commercial8Fuel!H5</f>
        <v>111884</v>
      </c>
    </row>
    <row r="8" spans="1:48">
      <c r="B8" s="23">
        <v>2007</v>
      </c>
      <c r="C8" s="107">
        <f>'Future Total Energy'!AL4</f>
        <v>26733</v>
      </c>
      <c r="D8" s="107">
        <f>'Future Total Energy'!AM4</f>
        <v>25185</v>
      </c>
      <c r="E8" s="457">
        <f>'Future Total Energy'!AO4</f>
        <v>113914</v>
      </c>
      <c r="G8" s="23">
        <v>2007</v>
      </c>
      <c r="H8" s="107"/>
      <c r="I8" s="107"/>
      <c r="J8" s="457"/>
      <c r="K8" s="706"/>
      <c r="L8" s="23">
        <v>2007</v>
      </c>
      <c r="M8" s="713">
        <v>0</v>
      </c>
      <c r="N8" s="713">
        <v>0</v>
      </c>
      <c r="O8" s="457">
        <v>0</v>
      </c>
      <c r="Q8" s="23">
        <v>2007</v>
      </c>
      <c r="R8" s="713">
        <f>'Future Total Energy'!AL4</f>
        <v>26733</v>
      </c>
      <c r="S8" s="713">
        <f>'Future Total Energy'!AM4</f>
        <v>25185</v>
      </c>
      <c r="T8" s="457">
        <f>'Future Total Energy'!AO4</f>
        <v>113914</v>
      </c>
      <c r="W8" s="112">
        <v>2007</v>
      </c>
      <c r="X8" s="723">
        <f>R8*Y8</f>
        <v>8821.8900000000012</v>
      </c>
      <c r="Y8" s="724">
        <v>0.33</v>
      </c>
      <c r="Z8" s="725">
        <f>R8*AA8</f>
        <v>0</v>
      </c>
      <c r="AA8" s="726">
        <v>0</v>
      </c>
      <c r="AB8" s="727">
        <f>R8*AC8</f>
        <v>17911.11</v>
      </c>
      <c r="AC8" s="728">
        <v>0.67</v>
      </c>
      <c r="AD8" s="113">
        <f>'History Type Share'!H6</f>
        <v>54717</v>
      </c>
      <c r="AE8" s="460"/>
      <c r="AF8" s="112">
        <v>2007</v>
      </c>
      <c r="AG8" s="723">
        <v>9598</v>
      </c>
      <c r="AH8" s="724">
        <f t="shared" si="0"/>
        <v>0.38109986102838989</v>
      </c>
      <c r="AI8" s="725">
        <f>S8*AJ8</f>
        <v>0</v>
      </c>
      <c r="AJ8" s="726">
        <v>0</v>
      </c>
      <c r="AK8" s="727">
        <v>15587</v>
      </c>
      <c r="AL8" s="728">
        <f t="shared" ref="AL8:AL17" si="1">AK8/AM8</f>
        <v>0.61890013897161011</v>
      </c>
      <c r="AM8" s="113">
        <f t="shared" ref="AM8:AM22" si="2">AK8+AG8</f>
        <v>25185</v>
      </c>
      <c r="AO8" s="116">
        <v>2007</v>
      </c>
      <c r="AP8" s="723">
        <f>Commercial8Fuel!B6</f>
        <v>13888</v>
      </c>
      <c r="AQ8" s="730">
        <f>Commercial8Fuel!C6</f>
        <v>0.12</v>
      </c>
      <c r="AR8" s="731">
        <f>Commercial8Fuel!D6</f>
        <v>4975</v>
      </c>
      <c r="AS8" s="726">
        <f>Commercial8Fuel!E6</f>
        <v>0.04</v>
      </c>
      <c r="AT8" s="732">
        <f>Commercial8Fuel!F6</f>
        <v>95051</v>
      </c>
      <c r="AU8" s="733">
        <f>Commercial8Fuel!G6</f>
        <v>0.86</v>
      </c>
      <c r="AV8" s="113">
        <f>Commercial8Fuel!H6</f>
        <v>113914</v>
      </c>
    </row>
    <row r="9" spans="1:48">
      <c r="B9" s="23">
        <v>2008</v>
      </c>
      <c r="C9" s="107">
        <f>'Future Total Energy'!AL5</f>
        <v>27701</v>
      </c>
      <c r="D9" s="107">
        <f>'Future Total Energy'!AM5</f>
        <v>25533</v>
      </c>
      <c r="E9" s="457">
        <f>'Future Total Energy'!AO5</f>
        <v>113753</v>
      </c>
      <c r="G9" s="23">
        <v>2008</v>
      </c>
      <c r="H9" s="107"/>
      <c r="I9" s="107"/>
      <c r="J9" s="457"/>
      <c r="K9" s="706"/>
      <c r="L9" s="23">
        <v>2008</v>
      </c>
      <c r="M9" s="713">
        <v>0</v>
      </c>
      <c r="N9" s="713">
        <v>0</v>
      </c>
      <c r="O9" s="457">
        <v>0</v>
      </c>
      <c r="Q9" s="23">
        <v>2008</v>
      </c>
      <c r="R9" s="713">
        <f>'Future Total Energy'!AL5</f>
        <v>27701</v>
      </c>
      <c r="S9" s="713">
        <f>'Future Total Energy'!AM5</f>
        <v>25533</v>
      </c>
      <c r="T9" s="457">
        <f>'Future Total Energy'!AO5</f>
        <v>113753</v>
      </c>
      <c r="W9" s="112">
        <v>2008</v>
      </c>
      <c r="X9" s="723">
        <f>R9*Y9</f>
        <v>9141.33</v>
      </c>
      <c r="Y9" s="724">
        <v>0.33</v>
      </c>
      <c r="Z9" s="725">
        <f>R9*AA9</f>
        <v>0</v>
      </c>
      <c r="AA9" s="726">
        <v>0</v>
      </c>
      <c r="AB9" s="727">
        <f>R9*AC9</f>
        <v>18282.66</v>
      </c>
      <c r="AC9" s="728">
        <v>0.66</v>
      </c>
      <c r="AD9" s="113">
        <f>'History Type Share'!H7</f>
        <v>55849</v>
      </c>
      <c r="AE9" s="460"/>
      <c r="AF9" s="112">
        <v>2008</v>
      </c>
      <c r="AG9" s="723">
        <v>9798</v>
      </c>
      <c r="AH9" s="724">
        <f t="shared" si="0"/>
        <v>0.38372366256755697</v>
      </c>
      <c r="AI9" s="725">
        <f>S9*AJ9</f>
        <v>0</v>
      </c>
      <c r="AJ9" s="726">
        <v>0</v>
      </c>
      <c r="AK9" s="727">
        <v>15736</v>
      </c>
      <c r="AL9" s="728">
        <f t="shared" si="1"/>
        <v>0.61627633743244303</v>
      </c>
      <c r="AM9" s="113">
        <f t="shared" si="2"/>
        <v>25534</v>
      </c>
      <c r="AO9" s="116">
        <v>2008</v>
      </c>
      <c r="AP9" s="723">
        <f>Commercial8Fuel!B7</f>
        <v>13471</v>
      </c>
      <c r="AQ9" s="730">
        <f>Commercial8Fuel!C7</f>
        <v>0.12</v>
      </c>
      <c r="AR9" s="731">
        <f>Commercial8Fuel!D7</f>
        <v>4739</v>
      </c>
      <c r="AS9" s="726">
        <f>Commercial8Fuel!E7</f>
        <v>0.04</v>
      </c>
      <c r="AT9" s="732">
        <f>Commercial8Fuel!F7</f>
        <v>95543</v>
      </c>
      <c r="AU9" s="733">
        <f>Commercial8Fuel!G7</f>
        <v>0.86</v>
      </c>
      <c r="AV9" s="113">
        <f>Commercial8Fuel!H7</f>
        <v>113753</v>
      </c>
    </row>
    <row r="10" spans="1:48">
      <c r="B10" s="23">
        <v>2009</v>
      </c>
      <c r="C10" s="107">
        <f>'Future Total Energy'!AL6</f>
        <v>28544</v>
      </c>
      <c r="D10" s="107">
        <f>'Future Total Energy'!AM6</f>
        <v>26068</v>
      </c>
      <c r="E10" s="457">
        <f>'Future Total Energy'!AO6</f>
        <v>114297</v>
      </c>
      <c r="G10" s="23">
        <v>2009</v>
      </c>
      <c r="H10" s="107"/>
      <c r="I10" s="107"/>
      <c r="J10" s="457"/>
      <c r="K10" s="706"/>
      <c r="L10" s="23">
        <v>2009</v>
      </c>
      <c r="M10" s="713">
        <v>0</v>
      </c>
      <c r="N10" s="713">
        <v>0</v>
      </c>
      <c r="O10" s="457">
        <v>0</v>
      </c>
      <c r="Q10" s="23">
        <v>2009</v>
      </c>
      <c r="R10" s="713">
        <f>'Future Total Energy'!AL6</f>
        <v>28544</v>
      </c>
      <c r="S10" s="713">
        <f>'Future Total Energy'!AM6</f>
        <v>26068</v>
      </c>
      <c r="T10" s="457">
        <f>'Future Total Energy'!AO6</f>
        <v>114297</v>
      </c>
      <c r="W10" s="112">
        <v>2009</v>
      </c>
      <c r="X10" s="723">
        <f>R10*Y10</f>
        <v>9134.08</v>
      </c>
      <c r="Y10" s="724">
        <v>0.32</v>
      </c>
      <c r="Z10" s="725">
        <f>R10*AA10</f>
        <v>0</v>
      </c>
      <c r="AA10" s="726">
        <v>0</v>
      </c>
      <c r="AB10" s="727">
        <f>R10*AC10</f>
        <v>19409.920000000002</v>
      </c>
      <c r="AC10" s="728">
        <v>0.68</v>
      </c>
      <c r="AD10" s="113">
        <f>'History Type Share'!H8</f>
        <v>57731</v>
      </c>
      <c r="AE10" s="460"/>
      <c r="AF10" s="112">
        <v>2009</v>
      </c>
      <c r="AG10" s="723">
        <v>9756</v>
      </c>
      <c r="AH10" s="724">
        <f t="shared" si="0"/>
        <v>0.37425195642166642</v>
      </c>
      <c r="AI10" s="725">
        <f>S10*AJ10</f>
        <v>0</v>
      </c>
      <c r="AJ10" s="726">
        <v>0</v>
      </c>
      <c r="AK10" s="727">
        <v>16312</v>
      </c>
      <c r="AL10" s="728">
        <f t="shared" si="1"/>
        <v>0.62574804357833358</v>
      </c>
      <c r="AM10" s="113">
        <f t="shared" si="2"/>
        <v>26068</v>
      </c>
      <c r="AO10" s="116">
        <v>2009</v>
      </c>
      <c r="AP10" s="723">
        <f>Commercial8Fuel!B8</f>
        <v>12815</v>
      </c>
      <c r="AQ10" s="730">
        <f>Commercial8Fuel!C8</f>
        <v>0.11</v>
      </c>
      <c r="AR10" s="731">
        <f>Commercial8Fuel!D8</f>
        <v>4753</v>
      </c>
      <c r="AS10" s="726">
        <f>Commercial8Fuel!E8</f>
        <v>0.04</v>
      </c>
      <c r="AT10" s="732">
        <f>Commercial8Fuel!F8</f>
        <v>96728</v>
      </c>
      <c r="AU10" s="733">
        <f>Commercial8Fuel!G8</f>
        <v>0.87</v>
      </c>
      <c r="AV10" s="113">
        <f>Commercial8Fuel!H8</f>
        <v>114297</v>
      </c>
    </row>
    <row r="11" spans="1:48">
      <c r="B11" s="23">
        <v>2010</v>
      </c>
      <c r="C11" s="107">
        <f>'Future Total Energy'!AL7</f>
        <v>28730</v>
      </c>
      <c r="D11" s="107">
        <f>'Future Total Energy'!AM7</f>
        <v>16152</v>
      </c>
      <c r="E11" s="457">
        <f>'Future Total Energy'!AO7</f>
        <v>116391</v>
      </c>
      <c r="G11" s="23">
        <v>2010</v>
      </c>
      <c r="H11" s="107"/>
      <c r="I11" s="107"/>
      <c r="J11" s="457"/>
      <c r="K11" s="706"/>
      <c r="L11" s="23">
        <v>2010</v>
      </c>
      <c r="M11" s="713">
        <v>0</v>
      </c>
      <c r="N11" s="713">
        <v>0</v>
      </c>
      <c r="O11" s="457">
        <v>0</v>
      </c>
      <c r="Q11" s="23">
        <v>2010</v>
      </c>
      <c r="R11" s="713">
        <f>'Future Total Energy'!AL7</f>
        <v>28730</v>
      </c>
      <c r="S11" s="713">
        <f>'Future Total Energy'!AM7</f>
        <v>16152</v>
      </c>
      <c r="T11" s="457">
        <f>'Future Total Energy'!AO7</f>
        <v>116391</v>
      </c>
      <c r="W11" s="112">
        <v>2010</v>
      </c>
      <c r="X11" s="723">
        <f>R11*Y11</f>
        <v>9480.9</v>
      </c>
      <c r="Y11" s="724">
        <v>0.33</v>
      </c>
      <c r="Z11" s="725">
        <f>R11*AA11</f>
        <v>0</v>
      </c>
      <c r="AA11" s="726">
        <v>0</v>
      </c>
      <c r="AB11" s="727">
        <f>R11*AC11</f>
        <v>19249.100000000002</v>
      </c>
      <c r="AC11" s="728">
        <v>0.67</v>
      </c>
      <c r="AD11" s="113">
        <f>'History Type Share'!H9</f>
        <v>58396</v>
      </c>
      <c r="AE11" s="460"/>
      <c r="AF11" s="112">
        <v>2010</v>
      </c>
      <c r="AG11" s="723">
        <v>6262</v>
      </c>
      <c r="AH11" s="724">
        <f t="shared" si="0"/>
        <v>0.3876679254627623</v>
      </c>
      <c r="AI11" s="725">
        <f>S11*AJ11</f>
        <v>0</v>
      </c>
      <c r="AJ11" s="726">
        <v>0</v>
      </c>
      <c r="AK11" s="727">
        <v>9891</v>
      </c>
      <c r="AL11" s="728">
        <f t="shared" si="1"/>
        <v>0.6123320745372377</v>
      </c>
      <c r="AM11" s="113">
        <f t="shared" si="2"/>
        <v>16153</v>
      </c>
      <c r="AO11" s="116">
        <v>2010</v>
      </c>
      <c r="AP11" s="723">
        <f>Commercial8Fuel!B9</f>
        <v>13971</v>
      </c>
      <c r="AQ11" s="730">
        <f>Commercial8Fuel!C9</f>
        <v>0.12</v>
      </c>
      <c r="AR11" s="731">
        <f>Commercial8Fuel!D9</f>
        <v>4526</v>
      </c>
      <c r="AS11" s="726">
        <f>Commercial8Fuel!E9</f>
        <v>0.04</v>
      </c>
      <c r="AT11" s="732">
        <f>Commercial8Fuel!F9</f>
        <v>97894</v>
      </c>
      <c r="AU11" s="733">
        <f>Commercial8Fuel!G9</f>
        <v>0.87</v>
      </c>
      <c r="AV11" s="113">
        <f>Commercial8Fuel!H9</f>
        <v>116391</v>
      </c>
    </row>
    <row r="12" spans="1:48">
      <c r="B12" s="23">
        <v>2011</v>
      </c>
      <c r="C12" s="107">
        <f>'Future Total Energy'!AL8</f>
        <v>29134</v>
      </c>
      <c r="D12" s="107">
        <f>'Future Total Energy'!AM8</f>
        <v>16424</v>
      </c>
      <c r="E12" s="457">
        <f>'Future Total Energy'!AO8</f>
        <v>118558</v>
      </c>
      <c r="G12" s="23">
        <v>2011</v>
      </c>
      <c r="H12" s="107"/>
      <c r="I12" s="107"/>
      <c r="J12" s="457"/>
      <c r="K12" s="706"/>
      <c r="L12" s="23">
        <v>2011</v>
      </c>
      <c r="M12" s="713">
        <v>0</v>
      </c>
      <c r="N12" s="713">
        <v>0</v>
      </c>
      <c r="O12" s="457">
        <v>0</v>
      </c>
      <c r="Q12" s="23">
        <v>2011</v>
      </c>
      <c r="R12" s="713">
        <f>'Future Total Energy'!AL8</f>
        <v>29134</v>
      </c>
      <c r="S12" s="713">
        <f>'Future Total Energy'!AM8</f>
        <v>16424</v>
      </c>
      <c r="T12" s="457">
        <f>'Future Total Energy'!AO8</f>
        <v>118558</v>
      </c>
      <c r="W12" s="112">
        <v>2011</v>
      </c>
      <c r="X12" s="723">
        <f>R12*Y12</f>
        <v>9322.880000000001</v>
      </c>
      <c r="Y12" s="724">
        <v>0.32</v>
      </c>
      <c r="Z12" s="725">
        <f>R12*AA12</f>
        <v>0</v>
      </c>
      <c r="AA12" s="726">
        <v>0</v>
      </c>
      <c r="AB12" s="727">
        <f>R12*AC12</f>
        <v>19811.120000000003</v>
      </c>
      <c r="AC12" s="728">
        <v>0.68</v>
      </c>
      <c r="AD12" s="113">
        <f>'History Type Share'!H10</f>
        <v>58857</v>
      </c>
      <c r="AE12" s="460"/>
      <c r="AF12" s="112">
        <v>2011</v>
      </c>
      <c r="AG12" s="723">
        <v>6156</v>
      </c>
      <c r="AH12" s="724">
        <f t="shared" si="0"/>
        <v>0.37481734047735027</v>
      </c>
      <c r="AI12" s="725">
        <f>S12*AJ12</f>
        <v>0</v>
      </c>
      <c r="AJ12" s="726">
        <v>0</v>
      </c>
      <c r="AK12" s="727">
        <v>10268</v>
      </c>
      <c r="AL12" s="728">
        <f t="shared" si="1"/>
        <v>0.62518265952264973</v>
      </c>
      <c r="AM12" s="113">
        <f t="shared" si="2"/>
        <v>16424</v>
      </c>
      <c r="AO12" s="116">
        <v>2011</v>
      </c>
      <c r="AP12" s="723">
        <f>Commercial8Fuel!B10</f>
        <v>14129</v>
      </c>
      <c r="AQ12" s="730">
        <f>Commercial8Fuel!C10</f>
        <v>0.12</v>
      </c>
      <c r="AR12" s="731">
        <f>Commercial8Fuel!D10</f>
        <v>1979</v>
      </c>
      <c r="AS12" s="726">
        <f>Commercial8Fuel!E10</f>
        <v>0.02</v>
      </c>
      <c r="AT12" s="732">
        <f>Commercial8Fuel!F10</f>
        <v>99905</v>
      </c>
      <c r="AU12" s="733">
        <f>Commercial8Fuel!G10</f>
        <v>0.87</v>
      </c>
      <c r="AV12" s="113">
        <f>Commercial8Fuel!H10</f>
        <v>116013</v>
      </c>
    </row>
    <row r="13" spans="1:48">
      <c r="B13" s="23">
        <v>2012</v>
      </c>
      <c r="C13" s="107">
        <f>'Future Total Energy'!AL9</f>
        <v>29323</v>
      </c>
      <c r="D13" s="107">
        <f>'Future Total Energy'!AM9</f>
        <v>16866</v>
      </c>
      <c r="E13" s="457">
        <f>'Future Total Energy'!AO9</f>
        <v>120970</v>
      </c>
      <c r="G13" s="23">
        <v>2012</v>
      </c>
      <c r="H13" s="107"/>
      <c r="I13" s="107"/>
      <c r="J13" s="457"/>
      <c r="K13" s="706"/>
      <c r="L13" s="23">
        <v>2012</v>
      </c>
      <c r="M13" s="713">
        <v>0</v>
      </c>
      <c r="N13" s="713">
        <v>0</v>
      </c>
      <c r="O13" s="457">
        <v>0</v>
      </c>
      <c r="Q13" s="23">
        <v>2012</v>
      </c>
      <c r="R13" s="713">
        <f>'Future Total Energy'!AL9</f>
        <v>29323</v>
      </c>
      <c r="S13" s="713">
        <f>'Future Total Energy'!AM9</f>
        <v>16866</v>
      </c>
      <c r="T13" s="457">
        <f>'Future Total Energy'!AO9</f>
        <v>120970</v>
      </c>
      <c r="W13" s="112">
        <v>2012</v>
      </c>
      <c r="X13" s="723">
        <f>R13*Y13</f>
        <v>9090.1299999999992</v>
      </c>
      <c r="Y13" s="724">
        <v>0.31</v>
      </c>
      <c r="Z13" s="725">
        <f>R13*AA13</f>
        <v>0</v>
      </c>
      <c r="AA13" s="726">
        <v>0</v>
      </c>
      <c r="AB13" s="727">
        <f>R13*AC13</f>
        <v>20232.87</v>
      </c>
      <c r="AC13" s="728">
        <v>0.69</v>
      </c>
      <c r="AD13" s="113">
        <f>'History Type Share'!H11</f>
        <v>60037</v>
      </c>
      <c r="AE13" s="460"/>
      <c r="AF13" s="112">
        <v>2012</v>
      </c>
      <c r="AG13" s="723">
        <v>6192</v>
      </c>
      <c r="AH13" s="724">
        <f t="shared" si="0"/>
        <v>0.3671291355389541</v>
      </c>
      <c r="AI13" s="725">
        <f>S13*AJ13</f>
        <v>0</v>
      </c>
      <c r="AJ13" s="726">
        <v>0</v>
      </c>
      <c r="AK13" s="727">
        <v>10674</v>
      </c>
      <c r="AL13" s="728">
        <f t="shared" si="1"/>
        <v>0.6328708644610459</v>
      </c>
      <c r="AM13" s="113">
        <f t="shared" si="2"/>
        <v>16866</v>
      </c>
      <c r="AO13" s="116">
        <v>2012</v>
      </c>
      <c r="AP13" s="723">
        <f>Commercial8Fuel!B11</f>
        <v>14280</v>
      </c>
      <c r="AQ13" s="730">
        <f>Commercial8Fuel!C11</f>
        <v>0.12</v>
      </c>
      <c r="AR13" s="731">
        <f>Commercial8Fuel!D11</f>
        <v>1696</v>
      </c>
      <c r="AS13" s="726">
        <f>Commercial8Fuel!E11</f>
        <v>0.01</v>
      </c>
      <c r="AT13" s="732">
        <f>Commercial8Fuel!F11</f>
        <v>102353</v>
      </c>
      <c r="AU13" s="733">
        <f>Commercial8Fuel!G11</f>
        <v>0.87</v>
      </c>
      <c r="AV13" s="113">
        <f>Commercial8Fuel!H11</f>
        <v>118330</v>
      </c>
    </row>
    <row r="14" spans="1:48">
      <c r="B14" s="23">
        <v>2013</v>
      </c>
      <c r="C14" s="107">
        <f>'Future Total Energy'!AL10</f>
        <v>28490</v>
      </c>
      <c r="D14" s="107">
        <f>'Future Total Energy'!AM10</f>
        <v>16604</v>
      </c>
      <c r="E14" s="457">
        <f>'Future Total Energy'!AO10</f>
        <v>121215</v>
      </c>
      <c r="G14" s="23">
        <v>2013</v>
      </c>
      <c r="H14" s="107"/>
      <c r="I14" s="107"/>
      <c r="J14" s="457"/>
      <c r="K14" s="706"/>
      <c r="L14" s="23">
        <v>2013</v>
      </c>
      <c r="M14" s="713">
        <v>0</v>
      </c>
      <c r="N14" s="713">
        <v>0</v>
      </c>
      <c r="O14" s="457">
        <v>0</v>
      </c>
      <c r="Q14" s="23">
        <v>2013</v>
      </c>
      <c r="R14" s="713">
        <f>'Future Total Energy'!AL10</f>
        <v>28490</v>
      </c>
      <c r="S14" s="713">
        <f>'Future Total Energy'!AM10</f>
        <v>16604</v>
      </c>
      <c r="T14" s="457">
        <f>'Future Total Energy'!AO10</f>
        <v>121215</v>
      </c>
      <c r="W14" s="112">
        <v>2013</v>
      </c>
      <c r="X14" s="723">
        <f>R14*Y14</f>
        <v>9116.8000000000011</v>
      </c>
      <c r="Y14" s="724">
        <v>0.32</v>
      </c>
      <c r="Z14" s="725">
        <f>R14*AA14</f>
        <v>0</v>
      </c>
      <c r="AA14" s="726">
        <v>0</v>
      </c>
      <c r="AB14" s="727">
        <f>R14*AC14</f>
        <v>19373.2</v>
      </c>
      <c r="AC14" s="728">
        <v>0.68</v>
      </c>
      <c r="AD14" s="113">
        <f>'History Type Share'!H12</f>
        <v>58582</v>
      </c>
      <c r="AE14" s="460"/>
      <c r="AF14" s="112">
        <v>2013</v>
      </c>
      <c r="AG14" s="723">
        <v>6109</v>
      </c>
      <c r="AH14" s="724">
        <f t="shared" si="0"/>
        <v>0.36792339195374613</v>
      </c>
      <c r="AI14" s="725">
        <f>S14*AJ14</f>
        <v>0</v>
      </c>
      <c r="AJ14" s="726">
        <v>0</v>
      </c>
      <c r="AK14" s="727">
        <v>10495</v>
      </c>
      <c r="AL14" s="728">
        <f t="shared" si="1"/>
        <v>0.63207660804625387</v>
      </c>
      <c r="AM14" s="113">
        <f t="shared" si="2"/>
        <v>16604</v>
      </c>
      <c r="AO14" s="116">
        <v>2013</v>
      </c>
      <c r="AP14" s="723">
        <f>Commercial8Fuel!B12</f>
        <v>14512</v>
      </c>
      <c r="AQ14" s="730">
        <f>Commercial8Fuel!C12</f>
        <v>0.12</v>
      </c>
      <c r="AR14" s="731">
        <f>Commercial8Fuel!D12</f>
        <v>1477</v>
      </c>
      <c r="AS14" s="726">
        <f>Commercial8Fuel!E12</f>
        <v>0.01</v>
      </c>
      <c r="AT14" s="732">
        <f>Commercial8Fuel!F12</f>
        <v>102221</v>
      </c>
      <c r="AU14" s="733">
        <f>Commercial8Fuel!G12</f>
        <v>0.87</v>
      </c>
      <c r="AV14" s="113">
        <f>Commercial8Fuel!H12</f>
        <v>118209</v>
      </c>
    </row>
    <row r="15" spans="1:48">
      <c r="B15" s="23">
        <v>2014</v>
      </c>
      <c r="C15" s="107">
        <f>'Future Total Energy'!AL11</f>
        <v>30548</v>
      </c>
      <c r="D15" s="107">
        <f>'Future Total Energy'!AM11</f>
        <v>17372</v>
      </c>
      <c r="E15" s="457">
        <f>'Future Total Energy'!AO11</f>
        <v>122711</v>
      </c>
      <c r="G15" s="23">
        <v>2014</v>
      </c>
      <c r="H15" s="107"/>
      <c r="I15" s="107"/>
      <c r="J15" s="457"/>
      <c r="K15" s="706"/>
      <c r="L15" s="23">
        <v>2014</v>
      </c>
      <c r="M15" s="713">
        <v>0</v>
      </c>
      <c r="N15" s="713">
        <v>0</v>
      </c>
      <c r="O15" s="457">
        <v>0</v>
      </c>
      <c r="Q15" s="23">
        <v>2014</v>
      </c>
      <c r="R15" s="713">
        <f>'Future Total Energy'!AL11</f>
        <v>30548</v>
      </c>
      <c r="S15" s="713">
        <f>'Future Total Energy'!AM11</f>
        <v>17372</v>
      </c>
      <c r="T15" s="457">
        <f>'Future Total Energy'!AO11</f>
        <v>122711</v>
      </c>
      <c r="W15" s="112">
        <v>2014</v>
      </c>
      <c r="X15" s="723">
        <f>R15*Y15</f>
        <v>9164.4</v>
      </c>
      <c r="Y15" s="724">
        <v>0.3</v>
      </c>
      <c r="Z15" s="725">
        <f>R15*AA15</f>
        <v>0</v>
      </c>
      <c r="AA15" s="726">
        <v>0</v>
      </c>
      <c r="AB15" s="727">
        <f>R15*AC15</f>
        <v>21383.599999999999</v>
      </c>
      <c r="AC15" s="728">
        <v>0.7</v>
      </c>
      <c r="AD15" s="113">
        <f>'History Type Share'!H13</f>
        <v>62103</v>
      </c>
      <c r="AE15" s="460"/>
      <c r="AF15" s="112">
        <v>2014</v>
      </c>
      <c r="AG15" s="723">
        <v>6098</v>
      </c>
      <c r="AH15" s="724">
        <f t="shared" si="0"/>
        <v>0.3510246373474557</v>
      </c>
      <c r="AI15" s="725">
        <f>S15*AJ15</f>
        <v>0</v>
      </c>
      <c r="AJ15" s="726">
        <v>0</v>
      </c>
      <c r="AK15" s="727">
        <v>11274</v>
      </c>
      <c r="AL15" s="728">
        <f t="shared" si="1"/>
        <v>0.6489753626525443</v>
      </c>
      <c r="AM15" s="113">
        <f t="shared" si="2"/>
        <v>17372</v>
      </c>
      <c r="AO15" s="116">
        <v>2014</v>
      </c>
      <c r="AP15" s="723">
        <f>Commercial8Fuel!B13</f>
        <v>14713</v>
      </c>
      <c r="AQ15" s="730">
        <f>Commercial8Fuel!C13</f>
        <v>0.12</v>
      </c>
      <c r="AR15" s="731">
        <f>Commercial8Fuel!D13</f>
        <v>1431</v>
      </c>
      <c r="AS15" s="726">
        <f>Commercial8Fuel!E13</f>
        <v>0.01</v>
      </c>
      <c r="AT15" s="732">
        <f>Commercial8Fuel!F13</f>
        <v>103471</v>
      </c>
      <c r="AU15" s="733">
        <f>Commercial8Fuel!G13</f>
        <v>0.87</v>
      </c>
      <c r="AV15" s="113">
        <f>Commercial8Fuel!H13</f>
        <v>119615</v>
      </c>
    </row>
    <row r="16" spans="1:48">
      <c r="B16" s="23">
        <v>2015</v>
      </c>
      <c r="C16" s="107">
        <f>'Future Total Energy'!AL12</f>
        <v>29240</v>
      </c>
      <c r="D16" s="107">
        <f>'Future Total Energy'!AM12</f>
        <v>16971</v>
      </c>
      <c r="E16" s="457">
        <f>'Future Total Energy'!AO12</f>
        <v>123674</v>
      </c>
      <c r="G16" s="23">
        <v>2015</v>
      </c>
      <c r="H16" s="107"/>
      <c r="I16" s="107"/>
      <c r="J16" s="457"/>
      <c r="K16" s="706"/>
      <c r="L16" s="23">
        <v>2015</v>
      </c>
      <c r="M16" s="713">
        <v>0</v>
      </c>
      <c r="N16" s="713">
        <v>0</v>
      </c>
      <c r="O16" s="457">
        <v>0</v>
      </c>
      <c r="Q16" s="23">
        <v>2015</v>
      </c>
      <c r="R16" s="713">
        <f>'Future Total Energy'!AL12</f>
        <v>29240</v>
      </c>
      <c r="S16" s="713">
        <f>'Future Total Energy'!AM12</f>
        <v>16971</v>
      </c>
      <c r="T16" s="457">
        <f>'Future Total Energy'!AO12</f>
        <v>123674</v>
      </c>
      <c r="W16" s="112">
        <v>2015</v>
      </c>
      <c r="X16" s="723">
        <f>R16*Y16</f>
        <v>8772</v>
      </c>
      <c r="Y16" s="724">
        <v>0.3</v>
      </c>
      <c r="Z16" s="725">
        <f>R16*AA16</f>
        <v>0</v>
      </c>
      <c r="AA16" s="726">
        <v>0</v>
      </c>
      <c r="AB16" s="727">
        <f>R16*AC16</f>
        <v>20468</v>
      </c>
      <c r="AC16" s="728">
        <v>0.7</v>
      </c>
      <c r="AD16" s="113">
        <f>'History Type Share'!H14</f>
        <v>60439</v>
      </c>
      <c r="AE16" s="460"/>
      <c r="AF16" s="112">
        <v>2015</v>
      </c>
      <c r="AG16" s="723">
        <v>5938</v>
      </c>
      <c r="AH16" s="724">
        <f t="shared" si="0"/>
        <v>0.34989099051322847</v>
      </c>
      <c r="AI16" s="725">
        <f>S16*AJ16</f>
        <v>0</v>
      </c>
      <c r="AJ16" s="726">
        <v>0</v>
      </c>
      <c r="AK16" s="727">
        <v>11033</v>
      </c>
      <c r="AL16" s="728">
        <f t="shared" si="1"/>
        <v>0.65010900948677153</v>
      </c>
      <c r="AM16" s="113">
        <f t="shared" si="2"/>
        <v>16971</v>
      </c>
      <c r="AO16" s="116">
        <v>2015</v>
      </c>
      <c r="AP16" s="723">
        <f>Commercial8Fuel!B14</f>
        <v>14535</v>
      </c>
      <c r="AQ16" s="730">
        <f>Commercial8Fuel!C14</f>
        <v>0.12</v>
      </c>
      <c r="AR16" s="731">
        <f>Commercial8Fuel!D14</f>
        <v>1235</v>
      </c>
      <c r="AS16" s="726">
        <f>Commercial8Fuel!E14</f>
        <v>0.01</v>
      </c>
      <c r="AT16" s="732">
        <f>Commercial8Fuel!F14</f>
        <v>104647</v>
      </c>
      <c r="AU16" s="733">
        <f>Commercial8Fuel!G14</f>
        <v>0.87</v>
      </c>
      <c r="AV16" s="113">
        <f>Commercial8Fuel!H14</f>
        <v>120417</v>
      </c>
    </row>
    <row r="17" spans="2:48">
      <c r="B17" s="23">
        <v>2016</v>
      </c>
      <c r="C17" s="107">
        <f>'Future Total Energy'!AL13</f>
        <v>30488</v>
      </c>
      <c r="D17" s="107">
        <f>'Future Total Energy'!AM13</f>
        <v>17189</v>
      </c>
      <c r="E17" s="457">
        <f>'Future Total Energy'!AO13</f>
        <v>123969</v>
      </c>
      <c r="G17" s="23">
        <v>2016</v>
      </c>
      <c r="H17" s="107"/>
      <c r="I17" s="107"/>
      <c r="J17" s="457"/>
      <c r="K17" s="706"/>
      <c r="L17" s="23">
        <v>2016</v>
      </c>
      <c r="M17" s="713">
        <v>0</v>
      </c>
      <c r="N17" s="713">
        <v>0</v>
      </c>
      <c r="O17" s="457">
        <v>0</v>
      </c>
      <c r="Q17" s="23">
        <v>2016</v>
      </c>
      <c r="R17" s="713">
        <f>'Future Total Energy'!AL13</f>
        <v>30488</v>
      </c>
      <c r="S17" s="713">
        <f>'Future Total Energy'!AM13</f>
        <v>17189</v>
      </c>
      <c r="T17" s="457">
        <f>'Future Total Energy'!AO13</f>
        <v>123969</v>
      </c>
      <c r="W17" s="112">
        <v>2016</v>
      </c>
      <c r="X17" s="723">
        <f>R17*Y17</f>
        <v>9146.4</v>
      </c>
      <c r="Y17" s="724">
        <v>0.3</v>
      </c>
      <c r="Z17" s="725">
        <f>R17*AA17</f>
        <v>0</v>
      </c>
      <c r="AA17" s="726">
        <v>0</v>
      </c>
      <c r="AB17" s="727">
        <f>R17*AC17</f>
        <v>21341.599999999999</v>
      </c>
      <c r="AC17" s="728">
        <v>0.7</v>
      </c>
      <c r="AD17" s="113">
        <f>'History Type Share'!H15</f>
        <v>61704</v>
      </c>
      <c r="AE17" s="460"/>
      <c r="AF17" s="112">
        <v>2016</v>
      </c>
      <c r="AG17" s="723">
        <v>6058</v>
      </c>
      <c r="AH17" s="724">
        <f t="shared" si="0"/>
        <v>0.35243469660829596</v>
      </c>
      <c r="AI17" s="725">
        <f>S17*AJ17</f>
        <v>0</v>
      </c>
      <c r="AJ17" s="726">
        <v>0</v>
      </c>
      <c r="AK17" s="727">
        <v>11131</v>
      </c>
      <c r="AL17" s="728">
        <f t="shared" si="1"/>
        <v>0.64756530339170404</v>
      </c>
      <c r="AM17" s="113">
        <f>AK17+AG17</f>
        <v>17189</v>
      </c>
      <c r="AO17" s="116">
        <v>2016</v>
      </c>
      <c r="AP17" s="723">
        <f>Commercial8Fuel!B15</f>
        <v>14601</v>
      </c>
      <c r="AQ17" s="730">
        <f>Commercial8Fuel!C15</f>
        <v>0.12</v>
      </c>
      <c r="AR17" s="731">
        <f>Commercial8Fuel!D15</f>
        <v>1019</v>
      </c>
      <c r="AS17" s="726">
        <f>Commercial8Fuel!E15</f>
        <v>0.01</v>
      </c>
      <c r="AT17" s="732">
        <f>Commercial8Fuel!F15</f>
        <v>104839</v>
      </c>
      <c r="AU17" s="733">
        <f>Commercial8Fuel!G15</f>
        <v>0.87</v>
      </c>
      <c r="AV17" s="113">
        <f>Commercial8Fuel!H15</f>
        <v>120458</v>
      </c>
    </row>
    <row r="18" spans="2:48">
      <c r="B18" s="23">
        <v>2017</v>
      </c>
      <c r="C18" s="107">
        <f>'Future Total Energy'!AL14</f>
        <v>30225</v>
      </c>
      <c r="D18" s="107">
        <f>'Future Total Energy'!AM14</f>
        <v>16681</v>
      </c>
      <c r="E18" s="457">
        <f>'Future Total Energy'!AO14</f>
        <v>120891.66920796278</v>
      </c>
      <c r="G18" s="23">
        <v>2017</v>
      </c>
      <c r="H18" s="107"/>
      <c r="I18" s="107"/>
      <c r="J18" s="470"/>
      <c r="K18" s="708"/>
      <c r="L18" s="23">
        <v>2017</v>
      </c>
      <c r="M18" s="713">
        <v>0</v>
      </c>
      <c r="N18" s="713">
        <v>0</v>
      </c>
      <c r="O18" s="457">
        <v>0</v>
      </c>
      <c r="Q18" s="23">
        <v>2017</v>
      </c>
      <c r="R18" s="713">
        <f>'Future Total Energy'!AL14</f>
        <v>30225</v>
      </c>
      <c r="S18" s="713">
        <f>'Future Total Energy'!AM14</f>
        <v>16681</v>
      </c>
      <c r="T18" s="470">
        <f>'Future Total Energy'!AO14</f>
        <v>120891.66920796278</v>
      </c>
      <c r="W18" s="112">
        <v>2017</v>
      </c>
      <c r="X18" s="723">
        <f>'Private,Public8EndUse'!T102</f>
        <v>8193</v>
      </c>
      <c r="Y18" s="724">
        <f>1-AC18-AA18</f>
        <v>0.27106699751861041</v>
      </c>
      <c r="Z18" s="725">
        <f>Z17</f>
        <v>0</v>
      </c>
      <c r="AA18" s="726">
        <f>Z18/R18</f>
        <v>0</v>
      </c>
      <c r="AB18" s="727">
        <f>'Private,Public8EndUse'!T57</f>
        <v>22032</v>
      </c>
      <c r="AC18" s="728">
        <f>AB18/AD18</f>
        <v>0.72893300248138959</v>
      </c>
      <c r="AD18" s="113">
        <f>'Private,Public8EndUse'!T17</f>
        <v>30225</v>
      </c>
      <c r="AE18" s="460"/>
      <c r="AF18" s="112">
        <v>2017</v>
      </c>
      <c r="AG18" s="723">
        <v>5929</v>
      </c>
      <c r="AH18" s="724">
        <f>1-AL18-AJ18</f>
        <v>0.3554343264792279</v>
      </c>
      <c r="AI18" s="725">
        <f>AI17</f>
        <v>0</v>
      </c>
      <c r="AJ18" s="726">
        <f t="shared" ref="AJ18:AJ51" si="3">AI18/AB18</f>
        <v>0</v>
      </c>
      <c r="AK18" s="727">
        <v>10752</v>
      </c>
      <c r="AL18" s="728">
        <f t="shared" ref="AL7:AL18" si="4">AK18/AM18</f>
        <v>0.6445656735207721</v>
      </c>
      <c r="AM18" s="113">
        <f t="shared" si="2"/>
        <v>16681</v>
      </c>
      <c r="AO18" s="116">
        <v>2017</v>
      </c>
      <c r="AP18" s="723">
        <f>Commercial8Fuel!B16</f>
        <v>14908</v>
      </c>
      <c r="AQ18" s="730">
        <f>Commercial8Fuel!C16</f>
        <v>0.12</v>
      </c>
      <c r="AR18" s="731">
        <f>Commercial8Fuel!D16</f>
        <v>830</v>
      </c>
      <c r="AS18" s="726">
        <f>Commercial8Fuel!E16</f>
        <v>0.01</v>
      </c>
      <c r="AT18" s="732">
        <f>Commercial8Fuel!F16</f>
        <v>104669</v>
      </c>
      <c r="AU18" s="733">
        <f>Commercial8Fuel!G16</f>
        <v>0.87</v>
      </c>
      <c r="AV18" s="113">
        <f>Commercial8Fuel!H16</f>
        <v>120408</v>
      </c>
    </row>
    <row r="19" spans="2:48">
      <c r="B19" s="23">
        <v>2018</v>
      </c>
      <c r="C19" s="107">
        <f>'Future Total Energy'!AL15</f>
        <v>30220</v>
      </c>
      <c r="D19" s="107">
        <f>'Future Total Energy'!AM15</f>
        <v>16860</v>
      </c>
      <c r="E19" s="457">
        <f>'Future Total Energy'!AO15</f>
        <v>121325.33841592554</v>
      </c>
      <c r="G19" s="23">
        <v>2018</v>
      </c>
      <c r="H19" s="107"/>
      <c r="I19" s="107"/>
      <c r="J19" s="470"/>
      <c r="K19" s="708"/>
      <c r="L19" s="23">
        <v>2018</v>
      </c>
      <c r="M19" s="713">
        <v>0</v>
      </c>
      <c r="N19" s="713">
        <v>0</v>
      </c>
      <c r="O19" s="457">
        <v>0</v>
      </c>
      <c r="Q19" s="23">
        <v>2018</v>
      </c>
      <c r="R19" s="713">
        <f>'Future Total Energy'!AL15</f>
        <v>30220</v>
      </c>
      <c r="S19" s="713">
        <f>'Future Total Energy'!AM15</f>
        <v>16860</v>
      </c>
      <c r="T19" s="470">
        <f>'Future Total Energy'!AO15</f>
        <v>121325.33841592554</v>
      </c>
      <c r="W19" s="112">
        <v>2018</v>
      </c>
      <c r="X19" s="723">
        <f>'Private,Public8EndUse'!T103</f>
        <v>8612</v>
      </c>
      <c r="Y19" s="724">
        <f t="shared" ref="Y19:Y51" si="5">1-AC19-AA19</f>
        <v>0.28497683653209793</v>
      </c>
      <c r="Z19" s="725">
        <f t="shared" ref="Z19:Z51" si="6">Z18</f>
        <v>0</v>
      </c>
      <c r="AA19" s="726">
        <f>Z19/R19</f>
        <v>0</v>
      </c>
      <c r="AB19" s="727">
        <f>'Private,Public8EndUse'!T58</f>
        <v>21608</v>
      </c>
      <c r="AC19" s="728">
        <f t="shared" ref="AC19:AC22" si="7">AB19/AD19</f>
        <v>0.71502316346790207</v>
      </c>
      <c r="AD19" s="113">
        <f>'Private,Public8EndUse'!T18</f>
        <v>30220</v>
      </c>
      <c r="AE19" s="460"/>
      <c r="AF19" s="112">
        <v>2018</v>
      </c>
      <c r="AG19" s="723">
        <v>6195</v>
      </c>
      <c r="AH19" s="724">
        <f t="shared" ref="AH19:AH51" si="8">1-AL19-AJ19</f>
        <v>0.36743772241992878</v>
      </c>
      <c r="AI19" s="725">
        <f t="shared" ref="AI19:AI51" si="9">AI18</f>
        <v>0</v>
      </c>
      <c r="AJ19" s="726">
        <f t="shared" si="3"/>
        <v>0</v>
      </c>
      <c r="AK19" s="727">
        <v>10665</v>
      </c>
      <c r="AL19" s="728">
        <f t="shared" ref="AL19:AL22" si="10">AK19/AM19</f>
        <v>0.63256227758007122</v>
      </c>
      <c r="AM19" s="113">
        <f t="shared" si="2"/>
        <v>16860</v>
      </c>
      <c r="AO19" s="116">
        <v>2018</v>
      </c>
      <c r="AP19" s="723">
        <f>Commercial8Fuel!B17</f>
        <v>15254</v>
      </c>
      <c r="AQ19" s="730">
        <f>Commercial8Fuel!C17</f>
        <v>0.12</v>
      </c>
      <c r="AR19" s="731">
        <f>Commercial8Fuel!D17</f>
        <v>675</v>
      </c>
      <c r="AS19" s="726">
        <f>Commercial8Fuel!E17</f>
        <v>0.01</v>
      </c>
      <c r="AT19" s="732">
        <f>Commercial8Fuel!F17</f>
        <v>106291</v>
      </c>
      <c r="AU19" s="733">
        <f>Commercial8Fuel!G17</f>
        <v>0.87</v>
      </c>
      <c r="AV19" s="113">
        <f>Commercial8Fuel!H17</f>
        <v>122220</v>
      </c>
    </row>
    <row r="20" spans="2:48">
      <c r="B20" s="23">
        <v>2019</v>
      </c>
      <c r="C20" s="107">
        <f>'Future Total Energy'!AL16</f>
        <v>30115</v>
      </c>
      <c r="D20" s="107">
        <f>'Future Total Energy'!AM16</f>
        <v>16702</v>
      </c>
      <c r="E20" s="457">
        <f>'Future Total Energy'!AO16</f>
        <v>121759.00762388816</v>
      </c>
      <c r="G20" s="23">
        <v>2019</v>
      </c>
      <c r="H20" s="107"/>
      <c r="I20" s="107"/>
      <c r="J20" s="470"/>
      <c r="K20" s="708"/>
      <c r="L20" s="23">
        <v>2019</v>
      </c>
      <c r="M20" s="713">
        <v>0</v>
      </c>
      <c r="N20" s="713">
        <v>0</v>
      </c>
      <c r="O20" s="457">
        <v>0</v>
      </c>
      <c r="Q20" s="23">
        <v>2019</v>
      </c>
      <c r="R20" s="713">
        <f>'Future Total Energy'!AL16</f>
        <v>30115</v>
      </c>
      <c r="S20" s="713">
        <f>'Future Total Energy'!AM16</f>
        <v>16702</v>
      </c>
      <c r="T20" s="470">
        <f>'Future Total Energy'!AO16</f>
        <v>121759.00762388816</v>
      </c>
      <c r="W20" s="112">
        <v>2019</v>
      </c>
      <c r="X20" s="723">
        <f>'Private,Public8EndUse'!T104</f>
        <v>7979</v>
      </c>
      <c r="Y20" s="724">
        <f t="shared" si="5"/>
        <v>0.26495102108583757</v>
      </c>
      <c r="Z20" s="725">
        <f t="shared" si="6"/>
        <v>0</v>
      </c>
      <c r="AA20" s="726">
        <f>Z20/R20</f>
        <v>0</v>
      </c>
      <c r="AB20" s="727">
        <f>'Private,Public8EndUse'!T59</f>
        <v>22136</v>
      </c>
      <c r="AC20" s="728">
        <f t="shared" si="7"/>
        <v>0.73504897891416243</v>
      </c>
      <c r="AD20" s="113">
        <f>'Private,Public8EndUse'!T19</f>
        <v>30115</v>
      </c>
      <c r="AE20" s="460"/>
      <c r="AF20" s="112">
        <v>2019</v>
      </c>
      <c r="AG20" s="723">
        <v>5817</v>
      </c>
      <c r="AH20" s="724">
        <f t="shared" si="8"/>
        <v>0.34828164291701591</v>
      </c>
      <c r="AI20" s="725">
        <f t="shared" si="9"/>
        <v>0</v>
      </c>
      <c r="AJ20" s="726">
        <f t="shared" si="3"/>
        <v>0</v>
      </c>
      <c r="AK20" s="727">
        <v>10885</v>
      </c>
      <c r="AL20" s="728">
        <f t="shared" si="10"/>
        <v>0.65171835708298409</v>
      </c>
      <c r="AM20" s="113">
        <f t="shared" si="2"/>
        <v>16702</v>
      </c>
      <c r="AO20" s="116">
        <v>2019</v>
      </c>
      <c r="AP20" s="723">
        <f>Commercial8Fuel!B18</f>
        <v>14440</v>
      </c>
      <c r="AQ20" s="730">
        <f>Commercial8Fuel!C18</f>
        <v>0.12</v>
      </c>
      <c r="AR20" s="731">
        <f>Commercial8Fuel!D18</f>
        <v>574</v>
      </c>
      <c r="AS20" s="726">
        <f>Commercial8Fuel!E18</f>
        <v>0</v>
      </c>
      <c r="AT20" s="732">
        <f>Commercial8Fuel!F18</f>
        <v>107988</v>
      </c>
      <c r="AU20" s="733">
        <f>Commercial8Fuel!G18</f>
        <v>0.88</v>
      </c>
      <c r="AV20" s="113">
        <f>Commercial8Fuel!H18</f>
        <v>123001</v>
      </c>
    </row>
    <row r="21" spans="2:48">
      <c r="B21" s="23">
        <v>2020</v>
      </c>
      <c r="C21" s="107">
        <f>'Future Total Energy'!AL17</f>
        <v>32855</v>
      </c>
      <c r="D21" s="107">
        <f>'Future Total Energy'!AM17</f>
        <v>18118</v>
      </c>
      <c r="E21" s="457">
        <f>'Future Total Energy'!AO17</f>
        <v>122192.67683185093</v>
      </c>
      <c r="G21" s="23">
        <v>2020</v>
      </c>
      <c r="H21" s="702">
        <v>0.1</v>
      </c>
      <c r="I21" s="702">
        <v>0.1</v>
      </c>
      <c r="J21" s="703">
        <v>0.15</v>
      </c>
      <c r="K21" s="709"/>
      <c r="L21" s="23">
        <v>2020</v>
      </c>
      <c r="M21" s="715">
        <f>0.1/(2035-2020)</f>
        <v>6.6666666666666671E-3</v>
      </c>
      <c r="N21" s="715">
        <f>0.1/(2035-2020)</f>
        <v>6.6666666666666671E-3</v>
      </c>
      <c r="O21" s="716">
        <f>0.15/(2035-2020)</f>
        <v>0.01</v>
      </c>
      <c r="Q21" s="23">
        <v>2020</v>
      </c>
      <c r="R21" s="713">
        <f>C21*(1-M21)-570</f>
        <v>32065.966666666664</v>
      </c>
      <c r="S21" s="713">
        <f t="shared" ref="S21:S22" si="11">D21*(1-N21)</f>
        <v>17997.213333333333</v>
      </c>
      <c r="T21" s="457">
        <f>E21*(1-O21)</f>
        <v>120970.75006353241</v>
      </c>
      <c r="W21" s="112">
        <v>2020</v>
      </c>
      <c r="X21" s="723">
        <f>'Private,Public8EndUse'!T105</f>
        <v>8742</v>
      </c>
      <c r="Y21" s="724">
        <f t="shared" si="5"/>
        <v>0.26607822249277124</v>
      </c>
      <c r="Z21" s="725">
        <f t="shared" si="6"/>
        <v>0</v>
      </c>
      <c r="AA21" s="726">
        <f>Z21/R21</f>
        <v>0</v>
      </c>
      <c r="AB21" s="727">
        <f>'Private,Public8EndUse'!T60</f>
        <v>24113</v>
      </c>
      <c r="AC21" s="728">
        <f t="shared" si="7"/>
        <v>0.73392177750722876</v>
      </c>
      <c r="AD21" s="113">
        <f>'Private,Public8EndUse'!T20</f>
        <v>32855</v>
      </c>
      <c r="AE21" s="460"/>
      <c r="AF21" s="112">
        <v>2020</v>
      </c>
      <c r="AG21" s="723">
        <v>6362</v>
      </c>
      <c r="AH21" s="724">
        <f t="shared" si="8"/>
        <v>0.35114251021084009</v>
      </c>
      <c r="AI21" s="725">
        <f t="shared" si="9"/>
        <v>0</v>
      </c>
      <c r="AJ21" s="726">
        <f t="shared" si="3"/>
        <v>0</v>
      </c>
      <c r="AK21" s="727">
        <v>11756</v>
      </c>
      <c r="AL21" s="728">
        <f t="shared" si="10"/>
        <v>0.64885748978915991</v>
      </c>
      <c r="AM21" s="113">
        <f t="shared" si="2"/>
        <v>18118</v>
      </c>
      <c r="AO21" s="116">
        <v>2020</v>
      </c>
      <c r="AP21" s="723">
        <f>Commercial8Fuel!B19</f>
        <v>11847</v>
      </c>
      <c r="AQ21" s="730">
        <f>Commercial8Fuel!C19</f>
        <v>0.1</v>
      </c>
      <c r="AR21" s="731">
        <f>Commercial8Fuel!D19</f>
        <v>498</v>
      </c>
      <c r="AS21" s="726">
        <f>Commercial8Fuel!E19</f>
        <v>0</v>
      </c>
      <c r="AT21" s="732">
        <f>Commercial8Fuel!F19</f>
        <v>102167</v>
      </c>
      <c r="AU21" s="733">
        <f>Commercial8Fuel!G19</f>
        <v>0.89</v>
      </c>
      <c r="AV21" s="113">
        <f>Commercial8Fuel!H19</f>
        <v>114512</v>
      </c>
    </row>
    <row r="22" spans="2:48">
      <c r="B22" s="23">
        <v>2021</v>
      </c>
      <c r="C22" s="107">
        <f>'Future Total Energy'!AL18</f>
        <v>32236</v>
      </c>
      <c r="D22" s="107">
        <f>'Future Total Energy'!AM18</f>
        <v>18300</v>
      </c>
      <c r="E22" s="457">
        <f>'Future Total Energy'!AO18</f>
        <v>123136.54510800513</v>
      </c>
      <c r="G22" s="23">
        <v>2021</v>
      </c>
      <c r="H22" s="702"/>
      <c r="I22" s="702"/>
      <c r="J22" s="703"/>
      <c r="K22" s="709"/>
      <c r="L22" s="23">
        <v>2021</v>
      </c>
      <c r="M22" s="715">
        <f t="shared" ref="M22:N36" si="12">0.1/(2035-2020)</f>
        <v>6.6666666666666671E-3</v>
      </c>
      <c r="N22" s="715">
        <f t="shared" si="12"/>
        <v>6.6666666666666671E-3</v>
      </c>
      <c r="O22" s="716">
        <f t="shared" ref="O22:O36" si="13">0.15/(2035-2020)</f>
        <v>0.01</v>
      </c>
      <c r="Q22" s="23">
        <v>2021</v>
      </c>
      <c r="R22" s="713">
        <f t="shared" ref="R22:R51" si="14">C22*(1-M22)-570</f>
        <v>31451.093333333331</v>
      </c>
      <c r="S22" s="713">
        <f t="shared" si="11"/>
        <v>18178</v>
      </c>
      <c r="T22" s="457">
        <f>E22*(1-O22)</f>
        <v>121905.17965692507</v>
      </c>
      <c r="W22" s="114">
        <v>2021</v>
      </c>
      <c r="X22" s="463">
        <f>'Private,Public8EndUse'!T106</f>
        <v>8317</v>
      </c>
      <c r="Y22" s="464">
        <f>1-AC22-AA22</f>
        <v>0.25800347437647353</v>
      </c>
      <c r="Z22" s="465">
        <f t="shared" si="6"/>
        <v>0</v>
      </c>
      <c r="AA22" s="466">
        <f>Z22/R22</f>
        <v>0</v>
      </c>
      <c r="AB22" s="467">
        <f>'Private,Public8EndUse'!T61</f>
        <v>23919</v>
      </c>
      <c r="AC22" s="468">
        <f t="shared" si="7"/>
        <v>0.74199652562352647</v>
      </c>
      <c r="AD22" s="469">
        <f>'Private,Public8EndUse'!T21</f>
        <v>32236</v>
      </c>
      <c r="AE22" s="460"/>
      <c r="AF22" s="114">
        <v>2021</v>
      </c>
      <c r="AG22" s="463">
        <v>6239</v>
      </c>
      <c r="AH22" s="464">
        <f t="shared" si="8"/>
        <v>0.34092896174863385</v>
      </c>
      <c r="AI22" s="465">
        <f t="shared" si="9"/>
        <v>0</v>
      </c>
      <c r="AJ22" s="466">
        <f t="shared" si="3"/>
        <v>0</v>
      </c>
      <c r="AK22" s="467">
        <v>12061</v>
      </c>
      <c r="AL22" s="468">
        <f t="shared" si="10"/>
        <v>0.65907103825136615</v>
      </c>
      <c r="AM22" s="469">
        <f>AK22+AG22</f>
        <v>18300</v>
      </c>
      <c r="AO22" s="116">
        <v>2021</v>
      </c>
      <c r="AP22" s="723">
        <f>Commercial8Fuel!B20</f>
        <v>12353</v>
      </c>
      <c r="AQ22" s="730">
        <f>Commercial8Fuel!C20</f>
        <v>0.1</v>
      </c>
      <c r="AR22" s="731">
        <f>Commercial8Fuel!D20</f>
        <v>490</v>
      </c>
      <c r="AS22" s="726">
        <f>Commercial8Fuel!E20</f>
        <v>0</v>
      </c>
      <c r="AT22" s="732">
        <f>Commercial8Fuel!F20</f>
        <v>107240</v>
      </c>
      <c r="AU22" s="733">
        <f>Commercial8Fuel!G20</f>
        <v>0.89</v>
      </c>
      <c r="AV22" s="113">
        <f>Commercial8Fuel!H20</f>
        <v>120083</v>
      </c>
    </row>
    <row r="23" spans="2:48">
      <c r="B23" s="23">
        <v>2022</v>
      </c>
      <c r="C23" s="107">
        <f>'Future Total Energy'!AL19</f>
        <v>33150.259375137699</v>
      </c>
      <c r="D23" s="107">
        <f>'Future Total Energy'!AM19</f>
        <v>18520.986171652046</v>
      </c>
      <c r="E23" s="457">
        <f>'Future Total Energy'!AO19</f>
        <v>124080.4133841593</v>
      </c>
      <c r="G23" s="23">
        <v>2022</v>
      </c>
      <c r="H23" s="702"/>
      <c r="I23" s="702"/>
      <c r="J23" s="703"/>
      <c r="K23" s="709"/>
      <c r="L23" s="23">
        <v>2022</v>
      </c>
      <c r="M23" s="715">
        <f t="shared" si="12"/>
        <v>6.6666666666666671E-3</v>
      </c>
      <c r="N23" s="715">
        <f t="shared" si="12"/>
        <v>6.6666666666666671E-3</v>
      </c>
      <c r="O23" s="716">
        <f t="shared" si="13"/>
        <v>0.01</v>
      </c>
      <c r="Q23" s="23">
        <v>2022</v>
      </c>
      <c r="R23" s="713">
        <f t="shared" si="14"/>
        <v>32359.257645970116</v>
      </c>
      <c r="S23" s="713">
        <f t="shared" ref="S23:S51" si="15">D23*(1-N23)</f>
        <v>18397.512930507699</v>
      </c>
      <c r="T23" s="470">
        <f>E23*(1-O23)</f>
        <v>122839.60925031771</v>
      </c>
      <c r="W23" s="112">
        <v>2022</v>
      </c>
      <c r="X23" s="50">
        <f>$R23*Y23</f>
        <v>8346.4567997191862</v>
      </c>
      <c r="Y23" s="105">
        <f>1-AC23-AA23</f>
        <v>0.25793103448275856</v>
      </c>
      <c r="Z23" s="50">
        <f t="shared" si="6"/>
        <v>0</v>
      </c>
      <c r="AA23" s="105">
        <f>Z23/R23</f>
        <v>0</v>
      </c>
      <c r="AB23" s="50">
        <f>$R23*AC23</f>
        <v>24012.800846250928</v>
      </c>
      <c r="AC23" s="105">
        <f>TREND(AC$55:AC$56,$W$55:$W$56,$W23)</f>
        <v>0.74206896551724144</v>
      </c>
      <c r="AD23" s="113">
        <f>R23</f>
        <v>32359.257645970116</v>
      </c>
      <c r="AE23" s="460"/>
      <c r="AF23" s="112">
        <v>2022</v>
      </c>
      <c r="AG23" s="729">
        <f t="shared" ref="AG19:AG51" si="16">$AM23*AH23</f>
        <v>6214.5599218265015</v>
      </c>
      <c r="AH23" s="105">
        <f t="shared" si="8"/>
        <v>0.3377934803090259</v>
      </c>
      <c r="AI23" s="729">
        <f t="shared" si="9"/>
        <v>0</v>
      </c>
      <c r="AJ23" s="105">
        <f t="shared" si="3"/>
        <v>0</v>
      </c>
      <c r="AK23" s="729">
        <f t="shared" ref="AK19:AK51" si="17">$AM23*AL23</f>
        <v>12182.953008681197</v>
      </c>
      <c r="AL23" s="105">
        <f>TREND(AL$55:AL$56,$AF$55:$AF$56,$AF23)</f>
        <v>0.6622065196909741</v>
      </c>
      <c r="AM23" s="113">
        <f>S23</f>
        <v>18397.512930507699</v>
      </c>
      <c r="AO23" s="736">
        <v>2022</v>
      </c>
      <c r="AP23" s="745">
        <f>AV23*AQ23</f>
        <v>13839.929308869132</v>
      </c>
      <c r="AQ23" s="131">
        <f>1-$AS23-$AU23</f>
        <v>0.11266666666666669</v>
      </c>
      <c r="AR23" s="737">
        <v>0</v>
      </c>
      <c r="AS23" s="738">
        <v>0</v>
      </c>
      <c r="AT23" s="737">
        <f>$AV23*AU23</f>
        <v>108999.67994144857</v>
      </c>
      <c r="AU23" s="131">
        <f>TREND(AU$13:AU$22,$W$13:$W$22,$W23)</f>
        <v>0.88733333333333331</v>
      </c>
      <c r="AV23" s="748">
        <f>T23</f>
        <v>122839.60925031771</v>
      </c>
    </row>
    <row r="24" spans="2:48">
      <c r="B24" s="23">
        <v>2023</v>
      </c>
      <c r="C24" s="107">
        <f>'Future Total Energy'!AL20</f>
        <v>33819.666460106368</v>
      </c>
      <c r="D24" s="107">
        <f>'Future Total Energy'!AM20</f>
        <v>18592.639970146829</v>
      </c>
      <c r="E24" s="457">
        <f>'Future Total Energy'!AO20</f>
        <v>125024.28166031349</v>
      </c>
      <c r="G24" s="23">
        <v>2023</v>
      </c>
      <c r="H24" s="702"/>
      <c r="I24" s="702"/>
      <c r="J24" s="703"/>
      <c r="K24" s="709"/>
      <c r="L24" s="23">
        <v>2023</v>
      </c>
      <c r="M24" s="715">
        <f t="shared" si="12"/>
        <v>6.6666666666666671E-3</v>
      </c>
      <c r="N24" s="715">
        <f t="shared" si="12"/>
        <v>6.6666666666666671E-3</v>
      </c>
      <c r="O24" s="716">
        <f t="shared" si="13"/>
        <v>0.01</v>
      </c>
      <c r="Q24" s="23">
        <v>2023</v>
      </c>
      <c r="R24" s="713">
        <f t="shared" si="14"/>
        <v>33024.202017038988</v>
      </c>
      <c r="S24" s="713">
        <f t="shared" si="15"/>
        <v>18468.689037012515</v>
      </c>
      <c r="T24" s="470">
        <f>E24*(1-O24)</f>
        <v>123774.03884371035</v>
      </c>
      <c r="W24" s="112">
        <v>2023</v>
      </c>
      <c r="X24" s="50">
        <f>$R24*Y24</f>
        <v>8449.64065401482</v>
      </c>
      <c r="Y24" s="105">
        <f t="shared" si="5"/>
        <v>0.25586206896551777</v>
      </c>
      <c r="Z24" s="50">
        <f t="shared" si="6"/>
        <v>0</v>
      </c>
      <c r="AA24" s="105">
        <f>Z24/R24</f>
        <v>0</v>
      </c>
      <c r="AB24" s="50">
        <f>$R24*AC24</f>
        <v>24574.561363024168</v>
      </c>
      <c r="AC24" s="105">
        <f t="shared" ref="AC24:AC51" si="18">TREND(AC$55:AC$56,$W$55:$W$56,$W24)</f>
        <v>0.74413793103448223</v>
      </c>
      <c r="AD24" s="113">
        <f>R24</f>
        <v>33024.202017038988</v>
      </c>
      <c r="AE24" s="460"/>
      <c r="AF24" s="112">
        <v>2023</v>
      </c>
      <c r="AG24" s="729">
        <f t="shared" si="16"/>
        <v>6180.6945148681552</v>
      </c>
      <c r="AH24" s="105">
        <f>1-AL24-AJ24</f>
        <v>0.33465799886941738</v>
      </c>
      <c r="AI24" s="729">
        <f t="shared" si="9"/>
        <v>0</v>
      </c>
      <c r="AJ24" s="105">
        <f t="shared" si="3"/>
        <v>0</v>
      </c>
      <c r="AK24" s="729">
        <f t="shared" si="17"/>
        <v>12287.99452214436</v>
      </c>
      <c r="AL24" s="105">
        <f t="shared" ref="AL23:AL49" si="19">TREND(AL$55:AL$56,$AF$55:$AF$56,$AF24)</f>
        <v>0.66534200113058262</v>
      </c>
      <c r="AM24" s="113">
        <f>S24</f>
        <v>18468.689037012515</v>
      </c>
      <c r="AO24" s="116">
        <v>2023</v>
      </c>
      <c r="AP24" s="746">
        <f t="shared" ref="AP24:AP51" si="20">AV24*AQ24</f>
        <v>13667.654471105374</v>
      </c>
      <c r="AQ24" s="105">
        <f t="shared" ref="AQ24:AQ51" si="21">1-$AS24-$AU24</f>
        <v>0.11042424242424165</v>
      </c>
      <c r="AR24" s="729">
        <f t="shared" ref="AR24:AR51" si="22">AV24*AS24</f>
        <v>0</v>
      </c>
      <c r="AS24" s="669">
        <v>0</v>
      </c>
      <c r="AT24" s="729">
        <f t="shared" ref="AT24:AT51" si="23">$AV24*AU24</f>
        <v>110106.38437260498</v>
      </c>
      <c r="AU24" s="105">
        <f t="shared" ref="AU24:AU25" si="24">TREND(AU$13:AU$22,$W$13:$W$22,$W24)</f>
        <v>0.88957575757575835</v>
      </c>
      <c r="AV24" s="749">
        <f t="shared" ref="AV24:AV51" si="25">T24</f>
        <v>123774.03884371035</v>
      </c>
    </row>
    <row r="25" spans="2:48">
      <c r="B25" s="23">
        <v>2024</v>
      </c>
      <c r="C25" s="107">
        <f>'Future Total Energy'!AL21</f>
        <v>34162.488545432701</v>
      </c>
      <c r="D25" s="107">
        <f>'Future Total Energy'!AM21</f>
        <v>18745.586355597174</v>
      </c>
      <c r="E25" s="457">
        <f>'Future Total Energy'!AO21</f>
        <v>125968.14993646767</v>
      </c>
      <c r="G25" s="23">
        <v>2024</v>
      </c>
      <c r="H25" s="702"/>
      <c r="I25" s="702"/>
      <c r="J25" s="703"/>
      <c r="K25" s="709"/>
      <c r="L25" s="23">
        <v>2024</v>
      </c>
      <c r="M25" s="715">
        <f t="shared" si="12"/>
        <v>6.6666666666666671E-3</v>
      </c>
      <c r="N25" s="715">
        <f t="shared" si="12"/>
        <v>6.6666666666666671E-3</v>
      </c>
      <c r="O25" s="716">
        <f t="shared" si="13"/>
        <v>0.01</v>
      </c>
      <c r="Q25" s="23">
        <v>2024</v>
      </c>
      <c r="R25" s="713">
        <f t="shared" si="14"/>
        <v>33364.738621796481</v>
      </c>
      <c r="S25" s="713">
        <f t="shared" si="15"/>
        <v>18620.615779893193</v>
      </c>
      <c r="T25" s="470">
        <f>E25*(1-O25)</f>
        <v>124708.46843710299</v>
      </c>
      <c r="W25" s="112">
        <v>2024</v>
      </c>
      <c r="X25" s="50">
        <f>$R25*Y25</f>
        <v>8467.740560566288</v>
      </c>
      <c r="Y25" s="105">
        <f t="shared" si="5"/>
        <v>0.2537931034482761</v>
      </c>
      <c r="Z25" s="50">
        <f t="shared" si="6"/>
        <v>0</v>
      </c>
      <c r="AA25" s="105">
        <f>Z25/R25</f>
        <v>0</v>
      </c>
      <c r="AB25" s="50">
        <f>$R25*AC25</f>
        <v>24896.998061230195</v>
      </c>
      <c r="AC25" s="105">
        <f t="shared" si="18"/>
        <v>0.7462068965517239</v>
      </c>
      <c r="AD25" s="113">
        <f>R25</f>
        <v>33364.738621796481</v>
      </c>
      <c r="AE25" s="460"/>
      <c r="AF25" s="112">
        <v>2024</v>
      </c>
      <c r="AG25" s="729">
        <f>$AM25*AH25</f>
        <v>6173.1534194434316</v>
      </c>
      <c r="AH25" s="105">
        <f t="shared" si="8"/>
        <v>0.33152251742980976</v>
      </c>
      <c r="AI25" s="729">
        <f t="shared" si="9"/>
        <v>0</v>
      </c>
      <c r="AJ25" s="105">
        <f t="shared" si="3"/>
        <v>0</v>
      </c>
      <c r="AK25" s="729">
        <f t="shared" si="17"/>
        <v>12447.462360449761</v>
      </c>
      <c r="AL25" s="105">
        <f t="shared" si="19"/>
        <v>0.66847748257019024</v>
      </c>
      <c r="AM25" s="113">
        <f>S25</f>
        <v>18620.615779893193</v>
      </c>
      <c r="AO25" s="116">
        <v>2024</v>
      </c>
      <c r="AP25" s="746">
        <f t="shared" si="20"/>
        <v>13491.188858195601</v>
      </c>
      <c r="AQ25" s="105">
        <f t="shared" si="21"/>
        <v>0.10818181818181749</v>
      </c>
      <c r="AR25" s="729">
        <f t="shared" si="22"/>
        <v>0</v>
      </c>
      <c r="AS25" s="669">
        <v>0</v>
      </c>
      <c r="AT25" s="729">
        <f t="shared" si="23"/>
        <v>111217.27957890739</v>
      </c>
      <c r="AU25" s="105">
        <f t="shared" si="24"/>
        <v>0.89181818181818251</v>
      </c>
      <c r="AV25" s="749">
        <f t="shared" si="25"/>
        <v>124708.46843710299</v>
      </c>
    </row>
    <row r="26" spans="2:48">
      <c r="B26" s="23">
        <v>2025</v>
      </c>
      <c r="C26" s="107">
        <f>'Future Total Energy'!AL22</f>
        <v>34534.487362892338</v>
      </c>
      <c r="D26" s="107">
        <f>'Future Total Energy'!AM22</f>
        <v>19049.355219450485</v>
      </c>
      <c r="E26" s="457">
        <f>'Future Total Energy'!AO22</f>
        <v>126912.01821262186</v>
      </c>
      <c r="G26" s="23">
        <v>2025</v>
      </c>
      <c r="H26" s="702"/>
      <c r="I26" s="702"/>
      <c r="J26" s="703"/>
      <c r="K26" s="709"/>
      <c r="L26" s="23">
        <v>2025</v>
      </c>
      <c r="M26" s="717">
        <f t="shared" si="12"/>
        <v>6.6666666666666671E-3</v>
      </c>
      <c r="N26" s="717">
        <f t="shared" si="12"/>
        <v>6.6666666666666671E-3</v>
      </c>
      <c r="O26" s="716">
        <f t="shared" si="13"/>
        <v>0.01</v>
      </c>
      <c r="Q26" s="23">
        <v>2025</v>
      </c>
      <c r="R26" s="713">
        <f t="shared" si="14"/>
        <v>33734.257447139724</v>
      </c>
      <c r="S26" s="713">
        <f t="shared" si="15"/>
        <v>18922.359517987479</v>
      </c>
      <c r="T26" s="457">
        <f>E26*(1-O26)</f>
        <v>125642.89803049563</v>
      </c>
      <c r="W26" s="112">
        <v>2025</v>
      </c>
      <c r="X26" s="50">
        <f>$R26*Y26</f>
        <v>8491.7268746248246</v>
      </c>
      <c r="Y26" s="105">
        <f t="shared" si="5"/>
        <v>0.25172413793103443</v>
      </c>
      <c r="Z26" s="50">
        <f t="shared" si="6"/>
        <v>0</v>
      </c>
      <c r="AA26" s="105">
        <f>Z26/R26</f>
        <v>0</v>
      </c>
      <c r="AB26" s="50">
        <f>$R26*AC26</f>
        <v>25242.530572514897</v>
      </c>
      <c r="AC26" s="105">
        <f t="shared" si="18"/>
        <v>0.74827586206896557</v>
      </c>
      <c r="AD26" s="113">
        <f>R26</f>
        <v>33734.257447139724</v>
      </c>
      <c r="AE26" s="460"/>
      <c r="AF26" s="112">
        <v>2025</v>
      </c>
      <c r="AG26" s="729">
        <f t="shared" si="16"/>
        <v>6213.8575560528816</v>
      </c>
      <c r="AH26" s="105">
        <f t="shared" si="8"/>
        <v>0.32838703599020125</v>
      </c>
      <c r="AI26" s="729">
        <f t="shared" si="9"/>
        <v>0</v>
      </c>
      <c r="AJ26" s="105">
        <f t="shared" si="3"/>
        <v>0</v>
      </c>
      <c r="AK26" s="729">
        <f t="shared" si="17"/>
        <v>12708.501961934599</v>
      </c>
      <c r="AL26" s="105">
        <f t="shared" si="19"/>
        <v>0.67161296400979875</v>
      </c>
      <c r="AM26" s="113">
        <f>S26</f>
        <v>18922.359517987479</v>
      </c>
      <c r="AO26" s="116">
        <v>2025</v>
      </c>
      <c r="AP26" s="746">
        <f t="shared" si="20"/>
        <v>13820.718783354518</v>
      </c>
      <c r="AQ26" s="105">
        <f t="shared" si="21"/>
        <v>0.10999999999999999</v>
      </c>
      <c r="AR26" s="729">
        <f t="shared" si="22"/>
        <v>0</v>
      </c>
      <c r="AS26" s="669">
        <v>0</v>
      </c>
      <c r="AT26" s="729">
        <f>$AV26*AU26</f>
        <v>111822.17924714112</v>
      </c>
      <c r="AU26" s="105">
        <v>0.89</v>
      </c>
      <c r="AV26" s="749">
        <f t="shared" si="25"/>
        <v>125642.89803049563</v>
      </c>
    </row>
    <row r="27" spans="2:48">
      <c r="B27" s="23">
        <v>2026</v>
      </c>
      <c r="C27" s="107">
        <f>'Future Total Energy'!AL23</f>
        <v>34943.392170021441</v>
      </c>
      <c r="D27" s="107">
        <f>'Future Total Energy'!AM23</f>
        <v>19283.438636774186</v>
      </c>
      <c r="E27" s="457">
        <f>'Future Total Energy'!AO23</f>
        <v>127855.88648877604</v>
      </c>
      <c r="G27" s="23">
        <v>2026</v>
      </c>
      <c r="H27" s="702"/>
      <c r="I27" s="702"/>
      <c r="J27" s="703"/>
      <c r="K27" s="709"/>
      <c r="L27" s="23">
        <v>2026</v>
      </c>
      <c r="M27" s="715">
        <f t="shared" si="12"/>
        <v>6.6666666666666671E-3</v>
      </c>
      <c r="N27" s="715">
        <f t="shared" si="12"/>
        <v>6.6666666666666671E-3</v>
      </c>
      <c r="O27" s="716">
        <f t="shared" si="13"/>
        <v>0.01</v>
      </c>
      <c r="Q27" s="23">
        <v>2026</v>
      </c>
      <c r="R27" s="713">
        <f t="shared" si="14"/>
        <v>34140.436222221295</v>
      </c>
      <c r="S27" s="713">
        <f t="shared" si="15"/>
        <v>19154.882379195689</v>
      </c>
      <c r="T27" s="457">
        <f>E27*(1-O27)</f>
        <v>126577.32762388828</v>
      </c>
      <c r="W27" s="112">
        <v>2026</v>
      </c>
      <c r="X27" s="50">
        <f>$R27*Y27</f>
        <v>8523.3364913407841</v>
      </c>
      <c r="Y27" s="105">
        <f t="shared" si="5"/>
        <v>0.24965517241379365</v>
      </c>
      <c r="Z27" s="50">
        <f t="shared" si="6"/>
        <v>0</v>
      </c>
      <c r="AA27" s="105">
        <f>Z27/R27</f>
        <v>0</v>
      </c>
      <c r="AB27" s="50">
        <f>$R27*AC27</f>
        <v>25617.099730880513</v>
      </c>
      <c r="AC27" s="105">
        <f t="shared" si="18"/>
        <v>0.75034482758620635</v>
      </c>
      <c r="AD27" s="113">
        <f>R27</f>
        <v>34140.436222221295</v>
      </c>
      <c r="AE27" s="460"/>
      <c r="AF27" s="112">
        <v>2026</v>
      </c>
      <c r="AG27" s="729">
        <f t="shared" si="16"/>
        <v>6230.1552710671713</v>
      </c>
      <c r="AH27" s="105">
        <f t="shared" si="8"/>
        <v>0.32525155455059362</v>
      </c>
      <c r="AI27" s="729">
        <f t="shared" si="9"/>
        <v>0</v>
      </c>
      <c r="AJ27" s="105">
        <f t="shared" si="3"/>
        <v>0</v>
      </c>
      <c r="AK27" s="729">
        <f t="shared" si="17"/>
        <v>12924.727108128518</v>
      </c>
      <c r="AL27" s="105">
        <f t="shared" si="19"/>
        <v>0.67474844544940638</v>
      </c>
      <c r="AM27" s="113">
        <f>S27</f>
        <v>19154.882379195689</v>
      </c>
      <c r="AO27" s="116">
        <v>2026</v>
      </c>
      <c r="AP27" s="746">
        <f t="shared" si="20"/>
        <v>13923.506038627709</v>
      </c>
      <c r="AQ27" s="105">
        <f>1-$AS27-$AU27</f>
        <v>0.10999999999999999</v>
      </c>
      <c r="AR27" s="729">
        <f t="shared" si="22"/>
        <v>0</v>
      </c>
      <c r="AS27" s="669">
        <v>0</v>
      </c>
      <c r="AT27" s="729">
        <f>$AV27*AU27</f>
        <v>112653.82158526058</v>
      </c>
      <c r="AU27" s="105">
        <v>0.89</v>
      </c>
      <c r="AV27" s="749">
        <f t="shared" si="25"/>
        <v>126577.32762388828</v>
      </c>
    </row>
    <row r="28" spans="2:48">
      <c r="B28" s="23">
        <v>2027</v>
      </c>
      <c r="C28" s="107">
        <f>'Future Total Energy'!AL24</f>
        <v>35324.243826356062</v>
      </c>
      <c r="D28" s="107">
        <f>'Future Total Energy'!AM24</f>
        <v>19559.07285906074</v>
      </c>
      <c r="E28" s="457">
        <f>'Future Total Energy'!AO24</f>
        <v>128799.75476493021</v>
      </c>
      <c r="G28" s="23">
        <v>2027</v>
      </c>
      <c r="H28" s="702"/>
      <c r="I28" s="702"/>
      <c r="J28" s="703"/>
      <c r="K28" s="709"/>
      <c r="L28" s="23">
        <v>2027</v>
      </c>
      <c r="M28" s="715">
        <f t="shared" si="12"/>
        <v>6.6666666666666671E-3</v>
      </c>
      <c r="N28" s="715">
        <f t="shared" si="12"/>
        <v>6.6666666666666671E-3</v>
      </c>
      <c r="O28" s="716">
        <f t="shared" si="13"/>
        <v>0.01</v>
      </c>
      <c r="Q28" s="23">
        <v>2027</v>
      </c>
      <c r="R28" s="713">
        <f t="shared" si="14"/>
        <v>34518.748867513685</v>
      </c>
      <c r="S28" s="713">
        <f t="shared" si="15"/>
        <v>19428.679040000334</v>
      </c>
      <c r="T28" s="470">
        <f>E28*(1-O28)</f>
        <v>127511.75721728092</v>
      </c>
      <c r="W28" s="112">
        <v>2027</v>
      </c>
      <c r="X28" s="50">
        <f>$R28*Y28</f>
        <v>8546.3660989223627</v>
      </c>
      <c r="Y28" s="105">
        <f t="shared" si="5"/>
        <v>0.24758620689655197</v>
      </c>
      <c r="Z28" s="50">
        <f t="shared" si="6"/>
        <v>0</v>
      </c>
      <c r="AA28" s="105">
        <f>Z28/R28</f>
        <v>0</v>
      </c>
      <c r="AB28" s="50">
        <f>$R28*AC28</f>
        <v>25972.382768591324</v>
      </c>
      <c r="AC28" s="105">
        <f t="shared" si="18"/>
        <v>0.75241379310344803</v>
      </c>
      <c r="AD28" s="113">
        <f>R28</f>
        <v>34518.748867513685</v>
      </c>
      <c r="AE28" s="460"/>
      <c r="AF28" s="112">
        <v>2027</v>
      </c>
      <c r="AG28" s="729">
        <f t="shared" si="16"/>
        <v>6258.2897980986118</v>
      </c>
      <c r="AH28" s="105">
        <f t="shared" si="8"/>
        <v>0.32211607311098511</v>
      </c>
      <c r="AI28" s="729">
        <f t="shared" si="9"/>
        <v>0</v>
      </c>
      <c r="AJ28" s="105">
        <f t="shared" si="3"/>
        <v>0</v>
      </c>
      <c r="AK28" s="729">
        <f t="shared" si="17"/>
        <v>13170.389241901723</v>
      </c>
      <c r="AL28" s="105">
        <f t="shared" si="19"/>
        <v>0.67788392688901489</v>
      </c>
      <c r="AM28" s="113">
        <f>S28</f>
        <v>19428.679040000334</v>
      </c>
      <c r="AO28" s="116">
        <v>2027</v>
      </c>
      <c r="AP28" s="746">
        <f t="shared" si="20"/>
        <v>14026.293293900899</v>
      </c>
      <c r="AQ28" s="105">
        <f t="shared" si="21"/>
        <v>0.10999999999999999</v>
      </c>
      <c r="AR28" s="729">
        <f t="shared" si="22"/>
        <v>0</v>
      </c>
      <c r="AS28" s="669">
        <v>0</v>
      </c>
      <c r="AT28" s="729">
        <f t="shared" si="23"/>
        <v>113485.46392338001</v>
      </c>
      <c r="AU28" s="105">
        <v>0.89</v>
      </c>
      <c r="AV28" s="749">
        <f t="shared" si="25"/>
        <v>127511.75721728092</v>
      </c>
    </row>
    <row r="29" spans="2:48">
      <c r="B29" s="23">
        <v>2028</v>
      </c>
      <c r="C29" s="107">
        <f>'Future Total Energy'!AL25</f>
        <v>35714.775417860255</v>
      </c>
      <c r="D29" s="107">
        <f>'Future Total Energy'!AM25</f>
        <v>19804.356959343077</v>
      </c>
      <c r="E29" s="457">
        <f>'Future Total Energy'!AO25</f>
        <v>129743.62304108441</v>
      </c>
      <c r="G29" s="23">
        <v>2028</v>
      </c>
      <c r="H29" s="702"/>
      <c r="I29" s="702"/>
      <c r="J29" s="703"/>
      <c r="K29" s="709"/>
      <c r="L29" s="23">
        <v>2028</v>
      </c>
      <c r="M29" s="715">
        <f t="shared" si="12"/>
        <v>6.6666666666666671E-3</v>
      </c>
      <c r="N29" s="715">
        <f t="shared" si="12"/>
        <v>6.6666666666666671E-3</v>
      </c>
      <c r="O29" s="716">
        <f t="shared" si="13"/>
        <v>0.01</v>
      </c>
      <c r="Q29" s="23">
        <v>2028</v>
      </c>
      <c r="R29" s="713">
        <f t="shared" si="14"/>
        <v>34906.676915074517</v>
      </c>
      <c r="S29" s="713">
        <f t="shared" si="15"/>
        <v>19672.327912947454</v>
      </c>
      <c r="T29" s="470">
        <f>E29*(1-O29)</f>
        <v>128446.18681067356</v>
      </c>
      <c r="W29" s="112">
        <v>2028</v>
      </c>
      <c r="X29" s="50">
        <f>$R29*Y29</f>
        <v>8570.1910219079491</v>
      </c>
      <c r="Y29" s="105">
        <f t="shared" si="5"/>
        <v>0.2455172413793103</v>
      </c>
      <c r="Z29" s="50">
        <f t="shared" si="6"/>
        <v>0</v>
      </c>
      <c r="AA29" s="105">
        <f>Z29/R29</f>
        <v>0</v>
      </c>
      <c r="AB29" s="50">
        <f>$R29*AC29</f>
        <v>26336.485893166569</v>
      </c>
      <c r="AC29" s="105">
        <f t="shared" si="18"/>
        <v>0.7544827586206897</v>
      </c>
      <c r="AD29" s="113">
        <f>R29</f>
        <v>34906.676915074517</v>
      </c>
      <c r="AE29" s="460"/>
      <c r="AF29" s="112">
        <v>2028</v>
      </c>
      <c r="AG29" s="729">
        <f t="shared" si="16"/>
        <v>6275.0907972253335</v>
      </c>
      <c r="AH29" s="105">
        <f t="shared" si="8"/>
        <v>0.31898059167137749</v>
      </c>
      <c r="AI29" s="729">
        <f t="shared" si="9"/>
        <v>0</v>
      </c>
      <c r="AJ29" s="105">
        <f t="shared" si="3"/>
        <v>0</v>
      </c>
      <c r="AK29" s="729">
        <f t="shared" si="17"/>
        <v>13397.237115722121</v>
      </c>
      <c r="AL29" s="105">
        <f t="shared" si="19"/>
        <v>0.68101940832862251</v>
      </c>
      <c r="AM29" s="113">
        <f>S29</f>
        <v>19672.327912947454</v>
      </c>
      <c r="AO29" s="116">
        <v>2028</v>
      </c>
      <c r="AP29" s="746">
        <f t="shared" si="20"/>
        <v>14129.08054917409</v>
      </c>
      <c r="AQ29" s="105">
        <f t="shared" si="21"/>
        <v>0.10999999999999999</v>
      </c>
      <c r="AR29" s="729">
        <f t="shared" si="22"/>
        <v>0</v>
      </c>
      <c r="AS29" s="669">
        <v>0</v>
      </c>
      <c r="AT29" s="729">
        <f t="shared" si="23"/>
        <v>114317.10626149947</v>
      </c>
      <c r="AU29" s="105">
        <v>0.89</v>
      </c>
      <c r="AV29" s="749">
        <f t="shared" si="25"/>
        <v>128446.18681067356</v>
      </c>
    </row>
    <row r="30" spans="2:48">
      <c r="B30" s="23">
        <v>2029</v>
      </c>
      <c r="C30" s="107">
        <f>'Future Total Energy'!AL26</f>
        <v>36308.161962649574</v>
      </c>
      <c r="D30" s="107">
        <f>'Future Total Energy'!AM26</f>
        <v>19958.644838389533</v>
      </c>
      <c r="E30" s="457">
        <f>'Future Total Energy'!AO26</f>
        <v>130687.4913172386</v>
      </c>
      <c r="G30" s="23">
        <v>2029</v>
      </c>
      <c r="H30" s="702"/>
      <c r="I30" s="702"/>
      <c r="J30" s="703"/>
      <c r="K30" s="709"/>
      <c r="L30" s="23">
        <v>2029</v>
      </c>
      <c r="M30" s="715">
        <f t="shared" si="12"/>
        <v>6.6666666666666671E-3</v>
      </c>
      <c r="N30" s="715">
        <f t="shared" si="12"/>
        <v>6.6666666666666671E-3</v>
      </c>
      <c r="O30" s="716">
        <f t="shared" si="13"/>
        <v>0.01</v>
      </c>
      <c r="Q30" s="23">
        <v>2029</v>
      </c>
      <c r="R30" s="713">
        <f t="shared" si="14"/>
        <v>35496.10754956524</v>
      </c>
      <c r="S30" s="713">
        <f t="shared" si="15"/>
        <v>19825.587206133601</v>
      </c>
      <c r="T30" s="470">
        <f>E30*(1-O30)</f>
        <v>129380.61640406621</v>
      </c>
      <c r="W30" s="112">
        <v>2029</v>
      </c>
      <c r="X30" s="50">
        <f>$R30*Y30</f>
        <v>8641.4661827562468</v>
      </c>
      <c r="Y30" s="105">
        <f t="shared" si="5"/>
        <v>0.24344827586206952</v>
      </c>
      <c r="Z30" s="50">
        <f t="shared" si="6"/>
        <v>0</v>
      </c>
      <c r="AA30" s="105">
        <f>Z30/R30</f>
        <v>0</v>
      </c>
      <c r="AB30" s="50">
        <f>$R30*AC30</f>
        <v>26854.641366808992</v>
      </c>
      <c r="AC30" s="105">
        <f t="shared" si="18"/>
        <v>0.75655172413793048</v>
      </c>
      <c r="AD30" s="113">
        <f>R30</f>
        <v>35496.10754956524</v>
      </c>
      <c r="AE30" s="460"/>
      <c r="AF30" s="112">
        <v>2029</v>
      </c>
      <c r="AG30" s="729">
        <f t="shared" si="16"/>
        <v>6261.8147765308158</v>
      </c>
      <c r="AH30" s="105">
        <f t="shared" si="8"/>
        <v>0.31584511023176898</v>
      </c>
      <c r="AI30" s="729">
        <f t="shared" si="9"/>
        <v>0</v>
      </c>
      <c r="AJ30" s="105">
        <f t="shared" si="3"/>
        <v>0</v>
      </c>
      <c r="AK30" s="729">
        <f t="shared" si="17"/>
        <v>13563.772429602785</v>
      </c>
      <c r="AL30" s="105">
        <f t="shared" si="19"/>
        <v>0.68415488976823102</v>
      </c>
      <c r="AM30" s="113">
        <f>S30</f>
        <v>19825.587206133601</v>
      </c>
      <c r="AO30" s="116">
        <v>2029</v>
      </c>
      <c r="AP30" s="746">
        <f t="shared" si="20"/>
        <v>14231.867804447282</v>
      </c>
      <c r="AQ30" s="105">
        <f t="shared" si="21"/>
        <v>0.10999999999999999</v>
      </c>
      <c r="AR30" s="729">
        <f t="shared" si="22"/>
        <v>0</v>
      </c>
      <c r="AS30" s="669">
        <v>0</v>
      </c>
      <c r="AT30" s="729">
        <f t="shared" si="23"/>
        <v>115148.74859961894</v>
      </c>
      <c r="AU30" s="105">
        <v>0.89</v>
      </c>
      <c r="AV30" s="749">
        <f t="shared" si="25"/>
        <v>129380.61640406621</v>
      </c>
    </row>
    <row r="31" spans="2:48">
      <c r="B31" s="23">
        <v>2030</v>
      </c>
      <c r="C31" s="107">
        <f>'Future Total Energy'!AL27</f>
        <v>36649.718677868768</v>
      </c>
      <c r="D31" s="107">
        <f>'Future Total Energy'!AM27</f>
        <v>19962.382204648318</v>
      </c>
      <c r="E31" s="457">
        <f>'Future Total Energy'!AO27</f>
        <v>131631.35959339279</v>
      </c>
      <c r="G31" s="23">
        <v>2030</v>
      </c>
      <c r="H31" s="702"/>
      <c r="I31" s="702"/>
      <c r="J31" s="703"/>
      <c r="K31" s="709"/>
      <c r="L31" s="23">
        <v>2030</v>
      </c>
      <c r="M31" s="715">
        <f t="shared" si="12"/>
        <v>6.6666666666666671E-3</v>
      </c>
      <c r="N31" s="715">
        <f t="shared" si="12"/>
        <v>6.6666666666666671E-3</v>
      </c>
      <c r="O31" s="716">
        <f t="shared" si="13"/>
        <v>0.01</v>
      </c>
      <c r="Q31" s="23">
        <v>2030</v>
      </c>
      <c r="R31" s="713">
        <f t="shared" si="14"/>
        <v>35835.38722001631</v>
      </c>
      <c r="S31" s="713">
        <f t="shared" si="15"/>
        <v>19829.299656617328</v>
      </c>
      <c r="T31" s="457">
        <f>E31*(1-O31)</f>
        <v>130315.04599745886</v>
      </c>
      <c r="W31" s="112">
        <v>2030</v>
      </c>
      <c r="X31" s="50">
        <f>$R31*Y31</f>
        <v>8649.921053107395</v>
      </c>
      <c r="Y31" s="105">
        <f t="shared" si="5"/>
        <v>0.24137931034482785</v>
      </c>
      <c r="Z31" s="50">
        <f t="shared" si="6"/>
        <v>0</v>
      </c>
      <c r="AA31" s="105">
        <f>Z31/R31</f>
        <v>0</v>
      </c>
      <c r="AB31" s="50">
        <f>$R31*AC31</f>
        <v>27185.466166908915</v>
      </c>
      <c r="AC31" s="105">
        <f t="shared" si="18"/>
        <v>0.75862068965517215</v>
      </c>
      <c r="AD31" s="113">
        <f>R31</f>
        <v>35835.38722001631</v>
      </c>
      <c r="AE31" s="460"/>
      <c r="AF31" s="112">
        <v>2030</v>
      </c>
      <c r="AG31" s="729">
        <f t="shared" si="16"/>
        <v>6200.8129348293369</v>
      </c>
      <c r="AH31" s="105">
        <f t="shared" si="8"/>
        <v>0.31270962879216135</v>
      </c>
      <c r="AI31" s="729">
        <f t="shared" si="9"/>
        <v>0</v>
      </c>
      <c r="AJ31" s="105">
        <f t="shared" si="3"/>
        <v>0</v>
      </c>
      <c r="AK31" s="729">
        <f t="shared" si="17"/>
        <v>13628.486721787991</v>
      </c>
      <c r="AL31" s="105">
        <f t="shared" si="19"/>
        <v>0.68729037120783865</v>
      </c>
      <c r="AM31" s="113">
        <f>S31</f>
        <v>19829.299656617328</v>
      </c>
      <c r="AO31" s="116">
        <v>2030</v>
      </c>
      <c r="AP31" s="746">
        <f t="shared" si="20"/>
        <v>14334.655059720473</v>
      </c>
      <c r="AQ31" s="105">
        <f t="shared" si="21"/>
        <v>0.10999999999999999</v>
      </c>
      <c r="AR31" s="729">
        <f t="shared" si="22"/>
        <v>0</v>
      </c>
      <c r="AS31" s="669">
        <v>0</v>
      </c>
      <c r="AT31" s="729">
        <f t="shared" si="23"/>
        <v>115980.39093773838</v>
      </c>
      <c r="AU31" s="105">
        <v>0.89</v>
      </c>
      <c r="AV31" s="749">
        <f t="shared" si="25"/>
        <v>130315.04599745886</v>
      </c>
    </row>
    <row r="32" spans="2:48">
      <c r="B32" s="23">
        <v>2031</v>
      </c>
      <c r="C32" s="107">
        <f>'Future Total Energy'!AL28</f>
        <v>37236.619585142522</v>
      </c>
      <c r="D32" s="107">
        <f>'Future Total Energy'!AM28</f>
        <v>20186.676344224234</v>
      </c>
      <c r="E32" s="457">
        <f>'Future Total Energy'!AO28</f>
        <v>132575.22786954694</v>
      </c>
      <c r="G32" s="23">
        <v>2031</v>
      </c>
      <c r="H32" s="702"/>
      <c r="I32" s="702"/>
      <c r="J32" s="703"/>
      <c r="K32" s="709"/>
      <c r="L32" s="23">
        <v>2031</v>
      </c>
      <c r="M32" s="715">
        <f t="shared" si="12"/>
        <v>6.6666666666666671E-3</v>
      </c>
      <c r="N32" s="715">
        <f t="shared" si="12"/>
        <v>6.6666666666666671E-3</v>
      </c>
      <c r="O32" s="716">
        <f t="shared" si="13"/>
        <v>0.01</v>
      </c>
      <c r="Q32" s="23">
        <v>2031</v>
      </c>
      <c r="R32" s="713">
        <f t="shared" si="14"/>
        <v>36418.375454574903</v>
      </c>
      <c r="S32" s="713">
        <f t="shared" si="15"/>
        <v>20052.098501929406</v>
      </c>
      <c r="T32" s="457">
        <f>E32*(1-O32)</f>
        <v>131249.47559085148</v>
      </c>
      <c r="W32" s="112">
        <v>2031</v>
      </c>
      <c r="X32" s="50">
        <f>$R32*Y32</f>
        <v>8715.2939880948197</v>
      </c>
      <c r="Y32" s="105">
        <f t="shared" si="5"/>
        <v>0.23931034482758617</v>
      </c>
      <c r="Z32" s="50">
        <f t="shared" si="6"/>
        <v>0</v>
      </c>
      <c r="AA32" s="105">
        <f>Z32/R32</f>
        <v>0</v>
      </c>
      <c r="AB32" s="50">
        <f>$R32*AC32</f>
        <v>27703.081466480082</v>
      </c>
      <c r="AC32" s="105">
        <f t="shared" si="18"/>
        <v>0.76068965517241383</v>
      </c>
      <c r="AD32" s="113">
        <f>R32</f>
        <v>36418.375454574903</v>
      </c>
      <c r="AE32" s="460"/>
      <c r="AF32" s="112">
        <v>2031</v>
      </c>
      <c r="AG32" s="729">
        <f t="shared" si="16"/>
        <v>6207.6112963641981</v>
      </c>
      <c r="AH32" s="105">
        <f t="shared" si="8"/>
        <v>0.30957414735255284</v>
      </c>
      <c r="AI32" s="729">
        <f t="shared" si="9"/>
        <v>0</v>
      </c>
      <c r="AJ32" s="105">
        <f t="shared" si="3"/>
        <v>0</v>
      </c>
      <c r="AK32" s="729">
        <f t="shared" si="17"/>
        <v>13844.487205565209</v>
      </c>
      <c r="AL32" s="105">
        <f t="shared" si="19"/>
        <v>0.69042585264744716</v>
      </c>
      <c r="AM32" s="113">
        <f>S32</f>
        <v>20052.098501929406</v>
      </c>
      <c r="AO32" s="116">
        <v>2031</v>
      </c>
      <c r="AP32" s="746">
        <f t="shared" si="20"/>
        <v>14437.442314993661</v>
      </c>
      <c r="AQ32" s="105">
        <f t="shared" si="21"/>
        <v>0.10999999999999999</v>
      </c>
      <c r="AR32" s="729">
        <f t="shared" si="22"/>
        <v>0</v>
      </c>
      <c r="AS32" s="669">
        <v>0</v>
      </c>
      <c r="AT32" s="729">
        <f t="shared" si="23"/>
        <v>116812.03327585782</v>
      </c>
      <c r="AU32" s="105">
        <v>0.89</v>
      </c>
      <c r="AV32" s="749">
        <f t="shared" si="25"/>
        <v>131249.47559085148</v>
      </c>
    </row>
    <row r="33" spans="2:48">
      <c r="B33" s="23">
        <v>2032</v>
      </c>
      <c r="C33" s="107">
        <f>'Future Total Energy'!AL29</f>
        <v>37625.750455836482</v>
      </c>
      <c r="D33" s="107">
        <f>'Future Total Energy'!AM29</f>
        <v>20473.461581406649</v>
      </c>
      <c r="E33" s="457">
        <f>'Future Total Energy'!AO29</f>
        <v>133519.09614570116</v>
      </c>
      <c r="G33" s="23">
        <v>2032</v>
      </c>
      <c r="H33" s="702"/>
      <c r="I33" s="702"/>
      <c r="J33" s="703"/>
      <c r="K33" s="709"/>
      <c r="L33" s="23">
        <v>2032</v>
      </c>
      <c r="M33" s="715">
        <f t="shared" si="12"/>
        <v>6.6666666666666671E-3</v>
      </c>
      <c r="N33" s="715">
        <f t="shared" si="12"/>
        <v>6.6666666666666671E-3</v>
      </c>
      <c r="O33" s="716">
        <f t="shared" si="13"/>
        <v>0.01</v>
      </c>
      <c r="Q33" s="23">
        <v>2032</v>
      </c>
      <c r="R33" s="713">
        <f t="shared" si="14"/>
        <v>36804.912119464236</v>
      </c>
      <c r="S33" s="713">
        <f t="shared" si="15"/>
        <v>20336.971837530604</v>
      </c>
      <c r="T33" s="470">
        <f>E33*(1-O33)</f>
        <v>132183.90518424415</v>
      </c>
      <c r="W33" s="112">
        <v>2032</v>
      </c>
      <c r="X33" s="50">
        <f>$R33*Y33</f>
        <v>8731.6481166177437</v>
      </c>
      <c r="Y33" s="105">
        <f t="shared" si="5"/>
        <v>0.23724137931034539</v>
      </c>
      <c r="Z33" s="50">
        <f t="shared" si="6"/>
        <v>0</v>
      </c>
      <c r="AA33" s="105">
        <f>Z33/R33</f>
        <v>0</v>
      </c>
      <c r="AB33" s="50">
        <f>$R33*AC33</f>
        <v>28073.264002846492</v>
      </c>
      <c r="AC33" s="105">
        <f t="shared" si="18"/>
        <v>0.76275862068965461</v>
      </c>
      <c r="AD33" s="113">
        <f>R33</f>
        <v>36804.912119464236</v>
      </c>
      <c r="AE33" s="460"/>
      <c r="AF33" s="112">
        <v>2032</v>
      </c>
      <c r="AG33" s="729">
        <f t="shared" si="16"/>
        <v>6232.0345186020168</v>
      </c>
      <c r="AH33" s="105">
        <f t="shared" si="8"/>
        <v>0.30643866591294522</v>
      </c>
      <c r="AI33" s="729">
        <f t="shared" si="9"/>
        <v>0</v>
      </c>
      <c r="AJ33" s="105">
        <f t="shared" si="3"/>
        <v>0</v>
      </c>
      <c r="AK33" s="729">
        <f t="shared" si="17"/>
        <v>14104.937318928587</v>
      </c>
      <c r="AL33" s="105">
        <f t="shared" si="19"/>
        <v>0.69356133408705478</v>
      </c>
      <c r="AM33" s="113">
        <f>S33</f>
        <v>20336.971837530604</v>
      </c>
      <c r="AO33" s="116">
        <v>2032</v>
      </c>
      <c r="AP33" s="746">
        <f t="shared" si="20"/>
        <v>14540.229570266856</v>
      </c>
      <c r="AQ33" s="105">
        <f t="shared" si="21"/>
        <v>0.10999999999999999</v>
      </c>
      <c r="AR33" s="729">
        <f t="shared" si="22"/>
        <v>0</v>
      </c>
      <c r="AS33" s="669">
        <v>0</v>
      </c>
      <c r="AT33" s="729">
        <f t="shared" si="23"/>
        <v>117643.67561397731</v>
      </c>
      <c r="AU33" s="105">
        <v>0.89</v>
      </c>
      <c r="AV33" s="749">
        <f t="shared" si="25"/>
        <v>132183.90518424415</v>
      </c>
    </row>
    <row r="34" spans="2:48">
      <c r="B34" s="23">
        <v>2033</v>
      </c>
      <c r="C34" s="107">
        <f>'Future Total Energy'!AL30</f>
        <v>38149.434748900261</v>
      </c>
      <c r="D34" s="107">
        <f>'Future Total Energy'!AM30</f>
        <v>20672.692589981165</v>
      </c>
      <c r="E34" s="457">
        <f>'Future Total Energy'!AO30</f>
        <v>134462.96442185534</v>
      </c>
      <c r="G34" s="23">
        <v>2033</v>
      </c>
      <c r="H34" s="702"/>
      <c r="I34" s="702"/>
      <c r="J34" s="703"/>
      <c r="K34" s="709"/>
      <c r="L34" s="23">
        <v>2033</v>
      </c>
      <c r="M34" s="715">
        <f t="shared" si="12"/>
        <v>6.6666666666666671E-3</v>
      </c>
      <c r="N34" s="715">
        <f t="shared" si="12"/>
        <v>6.6666666666666671E-3</v>
      </c>
      <c r="O34" s="716">
        <f t="shared" si="13"/>
        <v>0.01</v>
      </c>
      <c r="Q34" s="23">
        <v>2033</v>
      </c>
      <c r="R34" s="713">
        <f t="shared" si="14"/>
        <v>37325.105183907588</v>
      </c>
      <c r="S34" s="713">
        <f t="shared" si="15"/>
        <v>20534.874639381291</v>
      </c>
      <c r="T34" s="470">
        <f>E34*(1-O34)</f>
        <v>133118.3347776368</v>
      </c>
      <c r="W34" s="112">
        <v>2033</v>
      </c>
      <c r="X34" s="50">
        <f>$R34*Y34</f>
        <v>8777.835081181036</v>
      </c>
      <c r="Y34" s="105">
        <f t="shared" si="5"/>
        <v>0.23517241379310372</v>
      </c>
      <c r="Z34" s="50">
        <f t="shared" si="6"/>
        <v>0</v>
      </c>
      <c r="AA34" s="105">
        <f>Z34/R34</f>
        <v>0</v>
      </c>
      <c r="AB34" s="50">
        <f>$R34*AC34</f>
        <v>28547.270102726554</v>
      </c>
      <c r="AC34" s="105">
        <f t="shared" si="18"/>
        <v>0.76482758620689628</v>
      </c>
      <c r="AD34" s="113">
        <f>R34</f>
        <v>37325.105183907588</v>
      </c>
      <c r="AE34" s="460"/>
      <c r="AF34" s="112">
        <v>2033</v>
      </c>
      <c r="AG34" s="729">
        <f t="shared" si="16"/>
        <v>6228.2928708851068</v>
      </c>
      <c r="AH34" s="105">
        <f t="shared" si="8"/>
        <v>0.30330318447333671</v>
      </c>
      <c r="AI34" s="729">
        <f t="shared" si="9"/>
        <v>0</v>
      </c>
      <c r="AJ34" s="105">
        <f t="shared" si="3"/>
        <v>0</v>
      </c>
      <c r="AK34" s="729">
        <f t="shared" si="17"/>
        <v>14306.581768496184</v>
      </c>
      <c r="AL34" s="105">
        <f t="shared" si="19"/>
        <v>0.69669681552666329</v>
      </c>
      <c r="AM34" s="113">
        <f>S34</f>
        <v>20534.874639381291</v>
      </c>
      <c r="AO34" s="116">
        <v>2033</v>
      </c>
      <c r="AP34" s="746">
        <f t="shared" si="20"/>
        <v>14643.016825540046</v>
      </c>
      <c r="AQ34" s="105">
        <f t="shared" si="21"/>
        <v>0.10999999999999999</v>
      </c>
      <c r="AR34" s="729">
        <f t="shared" si="22"/>
        <v>0</v>
      </c>
      <c r="AS34" s="669">
        <v>0</v>
      </c>
      <c r="AT34" s="729">
        <f t="shared" si="23"/>
        <v>118475.31795209675</v>
      </c>
      <c r="AU34" s="105">
        <v>0.89</v>
      </c>
      <c r="AV34" s="749">
        <f t="shared" si="25"/>
        <v>133118.3347776368</v>
      </c>
    </row>
    <row r="35" spans="2:48">
      <c r="B35" s="23">
        <v>2034</v>
      </c>
      <c r="C35" s="107">
        <f>'Future Total Energy'!AL31</f>
        <v>38500.859990661418</v>
      </c>
      <c r="D35" s="107">
        <f>'Future Total Energy'!AM31</f>
        <v>20866.805676162974</v>
      </c>
      <c r="E35" s="457">
        <f>'Future Total Energy'!AO31</f>
        <v>135406.8326980095</v>
      </c>
      <c r="G35" s="23">
        <v>2034</v>
      </c>
      <c r="H35" s="702"/>
      <c r="I35" s="702"/>
      <c r="J35" s="703"/>
      <c r="K35" s="709"/>
      <c r="L35" s="23">
        <v>2034</v>
      </c>
      <c r="M35" s="715">
        <f t="shared" si="12"/>
        <v>6.6666666666666671E-3</v>
      </c>
      <c r="N35" s="715">
        <f t="shared" si="12"/>
        <v>6.6666666666666671E-3</v>
      </c>
      <c r="O35" s="716">
        <f t="shared" si="13"/>
        <v>0.01</v>
      </c>
      <c r="Q35" s="23">
        <v>2034</v>
      </c>
      <c r="R35" s="713">
        <f t="shared" si="14"/>
        <v>37674.187590723675</v>
      </c>
      <c r="S35" s="713">
        <f t="shared" si="15"/>
        <v>20727.693638321885</v>
      </c>
      <c r="T35" s="470">
        <f>E35*(1-O35)</f>
        <v>134052.76437102939</v>
      </c>
      <c r="W35" s="112">
        <v>2034</v>
      </c>
      <c r="X35" s="50">
        <f>$R35*Y35</f>
        <v>8781.9830383893805</v>
      </c>
      <c r="Y35" s="105">
        <f t="shared" si="5"/>
        <v>0.23310344827586205</v>
      </c>
      <c r="Z35" s="50">
        <f t="shared" si="6"/>
        <v>0</v>
      </c>
      <c r="AA35" s="105">
        <f>Z35/R35</f>
        <v>0</v>
      </c>
      <c r="AB35" s="50">
        <f>$R35*AC35</f>
        <v>28892.204552334297</v>
      </c>
      <c r="AC35" s="105">
        <f t="shared" si="18"/>
        <v>0.76689655172413795</v>
      </c>
      <c r="AD35" s="113">
        <f>R35</f>
        <v>37674.187590723675</v>
      </c>
      <c r="AE35" s="460"/>
      <c r="AF35" s="112">
        <v>2034</v>
      </c>
      <c r="AG35" s="729">
        <f t="shared" si="16"/>
        <v>6221.7841886019196</v>
      </c>
      <c r="AH35" s="105">
        <f t="shared" si="8"/>
        <v>0.30016770303372908</v>
      </c>
      <c r="AI35" s="729">
        <f t="shared" si="9"/>
        <v>0</v>
      </c>
      <c r="AJ35" s="105">
        <f t="shared" si="3"/>
        <v>0</v>
      </c>
      <c r="AK35" s="729">
        <f t="shared" si="17"/>
        <v>14505.909449719966</v>
      </c>
      <c r="AL35" s="105">
        <f t="shared" si="19"/>
        <v>0.69983229696627092</v>
      </c>
      <c r="AM35" s="113">
        <f>S35</f>
        <v>20727.693638321885</v>
      </c>
      <c r="AO35" s="116">
        <v>2034</v>
      </c>
      <c r="AP35" s="746">
        <f t="shared" si="20"/>
        <v>14745.804080813232</v>
      </c>
      <c r="AQ35" s="105">
        <f t="shared" si="21"/>
        <v>0.10999999999999999</v>
      </c>
      <c r="AR35" s="729">
        <f t="shared" si="22"/>
        <v>0</v>
      </c>
      <c r="AS35" s="669">
        <v>0</v>
      </c>
      <c r="AT35" s="729">
        <f t="shared" si="23"/>
        <v>119306.96029021616</v>
      </c>
      <c r="AU35" s="105">
        <v>0.89</v>
      </c>
      <c r="AV35" s="749">
        <f t="shared" si="25"/>
        <v>134052.76437102939</v>
      </c>
    </row>
    <row r="36" spans="2:48">
      <c r="B36" s="23">
        <v>2035</v>
      </c>
      <c r="C36" s="107">
        <f>'Future Total Energy'!AL32</f>
        <v>38827.265185421675</v>
      </c>
      <c r="D36" s="107">
        <f>'Future Total Energy'!AM32</f>
        <v>21027.570531127469</v>
      </c>
      <c r="E36" s="457">
        <f>'Future Total Energy'!AO32</f>
        <v>136350.70097416369</v>
      </c>
      <c r="G36" s="23">
        <v>2035</v>
      </c>
      <c r="H36" s="702"/>
      <c r="I36" s="702"/>
      <c r="J36" s="703"/>
      <c r="K36" s="709"/>
      <c r="L36" s="23">
        <v>2035</v>
      </c>
      <c r="M36" s="715">
        <f t="shared" si="12"/>
        <v>6.6666666666666671E-3</v>
      </c>
      <c r="N36" s="715">
        <f t="shared" si="12"/>
        <v>6.6666666666666671E-3</v>
      </c>
      <c r="O36" s="716">
        <f t="shared" si="13"/>
        <v>0.01</v>
      </c>
      <c r="Q36" s="23">
        <v>2035</v>
      </c>
      <c r="R36" s="713">
        <f t="shared" si="14"/>
        <v>37998.416750852193</v>
      </c>
      <c r="S36" s="713">
        <f t="shared" si="15"/>
        <v>20887.386727586618</v>
      </c>
      <c r="T36" s="457">
        <f>E36*(1-O36)</f>
        <v>134987.19396442204</v>
      </c>
      <c r="W36" s="112">
        <v>2035</v>
      </c>
      <c r="X36" s="50">
        <f>$R36*Y36</f>
        <v>8778.9445596796668</v>
      </c>
      <c r="Y36" s="105">
        <f t="shared" si="5"/>
        <v>0.23103448275862126</v>
      </c>
      <c r="Z36" s="50">
        <f t="shared" si="6"/>
        <v>0</v>
      </c>
      <c r="AA36" s="105">
        <f>Z36/R36</f>
        <v>0</v>
      </c>
      <c r="AB36" s="50">
        <f>$R36*AC36</f>
        <v>29219.472191172528</v>
      </c>
      <c r="AC36" s="105">
        <f t="shared" si="18"/>
        <v>0.76896551724137874</v>
      </c>
      <c r="AD36" s="113">
        <f>R36</f>
        <v>37998.416750852193</v>
      </c>
      <c r="AE36" s="460"/>
      <c r="AF36" s="112">
        <v>2035</v>
      </c>
      <c r="AG36" s="729">
        <f t="shared" si="16"/>
        <v>6204.2268829906016</v>
      </c>
      <c r="AH36" s="105">
        <f t="shared" si="8"/>
        <v>0.29703222159412057</v>
      </c>
      <c r="AI36" s="729">
        <f t="shared" si="9"/>
        <v>0</v>
      </c>
      <c r="AJ36" s="105">
        <f t="shared" si="3"/>
        <v>0</v>
      </c>
      <c r="AK36" s="729">
        <f t="shared" si="17"/>
        <v>14683.159844596017</v>
      </c>
      <c r="AL36" s="105">
        <f t="shared" si="19"/>
        <v>0.70296777840587943</v>
      </c>
      <c r="AM36" s="113">
        <f>S36</f>
        <v>20887.386727586618</v>
      </c>
      <c r="AO36" s="116">
        <v>2035</v>
      </c>
      <c r="AP36" s="746">
        <f t="shared" si="20"/>
        <v>14848.591336086423</v>
      </c>
      <c r="AQ36" s="105">
        <f t="shared" si="21"/>
        <v>0.10999999999999999</v>
      </c>
      <c r="AR36" s="729">
        <f t="shared" si="22"/>
        <v>0</v>
      </c>
      <c r="AS36" s="669">
        <v>0</v>
      </c>
      <c r="AT36" s="729">
        <f t="shared" si="23"/>
        <v>120138.60262833562</v>
      </c>
      <c r="AU36" s="105">
        <v>0.89</v>
      </c>
      <c r="AV36" s="749">
        <f t="shared" si="25"/>
        <v>134987.19396442204</v>
      </c>
    </row>
    <row r="37" spans="2:48">
      <c r="B37" s="23">
        <v>2036</v>
      </c>
      <c r="C37" s="107">
        <f>'Future Total Energy'!AL33</f>
        <v>39013.064520487045</v>
      </c>
      <c r="D37" s="107">
        <f>'Future Total Energy'!AM33</f>
        <v>21180.589589216575</v>
      </c>
      <c r="E37" s="457">
        <f>'Future Total Energy'!AO33</f>
        <v>137294.56925031758</v>
      </c>
      <c r="G37" s="23">
        <v>2036</v>
      </c>
      <c r="H37" s="702">
        <v>0.15</v>
      </c>
      <c r="I37" s="702">
        <v>0.15</v>
      </c>
      <c r="J37" s="703">
        <v>0.15</v>
      </c>
      <c r="K37" s="709"/>
      <c r="L37" s="23">
        <v>2036</v>
      </c>
      <c r="M37" s="715">
        <f>0.15/(2050-2036)</f>
        <v>1.0714285714285714E-2</v>
      </c>
      <c r="N37" s="715">
        <f>0.15/(2050-2036)</f>
        <v>1.0714285714285714E-2</v>
      </c>
      <c r="O37" s="716">
        <f>0.15/(2050-2036)</f>
        <v>1.0714285714285714E-2</v>
      </c>
      <c r="Q37" s="23">
        <v>2036</v>
      </c>
      <c r="R37" s="713">
        <f t="shared" si="14"/>
        <v>38025.067400624685</v>
      </c>
      <c r="S37" s="713">
        <f t="shared" si="15"/>
        <v>20953.654700760686</v>
      </c>
      <c r="T37" s="457">
        <f>E37*(1-O37)</f>
        <v>135823.5560083499</v>
      </c>
      <c r="W37" s="112">
        <v>2036</v>
      </c>
      <c r="X37" s="50">
        <f>$R37*Y37</f>
        <v>8706.4292255223518</v>
      </c>
      <c r="Y37" s="105">
        <f t="shared" si="5"/>
        <v>0.22896551724137959</v>
      </c>
      <c r="Z37" s="50">
        <f t="shared" si="6"/>
        <v>0</v>
      </c>
      <c r="AA37" s="105">
        <f>Z37/R37</f>
        <v>0</v>
      </c>
      <c r="AB37" s="50">
        <f>$R37*AC37</f>
        <v>29318.638175102333</v>
      </c>
      <c r="AC37" s="105">
        <f t="shared" si="18"/>
        <v>0.77103448275862041</v>
      </c>
      <c r="AD37" s="113">
        <f>R37</f>
        <v>38025.067400624685</v>
      </c>
      <c r="AE37" s="460"/>
      <c r="AF37" s="112">
        <v>2036</v>
      </c>
      <c r="AG37" s="729">
        <f t="shared" si="16"/>
        <v>6158.2108108768525</v>
      </c>
      <c r="AH37" s="105">
        <f t="shared" si="8"/>
        <v>0.29389674015451295</v>
      </c>
      <c r="AI37" s="729">
        <f t="shared" si="9"/>
        <v>0</v>
      </c>
      <c r="AJ37" s="105">
        <f t="shared" si="3"/>
        <v>0</v>
      </c>
      <c r="AK37" s="729">
        <f t="shared" si="17"/>
        <v>14795.443889883834</v>
      </c>
      <c r="AL37" s="105">
        <f t="shared" si="19"/>
        <v>0.70610325984548705</v>
      </c>
      <c r="AM37" s="113">
        <f>S37</f>
        <v>20953.654700760686</v>
      </c>
      <c r="AO37" s="116">
        <v>2036</v>
      </c>
      <c r="AP37" s="746">
        <f t="shared" si="20"/>
        <v>14940.591160918488</v>
      </c>
      <c r="AQ37" s="105">
        <f t="shared" si="21"/>
        <v>0.10999999999999999</v>
      </c>
      <c r="AR37" s="729">
        <f t="shared" si="22"/>
        <v>0</v>
      </c>
      <c r="AS37" s="669">
        <v>0</v>
      </c>
      <c r="AT37" s="729">
        <f t="shared" si="23"/>
        <v>120882.96484743142</v>
      </c>
      <c r="AU37" s="105">
        <v>0.89</v>
      </c>
      <c r="AV37" s="749">
        <f t="shared" si="25"/>
        <v>135823.5560083499</v>
      </c>
    </row>
    <row r="38" spans="2:48">
      <c r="B38" s="23">
        <v>2037</v>
      </c>
      <c r="C38" s="107">
        <f>'Future Total Energy'!AL34</f>
        <v>39492.110366433932</v>
      </c>
      <c r="D38" s="107">
        <f>'Future Total Energy'!AM34</f>
        <v>21321.880713671315</v>
      </c>
      <c r="E38" s="457">
        <f>'Future Total Energy'!AO34</f>
        <v>138238.4375264718</v>
      </c>
      <c r="G38" s="23">
        <v>2037</v>
      </c>
      <c r="H38" s="702"/>
      <c r="I38" s="702"/>
      <c r="J38" s="703"/>
      <c r="K38" s="709"/>
      <c r="L38" s="23">
        <v>2037</v>
      </c>
      <c r="M38" s="715">
        <f t="shared" ref="M38:O51" si="26">0.15/(2050-2036)</f>
        <v>1.0714285714285714E-2</v>
      </c>
      <c r="N38" s="715">
        <f t="shared" si="26"/>
        <v>1.0714285714285714E-2</v>
      </c>
      <c r="O38" s="716">
        <f t="shared" si="26"/>
        <v>1.0714285714285714E-2</v>
      </c>
      <c r="Q38" s="23">
        <v>2037</v>
      </c>
      <c r="R38" s="713">
        <f t="shared" si="14"/>
        <v>38498.980612507854</v>
      </c>
      <c r="S38" s="713">
        <f t="shared" si="15"/>
        <v>21093.431991739122</v>
      </c>
      <c r="T38" s="470">
        <f>E38*(1-O38)</f>
        <v>136757.31141011676</v>
      </c>
      <c r="W38" s="112">
        <v>2037</v>
      </c>
      <c r="X38" s="50">
        <f>$R38*Y38</f>
        <v>8735.2859458724706</v>
      </c>
      <c r="Y38" s="105">
        <f t="shared" si="5"/>
        <v>0.22689655172413792</v>
      </c>
      <c r="Z38" s="50">
        <f t="shared" si="6"/>
        <v>0</v>
      </c>
      <c r="AA38" s="105">
        <f>Z38/R38</f>
        <v>0</v>
      </c>
      <c r="AB38" s="50">
        <f>$R38*AC38</f>
        <v>29763.694666635383</v>
      </c>
      <c r="AC38" s="105">
        <f t="shared" si="18"/>
        <v>0.77310344827586208</v>
      </c>
      <c r="AD38" s="113">
        <f>R38</f>
        <v>38498.980612507854</v>
      </c>
      <c r="AE38" s="460"/>
      <c r="AF38" s="112">
        <v>2037</v>
      </c>
      <c r="AG38" s="729">
        <f t="shared" si="16"/>
        <v>6133.1528365353006</v>
      </c>
      <c r="AH38" s="105">
        <f t="shared" si="8"/>
        <v>0.29076125871490444</v>
      </c>
      <c r="AI38" s="729">
        <f t="shared" si="9"/>
        <v>0</v>
      </c>
      <c r="AJ38" s="105">
        <f t="shared" si="3"/>
        <v>0</v>
      </c>
      <c r="AK38" s="729">
        <f t="shared" si="17"/>
        <v>14960.279155203822</v>
      </c>
      <c r="AL38" s="105">
        <f t="shared" si="19"/>
        <v>0.70923874128509556</v>
      </c>
      <c r="AM38" s="113">
        <f>S38</f>
        <v>21093.431991739122</v>
      </c>
      <c r="AO38" s="116">
        <v>2037</v>
      </c>
      <c r="AP38" s="746">
        <f t="shared" si="20"/>
        <v>15043.304255112842</v>
      </c>
      <c r="AQ38" s="105">
        <f t="shared" si="21"/>
        <v>0.10999999999999999</v>
      </c>
      <c r="AR38" s="729">
        <f t="shared" si="22"/>
        <v>0</v>
      </c>
      <c r="AS38" s="669">
        <v>0</v>
      </c>
      <c r="AT38" s="729">
        <f t="shared" si="23"/>
        <v>121714.00715500391</v>
      </c>
      <c r="AU38" s="105">
        <v>0.89</v>
      </c>
      <c r="AV38" s="749">
        <f t="shared" si="25"/>
        <v>136757.31141011676</v>
      </c>
    </row>
    <row r="39" spans="2:48">
      <c r="B39" s="23">
        <v>2038</v>
      </c>
      <c r="C39" s="107">
        <f>'Future Total Energy'!AL35</f>
        <v>39878.603667303265</v>
      </c>
      <c r="D39" s="107">
        <f>'Future Total Energy'!AM35</f>
        <v>21478.484742693188</v>
      </c>
      <c r="E39" s="457">
        <f>'Future Total Energy'!AO35</f>
        <v>139182.30580262595</v>
      </c>
      <c r="G39" s="23">
        <v>2038</v>
      </c>
      <c r="H39" s="702"/>
      <c r="I39" s="702"/>
      <c r="J39" s="703"/>
      <c r="K39" s="709"/>
      <c r="L39" s="23">
        <v>2038</v>
      </c>
      <c r="M39" s="715">
        <f t="shared" si="26"/>
        <v>1.0714285714285714E-2</v>
      </c>
      <c r="N39" s="715">
        <f t="shared" si="26"/>
        <v>1.0714285714285714E-2</v>
      </c>
      <c r="O39" s="716">
        <f t="shared" si="26"/>
        <v>1.0714285714285714E-2</v>
      </c>
      <c r="Q39" s="23">
        <v>2038</v>
      </c>
      <c r="R39" s="713">
        <f t="shared" si="14"/>
        <v>38881.332913725018</v>
      </c>
      <c r="S39" s="713">
        <f t="shared" si="15"/>
        <v>21248.358120450048</v>
      </c>
      <c r="T39" s="470">
        <f>E39*(1-O39)</f>
        <v>137691.06681188353</v>
      </c>
      <c r="W39" s="112">
        <v>2038</v>
      </c>
      <c r="X39" s="50">
        <f>$R39*Y39</f>
        <v>8741.5962274995782</v>
      </c>
      <c r="Y39" s="105">
        <f t="shared" si="5"/>
        <v>0.22482758620689713</v>
      </c>
      <c r="Z39" s="50">
        <f t="shared" si="6"/>
        <v>0</v>
      </c>
      <c r="AA39" s="105">
        <f>Z39/R39</f>
        <v>0</v>
      </c>
      <c r="AB39" s="50">
        <f>$R39*AC39</f>
        <v>30139.736686225438</v>
      </c>
      <c r="AC39" s="105">
        <f t="shared" si="18"/>
        <v>0.77517241379310287</v>
      </c>
      <c r="AD39" s="113">
        <f>R39</f>
        <v>38881.332913725018</v>
      </c>
      <c r="AE39" s="460"/>
      <c r="AF39" s="112">
        <v>2038</v>
      </c>
      <c r="AG39" s="729">
        <f t="shared" si="16"/>
        <v>6111.57552021831</v>
      </c>
      <c r="AH39" s="105">
        <f t="shared" si="8"/>
        <v>0.28762577727529681</v>
      </c>
      <c r="AI39" s="729">
        <f t="shared" si="9"/>
        <v>0</v>
      </c>
      <c r="AJ39" s="105">
        <f t="shared" si="3"/>
        <v>0</v>
      </c>
      <c r="AK39" s="729">
        <f t="shared" si="17"/>
        <v>15136.782600231738</v>
      </c>
      <c r="AL39" s="105">
        <f t="shared" si="19"/>
        <v>0.71237422272470319</v>
      </c>
      <c r="AM39" s="113">
        <f>S39</f>
        <v>21248.358120450048</v>
      </c>
      <c r="AO39" s="116">
        <v>2038</v>
      </c>
      <c r="AP39" s="746">
        <f t="shared" si="20"/>
        <v>15146.017349307187</v>
      </c>
      <c r="AQ39" s="105">
        <f t="shared" si="21"/>
        <v>0.10999999999999999</v>
      </c>
      <c r="AR39" s="729">
        <f t="shared" si="22"/>
        <v>0</v>
      </c>
      <c r="AS39" s="669">
        <v>0</v>
      </c>
      <c r="AT39" s="729">
        <f t="shared" si="23"/>
        <v>122545.04946257634</v>
      </c>
      <c r="AU39" s="105">
        <v>0.89</v>
      </c>
      <c r="AV39" s="749">
        <f t="shared" si="25"/>
        <v>137691.06681188353</v>
      </c>
    </row>
    <row r="40" spans="2:48">
      <c r="B40" s="23">
        <v>2039</v>
      </c>
      <c r="C40" s="107">
        <f>'Future Total Energy'!AL36</f>
        <v>40255.864323447087</v>
      </c>
      <c r="D40" s="107">
        <f>'Future Total Energy'!AM36</f>
        <v>21647.745685042984</v>
      </c>
      <c r="E40" s="457">
        <f>'Future Total Energy'!AO36</f>
        <v>140126.17407878014</v>
      </c>
      <c r="G40" s="23">
        <v>2039</v>
      </c>
      <c r="H40" s="702"/>
      <c r="I40" s="702"/>
      <c r="J40" s="703"/>
      <c r="K40" s="709"/>
      <c r="L40" s="23">
        <v>2039</v>
      </c>
      <c r="M40" s="715">
        <f t="shared" si="26"/>
        <v>1.0714285714285714E-2</v>
      </c>
      <c r="N40" s="715">
        <f t="shared" si="26"/>
        <v>1.0714285714285714E-2</v>
      </c>
      <c r="O40" s="716">
        <f t="shared" si="26"/>
        <v>1.0714285714285714E-2</v>
      </c>
      <c r="Q40" s="23">
        <v>2039</v>
      </c>
      <c r="R40" s="713">
        <f t="shared" si="14"/>
        <v>39254.551491410159</v>
      </c>
      <c r="S40" s="713">
        <f t="shared" si="15"/>
        <v>21415.805552703237</v>
      </c>
      <c r="T40" s="470">
        <f>E40*(1-O40)</f>
        <v>138624.82221365036</v>
      </c>
      <c r="W40" s="112">
        <v>2039</v>
      </c>
      <c r="X40" s="50">
        <f>$R40*Y40</f>
        <v>8744.2897460175845</v>
      </c>
      <c r="Y40" s="105">
        <f t="shared" si="5"/>
        <v>0.22275862068965546</v>
      </c>
      <c r="Z40" s="50">
        <f t="shared" si="6"/>
        <v>0</v>
      </c>
      <c r="AA40" s="105">
        <f>Z40/R40</f>
        <v>0</v>
      </c>
      <c r="AB40" s="50">
        <f>$R40*AC40</f>
        <v>30510.261745392574</v>
      </c>
      <c r="AC40" s="105">
        <f t="shared" si="18"/>
        <v>0.77724137931034454</v>
      </c>
      <c r="AD40" s="113">
        <f>R40</f>
        <v>39254.551491410159</v>
      </c>
      <c r="AE40" s="460"/>
      <c r="AF40" s="112">
        <v>2039</v>
      </c>
      <c r="AG40" s="729">
        <f t="shared" si="16"/>
        <v>6092.5888572481199</v>
      </c>
      <c r="AH40" s="105">
        <f t="shared" si="8"/>
        <v>0.2844902958356883</v>
      </c>
      <c r="AI40" s="729">
        <f t="shared" si="9"/>
        <v>0</v>
      </c>
      <c r="AJ40" s="105">
        <f t="shared" si="3"/>
        <v>0</v>
      </c>
      <c r="AK40" s="729">
        <f t="shared" si="17"/>
        <v>15323.216695455118</v>
      </c>
      <c r="AL40" s="105">
        <f t="shared" si="19"/>
        <v>0.7155097041643117</v>
      </c>
      <c r="AM40" s="113">
        <f>S40</f>
        <v>21415.805552703237</v>
      </c>
      <c r="AO40" s="116">
        <v>2039</v>
      </c>
      <c r="AP40" s="746">
        <f t="shared" si="20"/>
        <v>15248.730443501538</v>
      </c>
      <c r="AQ40" s="105">
        <f t="shared" si="21"/>
        <v>0.10999999999999999</v>
      </c>
      <c r="AR40" s="729">
        <f t="shared" si="22"/>
        <v>0</v>
      </c>
      <c r="AS40" s="669">
        <v>0</v>
      </c>
      <c r="AT40" s="729">
        <f t="shared" si="23"/>
        <v>123376.09177014882</v>
      </c>
      <c r="AU40" s="105">
        <v>0.89</v>
      </c>
      <c r="AV40" s="749">
        <f t="shared" si="25"/>
        <v>138624.82221365036</v>
      </c>
    </row>
    <row r="41" spans="2:48">
      <c r="B41" s="23">
        <v>2040</v>
      </c>
      <c r="C41" s="107">
        <f>'Future Total Energy'!AL37</f>
        <v>40620.062339269971</v>
      </c>
      <c r="D41" s="107">
        <f>'Future Total Energy'!AM37</f>
        <v>21816.114037290019</v>
      </c>
      <c r="E41" s="457">
        <f>'Future Total Energy'!AO37</f>
        <v>141070.04235493432</v>
      </c>
      <c r="G41" s="23">
        <v>2040</v>
      </c>
      <c r="H41" s="702"/>
      <c r="I41" s="702"/>
      <c r="J41" s="703"/>
      <c r="K41" s="709"/>
      <c r="L41" s="23">
        <v>2040</v>
      </c>
      <c r="M41" s="715">
        <f t="shared" si="26"/>
        <v>1.0714285714285714E-2</v>
      </c>
      <c r="N41" s="715">
        <f t="shared" si="26"/>
        <v>1.0714285714285714E-2</v>
      </c>
      <c r="O41" s="716">
        <f t="shared" si="26"/>
        <v>1.0714285714285714E-2</v>
      </c>
      <c r="Q41" s="23">
        <v>2040</v>
      </c>
      <c r="R41" s="713">
        <f t="shared" si="14"/>
        <v>39614.847385634937</v>
      </c>
      <c r="S41" s="713">
        <f t="shared" si="15"/>
        <v>21582.369958319054</v>
      </c>
      <c r="T41" s="457">
        <f>E41*(1-O41)</f>
        <v>139558.57761541719</v>
      </c>
      <c r="W41" s="112">
        <v>2040</v>
      </c>
      <c r="X41" s="50">
        <f>$R41*Y41</f>
        <v>8742.5870092435725</v>
      </c>
      <c r="Y41" s="105">
        <f t="shared" si="5"/>
        <v>0.22068965517241379</v>
      </c>
      <c r="Z41" s="50">
        <f t="shared" si="6"/>
        <v>0</v>
      </c>
      <c r="AA41" s="105">
        <f>Z41/R41</f>
        <v>0</v>
      </c>
      <c r="AB41" s="50">
        <f>$R41*AC41</f>
        <v>30872.260376391365</v>
      </c>
      <c r="AC41" s="105">
        <f t="shared" si="18"/>
        <v>0.77931034482758621</v>
      </c>
      <c r="AD41" s="113">
        <f>R41</f>
        <v>39614.847385634937</v>
      </c>
      <c r="AE41" s="460"/>
      <c r="AF41" s="112">
        <v>2040</v>
      </c>
      <c r="AG41" s="729">
        <f t="shared" si="16"/>
        <v>6072.3036938504047</v>
      </c>
      <c r="AH41" s="105">
        <f t="shared" si="8"/>
        <v>0.28135481439608068</v>
      </c>
      <c r="AI41" s="729">
        <f t="shared" si="9"/>
        <v>0</v>
      </c>
      <c r="AJ41" s="105">
        <f t="shared" si="3"/>
        <v>0</v>
      </c>
      <c r="AK41" s="729">
        <f t="shared" si="17"/>
        <v>15510.066264468649</v>
      </c>
      <c r="AL41" s="105">
        <f t="shared" si="19"/>
        <v>0.71864518560391932</v>
      </c>
      <c r="AM41" s="113">
        <f>S41</f>
        <v>21582.369958319054</v>
      </c>
      <c r="AO41" s="116">
        <v>2040</v>
      </c>
      <c r="AP41" s="746">
        <f t="shared" si="20"/>
        <v>15351.44353769589</v>
      </c>
      <c r="AQ41" s="105">
        <f t="shared" si="21"/>
        <v>0.10999999999999999</v>
      </c>
      <c r="AR41" s="729">
        <f t="shared" si="22"/>
        <v>0</v>
      </c>
      <c r="AS41" s="669">
        <v>0</v>
      </c>
      <c r="AT41" s="729">
        <f t="shared" si="23"/>
        <v>124207.1340777213</v>
      </c>
      <c r="AU41" s="105">
        <v>0.89</v>
      </c>
      <c r="AV41" s="749">
        <f t="shared" si="25"/>
        <v>139558.57761541719</v>
      </c>
    </row>
    <row r="42" spans="2:48">
      <c r="B42" s="23">
        <v>2041</v>
      </c>
      <c r="C42" s="107">
        <f>'Future Total Energy'!AL38</f>
        <v>40955.41109377228</v>
      </c>
      <c r="D42" s="107">
        <f>'Future Total Energy'!AM38</f>
        <v>21938.181072188563</v>
      </c>
      <c r="E42" s="457">
        <f>'Future Total Energy'!AO38</f>
        <v>142013.91063108851</v>
      </c>
      <c r="G42" s="23">
        <v>2041</v>
      </c>
      <c r="H42" s="702"/>
      <c r="I42" s="702"/>
      <c r="J42" s="703"/>
      <c r="K42" s="709"/>
      <c r="L42" s="23">
        <v>2041</v>
      </c>
      <c r="M42" s="715">
        <f t="shared" si="26"/>
        <v>1.0714285714285714E-2</v>
      </c>
      <c r="N42" s="715">
        <f t="shared" si="26"/>
        <v>1.0714285714285714E-2</v>
      </c>
      <c r="O42" s="716">
        <f t="shared" si="26"/>
        <v>1.0714285714285714E-2</v>
      </c>
      <c r="Q42" s="23">
        <v>2041</v>
      </c>
      <c r="R42" s="713">
        <f t="shared" si="14"/>
        <v>39946.603117767576</v>
      </c>
      <c r="S42" s="713">
        <f t="shared" si="15"/>
        <v>21703.129132129401</v>
      </c>
      <c r="T42" s="457">
        <f>E42*(1-O42)</f>
        <v>140492.33301718399</v>
      </c>
      <c r="W42" s="112">
        <v>2041</v>
      </c>
      <c r="X42" s="50">
        <f>$R42*Y42</f>
        <v>8733.1539229878308</v>
      </c>
      <c r="Y42" s="105">
        <f t="shared" si="5"/>
        <v>0.21862068965517301</v>
      </c>
      <c r="Z42" s="50">
        <f t="shared" si="6"/>
        <v>0</v>
      </c>
      <c r="AA42" s="105">
        <f>Z42/R42</f>
        <v>0</v>
      </c>
      <c r="AB42" s="50">
        <f>$R42*AC42</f>
        <v>31213.449194779743</v>
      </c>
      <c r="AC42" s="105">
        <f t="shared" si="18"/>
        <v>0.78137931034482699</v>
      </c>
      <c r="AD42" s="113">
        <f>R42</f>
        <v>39946.603117767576</v>
      </c>
      <c r="AE42" s="460"/>
      <c r="AF42" s="112">
        <v>2041</v>
      </c>
      <c r="AG42" s="729">
        <f t="shared" si="16"/>
        <v>6038.2301102092206</v>
      </c>
      <c r="AH42" s="105">
        <f t="shared" si="8"/>
        <v>0.27821933295647217</v>
      </c>
      <c r="AI42" s="729">
        <f t="shared" si="9"/>
        <v>0</v>
      </c>
      <c r="AJ42" s="105">
        <f t="shared" si="3"/>
        <v>0</v>
      </c>
      <c r="AK42" s="729">
        <f t="shared" si="17"/>
        <v>15664.899021920181</v>
      </c>
      <c r="AL42" s="105">
        <f t="shared" si="19"/>
        <v>0.72178066704352783</v>
      </c>
      <c r="AM42" s="113">
        <f>S42</f>
        <v>21703.129132129401</v>
      </c>
      <c r="AO42" s="116">
        <v>2041</v>
      </c>
      <c r="AP42" s="746">
        <f t="shared" si="20"/>
        <v>15454.156631890237</v>
      </c>
      <c r="AQ42" s="105">
        <f t="shared" si="21"/>
        <v>0.10999999999999999</v>
      </c>
      <c r="AR42" s="729">
        <f t="shared" si="22"/>
        <v>0</v>
      </c>
      <c r="AS42" s="669">
        <v>0</v>
      </c>
      <c r="AT42" s="729">
        <f t="shared" si="23"/>
        <v>125038.17638529376</v>
      </c>
      <c r="AU42" s="105">
        <v>0.89</v>
      </c>
      <c r="AV42" s="749">
        <f t="shared" si="25"/>
        <v>140492.33301718399</v>
      </c>
    </row>
    <row r="43" spans="2:48">
      <c r="B43" s="23">
        <v>2042</v>
      </c>
      <c r="C43" s="107">
        <f>'Future Total Energy'!AL39</f>
        <v>41263.383240683492</v>
      </c>
      <c r="D43" s="107">
        <f>'Future Total Energy'!AM39</f>
        <v>22046.069289184834</v>
      </c>
      <c r="E43" s="457">
        <f>'Future Total Energy'!AO39</f>
        <v>142957.7789072427</v>
      </c>
      <c r="G43" s="23">
        <v>2042</v>
      </c>
      <c r="H43" s="702"/>
      <c r="I43" s="702"/>
      <c r="J43" s="703"/>
      <c r="K43" s="709"/>
      <c r="L43" s="23">
        <v>2042</v>
      </c>
      <c r="M43" s="715">
        <f t="shared" si="26"/>
        <v>1.0714285714285714E-2</v>
      </c>
      <c r="N43" s="715">
        <f t="shared" si="26"/>
        <v>1.0714285714285714E-2</v>
      </c>
      <c r="O43" s="716">
        <f t="shared" si="26"/>
        <v>1.0714285714285714E-2</v>
      </c>
      <c r="Q43" s="23">
        <v>2042</v>
      </c>
      <c r="R43" s="713">
        <f t="shared" si="14"/>
        <v>40251.27556310474</v>
      </c>
      <c r="S43" s="713">
        <f t="shared" si="15"/>
        <v>21809.861403943567</v>
      </c>
      <c r="T43" s="470">
        <f>E43*(1-O43)</f>
        <v>141426.08841895082</v>
      </c>
      <c r="W43" s="112">
        <v>2042</v>
      </c>
      <c r="X43" s="50">
        <f>$R43*Y43</f>
        <v>8716.4831219413136</v>
      </c>
      <c r="Y43" s="105">
        <f t="shared" si="5"/>
        <v>0.21655172413793133</v>
      </c>
      <c r="Z43" s="50">
        <f t="shared" si="6"/>
        <v>0</v>
      </c>
      <c r="AA43" s="105">
        <f>Z43/R43</f>
        <v>0</v>
      </c>
      <c r="AB43" s="50">
        <f>$R43*AC43</f>
        <v>31534.792441163427</v>
      </c>
      <c r="AC43" s="105">
        <f t="shared" si="18"/>
        <v>0.78344827586206867</v>
      </c>
      <c r="AD43" s="113">
        <f>R43</f>
        <v>40251.27556310474</v>
      </c>
      <c r="AE43" s="460"/>
      <c r="AF43" s="112">
        <v>2042</v>
      </c>
      <c r="AG43" s="729">
        <f t="shared" si="16"/>
        <v>5999.5406760458072</v>
      </c>
      <c r="AH43" s="105">
        <f t="shared" si="8"/>
        <v>0.27508385151686454</v>
      </c>
      <c r="AI43" s="729">
        <f t="shared" si="9"/>
        <v>0</v>
      </c>
      <c r="AJ43" s="105">
        <f t="shared" si="3"/>
        <v>0</v>
      </c>
      <c r="AK43" s="729">
        <f t="shared" si="17"/>
        <v>15810.320727897761</v>
      </c>
      <c r="AL43" s="105">
        <f t="shared" si="19"/>
        <v>0.72491614848313546</v>
      </c>
      <c r="AM43" s="113">
        <f>S43</f>
        <v>21809.861403943567</v>
      </c>
      <c r="AO43" s="116">
        <v>2042</v>
      </c>
      <c r="AP43" s="746">
        <f t="shared" si="20"/>
        <v>15556.869726084589</v>
      </c>
      <c r="AQ43" s="105">
        <f t="shared" si="21"/>
        <v>0.10999999999999999</v>
      </c>
      <c r="AR43" s="729">
        <f t="shared" si="22"/>
        <v>0</v>
      </c>
      <c r="AS43" s="669">
        <v>0</v>
      </c>
      <c r="AT43" s="729">
        <f t="shared" si="23"/>
        <v>125869.21869286623</v>
      </c>
      <c r="AU43" s="105">
        <v>0.89</v>
      </c>
      <c r="AV43" s="749">
        <f t="shared" si="25"/>
        <v>141426.08841895082</v>
      </c>
    </row>
    <row r="44" spans="2:48">
      <c r="B44" s="23">
        <v>2043</v>
      </c>
      <c r="C44" s="107">
        <f>'Future Total Energy'!AL40</f>
        <v>41555.58909804008</v>
      </c>
      <c r="D44" s="107">
        <f>'Future Total Energy'!AM40</f>
        <v>22162.135842401472</v>
      </c>
      <c r="E44" s="457">
        <f>'Future Total Energy'!AO40</f>
        <v>143901.64718339688</v>
      </c>
      <c r="G44" s="23">
        <v>2043</v>
      </c>
      <c r="H44" s="702"/>
      <c r="I44" s="702"/>
      <c r="J44" s="703"/>
      <c r="K44" s="709"/>
      <c r="L44" s="23">
        <v>2043</v>
      </c>
      <c r="M44" s="715">
        <f t="shared" si="26"/>
        <v>1.0714285714285714E-2</v>
      </c>
      <c r="N44" s="715">
        <f t="shared" si="26"/>
        <v>1.0714285714285714E-2</v>
      </c>
      <c r="O44" s="716">
        <f t="shared" si="26"/>
        <v>1.0714285714285714E-2</v>
      </c>
      <c r="Q44" s="23">
        <v>2043</v>
      </c>
      <c r="R44" s="713">
        <f t="shared" si="14"/>
        <v>40540.35064341822</v>
      </c>
      <c r="S44" s="713">
        <f t="shared" si="15"/>
        <v>21924.68438694717</v>
      </c>
      <c r="T44" s="470">
        <f>E44*(1-O44)</f>
        <v>142359.84382071762</v>
      </c>
      <c r="W44" s="112">
        <v>2043</v>
      </c>
      <c r="X44" s="50">
        <f>$R44*Y44</f>
        <v>8695.2062414503907</v>
      </c>
      <c r="Y44" s="105">
        <f t="shared" si="5"/>
        <v>0.21448275862068966</v>
      </c>
      <c r="Z44" s="50">
        <f t="shared" si="6"/>
        <v>0</v>
      </c>
      <c r="AA44" s="105">
        <f>Z44/R44</f>
        <v>0</v>
      </c>
      <c r="AB44" s="50">
        <f>$R44*AC44</f>
        <v>31845.144401967827</v>
      </c>
      <c r="AC44" s="105">
        <f t="shared" si="18"/>
        <v>0.78551724137931034</v>
      </c>
      <c r="AD44" s="113">
        <f>R44</f>
        <v>40540.35064341822</v>
      </c>
      <c r="AE44" s="460"/>
      <c r="AF44" s="112">
        <v>2043</v>
      </c>
      <c r="AG44" s="729">
        <f t="shared" si="16"/>
        <v>5962.3821834885466</v>
      </c>
      <c r="AH44" s="105">
        <f t="shared" si="8"/>
        <v>0.27194837007725603</v>
      </c>
      <c r="AI44" s="729">
        <f t="shared" si="9"/>
        <v>0</v>
      </c>
      <c r="AJ44" s="105">
        <f t="shared" si="3"/>
        <v>0</v>
      </c>
      <c r="AK44" s="729">
        <f t="shared" si="17"/>
        <v>15962.302203458625</v>
      </c>
      <c r="AL44" s="105">
        <f t="shared" si="19"/>
        <v>0.72805162992274397</v>
      </c>
      <c r="AM44" s="113">
        <f>S44</f>
        <v>21924.68438694717</v>
      </c>
      <c r="AO44" s="116">
        <v>2043</v>
      </c>
      <c r="AP44" s="746">
        <f t="shared" si="20"/>
        <v>15659.582820278936</v>
      </c>
      <c r="AQ44" s="105">
        <f t="shared" si="21"/>
        <v>0.10999999999999999</v>
      </c>
      <c r="AR44" s="729">
        <f t="shared" si="22"/>
        <v>0</v>
      </c>
      <c r="AS44" s="669">
        <v>0</v>
      </c>
      <c r="AT44" s="729">
        <f t="shared" si="23"/>
        <v>126700.26100043868</v>
      </c>
      <c r="AU44" s="105">
        <v>0.89</v>
      </c>
      <c r="AV44" s="749">
        <f t="shared" si="25"/>
        <v>142359.84382071762</v>
      </c>
    </row>
    <row r="45" spans="2:48">
      <c r="B45" s="23">
        <v>2044</v>
      </c>
      <c r="C45" s="107">
        <f>'Future Total Energy'!AL41</f>
        <v>41824.825174778431</v>
      </c>
      <c r="D45" s="107">
        <f>'Future Total Energy'!AM41</f>
        <v>22273.530946669791</v>
      </c>
      <c r="E45" s="457">
        <f>'Future Total Energy'!AO41</f>
        <v>144845.51545955104</v>
      </c>
      <c r="G45" s="23">
        <v>2044</v>
      </c>
      <c r="H45" s="702"/>
      <c r="I45" s="702"/>
      <c r="J45" s="703"/>
      <c r="K45" s="709"/>
      <c r="L45" s="23">
        <v>2044</v>
      </c>
      <c r="M45" s="715">
        <f t="shared" si="26"/>
        <v>1.0714285714285714E-2</v>
      </c>
      <c r="N45" s="715">
        <f t="shared" si="26"/>
        <v>1.0714285714285714E-2</v>
      </c>
      <c r="O45" s="716">
        <f t="shared" si="26"/>
        <v>1.0714285714285714E-2</v>
      </c>
      <c r="Q45" s="23">
        <v>2044</v>
      </c>
      <c r="R45" s="713">
        <f t="shared" si="14"/>
        <v>40806.702047905805</v>
      </c>
      <c r="S45" s="713">
        <f t="shared" si="15"/>
        <v>22034.885972241187</v>
      </c>
      <c r="T45" s="470">
        <f>E45*(1-O45)</f>
        <v>143293.59922248442</v>
      </c>
      <c r="W45" s="112">
        <v>2044</v>
      </c>
      <c r="X45" s="50">
        <f>$R45*Y45</f>
        <v>8667.906366037947</v>
      </c>
      <c r="Y45" s="105">
        <f t="shared" si="5"/>
        <v>0.21241379310344888</v>
      </c>
      <c r="Z45" s="50">
        <f t="shared" si="6"/>
        <v>0</v>
      </c>
      <c r="AA45" s="105">
        <f>Z45/R45</f>
        <v>0</v>
      </c>
      <c r="AB45" s="50">
        <f>$R45*AC45</f>
        <v>32138.795681867858</v>
      </c>
      <c r="AC45" s="105">
        <f t="shared" si="18"/>
        <v>0.78758620689655112</v>
      </c>
      <c r="AD45" s="113">
        <f>R45</f>
        <v>40806.702047905805</v>
      </c>
      <c r="AE45" s="460"/>
      <c r="AF45" s="112">
        <v>2044</v>
      </c>
      <c r="AG45" s="729">
        <f t="shared" si="16"/>
        <v>5923.261348999351</v>
      </c>
      <c r="AH45" s="105">
        <f t="shared" si="8"/>
        <v>0.26881288863764841</v>
      </c>
      <c r="AI45" s="729">
        <f t="shared" si="9"/>
        <v>0</v>
      </c>
      <c r="AJ45" s="105">
        <f t="shared" si="3"/>
        <v>0</v>
      </c>
      <c r="AK45" s="729">
        <f t="shared" si="17"/>
        <v>16111.624623241836</v>
      </c>
      <c r="AL45" s="105">
        <f t="shared" si="19"/>
        <v>0.73118711136235159</v>
      </c>
      <c r="AM45" s="113">
        <f>S45</f>
        <v>22034.885972241187</v>
      </c>
      <c r="AO45" s="116">
        <v>2044</v>
      </c>
      <c r="AP45" s="746">
        <f t="shared" si="20"/>
        <v>15762.295914473285</v>
      </c>
      <c r="AQ45" s="105">
        <f t="shared" si="21"/>
        <v>0.10999999999999999</v>
      </c>
      <c r="AR45" s="729">
        <f t="shared" si="22"/>
        <v>0</v>
      </c>
      <c r="AS45" s="669">
        <v>0</v>
      </c>
      <c r="AT45" s="729">
        <f t="shared" si="23"/>
        <v>127531.30330801113</v>
      </c>
      <c r="AU45" s="105">
        <v>0.89</v>
      </c>
      <c r="AV45" s="749">
        <f t="shared" si="25"/>
        <v>143293.59922248442</v>
      </c>
    </row>
    <row r="46" spans="2:48">
      <c r="B46" s="23">
        <v>2045</v>
      </c>
      <c r="C46" s="107">
        <f>'Future Total Energy'!AL42</f>
        <v>42067.97922185465</v>
      </c>
      <c r="D46" s="107">
        <f>'Future Total Energy'!AM42</f>
        <v>22380.888920190937</v>
      </c>
      <c r="E46" s="457">
        <f>'Future Total Energy'!AO42</f>
        <v>145789.38373570525</v>
      </c>
      <c r="G46" s="23">
        <v>2045</v>
      </c>
      <c r="H46" s="702"/>
      <c r="I46" s="702"/>
      <c r="J46" s="703"/>
      <c r="K46" s="709"/>
      <c r="L46" s="23">
        <v>2045</v>
      </c>
      <c r="M46" s="715">
        <f t="shared" si="26"/>
        <v>1.0714285714285714E-2</v>
      </c>
      <c r="N46" s="715">
        <f t="shared" si="26"/>
        <v>1.0714285714285714E-2</v>
      </c>
      <c r="O46" s="716">
        <f t="shared" si="26"/>
        <v>1.0714285714285714E-2</v>
      </c>
      <c r="Q46" s="23">
        <v>2045</v>
      </c>
      <c r="R46" s="713">
        <f t="shared" si="14"/>
        <v>41047.250873049066</v>
      </c>
      <c r="S46" s="713">
        <f t="shared" si="15"/>
        <v>22141.093681760321</v>
      </c>
      <c r="T46" s="457">
        <f>E46*(1-O46)</f>
        <v>144227.35462425128</v>
      </c>
      <c r="W46" s="112">
        <v>2045</v>
      </c>
      <c r="X46" s="50">
        <f>$R46*Y46</f>
        <v>8634.0769077792993</v>
      </c>
      <c r="Y46" s="105">
        <f t="shared" si="5"/>
        <v>0.21034482758620721</v>
      </c>
      <c r="Z46" s="50">
        <f t="shared" si="6"/>
        <v>0</v>
      </c>
      <c r="AA46" s="105">
        <f>Z46/R46</f>
        <v>0</v>
      </c>
      <c r="AB46" s="50">
        <f>$R46*AC46</f>
        <v>32413.173965269769</v>
      </c>
      <c r="AC46" s="105">
        <f t="shared" si="18"/>
        <v>0.78965517241379279</v>
      </c>
      <c r="AD46" s="113">
        <f>R46</f>
        <v>41047.250873049066</v>
      </c>
      <c r="AE46" s="460"/>
      <c r="AF46" s="112">
        <v>2045</v>
      </c>
      <c r="AG46" s="729">
        <f t="shared" si="16"/>
        <v>5882.3883618989848</v>
      </c>
      <c r="AH46" s="105">
        <f t="shared" si="8"/>
        <v>0.26567740719803989</v>
      </c>
      <c r="AI46" s="729">
        <f t="shared" si="9"/>
        <v>0</v>
      </c>
      <c r="AJ46" s="105">
        <f t="shared" si="3"/>
        <v>0</v>
      </c>
      <c r="AK46" s="729">
        <f t="shared" si="17"/>
        <v>16258.705319861336</v>
      </c>
      <c r="AL46" s="105">
        <f t="shared" si="19"/>
        <v>0.73432259280196011</v>
      </c>
      <c r="AM46" s="113">
        <f>S46</f>
        <v>22141.093681760321</v>
      </c>
      <c r="AO46" s="116">
        <v>2045</v>
      </c>
      <c r="AP46" s="746">
        <f t="shared" si="20"/>
        <v>15865.009008667639</v>
      </c>
      <c r="AQ46" s="105">
        <f t="shared" si="21"/>
        <v>0.10999999999999999</v>
      </c>
      <c r="AR46" s="729">
        <f t="shared" si="22"/>
        <v>0</v>
      </c>
      <c r="AS46" s="669">
        <v>0</v>
      </c>
      <c r="AT46" s="729">
        <f t="shared" si="23"/>
        <v>128362.34561558365</v>
      </c>
      <c r="AU46" s="105">
        <v>0.89</v>
      </c>
      <c r="AV46" s="749">
        <f t="shared" si="25"/>
        <v>144227.35462425128</v>
      </c>
    </row>
    <row r="47" spans="2:48">
      <c r="B47" s="23">
        <v>2046</v>
      </c>
      <c r="C47" s="107">
        <f>'Future Total Energy'!AL43</f>
        <v>42310.46356955119</v>
      </c>
      <c r="D47" s="107">
        <f>'Future Total Energy'!AM43</f>
        <v>22478.215147284896</v>
      </c>
      <c r="E47" s="457">
        <f>'Future Total Energy'!AO43</f>
        <v>146733.25201185944</v>
      </c>
      <c r="G47" s="23">
        <v>2046</v>
      </c>
      <c r="H47" s="702"/>
      <c r="I47" s="702"/>
      <c r="J47" s="703"/>
      <c r="K47" s="709"/>
      <c r="L47" s="23">
        <v>2046</v>
      </c>
      <c r="M47" s="715">
        <f t="shared" si="26"/>
        <v>1.0714285714285714E-2</v>
      </c>
      <c r="N47" s="715">
        <f t="shared" si="26"/>
        <v>1.0714285714285714E-2</v>
      </c>
      <c r="O47" s="716">
        <f t="shared" si="26"/>
        <v>1.0714285714285714E-2</v>
      </c>
      <c r="Q47" s="23">
        <v>2046</v>
      </c>
      <c r="R47" s="713">
        <f t="shared" si="14"/>
        <v>41287.137174163145</v>
      </c>
      <c r="S47" s="713">
        <f t="shared" si="15"/>
        <v>22237.377127849701</v>
      </c>
      <c r="T47" s="457">
        <f>E47*(1-O47)</f>
        <v>145161.11002601808</v>
      </c>
      <c r="W47" s="112">
        <v>2046</v>
      </c>
      <c r="X47" s="50">
        <f>$R47*Y47</f>
        <v>8599.1140873084623</v>
      </c>
      <c r="Y47" s="105">
        <f t="shared" si="5"/>
        <v>0.20827586206896553</v>
      </c>
      <c r="Z47" s="50">
        <f t="shared" si="6"/>
        <v>0</v>
      </c>
      <c r="AA47" s="105">
        <f>Z47/R47</f>
        <v>0</v>
      </c>
      <c r="AB47" s="50">
        <f>$R47*AC47</f>
        <v>32688.023086854682</v>
      </c>
      <c r="AC47" s="105">
        <f t="shared" si="18"/>
        <v>0.79172413793103447</v>
      </c>
      <c r="AD47" s="113">
        <f>R47</f>
        <v>41287.137174163145</v>
      </c>
      <c r="AE47" s="460"/>
      <c r="AF47" s="112">
        <v>2046</v>
      </c>
      <c r="AG47" s="729">
        <f t="shared" si="16"/>
        <v>5838.2438149621757</v>
      </c>
      <c r="AH47" s="105">
        <f t="shared" si="8"/>
        <v>0.26254192575843227</v>
      </c>
      <c r="AI47" s="729">
        <f t="shared" si="9"/>
        <v>0</v>
      </c>
      <c r="AJ47" s="105">
        <f t="shared" si="3"/>
        <v>0</v>
      </c>
      <c r="AK47" s="729">
        <f t="shared" si="17"/>
        <v>16399.133312887523</v>
      </c>
      <c r="AL47" s="105">
        <f t="shared" si="19"/>
        <v>0.73745807424156773</v>
      </c>
      <c r="AM47" s="113">
        <f>S47</f>
        <v>22237.377127849701</v>
      </c>
      <c r="AO47" s="116">
        <v>2046</v>
      </c>
      <c r="AP47" s="746">
        <f t="shared" si="20"/>
        <v>15967.722102861988</v>
      </c>
      <c r="AQ47" s="105">
        <f t="shared" si="21"/>
        <v>0.10999999999999999</v>
      </c>
      <c r="AR47" s="729">
        <f t="shared" si="22"/>
        <v>0</v>
      </c>
      <c r="AS47" s="669">
        <v>0</v>
      </c>
      <c r="AT47" s="729">
        <f t="shared" si="23"/>
        <v>129193.3879231561</v>
      </c>
      <c r="AU47" s="105">
        <v>0.89</v>
      </c>
      <c r="AV47" s="749">
        <f t="shared" si="25"/>
        <v>145161.11002601808</v>
      </c>
    </row>
    <row r="48" spans="2:48">
      <c r="B48" s="23">
        <v>2047</v>
      </c>
      <c r="C48" s="107">
        <f>'Future Total Energy'!AL44</f>
        <v>42515.070432748318</v>
      </c>
      <c r="D48" s="107">
        <f>'Future Total Energy'!AM44</f>
        <v>22560.54937669987</v>
      </c>
      <c r="E48" s="457">
        <f>'Future Total Energy'!AO44</f>
        <v>147677.1202880136</v>
      </c>
      <c r="G48" s="23">
        <v>2047</v>
      </c>
      <c r="H48" s="702"/>
      <c r="I48" s="702"/>
      <c r="J48" s="703"/>
      <c r="K48" s="709"/>
      <c r="L48" s="23">
        <v>2047</v>
      </c>
      <c r="M48" s="715">
        <f t="shared" si="26"/>
        <v>1.0714285714285714E-2</v>
      </c>
      <c r="N48" s="715">
        <f t="shared" si="26"/>
        <v>1.0714285714285714E-2</v>
      </c>
      <c r="O48" s="716">
        <f t="shared" si="26"/>
        <v>1.0714285714285714E-2</v>
      </c>
      <c r="Q48" s="23">
        <v>2047</v>
      </c>
      <c r="R48" s="713">
        <f t="shared" si="14"/>
        <v>41489.551820968874</v>
      </c>
      <c r="S48" s="713">
        <f t="shared" si="15"/>
        <v>22318.829204806658</v>
      </c>
      <c r="T48" s="470">
        <f>E48*(1-O48)</f>
        <v>146094.86542778488</v>
      </c>
      <c r="W48" s="112">
        <v>2047</v>
      </c>
      <c r="X48" s="50">
        <f>$R48*Y48</f>
        <v>8555.4317203239516</v>
      </c>
      <c r="Y48" s="105">
        <f t="shared" si="5"/>
        <v>0.20620689655172475</v>
      </c>
      <c r="Z48" s="50">
        <f t="shared" si="6"/>
        <v>0</v>
      </c>
      <c r="AA48" s="105">
        <f>Z48/R48</f>
        <v>0</v>
      </c>
      <c r="AB48" s="50">
        <f>$R48*AC48</f>
        <v>32934.120100644919</v>
      </c>
      <c r="AC48" s="105">
        <f t="shared" si="18"/>
        <v>0.79379310344827525</v>
      </c>
      <c r="AD48" s="113">
        <f>R48</f>
        <v>41489.551820968874</v>
      </c>
      <c r="AE48" s="460"/>
      <c r="AF48" s="112">
        <v>2047</v>
      </c>
      <c r="AG48" s="729">
        <f t="shared" si="16"/>
        <v>5789.6481253780157</v>
      </c>
      <c r="AH48" s="105">
        <f t="shared" si="8"/>
        <v>0.25940644431882376</v>
      </c>
      <c r="AI48" s="729">
        <f t="shared" si="9"/>
        <v>0</v>
      </c>
      <c r="AJ48" s="105">
        <f t="shared" si="3"/>
        <v>0</v>
      </c>
      <c r="AK48" s="729">
        <f t="shared" si="17"/>
        <v>16529.181079428643</v>
      </c>
      <c r="AL48" s="105">
        <f t="shared" si="19"/>
        <v>0.74059355568117624</v>
      </c>
      <c r="AM48" s="113">
        <f>S48</f>
        <v>22318.829204806658</v>
      </c>
      <c r="AO48" s="116">
        <v>2047</v>
      </c>
      <c r="AP48" s="746">
        <f t="shared" si="20"/>
        <v>16070.435197056335</v>
      </c>
      <c r="AQ48" s="105">
        <f t="shared" si="21"/>
        <v>0.10999999999999999</v>
      </c>
      <c r="AR48" s="729">
        <f t="shared" si="22"/>
        <v>0</v>
      </c>
      <c r="AS48" s="669">
        <v>0</v>
      </c>
      <c r="AT48" s="729">
        <f t="shared" si="23"/>
        <v>130024.43023072855</v>
      </c>
      <c r="AU48" s="105">
        <v>0.89</v>
      </c>
      <c r="AV48" s="749">
        <f t="shared" si="25"/>
        <v>146094.86542778488</v>
      </c>
    </row>
    <row r="49" spans="2:48">
      <c r="B49" s="23">
        <v>2048</v>
      </c>
      <c r="C49" s="107">
        <f>'Future Total Energy'!AL45</f>
        <v>42726.567598507267</v>
      </c>
      <c r="D49" s="107">
        <f>'Future Total Energy'!AM45</f>
        <v>22632.084575248355</v>
      </c>
      <c r="E49" s="457">
        <f>'Future Total Energy'!AO45</f>
        <v>148620.98856416781</v>
      </c>
      <c r="G49" s="23">
        <v>2048</v>
      </c>
      <c r="H49" s="702"/>
      <c r="I49" s="702"/>
      <c r="J49" s="703"/>
      <c r="K49" s="709"/>
      <c r="L49" s="23">
        <v>2048</v>
      </c>
      <c r="M49" s="715">
        <f t="shared" si="26"/>
        <v>1.0714285714285714E-2</v>
      </c>
      <c r="N49" s="715">
        <f t="shared" si="26"/>
        <v>1.0714285714285714E-2</v>
      </c>
      <c r="O49" s="716">
        <f t="shared" si="26"/>
        <v>1.0714285714285714E-2</v>
      </c>
      <c r="Q49" s="23">
        <v>2048</v>
      </c>
      <c r="R49" s="713">
        <f t="shared" si="14"/>
        <v>41698.78294566612</v>
      </c>
      <c r="S49" s="713">
        <f t="shared" si="15"/>
        <v>22389.597954799265</v>
      </c>
      <c r="T49" s="470">
        <f>E49*(1-O49)</f>
        <v>147028.62082955174</v>
      </c>
      <c r="W49" s="112">
        <v>2048</v>
      </c>
      <c r="X49" s="50">
        <f>$R49*Y49</f>
        <v>8512.30327718427</v>
      </c>
      <c r="Y49" s="105">
        <f t="shared" si="5"/>
        <v>0.20413793103448308</v>
      </c>
      <c r="Z49" s="50">
        <f t="shared" si="6"/>
        <v>0</v>
      </c>
      <c r="AA49" s="105">
        <f>Z49/R49</f>
        <v>0</v>
      </c>
      <c r="AB49" s="50">
        <f>$R49*AC49</f>
        <v>33186.47966848185</v>
      </c>
      <c r="AC49" s="105">
        <f t="shared" si="18"/>
        <v>0.79586206896551692</v>
      </c>
      <c r="AD49" s="113">
        <f>R49</f>
        <v>41698.78294566612</v>
      </c>
      <c r="AE49" s="460"/>
      <c r="AF49" s="112">
        <v>2048</v>
      </c>
      <c r="AG49" s="729">
        <f t="shared" si="16"/>
        <v>5737.8038263549361</v>
      </c>
      <c r="AH49" s="105">
        <f t="shared" si="8"/>
        <v>0.25627096287921614</v>
      </c>
      <c r="AI49" s="729">
        <f t="shared" si="9"/>
        <v>0</v>
      </c>
      <c r="AJ49" s="105">
        <f t="shared" si="3"/>
        <v>0</v>
      </c>
      <c r="AK49" s="729">
        <f t="shared" si="17"/>
        <v>16651.79412844433</v>
      </c>
      <c r="AL49" s="105">
        <f t="shared" si="19"/>
        <v>0.74372903712078386</v>
      </c>
      <c r="AM49" s="113">
        <f>S49</f>
        <v>22389.597954799265</v>
      </c>
      <c r="AO49" s="116">
        <v>2048</v>
      </c>
      <c r="AP49" s="746">
        <f t="shared" si="20"/>
        <v>16173.148291250689</v>
      </c>
      <c r="AQ49" s="105">
        <f t="shared" si="21"/>
        <v>0.10999999999999999</v>
      </c>
      <c r="AR49" s="729">
        <f t="shared" si="22"/>
        <v>0</v>
      </c>
      <c r="AS49" s="669">
        <v>0</v>
      </c>
      <c r="AT49" s="729">
        <f t="shared" si="23"/>
        <v>130855.47253830105</v>
      </c>
      <c r="AU49" s="105">
        <v>0.89</v>
      </c>
      <c r="AV49" s="749">
        <f t="shared" si="25"/>
        <v>147028.62082955174</v>
      </c>
    </row>
    <row r="50" spans="2:48">
      <c r="B50" s="23">
        <v>2049</v>
      </c>
      <c r="C50" s="107">
        <f>'Future Total Energy'!AL46</f>
        <v>42917.552058211179</v>
      </c>
      <c r="D50" s="107">
        <f>'Future Total Energy'!AM46</f>
        <v>22690.680713728823</v>
      </c>
      <c r="E50" s="457">
        <f>'Future Total Energy'!AO46</f>
        <v>149564.856840322</v>
      </c>
      <c r="G50" s="23">
        <v>2049</v>
      </c>
      <c r="H50" s="702"/>
      <c r="I50" s="702"/>
      <c r="J50" s="703"/>
      <c r="K50" s="709"/>
      <c r="L50" s="23">
        <v>2049</v>
      </c>
      <c r="M50" s="715">
        <f t="shared" si="26"/>
        <v>1.0714285714285714E-2</v>
      </c>
      <c r="N50" s="715">
        <f t="shared" si="26"/>
        <v>1.0714285714285714E-2</v>
      </c>
      <c r="O50" s="716">
        <f t="shared" si="26"/>
        <v>1.0714285714285714E-2</v>
      </c>
      <c r="Q50" s="23">
        <v>2049</v>
      </c>
      <c r="R50" s="713">
        <f t="shared" si="14"/>
        <v>41887.721143301773</v>
      </c>
      <c r="S50" s="713">
        <f t="shared" si="15"/>
        <v>22447.566277510301</v>
      </c>
      <c r="T50" s="470">
        <f>E50*(1-O50)</f>
        <v>147962.37623131854</v>
      </c>
      <c r="W50" s="112">
        <v>2049</v>
      </c>
      <c r="X50" s="50">
        <f>$R50*Y50</f>
        <v>8464.2084793016693</v>
      </c>
      <c r="Y50" s="105">
        <f t="shared" si="5"/>
        <v>0.20206896551724141</v>
      </c>
      <c r="Z50" s="50">
        <f t="shared" si="6"/>
        <v>0</v>
      </c>
      <c r="AA50" s="105">
        <f>Z50/R50</f>
        <v>0</v>
      </c>
      <c r="AB50" s="50">
        <f>$R50*AC50</f>
        <v>33423.512664000104</v>
      </c>
      <c r="AC50" s="105">
        <f t="shared" si="18"/>
        <v>0.79793103448275859</v>
      </c>
      <c r="AD50" s="113">
        <f>R50</f>
        <v>41887.721143301773</v>
      </c>
      <c r="AE50" s="460"/>
      <c r="AF50" s="112">
        <v>2049</v>
      </c>
      <c r="AG50" s="729">
        <f t="shared" si="16"/>
        <v>5682.2754968050904</v>
      </c>
      <c r="AH50" s="105">
        <f t="shared" si="8"/>
        <v>0.25313548143960851</v>
      </c>
      <c r="AI50" s="729">
        <f t="shared" si="9"/>
        <v>0</v>
      </c>
      <c r="AJ50" s="105">
        <f t="shared" si="3"/>
        <v>0</v>
      </c>
      <c r="AK50" s="729">
        <f t="shared" si="17"/>
        <v>16765.290780705211</v>
      </c>
      <c r="AL50" s="105">
        <f>TREND(AL$55:AL$56,$AF$55:$AF$56,$AF50)</f>
        <v>0.74686451856039149</v>
      </c>
      <c r="AM50" s="113">
        <f>S50</f>
        <v>22447.566277510301</v>
      </c>
      <c r="AO50" s="116">
        <v>2049</v>
      </c>
      <c r="AP50" s="746">
        <f t="shared" si="20"/>
        <v>16275.861385445038</v>
      </c>
      <c r="AQ50" s="105">
        <f t="shared" si="21"/>
        <v>0.10999999999999999</v>
      </c>
      <c r="AR50" s="729">
        <f t="shared" si="22"/>
        <v>0</v>
      </c>
      <c r="AS50" s="669">
        <v>0</v>
      </c>
      <c r="AT50" s="729">
        <f t="shared" si="23"/>
        <v>131686.51484587349</v>
      </c>
      <c r="AU50" s="105">
        <v>0.89</v>
      </c>
      <c r="AV50" s="749">
        <f t="shared" si="25"/>
        <v>147962.37623131854</v>
      </c>
    </row>
    <row r="51" spans="2:48">
      <c r="B51" s="26">
        <v>2050</v>
      </c>
      <c r="C51" s="107">
        <f>'Future Total Energy'!AL47</f>
        <v>43097.146498522408</v>
      </c>
      <c r="D51" s="107">
        <f>'Future Total Energy'!AM47</f>
        <v>22913.018881800646</v>
      </c>
      <c r="E51" s="457">
        <f>'Future Total Energy'!AO47</f>
        <v>150508.72511647618</v>
      </c>
      <c r="G51" s="26">
        <v>2050</v>
      </c>
      <c r="H51" s="704"/>
      <c r="I51" s="704"/>
      <c r="J51" s="703"/>
      <c r="K51" s="709"/>
      <c r="L51" s="26">
        <v>2050</v>
      </c>
      <c r="M51" s="710">
        <f t="shared" si="26"/>
        <v>1.0714285714285714E-2</v>
      </c>
      <c r="N51" s="710">
        <f t="shared" si="26"/>
        <v>1.0714285714285714E-2</v>
      </c>
      <c r="O51" s="718">
        <f t="shared" si="26"/>
        <v>1.0714285714285714E-2</v>
      </c>
      <c r="Q51" s="26">
        <v>2050</v>
      </c>
      <c r="R51" s="713">
        <f t="shared" si="14"/>
        <v>42065.391357466811</v>
      </c>
      <c r="S51" s="109">
        <f t="shared" si="15"/>
        <v>22667.522250924212</v>
      </c>
      <c r="T51" s="714">
        <f>E51*(1-O51)</f>
        <v>148896.13163308537</v>
      </c>
      <c r="W51" s="114">
        <v>2050</v>
      </c>
      <c r="X51" s="115">
        <f>$R51*Y51</f>
        <v>8413.0782714933885</v>
      </c>
      <c r="Y51" s="106">
        <f t="shared" si="5"/>
        <v>0.20000000000000062</v>
      </c>
      <c r="Z51" s="115">
        <f t="shared" si="6"/>
        <v>0</v>
      </c>
      <c r="AA51" s="106">
        <f>Z51/R51</f>
        <v>0</v>
      </c>
      <c r="AB51" s="115">
        <f>$R51*AC51</f>
        <v>33652.313085973423</v>
      </c>
      <c r="AC51" s="105">
        <f t="shared" si="18"/>
        <v>0.79999999999999938</v>
      </c>
      <c r="AD51" s="469">
        <f>R51</f>
        <v>42065.391357466811</v>
      </c>
      <c r="AE51" s="460"/>
      <c r="AF51" s="114">
        <v>2050</v>
      </c>
      <c r="AG51" s="115">
        <f t="shared" si="16"/>
        <v>5666.880562731053</v>
      </c>
      <c r="AH51" s="106">
        <f t="shared" si="8"/>
        <v>0.25</v>
      </c>
      <c r="AI51" s="115">
        <f t="shared" si="9"/>
        <v>0</v>
      </c>
      <c r="AJ51" s="106">
        <f t="shared" si="3"/>
        <v>0</v>
      </c>
      <c r="AK51" s="115">
        <f t="shared" si="17"/>
        <v>17000.641688193158</v>
      </c>
      <c r="AL51" s="106">
        <f>TREND(AL$55:AL$56,$AF$55:$AF$56,$AF51)</f>
        <v>0.75</v>
      </c>
      <c r="AM51" s="469">
        <f>S51</f>
        <v>22667.522250924212</v>
      </c>
      <c r="AO51" s="117">
        <v>2050</v>
      </c>
      <c r="AP51" s="747">
        <f t="shared" si="20"/>
        <v>16378.574479639388</v>
      </c>
      <c r="AQ51" s="106">
        <f t="shared" si="21"/>
        <v>0.10999999999999999</v>
      </c>
      <c r="AR51" s="115">
        <f t="shared" si="22"/>
        <v>0</v>
      </c>
      <c r="AS51" s="28">
        <v>0</v>
      </c>
      <c r="AT51" s="115">
        <f t="shared" si="23"/>
        <v>132517.55715344599</v>
      </c>
      <c r="AU51" s="106">
        <v>0.89</v>
      </c>
      <c r="AV51" s="750">
        <f t="shared" si="25"/>
        <v>148896.13163308537</v>
      </c>
    </row>
    <row r="53" spans="2:48">
      <c r="G53">
        <v>1</v>
      </c>
      <c r="I53" t="s">
        <v>1058</v>
      </c>
      <c r="AR53" t="s">
        <v>893</v>
      </c>
    </row>
    <row r="54" spans="2:48">
      <c r="G54">
        <v>2</v>
      </c>
      <c r="I54" t="s">
        <v>1060</v>
      </c>
      <c r="AR54" t="s">
        <v>894</v>
      </c>
    </row>
    <row r="55" spans="2:48">
      <c r="W55">
        <v>2021</v>
      </c>
      <c r="Y55">
        <v>0.26</v>
      </c>
      <c r="AC55">
        <v>0.74</v>
      </c>
      <c r="AF55">
        <v>2021</v>
      </c>
      <c r="AH55" s="17">
        <f>AH22</f>
        <v>0.34092896174863385</v>
      </c>
      <c r="AL55" s="17">
        <f>AL22</f>
        <v>0.65907103825136615</v>
      </c>
      <c r="AR55" t="s">
        <v>895</v>
      </c>
    </row>
    <row r="56" spans="2:48">
      <c r="W56" s="719">
        <v>2050</v>
      </c>
      <c r="Y56">
        <v>0.2</v>
      </c>
      <c r="AC56">
        <v>0.8</v>
      </c>
      <c r="AF56" s="719">
        <v>2050</v>
      </c>
      <c r="AH56">
        <v>0.25</v>
      </c>
      <c r="AL56">
        <v>0.75</v>
      </c>
      <c r="AR56" t="s">
        <v>896</v>
      </c>
    </row>
  </sheetData>
  <mergeCells count="23">
    <mergeCell ref="O5:O6"/>
    <mergeCell ref="H21:H36"/>
    <mergeCell ref="H37:H51"/>
    <mergeCell ref="I37:I51"/>
    <mergeCell ref="J37:J51"/>
    <mergeCell ref="I21:I36"/>
    <mergeCell ref="J21:J36"/>
    <mergeCell ref="T5:T6"/>
    <mergeCell ref="R5:S5"/>
    <mergeCell ref="AT6:AU6"/>
    <mergeCell ref="X6:Y6"/>
    <mergeCell ref="Z6:AA6"/>
    <mergeCell ref="AB6:AC6"/>
    <mergeCell ref="AP6:AQ6"/>
    <mergeCell ref="AR6:AS6"/>
    <mergeCell ref="AG6:AH6"/>
    <mergeCell ref="AI6:AJ6"/>
    <mergeCell ref="AK6:AL6"/>
    <mergeCell ref="H5:I5"/>
    <mergeCell ref="J5:J6"/>
    <mergeCell ref="C5:D5"/>
    <mergeCell ref="E5:E6"/>
    <mergeCell ref="M5:N5"/>
  </mergeCells>
  <phoneticPr fontId="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79998168889431442"/>
  </sheetPr>
  <dimension ref="A1:AT167"/>
  <sheetViews>
    <sheetView topLeftCell="A11" zoomScale="107" zoomScaleNormal="100" workbookViewId="0">
      <selection activeCell="F64" sqref="F64"/>
    </sheetView>
  </sheetViews>
  <sheetFormatPr baseColWidth="10" defaultColWidth="8.796875" defaultRowHeight="14"/>
  <cols>
    <col min="4" max="4" width="13.796875" customWidth="1"/>
    <col min="7" max="7" width="12.796875" customWidth="1"/>
    <col min="8" max="8" width="11.19921875" customWidth="1"/>
    <col min="14" max="15" width="14.19921875" customWidth="1"/>
    <col min="16" max="16" width="21.796875" customWidth="1"/>
    <col min="18" max="18" width="15.796875" customWidth="1"/>
    <col min="19" max="19" width="15.3984375" customWidth="1"/>
    <col min="20" max="21" width="10.19921875" customWidth="1"/>
    <col min="28" max="28" width="14.796875" bestFit="1" customWidth="1"/>
    <col min="29" max="29" width="17.796875" customWidth="1"/>
    <col min="30" max="30" width="10.3984375" bestFit="1" customWidth="1"/>
    <col min="31" max="31" width="14.19921875" customWidth="1"/>
    <col min="32" max="32" width="15.3984375" bestFit="1" customWidth="1"/>
    <col min="33" max="33" width="9.3984375" bestFit="1" customWidth="1"/>
    <col min="34" max="34" width="10.796875" bestFit="1" customWidth="1"/>
    <col min="35" max="35" width="10.3984375" bestFit="1" customWidth="1"/>
    <col min="36" max="37" width="10.3984375" customWidth="1"/>
    <col min="38" max="38" width="14.3984375" customWidth="1"/>
    <col min="44" max="44" width="8.796875" customWidth="1"/>
    <col min="45" max="45" width="9.19921875" customWidth="1"/>
    <col min="47" max="47" width="8.796875" customWidth="1"/>
  </cols>
  <sheetData>
    <row r="1" spans="1:37" ht="22.5" customHeight="1">
      <c r="A1" s="100" t="s">
        <v>897</v>
      </c>
    </row>
    <row r="2" spans="1:37">
      <c r="A2" s="48" t="s">
        <v>898</v>
      </c>
      <c r="B2" s="147" t="s">
        <v>899</v>
      </c>
      <c r="C2" s="147"/>
      <c r="D2" s="98"/>
    </row>
    <row r="3" spans="1:37">
      <c r="A3" s="48"/>
      <c r="D3" t="s">
        <v>900</v>
      </c>
    </row>
    <row r="4" spans="1:37">
      <c r="A4" s="48"/>
      <c r="D4" t="s">
        <v>901</v>
      </c>
      <c r="AC4" s="493" t="s">
        <v>902</v>
      </c>
    </row>
    <row r="5" spans="1:37">
      <c r="B5" s="147" t="s">
        <v>903</v>
      </c>
      <c r="C5" s="147"/>
      <c r="D5" s="98"/>
    </row>
    <row r="6" spans="1:37">
      <c r="D6" t="s">
        <v>904</v>
      </c>
      <c r="E6" s="98"/>
      <c r="F6" s="98"/>
      <c r="G6" s="98"/>
      <c r="H6" s="98"/>
      <c r="I6" s="98"/>
      <c r="J6" s="98"/>
      <c r="K6" s="98"/>
      <c r="L6" s="98"/>
    </row>
    <row r="7" spans="1:37">
      <c r="D7" t="s">
        <v>905</v>
      </c>
    </row>
    <row r="8" spans="1:37">
      <c r="B8" s="147" t="s">
        <v>906</v>
      </c>
      <c r="C8" s="147"/>
      <c r="D8" s="98"/>
      <c r="E8" s="98"/>
      <c r="F8" s="98"/>
      <c r="G8" s="98"/>
      <c r="H8" s="98"/>
      <c r="I8" s="98"/>
      <c r="J8" s="98"/>
      <c r="K8" s="98"/>
      <c r="L8" s="98"/>
    </row>
    <row r="9" spans="1:37">
      <c r="A9" s="48"/>
      <c r="D9" t="s">
        <v>907</v>
      </c>
    </row>
    <row r="10" spans="1:37">
      <c r="A10" s="48"/>
      <c r="D10" t="s">
        <v>908</v>
      </c>
    </row>
    <row r="11" spans="1:37">
      <c r="A11" s="48"/>
      <c r="D11" t="s">
        <v>909</v>
      </c>
    </row>
    <row r="12" spans="1:37">
      <c r="A12" s="48" t="s">
        <v>910</v>
      </c>
      <c r="B12" t="s">
        <v>911</v>
      </c>
    </row>
    <row r="14" spans="1:37" s="52" customFormat="1">
      <c r="A14" s="102" t="s">
        <v>912</v>
      </c>
      <c r="N14" s="102" t="s">
        <v>912</v>
      </c>
      <c r="O14" s="102"/>
      <c r="Z14" s="102" t="s">
        <v>912</v>
      </c>
      <c r="AA14" s="102"/>
    </row>
    <row r="15" spans="1:37">
      <c r="B15" s="128" t="s">
        <v>509</v>
      </c>
      <c r="C15" s="21"/>
      <c r="D15" s="21"/>
      <c r="E15" s="21"/>
      <c r="F15" s="21"/>
      <c r="G15" s="21"/>
      <c r="H15" s="21"/>
      <c r="I15" s="21"/>
      <c r="J15" s="22"/>
      <c r="N15" s="481" t="s">
        <v>535</v>
      </c>
      <c r="O15" s="21"/>
      <c r="P15" s="21"/>
      <c r="Q15" s="21"/>
      <c r="R15" s="21"/>
      <c r="S15" s="21"/>
      <c r="T15" s="21"/>
      <c r="U15" s="21"/>
      <c r="V15" s="22"/>
      <c r="Z15" s="128" t="s">
        <v>525</v>
      </c>
      <c r="AA15" s="21"/>
      <c r="AB15" s="21"/>
      <c r="AC15" s="21"/>
      <c r="AD15" s="21"/>
      <c r="AE15" s="21"/>
      <c r="AF15" s="21"/>
      <c r="AG15" s="21"/>
      <c r="AH15" s="22"/>
    </row>
    <row r="16" spans="1:37" s="471" customFormat="1" ht="33" customHeight="1">
      <c r="B16" s="472" t="s">
        <v>554</v>
      </c>
      <c r="C16" s="740" t="s">
        <v>515</v>
      </c>
      <c r="D16" s="740" t="s">
        <v>510</v>
      </c>
      <c r="E16" s="740" t="s">
        <v>511</v>
      </c>
      <c r="F16" s="740" t="s">
        <v>512</v>
      </c>
      <c r="G16" s="740" t="s">
        <v>513</v>
      </c>
      <c r="H16" s="740" t="s">
        <v>514</v>
      </c>
      <c r="I16" s="740" t="s">
        <v>516</v>
      </c>
      <c r="J16" s="474" t="s">
        <v>517</v>
      </c>
      <c r="N16" s="472" t="s">
        <v>554</v>
      </c>
      <c r="O16" s="473" t="s">
        <v>515</v>
      </c>
      <c r="P16" s="473" t="s">
        <v>510</v>
      </c>
      <c r="Q16" s="473" t="s">
        <v>511</v>
      </c>
      <c r="R16" s="473" t="s">
        <v>512</v>
      </c>
      <c r="S16" s="473" t="s">
        <v>513</v>
      </c>
      <c r="T16" s="473" t="s">
        <v>514</v>
      </c>
      <c r="U16" s="473" t="s">
        <v>516</v>
      </c>
      <c r="V16" s="474" t="s">
        <v>517</v>
      </c>
      <c r="Y16"/>
      <c r="Z16" s="472" t="s">
        <v>554</v>
      </c>
      <c r="AA16" s="473" t="s">
        <v>515</v>
      </c>
      <c r="AB16" s="473" t="s">
        <v>510</v>
      </c>
      <c r="AC16" s="473" t="s">
        <v>511</v>
      </c>
      <c r="AD16" s="473" t="s">
        <v>512</v>
      </c>
      <c r="AE16" s="473" t="s">
        <v>513</v>
      </c>
      <c r="AF16" s="473" t="s">
        <v>514</v>
      </c>
      <c r="AG16" s="473" t="s">
        <v>516</v>
      </c>
      <c r="AH16" s="474" t="s">
        <v>517</v>
      </c>
      <c r="AK16"/>
    </row>
    <row r="17" spans="2:34">
      <c r="B17" s="477">
        <v>2006</v>
      </c>
      <c r="C17" s="743">
        <f>'Private,Public8EndUse'!L26</f>
        <v>0.26050131624127276</v>
      </c>
      <c r="D17" s="743">
        <f>'Private,Public8EndUse'!M26</f>
        <v>0.23356606005112357</v>
      </c>
      <c r="E17" s="743">
        <f>'Private,Public8EndUse'!N26</f>
        <v>0.19358284689634123</v>
      </c>
      <c r="F17" s="743">
        <f>'Private,Public8EndUse'!O26</f>
        <v>8.1950326198924117E-2</v>
      </c>
      <c r="G17" s="743">
        <f>'Private,Public8EndUse'!P26</f>
        <v>0.10796993628629202</v>
      </c>
      <c r="H17" s="743">
        <f>'Private,Public8EndUse'!Q26</f>
        <v>8.8169089313646948E-2</v>
      </c>
      <c r="I17" s="743">
        <f>'Private,Public8EndUse'!R26+'Private,Public8EndUse'!S26</f>
        <v>3.4260425012399377E-2</v>
      </c>
      <c r="J17" s="479">
        <f>SUM(C17:I17)</f>
        <v>1</v>
      </c>
      <c r="N17" s="477">
        <v>2006</v>
      </c>
      <c r="O17" s="478">
        <f>'Private,Public8EndUse'!L110</f>
        <v>0.63892617449664435</v>
      </c>
      <c r="P17" s="478">
        <f>'Private,Public8EndUse'!M110</f>
        <v>0</v>
      </c>
      <c r="Q17" s="478">
        <f>'Private,Public8EndUse'!N110</f>
        <v>0.36009762050030508</v>
      </c>
      <c r="R17" s="478">
        <f>'Private,Public8EndUse'!O110</f>
        <v>0</v>
      </c>
      <c r="S17" s="478">
        <f>'Private,Public8EndUse'!P110</f>
        <v>0</v>
      </c>
      <c r="T17" s="478">
        <f>'Private,Public8EndUse'!Q110</f>
        <v>0</v>
      </c>
      <c r="U17" s="478">
        <f>'Private,Public8EndUse'!R110+'Private,Public8EndUse'!S110</f>
        <v>9.7620500305064064E-4</v>
      </c>
      <c r="V17" s="479">
        <f>SUM(O17:U17)</f>
        <v>1</v>
      </c>
      <c r="X17" s="17"/>
      <c r="Z17" s="477">
        <v>2006</v>
      </c>
      <c r="AA17" s="478">
        <f>'Private,Public8EndUse'!L66</f>
        <v>8.8365896980461808E-2</v>
      </c>
      <c r="AB17" s="478">
        <f>'Private,Public8EndUse'!M66</f>
        <v>0.33980905861456484</v>
      </c>
      <c r="AC17" s="478">
        <f>'Private,Public8EndUse'!N66</f>
        <v>0.11783969804618118</v>
      </c>
      <c r="AD17" s="478">
        <f>'Private,Public8EndUse'!O66</f>
        <v>0.11922735346358793</v>
      </c>
      <c r="AE17" s="478">
        <f>'Private,Public8EndUse'!P66</f>
        <v>0.15708259325044405</v>
      </c>
      <c r="AF17" s="478">
        <f>'Private,Public8EndUse'!Q66</f>
        <v>0.12827486678507993</v>
      </c>
      <c r="AG17" s="478">
        <f>'Private,Public8EndUse'!R66+'Private,Public8EndUse'!S66</f>
        <v>4.9400532859680282E-2</v>
      </c>
      <c r="AH17" s="479">
        <f>SUM(AA17:AG17)</f>
        <v>1</v>
      </c>
    </row>
    <row r="18" spans="2:34">
      <c r="B18" s="477">
        <v>2007</v>
      </c>
      <c r="C18" s="743">
        <f>'Private,Public8EndUse'!L27</f>
        <v>0.26087607077394981</v>
      </c>
      <c r="D18" s="743">
        <f>'Private,Public8EndUse'!M27</f>
        <v>0.23102532450529309</v>
      </c>
      <c r="E18" s="743">
        <f>'Private,Public8EndUse'!N27</f>
        <v>0.19092507387872668</v>
      </c>
      <c r="F18" s="743">
        <f>'Private,Public8EndUse'!O27</f>
        <v>7.8554595443833461E-2</v>
      </c>
      <c r="G18" s="743">
        <f>'Private,Public8EndUse'!P27</f>
        <v>0.11079938652601654</v>
      </c>
      <c r="H18" s="743">
        <f>'Private,Public8EndUse'!Q27</f>
        <v>9.2357760071821338E-2</v>
      </c>
      <c r="I18" s="743">
        <f>'Private,Public8EndUse'!R27+'Private,Public8EndUse'!S27</f>
        <v>3.5461788800359106E-2</v>
      </c>
      <c r="J18" s="479">
        <f t="shared" ref="J18:J61" si="0">SUM(C18:I18)</f>
        <v>1</v>
      </c>
      <c r="N18" s="477">
        <v>2007</v>
      </c>
      <c r="O18" s="478">
        <f>'Private,Public8EndUse'!L111</f>
        <v>0.64991377186499133</v>
      </c>
      <c r="P18" s="478">
        <f>'Private,Public8EndUse'!M111</f>
        <v>0</v>
      </c>
      <c r="Q18" s="478">
        <f>'Private,Public8EndUse'!N111</f>
        <v>0.34897758068489776</v>
      </c>
      <c r="R18" s="478">
        <f>'Private,Public8EndUse'!O111</f>
        <v>0</v>
      </c>
      <c r="S18" s="478">
        <f>'Private,Public8EndUse'!P111</f>
        <v>0</v>
      </c>
      <c r="T18" s="478">
        <f>'Private,Public8EndUse'!Q111</f>
        <v>0</v>
      </c>
      <c r="U18" s="478">
        <f>'Private,Public8EndUse'!R111+'Private,Public8EndUse'!S111</f>
        <v>1.1086474501108647E-3</v>
      </c>
      <c r="V18" s="479">
        <f t="shared" ref="V18:V32" si="1">SUM(O18:U18)</f>
        <v>0.99999999999999989</v>
      </c>
      <c r="Z18" s="477">
        <v>2007</v>
      </c>
      <c r="AA18" s="478">
        <f>'Private,Public8EndUse'!L67</f>
        <v>9.1216760676873496E-2</v>
      </c>
      <c r="AB18" s="478">
        <f>'Private,Public8EndUse'!M67</f>
        <v>0.33177544990598978</v>
      </c>
      <c r="AC18" s="478">
        <f>'Private,Public8EndUse'!N67</f>
        <v>0.12199838839645447</v>
      </c>
      <c r="AD18" s="478">
        <f>'Private,Public8EndUse'!O67</f>
        <v>0.11281224818694602</v>
      </c>
      <c r="AE18" s="478">
        <f>'Private,Public8EndUse'!P67</f>
        <v>0.15911899006177813</v>
      </c>
      <c r="AF18" s="478">
        <f>'Private,Public8EndUse'!Q67</f>
        <v>0.13263497179693795</v>
      </c>
      <c r="AG18" s="478">
        <f>'Private,Public8EndUse'!R67+'Private,Public8EndUse'!S67</f>
        <v>5.0443190975020147E-2</v>
      </c>
      <c r="AH18" s="479">
        <f t="shared" ref="AH18:AH61" si="2">SUM(AA18:AG18)</f>
        <v>1</v>
      </c>
    </row>
    <row r="19" spans="2:34">
      <c r="B19" s="477">
        <v>2008</v>
      </c>
      <c r="C19" s="743">
        <f>'Private,Public8EndUse'!L28</f>
        <v>0.26475578498971158</v>
      </c>
      <c r="D19" s="743">
        <f>'Private,Public8EndUse'!M28</f>
        <v>0.22526262589798202</v>
      </c>
      <c r="E19" s="743">
        <f>'Private,Public8EndUse'!N28</f>
        <v>0.19215912782932024</v>
      </c>
      <c r="F19" s="743">
        <f>'Private,Public8EndUse'!O28</f>
        <v>7.4185047471210422E-2</v>
      </c>
      <c r="G19" s="743">
        <f>'Private,Public8EndUse'!P28</f>
        <v>0.11194541713295549</v>
      </c>
      <c r="H19" s="743">
        <f>'Private,Public8EndUse'!Q28</f>
        <v>9.5520017327894294E-2</v>
      </c>
      <c r="I19" s="743">
        <f>'Private,Public8EndUse'!R28+'Private,Public8EndUse'!S28</f>
        <v>3.6171979350925962E-2</v>
      </c>
      <c r="J19" s="479">
        <f t="shared" si="0"/>
        <v>1</v>
      </c>
      <c r="N19" s="477">
        <v>2008</v>
      </c>
      <c r="O19" s="478">
        <f>'Private,Public8EndUse'!L112</f>
        <v>0.65550807217473883</v>
      </c>
      <c r="P19" s="478">
        <f>'Private,Public8EndUse'!M112</f>
        <v>0</v>
      </c>
      <c r="Q19" s="478">
        <f>'Private,Public8EndUse'!N112</f>
        <v>0.34330484330484329</v>
      </c>
      <c r="R19" s="478">
        <f>'Private,Public8EndUse'!O112</f>
        <v>0</v>
      </c>
      <c r="S19" s="478">
        <f>'Private,Public8EndUse'!P112</f>
        <v>0</v>
      </c>
      <c r="T19" s="478">
        <f>'Private,Public8EndUse'!Q112</f>
        <v>0</v>
      </c>
      <c r="U19" s="478">
        <f>'Private,Public8EndUse'!R112+'Private,Public8EndUse'!S112</f>
        <v>1.1870845204178537E-3</v>
      </c>
      <c r="V19" s="479">
        <f t="shared" si="1"/>
        <v>1</v>
      </c>
      <c r="Z19" s="477">
        <v>2008</v>
      </c>
      <c r="AA19" s="478">
        <f>'Private,Public8EndUse'!L68</f>
        <v>9.3998028738911651E-2</v>
      </c>
      <c r="AB19" s="478">
        <f>'Private,Public8EndUse'!M68</f>
        <v>0.32370182082274213</v>
      </c>
      <c r="AC19" s="478">
        <f>'Private,Public8EndUse'!N68</f>
        <v>0.12610883436219328</v>
      </c>
      <c r="AD19" s="478">
        <f>'Private,Public8EndUse'!O68</f>
        <v>0.10660372464595114</v>
      </c>
      <c r="AE19" s="478">
        <f>'Private,Public8EndUse'!P68</f>
        <v>0.16086527986719926</v>
      </c>
      <c r="AF19" s="478">
        <f>'Private,Public8EndUse'!Q68</f>
        <v>0.13726202209887431</v>
      </c>
      <c r="AG19" s="478">
        <f>'Private,Public8EndUse'!R68+'Private,Public8EndUse'!S68</f>
        <v>5.1460289464128235E-2</v>
      </c>
      <c r="AH19" s="479">
        <f t="shared" si="2"/>
        <v>1</v>
      </c>
    </row>
    <row r="20" spans="2:34">
      <c r="B20" s="477">
        <v>2009</v>
      </c>
      <c r="C20" s="743">
        <f>'Private,Public8EndUse'!L29</f>
        <v>0.25336322869955158</v>
      </c>
      <c r="D20" s="743">
        <f>'Private,Public8EndUse'!M29</f>
        <v>0.23612668161434977</v>
      </c>
      <c r="E20" s="743">
        <f>'Private,Public8EndUse'!N29</f>
        <v>0.18721973094170405</v>
      </c>
      <c r="F20" s="743">
        <f>'Private,Public8EndUse'!O29</f>
        <v>7.5917881165919285E-2</v>
      </c>
      <c r="G20" s="743">
        <f>'Private,Public8EndUse'!P29</f>
        <v>0.10979540358744394</v>
      </c>
      <c r="H20" s="743">
        <f>'Private,Public8EndUse'!Q29</f>
        <v>9.68329596412556E-2</v>
      </c>
      <c r="I20" s="743">
        <f>'Private,Public8EndUse'!R29+'Private,Public8EndUse'!S29</f>
        <v>4.077914798206278E-2</v>
      </c>
      <c r="J20" s="479">
        <f t="shared" si="0"/>
        <v>1.000035033632287</v>
      </c>
      <c r="N20" s="477">
        <v>2009</v>
      </c>
      <c r="O20" s="478">
        <f>'Private,Public8EndUse'!L113</f>
        <v>0.64698867024448414</v>
      </c>
      <c r="P20" s="478">
        <f>'Private,Public8EndUse'!M113</f>
        <v>0</v>
      </c>
      <c r="Q20" s="478">
        <f>'Private,Public8EndUse'!N113</f>
        <v>0.35241502683363146</v>
      </c>
      <c r="R20" s="478">
        <f>'Private,Public8EndUse'!O113</f>
        <v>0</v>
      </c>
      <c r="S20" s="478">
        <f>'Private,Public8EndUse'!P113</f>
        <v>0</v>
      </c>
      <c r="T20" s="478">
        <f>'Private,Public8EndUse'!Q113</f>
        <v>0</v>
      </c>
      <c r="U20" s="478">
        <f>'Private,Public8EndUse'!R113+'Private,Public8EndUse'!S113</f>
        <v>7.1556350626118066E-4</v>
      </c>
      <c r="V20" s="479">
        <f t="shared" si="1"/>
        <v>1.0001192605843767</v>
      </c>
      <c r="Z20" s="477">
        <v>2009</v>
      </c>
      <c r="AA20" s="478">
        <f>'Private,Public8EndUse'!L69</f>
        <v>8.9637382806686844E-2</v>
      </c>
      <c r="AB20" s="478">
        <f>'Private,Public8EndUse'!M69</f>
        <v>0.33434198124906989</v>
      </c>
      <c r="AC20" s="478">
        <f>'Private,Public8EndUse'!N69</f>
        <v>0.11850786249317923</v>
      </c>
      <c r="AD20" s="478">
        <f>'Private,Public8EndUse'!O69</f>
        <v>0.10749541147874399</v>
      </c>
      <c r="AE20" s="478">
        <f>'Private,Public8EndUse'!P69</f>
        <v>0.15546406071729749</v>
      </c>
      <c r="AF20" s="478">
        <f>'Private,Public8EndUse'!Q69</f>
        <v>0.13710997569323874</v>
      </c>
      <c r="AG20" s="478">
        <f>'Private,Public8EndUse'!R69+'Private,Public8EndUse'!S69</f>
        <v>5.7443325561783817E-2</v>
      </c>
      <c r="AH20" s="479">
        <f t="shared" si="2"/>
        <v>0.99999999999999989</v>
      </c>
    </row>
    <row r="21" spans="2:34">
      <c r="B21" s="477">
        <v>2010</v>
      </c>
      <c r="C21" s="743">
        <f>'Private,Public8EndUse'!L30</f>
        <v>0.24963452836756003</v>
      </c>
      <c r="D21" s="743">
        <f>'Private,Public8EndUse'!M30</f>
        <v>0.24187260703097807</v>
      </c>
      <c r="E21" s="743">
        <f>'Private,Public8EndUse'!N30</f>
        <v>0.18374521406195615</v>
      </c>
      <c r="F21" s="743">
        <f>'Private,Public8EndUse'!O30</f>
        <v>7.5809258614688485E-2</v>
      </c>
      <c r="G21" s="743">
        <f>'Private,Public8EndUse'!P30</f>
        <v>0.10452488687782806</v>
      </c>
      <c r="H21" s="743">
        <f>'Private,Public8EndUse'!Q30</f>
        <v>9.7981204316045942E-2</v>
      </c>
      <c r="I21" s="743">
        <f>'Private,Public8EndUse'!R30+'Private,Public8EndUse'!S30</f>
        <v>4.6397493908806126E-2</v>
      </c>
      <c r="J21" s="479">
        <f t="shared" si="0"/>
        <v>0.99996519317786281</v>
      </c>
      <c r="N21" s="477">
        <v>2010</v>
      </c>
      <c r="O21" s="478">
        <f>'Private,Public8EndUse'!L114</f>
        <v>0.63837594696969702</v>
      </c>
      <c r="P21" s="478">
        <f>'Private,Public8EndUse'!M114</f>
        <v>0</v>
      </c>
      <c r="Q21" s="478">
        <f>'Private,Public8EndUse'!N114</f>
        <v>0.36115056818181818</v>
      </c>
      <c r="R21" s="478">
        <f>'Private,Public8EndUse'!O114</f>
        <v>0</v>
      </c>
      <c r="S21" s="478">
        <f>'Private,Public8EndUse'!P114</f>
        <v>0</v>
      </c>
      <c r="T21" s="478">
        <f>'Private,Public8EndUse'!Q114</f>
        <v>0</v>
      </c>
      <c r="U21" s="478">
        <f>'Private,Public8EndUse'!R114+'Private,Public8EndUse'!S114</f>
        <v>3.5511363636363637E-4</v>
      </c>
      <c r="V21" s="479">
        <f t="shared" si="1"/>
        <v>0.99988162878787878</v>
      </c>
      <c r="Z21" s="477">
        <v>2010</v>
      </c>
      <c r="AA21" s="478">
        <f>'Private,Public8EndUse'!L70</f>
        <v>8.7713243269894492E-2</v>
      </c>
      <c r="AB21" s="478">
        <f>'Private,Public8EndUse'!M70</f>
        <v>0.34261907109752487</v>
      </c>
      <c r="AC21" s="478">
        <f>'Private,Public8EndUse'!N70</f>
        <v>0.10985109949709101</v>
      </c>
      <c r="AD21" s="478">
        <f>'Private,Public8EndUse'!O70</f>
        <v>0.10738585938270387</v>
      </c>
      <c r="AE21" s="478">
        <f>'Private,Public8EndUse'!P70</f>
        <v>0.1480623212700917</v>
      </c>
      <c r="AF21" s="478">
        <f>'Private,Public8EndUse'!Q70</f>
        <v>0.13879301843999606</v>
      </c>
      <c r="AG21" s="478">
        <f>'Private,Public8EndUse'!R70+'Private,Public8EndUse'!S70</f>
        <v>6.5575387042697955E-2</v>
      </c>
      <c r="AH21" s="479">
        <f t="shared" si="2"/>
        <v>0.99999999999999989</v>
      </c>
    </row>
    <row r="22" spans="2:34">
      <c r="B22" s="477">
        <v>2011</v>
      </c>
      <c r="C22" s="743">
        <f>'Private,Public8EndUse'!L31</f>
        <v>0.24123017779913503</v>
      </c>
      <c r="D22" s="743">
        <f>'Private,Public8EndUse'!M31</f>
        <v>0.24716825701929018</v>
      </c>
      <c r="E22" s="743">
        <f>'Private,Public8EndUse'!N31</f>
        <v>0.18051074346124801</v>
      </c>
      <c r="F22" s="743">
        <f>'Private,Public8EndUse'!O31</f>
        <v>7.5650442781629718E-2</v>
      </c>
      <c r="G22" s="743">
        <f>'Private,Public8EndUse'!P31</f>
        <v>9.9231138875540609E-2</v>
      </c>
      <c r="H22" s="743">
        <f>'Private,Public8EndUse'!Q31</f>
        <v>0.10108464337200522</v>
      </c>
      <c r="I22" s="743">
        <f>'Private,Public8EndUse'!R31+'Private,Public8EndUse'!S31</f>
        <v>5.5124596691151231E-2</v>
      </c>
      <c r="J22" s="479">
        <f t="shared" si="0"/>
        <v>0.99999999999999989</v>
      </c>
      <c r="N22" s="477">
        <v>2011</v>
      </c>
      <c r="O22" s="478">
        <f>'Private,Public8EndUse'!L115</f>
        <v>0.62179868969624774</v>
      </c>
      <c r="P22" s="478">
        <f>'Private,Public8EndUse'!M115</f>
        <v>0</v>
      </c>
      <c r="Q22" s="478">
        <f>'Private,Public8EndUse'!N115</f>
        <v>0.37796307325789158</v>
      </c>
      <c r="R22" s="478">
        <f>'Private,Public8EndUse'!O115</f>
        <v>0</v>
      </c>
      <c r="S22" s="478">
        <f>'Private,Public8EndUse'!P115</f>
        <v>0</v>
      </c>
      <c r="T22" s="478">
        <f>'Private,Public8EndUse'!Q115</f>
        <v>0</v>
      </c>
      <c r="U22" s="478">
        <f>'Private,Public8EndUse'!R115+'Private,Public8EndUse'!S115</f>
        <v>2.3823704586063132E-4</v>
      </c>
      <c r="V22" s="479">
        <f t="shared" si="1"/>
        <v>1</v>
      </c>
      <c r="Z22" s="477">
        <v>2011</v>
      </c>
      <c r="AA22" s="478">
        <f>'Private,Public8EndUse'!L71</f>
        <v>8.7178745358985482E-2</v>
      </c>
      <c r="AB22" s="478">
        <f>'Private,Public8EndUse'!M71</f>
        <v>0.34722021312503015</v>
      </c>
      <c r="AC22" s="478">
        <f>'Private,Public8EndUse'!N71</f>
        <v>0.1005834418245817</v>
      </c>
      <c r="AD22" s="478">
        <f>'Private,Public8EndUse'!O71</f>
        <v>0.10627320507256859</v>
      </c>
      <c r="AE22" s="478">
        <f>'Private,Public8EndUse'!P71</f>
        <v>0.13939919957567867</v>
      </c>
      <c r="AF22" s="478">
        <f>'Private,Public8EndUse'!Q71</f>
        <v>0.14200298953662183</v>
      </c>
      <c r="AG22" s="478">
        <f>'Private,Public8EndUse'!R71+'Private,Public8EndUse'!S71</f>
        <v>7.734220550653359E-2</v>
      </c>
      <c r="AH22" s="479">
        <f t="shared" si="2"/>
        <v>1</v>
      </c>
    </row>
    <row r="23" spans="2:34">
      <c r="B23" s="477">
        <v>2012</v>
      </c>
      <c r="C23" s="743">
        <f>'Private,Public8EndUse'!L32</f>
        <v>0.23149063874774067</v>
      </c>
      <c r="D23" s="743">
        <f>'Private,Public8EndUse'!M32</f>
        <v>0.2511339221771306</v>
      </c>
      <c r="E23" s="743">
        <f>'Private,Public8EndUse'!N32</f>
        <v>0.17436824335845583</v>
      </c>
      <c r="F23" s="743">
        <f>'Private,Public8EndUse'!O32</f>
        <v>7.5299253145994616E-2</v>
      </c>
      <c r="G23" s="743">
        <f>'Private,Public8EndUse'!P32</f>
        <v>9.3544316747945305E-2</v>
      </c>
      <c r="H23" s="743">
        <f>'Private,Public8EndUse'!Q32</f>
        <v>0.10568495720083211</v>
      </c>
      <c r="I23" s="743">
        <f>'Private,Public8EndUse'!R32+'Private,Public8EndUse'!S32</f>
        <v>6.8478668621900898E-2</v>
      </c>
      <c r="J23" s="479">
        <f t="shared" si="0"/>
        <v>1</v>
      </c>
      <c r="N23" s="477">
        <v>2012</v>
      </c>
      <c r="O23" s="478">
        <f>'Private,Public8EndUse'!L116</f>
        <v>0.60774907749077489</v>
      </c>
      <c r="P23" s="478">
        <f>'Private,Public8EndUse'!M116</f>
        <v>0</v>
      </c>
      <c r="Q23" s="478">
        <f>'Private,Public8EndUse'!N116</f>
        <v>0.39212792127921281</v>
      </c>
      <c r="R23" s="478">
        <f>'Private,Public8EndUse'!O116</f>
        <v>0</v>
      </c>
      <c r="S23" s="478">
        <f>'Private,Public8EndUse'!P116</f>
        <v>0</v>
      </c>
      <c r="T23" s="478">
        <f>'Private,Public8EndUse'!Q116</f>
        <v>0</v>
      </c>
      <c r="U23" s="478">
        <f>'Private,Public8EndUse'!R116+'Private,Public8EndUse'!S116</f>
        <v>1.2300123001230011E-4</v>
      </c>
      <c r="V23" s="479">
        <f t="shared" si="1"/>
        <v>1</v>
      </c>
      <c r="X23" s="17"/>
      <c r="Z23" s="477">
        <v>2012</v>
      </c>
      <c r="AA23" s="478">
        <f>'Private,Public8EndUse'!L72</f>
        <v>8.7151417921011651E-2</v>
      </c>
      <c r="AB23" s="478">
        <f>'Private,Public8EndUse'!M72</f>
        <v>0.34747322229037891</v>
      </c>
      <c r="AC23" s="478">
        <f>'Private,Public8EndUse'!N72</f>
        <v>9.0831878450431752E-2</v>
      </c>
      <c r="AD23" s="478">
        <f>'Private,Public8EndUse'!O72</f>
        <v>0.10418534421743028</v>
      </c>
      <c r="AE23" s="478">
        <f>'Private,Public8EndUse'!P72</f>
        <v>0.12942952861793988</v>
      </c>
      <c r="AF23" s="478">
        <f>'Private,Public8EndUse'!Q72</f>
        <v>0.14622752795734439</v>
      </c>
      <c r="AG23" s="478">
        <f>'Private,Public8EndUse'!R72+'Private,Public8EndUse'!S72</f>
        <v>9.4701080545463126E-2</v>
      </c>
      <c r="AH23" s="479">
        <f t="shared" si="2"/>
        <v>1</v>
      </c>
    </row>
    <row r="24" spans="2:34">
      <c r="B24" s="477">
        <v>2013</v>
      </c>
      <c r="C24" s="743">
        <f>'Private,Public8EndUse'!L33</f>
        <v>0.25626535626535629</v>
      </c>
      <c r="D24" s="743">
        <f>'Private,Public8EndUse'!M33</f>
        <v>0.24268164268164269</v>
      </c>
      <c r="E24" s="743">
        <f>'Private,Public8EndUse'!N33</f>
        <v>0.19129519129519129</v>
      </c>
      <c r="F24" s="743">
        <f>'Private,Public8EndUse'!O33</f>
        <v>6.5777465777465779E-2</v>
      </c>
      <c r="G24" s="743">
        <f>'Private,Public8EndUse'!P33</f>
        <v>8.4380484380484386E-2</v>
      </c>
      <c r="H24" s="743">
        <f>'Private,Public8EndUse'!Q33</f>
        <v>8.7925587925587925E-2</v>
      </c>
      <c r="I24" s="743">
        <f>'Private,Public8EndUse'!R33+'Private,Public8EndUse'!S33</f>
        <v>7.1674271674271678E-2</v>
      </c>
      <c r="J24" s="479">
        <f t="shared" si="0"/>
        <v>1</v>
      </c>
      <c r="N24" s="477">
        <v>2013</v>
      </c>
      <c r="O24" s="478">
        <f>'Private,Public8EndUse'!L117</f>
        <v>0.58754187864499319</v>
      </c>
      <c r="P24" s="478">
        <f>'Private,Public8EndUse'!M117</f>
        <v>0</v>
      </c>
      <c r="Q24" s="478">
        <f>'Private,Public8EndUse'!N117</f>
        <v>0.41220995160689911</v>
      </c>
      <c r="R24" s="478">
        <f>'Private,Public8EndUse'!O117</f>
        <v>0</v>
      </c>
      <c r="S24" s="478">
        <f>'Private,Public8EndUse'!P117</f>
        <v>0</v>
      </c>
      <c r="T24" s="478">
        <f>'Private,Public8EndUse'!Q117</f>
        <v>0</v>
      </c>
      <c r="U24" s="478">
        <f>'Private,Public8EndUse'!R117+'Private,Public8EndUse'!S117</f>
        <v>2.4816974810770568E-4</v>
      </c>
      <c r="V24" s="479">
        <f t="shared" si="1"/>
        <v>1</v>
      </c>
      <c r="X24" s="17"/>
      <c r="Z24" s="477">
        <v>2013</v>
      </c>
      <c r="AA24" s="478">
        <f>'Private,Public8EndUse'!L73</f>
        <v>0.12559346091723361</v>
      </c>
      <c r="AB24" s="478">
        <f>'Private,Public8EndUse'!M73</f>
        <v>0.33840732220645098</v>
      </c>
      <c r="AC24" s="478">
        <f>'Private,Public8EndUse'!N73</f>
        <v>0.1041554500513925</v>
      </c>
      <c r="AD24" s="478">
        <f>'Private,Public8EndUse'!O73</f>
        <v>9.1723361558416136E-2</v>
      </c>
      <c r="AE24" s="478">
        <f>'Private,Public8EndUse'!P73</f>
        <v>0.11766433361068963</v>
      </c>
      <c r="AF24" s="478">
        <f>'Private,Public8EndUse'!Q73</f>
        <v>0.12260780186970779</v>
      </c>
      <c r="AG24" s="478">
        <f>'Private,Public8EndUse'!R73+'Private,Public8EndUse'!S73</f>
        <v>9.9848269786109348E-2</v>
      </c>
      <c r="AH24" s="479">
        <f t="shared" si="2"/>
        <v>1</v>
      </c>
    </row>
    <row r="25" spans="2:34">
      <c r="B25" s="477">
        <v>2014</v>
      </c>
      <c r="C25" s="743">
        <f>'Private,Public8EndUse'!L34</f>
        <v>0.24548251931386669</v>
      </c>
      <c r="D25" s="743">
        <f>'Private,Public8EndUse'!M34</f>
        <v>0.27242372659421238</v>
      </c>
      <c r="E25" s="743">
        <f>'Private,Public8EndUse'!N34</f>
        <v>0.19821264894592117</v>
      </c>
      <c r="F25" s="743">
        <f>'Private,Public8EndUse'!O34</f>
        <v>5.7352363493518396E-2</v>
      </c>
      <c r="G25" s="743">
        <f>'Private,Public8EndUse'!P34</f>
        <v>7.5029461830561736E-2</v>
      </c>
      <c r="H25" s="743">
        <f>'Private,Public8EndUse'!Q34</f>
        <v>7.7157260704465103E-2</v>
      </c>
      <c r="I25" s="743">
        <f>'Private,Public8EndUse'!R34+'Private,Public8EndUse'!S34</f>
        <v>7.43420191174545E-2</v>
      </c>
      <c r="J25" s="479">
        <f t="shared" si="0"/>
        <v>0.99999999999999989</v>
      </c>
      <c r="N25" s="477">
        <v>2014</v>
      </c>
      <c r="O25" s="478">
        <f>'Private,Public8EndUse'!L118</f>
        <v>0.5632226322263223</v>
      </c>
      <c r="P25" s="478">
        <f>'Private,Public8EndUse'!M118</f>
        <v>0</v>
      </c>
      <c r="Q25" s="478">
        <f>'Private,Public8EndUse'!N118</f>
        <v>0.43628536285362851</v>
      </c>
      <c r="R25" s="478">
        <f>'Private,Public8EndUse'!O118</f>
        <v>0</v>
      </c>
      <c r="S25" s="478">
        <f>'Private,Public8EndUse'!P118</f>
        <v>0</v>
      </c>
      <c r="T25" s="478">
        <f>'Private,Public8EndUse'!Q118</f>
        <v>0</v>
      </c>
      <c r="U25" s="478">
        <f>'Private,Public8EndUse'!R118+'Private,Public8EndUse'!S118</f>
        <v>4.9200492004920044E-4</v>
      </c>
      <c r="V25" s="479">
        <f t="shared" si="1"/>
        <v>1</v>
      </c>
      <c r="X25" s="17"/>
      <c r="Z25" s="477">
        <v>2014</v>
      </c>
      <c r="AA25" s="478">
        <f>'Private,Public8EndUse'!L74</f>
        <v>0.13025247568917833</v>
      </c>
      <c r="AB25" s="478">
        <f>'Private,Public8EndUse'!M74</f>
        <v>0.37121955571415827</v>
      </c>
      <c r="AC25" s="478">
        <f>'Private,Public8EndUse'!N74</f>
        <v>0.11187438665358194</v>
      </c>
      <c r="AD25" s="478">
        <f>'Private,Public8EndUse'!O74</f>
        <v>7.8151485413506999E-2</v>
      </c>
      <c r="AE25" s="478">
        <f>'Private,Public8EndUse'!P74</f>
        <v>0.10223927201356053</v>
      </c>
      <c r="AF25" s="478">
        <f>'Private,Public8EndUse'!Q74</f>
        <v>0.10513872780801142</v>
      </c>
      <c r="AG25" s="478">
        <f>'Private,Public8EndUse'!R74+'Private,Public8EndUse'!S74</f>
        <v>0.1011240967080025</v>
      </c>
      <c r="AH25" s="479">
        <f t="shared" si="2"/>
        <v>1</v>
      </c>
    </row>
    <row r="26" spans="2:34">
      <c r="B26" s="477">
        <v>2015</v>
      </c>
      <c r="C26" s="743">
        <f>'Private,Public8EndUse'!L35</f>
        <v>0.24770861833105334</v>
      </c>
      <c r="D26" s="743">
        <f>'Private,Public8EndUse'!M35</f>
        <v>0.27517099863201094</v>
      </c>
      <c r="E26" s="743">
        <f>'Private,Public8EndUse'!N35</f>
        <v>0.20984952120383038</v>
      </c>
      <c r="F26" s="743">
        <f>'Private,Public8EndUse'!O35</f>
        <v>5.1299589603283173E-2</v>
      </c>
      <c r="G26" s="743">
        <f>'Private,Public8EndUse'!P35</f>
        <v>6.7441860465116285E-2</v>
      </c>
      <c r="H26" s="743">
        <f>'Private,Public8EndUse'!Q35</f>
        <v>7.0006839945280439E-2</v>
      </c>
      <c r="I26" s="743">
        <f>'Private,Public8EndUse'!R35+'Private,Public8EndUse'!S35</f>
        <v>7.8522571819425444E-2</v>
      </c>
      <c r="J26" s="479">
        <f t="shared" si="0"/>
        <v>1</v>
      </c>
      <c r="N26" s="477">
        <v>2015</v>
      </c>
      <c r="O26" s="478">
        <f>'Private,Public8EndUse'!L119</f>
        <v>0.53622067543181229</v>
      </c>
      <c r="P26" s="478">
        <f>'Private,Public8EndUse'!M119</f>
        <v>0</v>
      </c>
      <c r="Q26" s="478">
        <f>'Private,Public8EndUse'!N119</f>
        <v>0.46261923176076308</v>
      </c>
      <c r="R26" s="478">
        <f>'Private,Public8EndUse'!O119</f>
        <v>0</v>
      </c>
      <c r="S26" s="478">
        <f>'Private,Public8EndUse'!P119</f>
        <v>0</v>
      </c>
      <c r="T26" s="478">
        <f>'Private,Public8EndUse'!Q119</f>
        <v>0</v>
      </c>
      <c r="U26" s="478">
        <f>'Private,Public8EndUse'!R119+'Private,Public8EndUse'!S119</f>
        <v>1.1600928074245939E-3</v>
      </c>
      <c r="V26" s="479">
        <f t="shared" si="1"/>
        <v>0.99999999999999989</v>
      </c>
      <c r="X26" s="17"/>
      <c r="Z26" s="477">
        <v>2015</v>
      </c>
      <c r="AA26" s="478">
        <f>'Private,Public8EndUse'!L75</f>
        <v>0.14351550134996741</v>
      </c>
      <c r="AB26" s="478">
        <f>'Private,Public8EndUse'!M75</f>
        <v>0.3745461316450982</v>
      </c>
      <c r="AC26" s="478">
        <f>'Private,Public8EndUse'!N75</f>
        <v>0.11856437948049529</v>
      </c>
      <c r="AD26" s="478">
        <f>'Private,Public8EndUse'!O75</f>
        <v>6.9825900754119721E-2</v>
      </c>
      <c r="AE26" s="478">
        <f>'Private,Public8EndUse'!P75</f>
        <v>9.1797784191416071E-2</v>
      </c>
      <c r="AF26" s="478">
        <f>'Private,Public8EndUse'!Q75</f>
        <v>9.5289079229122053E-2</v>
      </c>
      <c r="AG26" s="478">
        <f>'Private,Public8EndUse'!R75+'Private,Public8EndUse'!S75</f>
        <v>0.10646122334978121</v>
      </c>
      <c r="AH26" s="479">
        <f t="shared" si="2"/>
        <v>1</v>
      </c>
    </row>
    <row r="27" spans="2:34">
      <c r="B27" s="477">
        <v>2016</v>
      </c>
      <c r="C27" s="743">
        <f>'Private,Public8EndUse'!L36</f>
        <v>0.25275518236683286</v>
      </c>
      <c r="D27" s="743">
        <f>'Private,Public8EndUse'!M36</f>
        <v>0.27299265284702179</v>
      </c>
      <c r="E27" s="743">
        <f>'Private,Public8EndUse'!N36</f>
        <v>0.22740094463395435</v>
      </c>
      <c r="F27" s="743">
        <f>'Private,Public8EndUse'!O36</f>
        <v>4.5230910522172658E-2</v>
      </c>
      <c r="G27" s="743">
        <f>'Private,Public8EndUse'!P36</f>
        <v>5.8678824455523484E-2</v>
      </c>
      <c r="H27" s="743">
        <f>'Private,Public8EndUse'!Q36</f>
        <v>6.2090002623983204E-2</v>
      </c>
      <c r="I27" s="743">
        <f>'Private,Public8EndUse'!R36+'Private,Public8EndUse'!S36</f>
        <v>8.085148255051168E-2</v>
      </c>
      <c r="J27" s="479">
        <f t="shared" si="0"/>
        <v>1.0000000000000002</v>
      </c>
      <c r="N27" s="477">
        <v>2016</v>
      </c>
      <c r="O27" s="478">
        <f>'Private,Public8EndUse'!L120</f>
        <v>0.50997429935136462</v>
      </c>
      <c r="P27" s="478">
        <f>'Private,Public8EndUse'!M120</f>
        <v>0</v>
      </c>
      <c r="Q27" s="478">
        <f>'Private,Public8EndUse'!N120</f>
        <v>0.48770040386733571</v>
      </c>
      <c r="R27" s="478">
        <f>'Private,Public8EndUse'!O120</f>
        <v>0</v>
      </c>
      <c r="S27" s="478">
        <f>'Private,Public8EndUse'!P120</f>
        <v>0</v>
      </c>
      <c r="T27" s="478">
        <f>'Private,Public8EndUse'!Q120</f>
        <v>0</v>
      </c>
      <c r="U27" s="478">
        <f>'Private,Public8EndUse'!R120+'Private,Public8EndUse'!S120</f>
        <v>2.3252967812997186E-3</v>
      </c>
      <c r="V27" s="479">
        <f t="shared" si="1"/>
        <v>1</v>
      </c>
      <c r="X27" s="17"/>
      <c r="Z27" s="477">
        <v>2016</v>
      </c>
      <c r="AA27" s="478">
        <f>'Private,Public8EndUse'!L76</f>
        <v>0.15857866200654211</v>
      </c>
      <c r="AB27" s="478">
        <f>'Private,Public8EndUse'!M76</f>
        <v>0.37294439216740599</v>
      </c>
      <c r="AC27" s="478">
        <f>'Private,Public8EndUse'!N76</f>
        <v>0.13209660796702066</v>
      </c>
      <c r="AD27" s="478">
        <f>'Private,Public8EndUse'!O76</f>
        <v>6.1791459425550026E-2</v>
      </c>
      <c r="AE27" s="478">
        <f>'Private,Public8EndUse'!P76</f>
        <v>8.0163104359905007E-2</v>
      </c>
      <c r="AF27" s="478">
        <f>'Private,Public8EndUse'!Q76</f>
        <v>8.4823228928619432E-2</v>
      </c>
      <c r="AG27" s="478">
        <f>'Private,Public8EndUse'!R76+'Private,Public8EndUse'!S76</f>
        <v>0.10960254514495676</v>
      </c>
      <c r="AH27" s="479">
        <f t="shared" si="2"/>
        <v>0.99999999999999978</v>
      </c>
    </row>
    <row r="28" spans="2:34">
      <c r="B28" s="477">
        <v>2017</v>
      </c>
      <c r="C28" s="743">
        <f>'Private,Public8EndUse'!L37</f>
        <v>0.26094292803970226</v>
      </c>
      <c r="D28" s="743">
        <f>'Private,Public8EndUse'!M37</f>
        <v>0.27136476426799006</v>
      </c>
      <c r="E28" s="743">
        <f>'Private,Public8EndUse'!N37</f>
        <v>0.23956989247311827</v>
      </c>
      <c r="F28" s="743">
        <f>'Private,Public8EndUse'!O37</f>
        <v>4.036393713813069E-2</v>
      </c>
      <c r="G28" s="743">
        <f>'Private,Public8EndUse'!P37</f>
        <v>5.0355665839536809E-2</v>
      </c>
      <c r="H28" s="743">
        <f>'Private,Public8EndUse'!Q37</f>
        <v>5.4656741108354015E-2</v>
      </c>
      <c r="I28" s="743">
        <f>'Private,Public8EndUse'!R37+'Private,Public8EndUse'!S37</f>
        <v>8.2746071133167912E-2</v>
      </c>
      <c r="J28" s="479">
        <f t="shared" si="0"/>
        <v>1</v>
      </c>
      <c r="N28" s="477">
        <v>2017</v>
      </c>
      <c r="O28" s="478">
        <f>'Private,Public8EndUse'!L121</f>
        <v>0.4824850482118882</v>
      </c>
      <c r="P28" s="478">
        <f>'Private,Public8EndUse'!M121</f>
        <v>0</v>
      </c>
      <c r="Q28" s="478">
        <f>'Private,Public8EndUse'!N121</f>
        <v>0.51299890150128158</v>
      </c>
      <c r="R28" s="478">
        <f>'Private,Public8EndUse'!O121</f>
        <v>0</v>
      </c>
      <c r="S28" s="478">
        <f>'Private,Public8EndUse'!P121</f>
        <v>0</v>
      </c>
      <c r="T28" s="478">
        <f>'Private,Public8EndUse'!Q121</f>
        <v>0</v>
      </c>
      <c r="U28" s="478">
        <f>'Private,Public8EndUse'!R121+'Private,Public8EndUse'!S121</f>
        <v>4.5160502868302208E-3</v>
      </c>
      <c r="V28" s="479">
        <f t="shared" si="1"/>
        <v>1</v>
      </c>
      <c r="X28" s="17"/>
      <c r="Z28" s="477">
        <v>2017</v>
      </c>
      <c r="AA28" s="478">
        <f>'Private,Public8EndUse'!L77</f>
        <v>0.17855846042120552</v>
      </c>
      <c r="AB28" s="478">
        <f>'Private,Public8EndUse'!M77</f>
        <v>0.37227668845315903</v>
      </c>
      <c r="AC28" s="478">
        <f>'Private,Public8EndUse'!N77</f>
        <v>0.13789034132171388</v>
      </c>
      <c r="AD28" s="478">
        <f>'Private,Public8EndUse'!O77</f>
        <v>5.5374001452432826E-2</v>
      </c>
      <c r="AE28" s="478">
        <f>'Private,Public8EndUse'!P77</f>
        <v>6.9081336238198982E-2</v>
      </c>
      <c r="AF28" s="478">
        <f>'Private,Public8EndUse'!Q77</f>
        <v>7.4981844589687721E-2</v>
      </c>
      <c r="AG28" s="478">
        <f>'Private,Public8EndUse'!R77+'Private,Public8EndUse'!S77</f>
        <v>0.11183732752360204</v>
      </c>
      <c r="AH28" s="479">
        <f t="shared" si="2"/>
        <v>1</v>
      </c>
    </row>
    <row r="29" spans="2:34">
      <c r="B29" s="477">
        <v>2018</v>
      </c>
      <c r="C29" s="743">
        <f>'Private,Public8EndUse'!L38</f>
        <v>0.27167438782263403</v>
      </c>
      <c r="D29" s="743">
        <f>'Private,Public8EndUse'!M38</f>
        <v>0.26472534745201853</v>
      </c>
      <c r="E29" s="743">
        <f>'Private,Public8EndUse'!N38</f>
        <v>0.23864990072799472</v>
      </c>
      <c r="F29" s="743">
        <f>'Private,Public8EndUse'!O38</f>
        <v>3.9774983454665784E-2</v>
      </c>
      <c r="G29" s="743">
        <f>'Private,Public8EndUse'!P38</f>
        <v>4.970218398411648E-2</v>
      </c>
      <c r="H29" s="743">
        <f>'Private,Public8EndUse'!Q38</f>
        <v>5.3871608206485774E-2</v>
      </c>
      <c r="I29" s="743">
        <f>'Private,Public8EndUse'!R38+'Private,Public8EndUse'!S38</f>
        <v>8.1601588352084725E-2</v>
      </c>
      <c r="J29" s="479">
        <f t="shared" si="0"/>
        <v>1</v>
      </c>
      <c r="N29" s="477">
        <v>2018</v>
      </c>
      <c r="O29" s="478">
        <f>'Private,Public8EndUse'!L122</f>
        <v>0.50313516024152349</v>
      </c>
      <c r="P29" s="478">
        <f>'Private,Public8EndUse'!M122</f>
        <v>0</v>
      </c>
      <c r="Q29" s="478">
        <f>'Private,Public8EndUse'!N122</f>
        <v>0.49245239201114721</v>
      </c>
      <c r="R29" s="478">
        <f>'Private,Public8EndUse'!O122</f>
        <v>0</v>
      </c>
      <c r="S29" s="478">
        <f>'Private,Public8EndUse'!P122</f>
        <v>0</v>
      </c>
      <c r="T29" s="478">
        <f>'Private,Public8EndUse'!Q122</f>
        <v>0</v>
      </c>
      <c r="U29" s="478">
        <f>'Private,Public8EndUse'!R122+'Private,Public8EndUse'!S122</f>
        <v>4.4124477473293077E-3</v>
      </c>
      <c r="V29" s="479">
        <f t="shared" si="1"/>
        <v>1</v>
      </c>
      <c r="X29" s="17"/>
      <c r="Z29" s="477">
        <v>2018</v>
      </c>
      <c r="AA29" s="478">
        <f>'Private,Public8EndUse'!L78</f>
        <v>0.17942428730099963</v>
      </c>
      <c r="AB29" s="478">
        <f>'Private,Public8EndUse'!M78</f>
        <v>0.37023324694557569</v>
      </c>
      <c r="AC29" s="478">
        <f>'Private,Public8EndUse'!N78</f>
        <v>0.13749537208441318</v>
      </c>
      <c r="AD29" s="478">
        <f>'Private,Public8EndUse'!O78</f>
        <v>5.5627545353572748E-2</v>
      </c>
      <c r="AE29" s="478">
        <f>'Private,Public8EndUse'!P78</f>
        <v>6.9511292114031842E-2</v>
      </c>
      <c r="AF29" s="478">
        <f>'Private,Public8EndUse'!Q78</f>
        <v>7.5342465753424653E-2</v>
      </c>
      <c r="AG29" s="478">
        <f>'Private,Public8EndUse'!R78+'Private,Public8EndUse'!S78</f>
        <v>0.11236579044798223</v>
      </c>
      <c r="AH29" s="479">
        <f t="shared" si="2"/>
        <v>0.99999999999999989</v>
      </c>
    </row>
    <row r="30" spans="2:34">
      <c r="B30" s="477">
        <v>2019</v>
      </c>
      <c r="C30" s="743">
        <f>'Private,Public8EndUse'!L39</f>
        <v>0.26070064751784827</v>
      </c>
      <c r="D30" s="743">
        <f>'Private,Public8EndUse'!M39</f>
        <v>0.272389174829819</v>
      </c>
      <c r="E30" s="743">
        <f>'Private,Public8EndUse'!N39</f>
        <v>0.23367092810891582</v>
      </c>
      <c r="F30" s="743">
        <f>'Private,Public8EndUse'!O39</f>
        <v>4.1142287896397144E-2</v>
      </c>
      <c r="G30" s="743">
        <f>'Private,Public8EndUse'!P39</f>
        <v>5.2033870164369916E-2</v>
      </c>
      <c r="H30" s="743">
        <f>'Private,Public8EndUse'!Q39</f>
        <v>5.57197409928607E-2</v>
      </c>
      <c r="I30" s="743">
        <f>'Private,Public8EndUse'!R39+'Private,Public8EndUse'!S39</f>
        <v>8.4343350489789137E-2</v>
      </c>
      <c r="J30" s="479">
        <f t="shared" si="0"/>
        <v>0.99999999999999989</v>
      </c>
      <c r="N30" s="477">
        <v>2019</v>
      </c>
      <c r="O30" s="478">
        <f>'Private,Public8EndUse'!L123</f>
        <v>0.48301792204536909</v>
      </c>
      <c r="P30" s="478">
        <f>'Private,Public8EndUse'!M123</f>
        <v>0</v>
      </c>
      <c r="Q30" s="478">
        <f>'Private,Public8EndUse'!N123</f>
        <v>0.51234490537661359</v>
      </c>
      <c r="R30" s="478">
        <f>'Private,Public8EndUse'!O123</f>
        <v>0</v>
      </c>
      <c r="S30" s="478">
        <f>'Private,Public8EndUse'!P123</f>
        <v>0</v>
      </c>
      <c r="T30" s="478">
        <f>'Private,Public8EndUse'!Q123</f>
        <v>0</v>
      </c>
      <c r="U30" s="478">
        <f>'Private,Public8EndUse'!R123+'Private,Public8EndUse'!S123</f>
        <v>4.6371725780172957E-3</v>
      </c>
      <c r="V30" s="479">
        <f t="shared" si="1"/>
        <v>1</v>
      </c>
      <c r="X30" s="17"/>
      <c r="Z30" s="477">
        <v>2019</v>
      </c>
      <c r="AA30" s="478">
        <f>'Private,Public8EndUse'!L79</f>
        <v>0.18056559450668594</v>
      </c>
      <c r="AB30" s="478">
        <f>'Private,Public8EndUse'!M79</f>
        <v>0.37057282255149981</v>
      </c>
      <c r="AC30" s="478">
        <f>'Private,Public8EndUse'!N79</f>
        <v>0.13322190097578604</v>
      </c>
      <c r="AD30" s="478">
        <f>'Private,Public8EndUse'!O79</f>
        <v>5.5972172027466571E-2</v>
      </c>
      <c r="AE30" s="478">
        <f>'Private,Public8EndUse'!P79</f>
        <v>7.0789663895916149E-2</v>
      </c>
      <c r="AF30" s="478">
        <f>'Private,Public8EndUse'!Q79</f>
        <v>7.5804119985543914E-2</v>
      </c>
      <c r="AG30" s="478">
        <f>'Private,Public8EndUse'!R79+'Private,Public8EndUse'!S79</f>
        <v>0.11307372605710155</v>
      </c>
      <c r="AH30" s="479">
        <f t="shared" si="2"/>
        <v>0.99999999999999989</v>
      </c>
    </row>
    <row r="31" spans="2:34">
      <c r="B31" s="477">
        <v>2020</v>
      </c>
      <c r="C31" s="743">
        <f>'Private,Public8EndUse'!L40</f>
        <v>0.2561862730178055</v>
      </c>
      <c r="D31" s="743">
        <f>'Private,Public8EndUse'!M40</f>
        <v>0.28144879013848728</v>
      </c>
      <c r="E31" s="743">
        <f>'Private,Public8EndUse'!N40</f>
        <v>0.23466747831380308</v>
      </c>
      <c r="F31" s="743">
        <f>'Private,Public8EndUse'!O40</f>
        <v>4.017653325216862E-2</v>
      </c>
      <c r="G31" s="743">
        <f>'Private,Public8EndUse'!P40</f>
        <v>5.0707654847055243E-2</v>
      </c>
      <c r="H31" s="743">
        <f>'Private,Public8EndUse'!Q40</f>
        <v>5.4420940496119313E-2</v>
      </c>
      <c r="I31" s="743">
        <f>'Private,Public8EndUse'!R40+'Private,Public8EndUse'!S40</f>
        <v>8.2392329934560943E-2</v>
      </c>
      <c r="J31" s="479">
        <f t="shared" si="0"/>
        <v>0.99999999999999989</v>
      </c>
      <c r="N31" s="477">
        <v>2020</v>
      </c>
      <c r="O31" s="478">
        <f>'Private,Public8EndUse'!L124</f>
        <v>0.47574925646305194</v>
      </c>
      <c r="P31" s="478">
        <f>'Private,Public8EndUse'!M124</f>
        <v>0</v>
      </c>
      <c r="Q31" s="478">
        <f>'Private,Public8EndUse'!N124</f>
        <v>0.51956074124914209</v>
      </c>
      <c r="R31" s="478">
        <f>'Private,Public8EndUse'!O124</f>
        <v>0</v>
      </c>
      <c r="S31" s="478">
        <f>'Private,Public8EndUse'!P124</f>
        <v>0</v>
      </c>
      <c r="T31" s="478">
        <f>'Private,Public8EndUse'!Q124</f>
        <v>0</v>
      </c>
      <c r="U31" s="478">
        <f>'Private,Public8EndUse'!R124+'Private,Public8EndUse'!S124</f>
        <v>4.6900022878059939E-3</v>
      </c>
      <c r="V31" s="479">
        <f t="shared" si="1"/>
        <v>1</v>
      </c>
      <c r="X31" s="17"/>
      <c r="Z31" s="477">
        <v>2020</v>
      </c>
      <c r="AA31" s="478">
        <f>'Private,Public8EndUse'!L80</f>
        <v>0.17658524447393523</v>
      </c>
      <c r="AB31" s="478">
        <f>'Private,Public8EndUse'!M80</f>
        <v>0.3834860863434662</v>
      </c>
      <c r="AC31" s="478">
        <f>'Private,Public8EndUse'!N80</f>
        <v>0.13138141251607016</v>
      </c>
      <c r="AD31" s="478">
        <f>'Private,Public8EndUse'!O80</f>
        <v>5.4742255215029234E-2</v>
      </c>
      <c r="AE31" s="478">
        <f>'Private,Public8EndUse'!P80</f>
        <v>6.9091361506241442E-2</v>
      </c>
      <c r="AF31" s="478">
        <f>'Private,Public8EndUse'!Q80</f>
        <v>7.4150872973085064E-2</v>
      </c>
      <c r="AG31" s="478">
        <f>'Private,Public8EndUse'!R80+'Private,Public8EndUse'!S80</f>
        <v>0.1105627669721727</v>
      </c>
      <c r="AH31" s="479">
        <f t="shared" si="2"/>
        <v>1</v>
      </c>
    </row>
    <row r="32" spans="2:34">
      <c r="B32" s="477">
        <v>2021</v>
      </c>
      <c r="C32" s="743">
        <f>'Private,Public8EndUse'!L41</f>
        <v>0.25431194937337137</v>
      </c>
      <c r="D32" s="743">
        <f>'Private,Public8EndUse'!M41</f>
        <v>0.288776523141829</v>
      </c>
      <c r="E32" s="743">
        <f>'Private,Public8EndUse'!N41</f>
        <v>0.22797493485544112</v>
      </c>
      <c r="F32" s="743">
        <f>'Private,Public8EndUse'!O41</f>
        <v>4.0358605286015634E-2</v>
      </c>
      <c r="G32" s="743">
        <f>'Private,Public8EndUse'!P41</f>
        <v>5.1216031765727761E-2</v>
      </c>
      <c r="H32" s="743">
        <f>'Private,Public8EndUse'!Q41</f>
        <v>5.4659387020722171E-2</v>
      </c>
      <c r="I32" s="743">
        <f>'Private,Public8EndUse'!R41+'Private,Public8EndUse'!S41</f>
        <v>8.2702568556892925E-2</v>
      </c>
      <c r="J32" s="479">
        <f t="shared" si="0"/>
        <v>1</v>
      </c>
      <c r="N32" s="477">
        <v>2021</v>
      </c>
      <c r="O32" s="478">
        <f>'Private,Public8EndUse'!L125</f>
        <v>0.48118311891306964</v>
      </c>
      <c r="P32" s="478">
        <f>'Private,Public8EndUse'!M125</f>
        <v>0</v>
      </c>
      <c r="Q32" s="478">
        <f>'Private,Public8EndUse'!N125</f>
        <v>0.51412769027293492</v>
      </c>
      <c r="R32" s="478">
        <f>'Private,Public8EndUse'!O125</f>
        <v>0</v>
      </c>
      <c r="S32" s="478">
        <f>'Private,Public8EndUse'!P125</f>
        <v>0</v>
      </c>
      <c r="T32" s="478">
        <f>'Private,Public8EndUse'!Q125</f>
        <v>0</v>
      </c>
      <c r="U32" s="478">
        <f>'Private,Public8EndUse'!R125+'Private,Public8EndUse'!S125</f>
        <v>4.6891908139954312E-3</v>
      </c>
      <c r="V32" s="479">
        <f t="shared" si="1"/>
        <v>1</v>
      </c>
      <c r="X32" s="17"/>
      <c r="Z32" s="477">
        <v>2021</v>
      </c>
      <c r="AA32" s="478">
        <f>'Private,Public8EndUse'!L81</f>
        <v>0.17542539403821231</v>
      </c>
      <c r="AB32" s="478">
        <f>'Private,Public8EndUse'!M81</f>
        <v>0.38918851122538567</v>
      </c>
      <c r="AC32" s="478">
        <f>'Private,Public8EndUse'!N81</f>
        <v>0.12847527070529705</v>
      </c>
      <c r="AD32" s="478">
        <f>'Private,Public8EndUse'!O81</f>
        <v>5.4391906016137796E-2</v>
      </c>
      <c r="AE32" s="478">
        <f>'Private,Public8EndUse'!P81</f>
        <v>6.9024624775283247E-2</v>
      </c>
      <c r="AF32" s="478">
        <f>'Private,Public8EndUse'!Q81</f>
        <v>7.3665287010326513E-2</v>
      </c>
      <c r="AG32" s="478">
        <f>'Private,Public8EndUse'!R81+'Private,Public8EndUse'!S81</f>
        <v>0.10982900622935743</v>
      </c>
      <c r="AH32" s="479">
        <f t="shared" si="2"/>
        <v>1</v>
      </c>
    </row>
    <row r="33" spans="2:34">
      <c r="B33" s="23">
        <v>2022</v>
      </c>
      <c r="C33" s="105">
        <f>TREND($C$63:$C$64,$B$63:$B$64,$B33)</f>
        <v>0.24697485606680347</v>
      </c>
      <c r="D33" s="105">
        <f>1-SUM(E33:I33,C33)</f>
        <v>0.29018728746644351</v>
      </c>
      <c r="E33" s="105">
        <f>TREND($E$63:$E$64,$B$63:$B$64,$B33)</f>
        <v>0.23668313087502124</v>
      </c>
      <c r="F33" s="105">
        <f>TREND($F$63:$F$64,$B$63:$B$64,$B33)</f>
        <v>0.04</v>
      </c>
      <c r="G33" s="105">
        <f>TREND($G$63:$G$64,$B$63:$B$64,$B33)</f>
        <v>0.05</v>
      </c>
      <c r="H33" s="105">
        <f t="shared" ref="H33:H60" si="3">H32</f>
        <v>5.4659387020722171E-2</v>
      </c>
      <c r="I33" s="105">
        <f>TREND($I$63:$I$64,$B$63:$B$64,$B33)</f>
        <v>8.1495338571009601E-2</v>
      </c>
      <c r="J33" s="25">
        <f t="shared" si="0"/>
        <v>1</v>
      </c>
      <c r="N33" s="23">
        <v>2022</v>
      </c>
      <c r="O33" s="42">
        <f>1-SUM(P33:T33)-U33</f>
        <v>0.47620410506938993</v>
      </c>
      <c r="P33" s="42">
        <f>TREND($P$22:$P$27,$N$22:$N$27,N33)</f>
        <v>0</v>
      </c>
      <c r="Q33" s="42">
        <f t="shared" ref="Q33:Q61" si="4">TREND(Q$28:Q$32,$N$28:$N$32,$N33)</f>
        <v>0.51910670411661464</v>
      </c>
      <c r="R33" s="42">
        <f>TREND(R$27:R$32,$N$27:$N$32,$N33)</f>
        <v>0</v>
      </c>
      <c r="S33" s="42">
        <f t="shared" ref="R33:T43" si="5">TREND(S$22:S$27,$N$22:$N$27,$N33)</f>
        <v>0</v>
      </c>
      <c r="T33" s="42">
        <f t="shared" si="5"/>
        <v>0</v>
      </c>
      <c r="U33" s="42">
        <f t="shared" ref="U33:U61" si="6">U32</f>
        <v>4.6891908139954312E-3</v>
      </c>
      <c r="V33" s="25">
        <f t="shared" ref="V33:V61" si="7">SUM(O33:U33)</f>
        <v>1</v>
      </c>
      <c r="X33" s="17"/>
      <c r="Z33" s="23">
        <v>2022</v>
      </c>
      <c r="AA33" s="105">
        <f>(C33-(O33*(1-'Future Type Share'!$AC23)))/'Future Type Share'!$AC23</f>
        <v>0.16729851858820932</v>
      </c>
      <c r="AB33" s="105">
        <f>(D33-(P33*(1-'Future Type Share'!$AC23)))/'Future Type Share'!$AC23</f>
        <v>0.39105164203191733</v>
      </c>
      <c r="AC33" s="105">
        <f>(E33-(Q33*(1-'Future Type Share'!$AC23)))/'Future Type Share'!$AC23</f>
        <v>0.13851731638398418</v>
      </c>
      <c r="AD33" s="105">
        <f>(F33-(R33*(1-'Future Type Share'!$AC23)))/'Future Type Share'!$AC23</f>
        <v>5.3903345724907063E-2</v>
      </c>
      <c r="AE33" s="105">
        <f>(G33-(S33*(1-'Future Type Share'!$AC23)))/'Future Type Share'!$AC23</f>
        <v>6.7379182156133824E-2</v>
      </c>
      <c r="AF33" s="105">
        <f>(H33-(T33*(1-'Future Type Share'!$AC23)))/'Future Type Share'!$AC23</f>
        <v>7.3658095892237124E-2</v>
      </c>
      <c r="AG33" s="105">
        <f>(I33-(U33*(1-'Future Type Share'!$AC23)))/'Future Type Share'!$AC23</f>
        <v>0.10819189922261117</v>
      </c>
      <c r="AH33" s="25">
        <f t="shared" si="2"/>
        <v>1</v>
      </c>
    </row>
    <row r="34" spans="2:34">
      <c r="B34" s="23">
        <v>2023</v>
      </c>
      <c r="C34" s="105">
        <f>TREND($C$63:$C$64,$B$63:$B$64,$B34)</f>
        <v>0.24601146835013177</v>
      </c>
      <c r="D34" s="105">
        <f t="shared" ref="D33:D60" si="8">1-SUM(E34:I34,C34)</f>
        <v>0.28949633480618764</v>
      </c>
      <c r="E34" s="105">
        <f>TREND($E$63:$E$64,$B$63:$B$64,$B34)</f>
        <v>0.23823016191519919</v>
      </c>
      <c r="F34" s="105">
        <f>TREND($F$63:$F$64,$B$63:$B$64,$B34)</f>
        <v>0.04</v>
      </c>
      <c r="G34" s="105">
        <f>TREND($G$63:$G$64,$B$63:$B$64,$B34)</f>
        <v>0.05</v>
      </c>
      <c r="H34" s="105">
        <f t="shared" si="3"/>
        <v>5.4659387020722171E-2</v>
      </c>
      <c r="I34" s="105">
        <f>TREND($I$63:$I$64,$B$63:$B$64,$B34)</f>
        <v>8.1602647907759257E-2</v>
      </c>
      <c r="J34" s="25">
        <f t="shared" si="0"/>
        <v>1</v>
      </c>
      <c r="N34" s="23">
        <v>2023</v>
      </c>
      <c r="O34" s="42">
        <f>1-SUM(P34:T34)-U34</f>
        <v>0.47326751239126019</v>
      </c>
      <c r="P34" s="42">
        <f>TREND($P$22:$P$27,$N$22:$N$27,N34)</f>
        <v>0</v>
      </c>
      <c r="Q34" s="42">
        <f t="shared" si="4"/>
        <v>0.52204329679474437</v>
      </c>
      <c r="R34" s="42">
        <f t="shared" si="5"/>
        <v>0</v>
      </c>
      <c r="S34" s="42">
        <f t="shared" si="5"/>
        <v>0</v>
      </c>
      <c r="T34" s="42">
        <f t="shared" si="5"/>
        <v>0</v>
      </c>
      <c r="U34" s="42">
        <f t="shared" si="6"/>
        <v>4.6891908139954312E-3</v>
      </c>
      <c r="V34" s="25">
        <f t="shared" si="7"/>
        <v>1</v>
      </c>
      <c r="X34" s="17"/>
      <c r="Z34" s="23">
        <v>2023</v>
      </c>
      <c r="AA34" s="105">
        <f>(C34-(O34*(1-'Future Type Share'!$AC24)))/'Future Type Share'!$AC24</f>
        <v>0.1678724578410874</v>
      </c>
      <c r="AB34" s="105">
        <f>(D34-(P34*(1-'Future Type Share'!$AC24)))/'Future Type Share'!$AC24</f>
        <v>0.38903585307597072</v>
      </c>
      <c r="AC34" s="105">
        <f>(E34-(Q34*(1-'Future Type Share'!$AC24)))/'Future Type Share'!$AC24</f>
        <v>0.14064473741073993</v>
      </c>
      <c r="AD34" s="105">
        <f>(F34-(R34*(1-'Future Type Share'!$AC24)))/'Future Type Share'!$AC24</f>
        <v>5.3753475440222465E-2</v>
      </c>
      <c r="AE34" s="105">
        <f>(G34-(S34*(1-'Future Type Share'!$AC24)))/'Future Type Share'!$AC24</f>
        <v>6.7191844300278081E-2</v>
      </c>
      <c r="AF34" s="105">
        <f>(H34-(T34*(1-'Future Type Share'!$AC24)))/'Future Type Share'!$AC24</f>
        <v>7.3453300444900102E-2</v>
      </c>
      <c r="AG34" s="105">
        <f>(I34-(U34*(1-'Future Type Share'!$AC24)))/'Future Type Share'!$AC24</f>
        <v>0.10804833148680139</v>
      </c>
      <c r="AH34" s="25">
        <f t="shared" si="2"/>
        <v>0.99999999999999989</v>
      </c>
    </row>
    <row r="35" spans="2:34">
      <c r="B35" s="23">
        <v>2024</v>
      </c>
      <c r="C35" s="105">
        <f>TREND($C$63:$C$64,$B$63:$B$64,$B35)</f>
        <v>0.24504808063346029</v>
      </c>
      <c r="D35" s="105">
        <f t="shared" si="8"/>
        <v>0.28880538214593199</v>
      </c>
      <c r="E35" s="105">
        <f>TREND($E$63:$E$64,$B$63:$B$64,$B35)</f>
        <v>0.23977719295537669</v>
      </c>
      <c r="F35" s="105">
        <f>TREND($F$63:$F$64,$B$63:$B$64,$B35)</f>
        <v>0.04</v>
      </c>
      <c r="G35" s="105">
        <f>TREND($G$63:$G$64,$B$63:$B$64,$B35)</f>
        <v>0.05</v>
      </c>
      <c r="H35" s="105">
        <f t="shared" si="3"/>
        <v>5.4659387020722171E-2</v>
      </c>
      <c r="I35" s="105">
        <f>TREND($I$63:$I$64,$B$63:$B$64,$B35)</f>
        <v>8.1709957244508913E-2</v>
      </c>
      <c r="J35" s="25">
        <f t="shared" si="0"/>
        <v>1</v>
      </c>
      <c r="N35" s="23">
        <v>2024</v>
      </c>
      <c r="O35" s="42">
        <f>1-SUM(P35:T35)-U35</f>
        <v>0.47033091971312957</v>
      </c>
      <c r="P35" s="42">
        <f>TREND($P$22:$P$27,$N$22:$N$27,N35)</f>
        <v>0</v>
      </c>
      <c r="Q35" s="42">
        <f t="shared" si="4"/>
        <v>0.52497988947287499</v>
      </c>
      <c r="R35" s="42">
        <f t="shared" si="5"/>
        <v>0</v>
      </c>
      <c r="S35" s="42">
        <f t="shared" si="5"/>
        <v>0</v>
      </c>
      <c r="T35" s="42">
        <f t="shared" si="5"/>
        <v>0</v>
      </c>
      <c r="U35" s="42">
        <f t="shared" si="6"/>
        <v>4.6891908139954312E-3</v>
      </c>
      <c r="V35" s="25">
        <f t="shared" si="7"/>
        <v>1</v>
      </c>
      <c r="X35" s="17"/>
      <c r="Z35" s="23">
        <v>2024</v>
      </c>
      <c r="AA35" s="105">
        <f>(C35-(O35*(1-'Future Type Share'!$AC25)))/'Future Type Share'!$AC25</f>
        <v>0.16842693018861887</v>
      </c>
      <c r="AB35" s="105">
        <f>(D35-(P35*(1-'Future Type Share'!$AC25)))/'Future Type Share'!$AC25</f>
        <v>0.38703124224732116</v>
      </c>
      <c r="AC35" s="105">
        <f>(E35-(Q35*(1-'Future Type Share'!$AC25)))/'Future Type Share'!$AC25</f>
        <v>0.142776645526135</v>
      </c>
      <c r="AD35" s="105">
        <f>(F35-(R35*(1-'Future Type Share'!$AC25)))/'Future Type Share'!$AC25</f>
        <v>5.3604436229205195E-2</v>
      </c>
      <c r="AE35" s="105">
        <f>(G35-(S35*(1-'Future Type Share'!$AC25)))/'Future Type Share'!$AC25</f>
        <v>6.7005545286506499E-2</v>
      </c>
      <c r="AF35" s="105">
        <f>(H35-(T35*(1-'Future Type Share'!$AC25)))/'Future Type Share'!$AC25</f>
        <v>7.3249640646993686E-2</v>
      </c>
      <c r="AG35" s="105">
        <f>(I35-(U35*(1-'Future Type Share'!$AC25)))/'Future Type Share'!$AC25</f>
        <v>0.10790555987521964</v>
      </c>
      <c r="AH35" s="25">
        <f t="shared" si="2"/>
        <v>1</v>
      </c>
    </row>
    <row r="36" spans="2:34">
      <c r="B36" s="23">
        <v>2025</v>
      </c>
      <c r="C36" s="105">
        <f>TREND($C$63:$C$64,$B$63:$B$64,$B36)</f>
        <v>0.2440846929167888</v>
      </c>
      <c r="D36" s="105">
        <f t="shared" si="8"/>
        <v>0.28811442948567589</v>
      </c>
      <c r="E36" s="105">
        <f>TREND($E$63:$E$64,$B$63:$B$64,$B36)</f>
        <v>0.24132422399555464</v>
      </c>
      <c r="F36" s="105">
        <f>TREND($F$63:$F$64,$B$63:$B$64,$B36)</f>
        <v>0.04</v>
      </c>
      <c r="G36" s="105">
        <f>TREND($G$63:$G$64,$B$63:$B$64,$B36)</f>
        <v>0.05</v>
      </c>
      <c r="H36" s="105">
        <f t="shared" si="3"/>
        <v>5.4659387020722171E-2</v>
      </c>
      <c r="I36" s="105">
        <f>TREND($I$63:$I$64,$B$63:$B$64,$B36)</f>
        <v>8.1817266581258569E-2</v>
      </c>
      <c r="J36" s="25">
        <f t="shared" si="0"/>
        <v>1.0000000000000002</v>
      </c>
      <c r="N36" s="23">
        <v>2025</v>
      </c>
      <c r="O36" s="42">
        <f>1-SUM(P36:T36)-U36</f>
        <v>0.46739432703499983</v>
      </c>
      <c r="P36" s="42">
        <f>TREND($P$22:$P$27,$N$22:$N$27,N36)</f>
        <v>0</v>
      </c>
      <c r="Q36" s="42">
        <f t="shared" si="4"/>
        <v>0.52791648215100473</v>
      </c>
      <c r="R36" s="42">
        <f t="shared" si="5"/>
        <v>0</v>
      </c>
      <c r="S36" s="42">
        <f t="shared" si="5"/>
        <v>0</v>
      </c>
      <c r="T36" s="42">
        <f t="shared" si="5"/>
        <v>0</v>
      </c>
      <c r="U36" s="42">
        <f t="shared" si="6"/>
        <v>4.6891908139954312E-3</v>
      </c>
      <c r="V36" s="25">
        <f t="shared" si="7"/>
        <v>1</v>
      </c>
      <c r="X36" s="17"/>
      <c r="Z36" s="23">
        <v>2025</v>
      </c>
      <c r="AA36" s="105">
        <f>(C36-(O36*(1-'Future Type Share'!$AC26)))/'Future Type Share'!$AC26</f>
        <v>0.16896209710743673</v>
      </c>
      <c r="AB36" s="105">
        <f>(D36-(P36*(1-'Future Type Share'!$AC26)))/'Future Type Share'!$AC26</f>
        <v>0.38503771682417515</v>
      </c>
      <c r="AC36" s="105">
        <f>(E36-(Q36*(1-'Future Type Share'!$AC26)))/'Future Type Share'!$AC26</f>
        <v>0.14491300351008068</v>
      </c>
      <c r="AD36" s="105">
        <f>(F36-(R36*(1-'Future Type Share'!$AC26)))/'Future Type Share'!$AC26</f>
        <v>5.3456221198156677E-2</v>
      </c>
      <c r="AE36" s="105">
        <f>(G36-(S36*(1-'Future Type Share'!$AC26)))/'Future Type Share'!$AC26</f>
        <v>6.6820276497695855E-2</v>
      </c>
      <c r="AF36" s="105">
        <f>(H36-(T36*(1-'Future Type Share'!$AC26)))/'Future Type Share'!$AC26</f>
        <v>7.3047107078384466E-2</v>
      </c>
      <c r="AG36" s="105">
        <f>(I36-(U36*(1-'Future Type Share'!$AC26)))/'Future Type Share'!$AC26</f>
        <v>0.10776357778407057</v>
      </c>
      <c r="AH36" s="25">
        <f t="shared" si="2"/>
        <v>1</v>
      </c>
    </row>
    <row r="37" spans="2:34">
      <c r="B37" s="23">
        <v>2026</v>
      </c>
      <c r="C37" s="105">
        <f>TREND($C$63:$C$64,$B$63:$B$64,$B37)</f>
        <v>0.2431213052001171</v>
      </c>
      <c r="D37" s="105">
        <f t="shared" si="8"/>
        <v>0.28742347682542002</v>
      </c>
      <c r="E37" s="105">
        <f>TREND($E$63:$E$64,$B$63:$B$64,$B37)</f>
        <v>0.24287125503573259</v>
      </c>
      <c r="F37" s="105">
        <f>TREND($F$63:$F$64,$B$63:$B$64,$B37)</f>
        <v>0.04</v>
      </c>
      <c r="G37" s="105">
        <f>TREND($G$63:$G$64,$B$63:$B$64,$B37)</f>
        <v>0.05</v>
      </c>
      <c r="H37" s="105">
        <f t="shared" si="3"/>
        <v>5.4659387020722171E-2</v>
      </c>
      <c r="I37" s="105">
        <f>TREND($I$63:$I$64,$B$63:$B$64,$B37)</f>
        <v>8.1924575918008224E-2</v>
      </c>
      <c r="J37" s="25">
        <f t="shared" si="0"/>
        <v>1.0000000000000002</v>
      </c>
      <c r="N37" s="23">
        <v>2026</v>
      </c>
      <c r="O37" s="42">
        <f>1-SUM(P37:T37)-U37</f>
        <v>0.46445773435686921</v>
      </c>
      <c r="P37" s="42">
        <f>TREND($P$22:$P$27,$N$22:$N$27,N37)</f>
        <v>0</v>
      </c>
      <c r="Q37" s="42">
        <f t="shared" si="4"/>
        <v>0.53085307482913535</v>
      </c>
      <c r="R37" s="42">
        <f t="shared" si="5"/>
        <v>0</v>
      </c>
      <c r="S37" s="42">
        <f t="shared" si="5"/>
        <v>0</v>
      </c>
      <c r="T37" s="42">
        <f t="shared" si="5"/>
        <v>0</v>
      </c>
      <c r="U37" s="42">
        <f t="shared" si="6"/>
        <v>4.6891908139954312E-3</v>
      </c>
      <c r="V37" s="25">
        <f t="shared" si="7"/>
        <v>1</v>
      </c>
      <c r="X37" s="17"/>
      <c r="Z37" s="23">
        <v>2026</v>
      </c>
      <c r="AA37" s="105">
        <f>(C37-(O37*(1-'Future Type Share'!$AC27)))/'Future Type Share'!$AC27</f>
        <v>0.16947811829318282</v>
      </c>
      <c r="AB37" s="105">
        <f>(D37-(P37*(1-'Future Type Share'!$AC27)))/'Future Type Share'!$AC27</f>
        <v>0.38305518510740749</v>
      </c>
      <c r="AC37" s="105">
        <f>(E37-(Q37*(1-'Future Type Share'!$AC27)))/'Future Type Share'!$AC27</f>
        <v>0.14705377455300087</v>
      </c>
      <c r="AD37" s="105">
        <f>(F37-(R37*(1-'Future Type Share'!$AC27)))/'Future Type Share'!$AC27</f>
        <v>5.3308823529411804E-2</v>
      </c>
      <c r="AE37" s="105">
        <f>(G37-(S37*(1-'Future Type Share'!$AC27)))/'Future Type Share'!$AC27</f>
        <v>6.6636029411764761E-2</v>
      </c>
      <c r="AF37" s="105">
        <f>(H37-(T37*(1-'Future Type Share'!$AC27)))/'Future Type Share'!$AC27</f>
        <v>7.2845690422837506E-2</v>
      </c>
      <c r="AG37" s="105">
        <f>(I37-(U37*(1-'Future Type Share'!$AC27)))/'Future Type Share'!$AC27</f>
        <v>0.10762237868239491</v>
      </c>
      <c r="AH37" s="25">
        <f t="shared" si="2"/>
        <v>1.0000000000000002</v>
      </c>
    </row>
    <row r="38" spans="2:34">
      <c r="B38" s="23">
        <v>2027</v>
      </c>
      <c r="C38" s="105">
        <f>TREND($C$63:$C$64,$B$63:$B$64,$B38)</f>
        <v>0.24215791748344562</v>
      </c>
      <c r="D38" s="105">
        <f t="shared" si="8"/>
        <v>0.28673252416516426</v>
      </c>
      <c r="E38" s="105">
        <f>TREND($E$63:$E$64,$B$63:$B$64,$B38)</f>
        <v>0.2444182860759101</v>
      </c>
      <c r="F38" s="105">
        <f>TREND($F$63:$F$64,$B$63:$B$64,$B38)</f>
        <v>0.04</v>
      </c>
      <c r="G38" s="105">
        <f>TREND($G$63:$G$64,$B$63:$B$64,$B38)</f>
        <v>0.05</v>
      </c>
      <c r="H38" s="105">
        <f t="shared" si="3"/>
        <v>5.4659387020722171E-2</v>
      </c>
      <c r="I38" s="105">
        <f>TREND($I$63:$I$64,$B$63:$B$64,$B38)</f>
        <v>8.203188525475788E-2</v>
      </c>
      <c r="J38" s="25">
        <f t="shared" si="0"/>
        <v>1</v>
      </c>
      <c r="N38" s="23">
        <v>2027</v>
      </c>
      <c r="O38" s="42">
        <f>1-SUM(P38:T38)-U38</f>
        <v>0.46152114167873948</v>
      </c>
      <c r="P38" s="42">
        <f>TREND($P$22:$P$27,$N$22:$N$27,N38)</f>
        <v>0</v>
      </c>
      <c r="Q38" s="42">
        <f t="shared" si="4"/>
        <v>0.53378966750726509</v>
      </c>
      <c r="R38" s="42">
        <f t="shared" si="5"/>
        <v>0</v>
      </c>
      <c r="S38" s="42">
        <f t="shared" si="5"/>
        <v>0</v>
      </c>
      <c r="T38" s="42">
        <f t="shared" si="5"/>
        <v>0</v>
      </c>
      <c r="U38" s="42">
        <f t="shared" si="6"/>
        <v>4.6891908139954312E-3</v>
      </c>
      <c r="V38" s="25">
        <f t="shared" si="7"/>
        <v>1</v>
      </c>
      <c r="X38" s="17"/>
      <c r="Z38" s="23">
        <v>2027</v>
      </c>
      <c r="AA38" s="105">
        <f>(C38-(O38*(1-'Future Type Share'!$AC28)))/'Future Type Share'!$AC28</f>
        <v>0.16997515168499411</v>
      </c>
      <c r="AB38" s="105">
        <f>(D38-(P38*(1-'Future Type Share'!$AC28)))/'Future Type Share'!$AC28</f>
        <v>0.3810835564064971</v>
      </c>
      <c r="AC38" s="105">
        <f>(E38-(Q38*(1-'Future Type Share'!$AC28)))/'Future Type Share'!$AC28</f>
        <v>0.14919892225019368</v>
      </c>
      <c r="AD38" s="105">
        <f>(F38-(R38*(1-'Future Type Share'!$AC28)))/'Future Type Share'!$AC28</f>
        <v>5.3162236480293328E-2</v>
      </c>
      <c r="AE38" s="105">
        <f>(G38-(S38*(1-'Future Type Share'!$AC28)))/'Future Type Share'!$AC28</f>
        <v>6.6452795600366668E-2</v>
      </c>
      <c r="AF38" s="105">
        <f>(H38-(T38*(1-'Future Type Share'!$AC28)))/'Future Type Share'!$AC28</f>
        <v>7.2645381466587694E-2</v>
      </c>
      <c r="AG38" s="105">
        <f>(I38-(U38*(1-'Future Type Share'!$AC28)))/'Future Type Share'!$AC28</f>
        <v>0.10748195611106746</v>
      </c>
      <c r="AH38" s="25">
        <f t="shared" si="2"/>
        <v>1</v>
      </c>
    </row>
    <row r="39" spans="2:34">
      <c r="B39" s="23">
        <v>2028</v>
      </c>
      <c r="C39" s="105">
        <f>TREND($C$63:$C$64,$B$63:$B$64,$B39)</f>
        <v>0.24119452976677414</v>
      </c>
      <c r="D39" s="105">
        <f t="shared" si="8"/>
        <v>0.28604157150490817</v>
      </c>
      <c r="E39" s="105">
        <f>TREND($E$63:$E$64,$B$63:$B$64,$B39)</f>
        <v>0.24596531711608804</v>
      </c>
      <c r="F39" s="105">
        <f>TREND($F$63:$F$64,$B$63:$B$64,$B39)</f>
        <v>0.04</v>
      </c>
      <c r="G39" s="105">
        <f>TREND($G$63:$G$64,$B$63:$B$64,$B39)</f>
        <v>0.05</v>
      </c>
      <c r="H39" s="105">
        <f t="shared" si="3"/>
        <v>5.4659387020722171E-2</v>
      </c>
      <c r="I39" s="105">
        <f>TREND($I$63:$I$64,$B$63:$B$64,$B39)</f>
        <v>8.2139194591507536E-2</v>
      </c>
      <c r="J39" s="25">
        <f t="shared" si="0"/>
        <v>1</v>
      </c>
      <c r="N39" s="23">
        <v>2028</v>
      </c>
      <c r="O39" s="42">
        <f>1-SUM(P39:T39)-U39</f>
        <v>0.45858454900060974</v>
      </c>
      <c r="P39" s="42">
        <f>TREND($P$22:$P$27,$N$22:$N$27,N39)</f>
        <v>0</v>
      </c>
      <c r="Q39" s="42">
        <f t="shared" si="4"/>
        <v>0.53672626018539482</v>
      </c>
      <c r="R39" s="42">
        <f t="shared" si="5"/>
        <v>0</v>
      </c>
      <c r="S39" s="42">
        <f t="shared" si="5"/>
        <v>0</v>
      </c>
      <c r="T39" s="42">
        <f t="shared" si="5"/>
        <v>0</v>
      </c>
      <c r="U39" s="42">
        <f t="shared" si="6"/>
        <v>4.6891908139954312E-3</v>
      </c>
      <c r="V39" s="25">
        <f t="shared" si="7"/>
        <v>1</v>
      </c>
      <c r="X39" s="17"/>
      <c r="Z39" s="23">
        <v>2028</v>
      </c>
      <c r="AA39" s="105">
        <f>(C39-(O39*(1-'Future Type Share'!$AC29)))/'Future Type Share'!$AC29</f>
        <v>0.17045335348958449</v>
      </c>
      <c r="AB39" s="105">
        <f>(D39-(P39*(1-'Future Type Share'!$AC29)))/'Future Type Share'!$AC29</f>
        <v>0.37912274102570093</v>
      </c>
      <c r="AC39" s="105">
        <f>(E39-(Q39*(1-'Future Type Share'!$AC29)))/'Future Type Share'!$AC29</f>
        <v>0.15134841059627707</v>
      </c>
      <c r="AD39" s="105">
        <f>(F39-(R39*(1-'Future Type Share'!$AC29)))/'Future Type Share'!$AC29</f>
        <v>5.3016453382084092E-2</v>
      </c>
      <c r="AE39" s="105">
        <f>(G39-(S39*(1-'Future Type Share'!$AC29)))/'Future Type Share'!$AC29</f>
        <v>6.6270566727605118E-2</v>
      </c>
      <c r="AF39" s="105">
        <f>(H39-(T39*(1-'Future Type Share'!$AC29)))/'Future Type Share'!$AC29</f>
        <v>7.2446171096935227E-2</v>
      </c>
      <c r="AG39" s="105">
        <f>(I39-(U39*(1-'Future Type Share'!$AC29)))/'Future Type Share'!$AC29</f>
        <v>0.10734230368181312</v>
      </c>
      <c r="AH39" s="25">
        <f t="shared" si="2"/>
        <v>0.99999999999999989</v>
      </c>
    </row>
    <row r="40" spans="2:34">
      <c r="B40" s="23">
        <v>2029</v>
      </c>
      <c r="C40" s="105">
        <f>TREND($C$63:$C$64,$B$63:$B$64,$B40)</f>
        <v>0.24023114205010243</v>
      </c>
      <c r="D40" s="105">
        <f t="shared" si="8"/>
        <v>0.28535061884465229</v>
      </c>
      <c r="E40" s="105">
        <f>TREND($E$63:$E$64,$B$63:$B$64,$B40)</f>
        <v>0.24751234815626599</v>
      </c>
      <c r="F40" s="105">
        <f>TREND($F$63:$F$64,$B$63:$B$64,$B40)</f>
        <v>0.04</v>
      </c>
      <c r="G40" s="105">
        <f>TREND($G$63:$G$64,$B$63:$B$64,$B40)</f>
        <v>0.05</v>
      </c>
      <c r="H40" s="105">
        <f t="shared" si="3"/>
        <v>5.4659387020722171E-2</v>
      </c>
      <c r="I40" s="105">
        <f>TREND($I$63:$I$64,$B$63:$B$64,$B40)</f>
        <v>8.2246503928257192E-2</v>
      </c>
      <c r="J40" s="25">
        <f t="shared" si="0"/>
        <v>1.0000000000000002</v>
      </c>
      <c r="N40" s="23">
        <v>2029</v>
      </c>
      <c r="O40" s="42">
        <f>1-SUM(P40:T40)-U40</f>
        <v>0.45564795632247912</v>
      </c>
      <c r="P40" s="42">
        <f>TREND($P$22:$P$27,$N$22:$N$27,N40)</f>
        <v>0</v>
      </c>
      <c r="Q40" s="42">
        <f t="shared" si="4"/>
        <v>0.53966285286352544</v>
      </c>
      <c r="R40" s="42">
        <f t="shared" si="5"/>
        <v>0</v>
      </c>
      <c r="S40" s="42">
        <f t="shared" si="5"/>
        <v>0</v>
      </c>
      <c r="T40" s="42">
        <f t="shared" si="5"/>
        <v>0</v>
      </c>
      <c r="U40" s="42">
        <f t="shared" si="6"/>
        <v>4.6891908139954312E-3</v>
      </c>
      <c r="V40" s="25">
        <f t="shared" si="7"/>
        <v>1</v>
      </c>
      <c r="X40" s="17"/>
      <c r="Z40" s="23">
        <v>2029</v>
      </c>
      <c r="AA40" s="105">
        <f>(C40-(O40*(1-'Future Type Share'!$AC30)))/'Future Type Share'!$AC30</f>
        <v>0.1709128782049345</v>
      </c>
      <c r="AB40" s="105">
        <f>(D40-(P40*(1-'Future Type Share'!$AC30)))/'Future Type Share'!$AC30</f>
        <v>0.37717265025045227</v>
      </c>
      <c r="AC40" s="105">
        <f>(E40-(Q40*(1-'Future Type Share'!$AC30)))/'Future Type Share'!$AC30</f>
        <v>0.15350220397972736</v>
      </c>
      <c r="AD40" s="105">
        <f>(F40-(R40*(1-'Future Type Share'!$AC30)))/'Future Type Share'!$AC30</f>
        <v>5.2871467639015533E-2</v>
      </c>
      <c r="AE40" s="105">
        <f>(G40-(S40*(1-'Future Type Share'!$AC30)))/'Future Type Share'!$AC30</f>
        <v>6.6089334548769418E-2</v>
      </c>
      <c r="AF40" s="105">
        <f>(H40-(T40*(1-'Future Type Share'!$AC30)))/'Future Type Share'!$AC30</f>
        <v>7.2248050300863453E-2</v>
      </c>
      <c r="AG40" s="105">
        <f>(I40-(U40*(1-'Future Type Share'!$AC30)))/'Future Type Share'!$AC30</f>
        <v>0.10720341507623758</v>
      </c>
      <c r="AH40" s="25">
        <f t="shared" si="2"/>
        <v>1</v>
      </c>
    </row>
    <row r="41" spans="2:34">
      <c r="B41" s="23">
        <v>2030</v>
      </c>
      <c r="C41" s="105">
        <f>TREND($C$63:$C$64,$B$63:$B$64,$B41)</f>
        <v>0.23926775433343095</v>
      </c>
      <c r="D41" s="105">
        <f t="shared" si="8"/>
        <v>0.28465966618439653</v>
      </c>
      <c r="E41" s="105">
        <f>TREND($E$63:$E$64,$B$63:$B$64,$B41)</f>
        <v>0.2490593791964435</v>
      </c>
      <c r="F41" s="105">
        <f>TREND($F$63:$F$64,$B$63:$B$64,$B41)</f>
        <v>0.04</v>
      </c>
      <c r="G41" s="105">
        <f>TREND($G$63:$G$64,$B$63:$B$64,$B41)</f>
        <v>0.05</v>
      </c>
      <c r="H41" s="105">
        <f t="shared" si="3"/>
        <v>5.4659387020722171E-2</v>
      </c>
      <c r="I41" s="105">
        <f>TREND($I$63:$I$64,$B$63:$B$64,$B41)</f>
        <v>8.2353813265006848E-2</v>
      </c>
      <c r="J41" s="25">
        <f t="shared" si="0"/>
        <v>1</v>
      </c>
      <c r="N41" s="23">
        <v>2030</v>
      </c>
      <c r="O41" s="42">
        <f>1-SUM(P41:T41)-U41</f>
        <v>0.45271136364434938</v>
      </c>
      <c r="P41" s="42">
        <f>TREND($P$22:$P$27,$N$22:$N$27,N41)</f>
        <v>0</v>
      </c>
      <c r="Q41" s="42">
        <f t="shared" si="4"/>
        <v>0.54259944554165518</v>
      </c>
      <c r="R41" s="42">
        <f t="shared" si="5"/>
        <v>0</v>
      </c>
      <c r="S41" s="42">
        <f t="shared" si="5"/>
        <v>0</v>
      </c>
      <c r="T41" s="42">
        <f t="shared" si="5"/>
        <v>0</v>
      </c>
      <c r="U41" s="42">
        <f t="shared" si="6"/>
        <v>4.6891908139954312E-3</v>
      </c>
      <c r="V41" s="25">
        <f t="shared" si="7"/>
        <v>1</v>
      </c>
      <c r="X41" s="17"/>
      <c r="Z41" s="23">
        <v>2030</v>
      </c>
      <c r="AA41" s="105">
        <f>(C41-(O41*(1-'Future Type Share'!$AC31)))/'Future Type Share'!$AC31</f>
        <v>0.17135387864359317</v>
      </c>
      <c r="AB41" s="105">
        <f>(D41-(P41*(1-'Future Type Share'!$AC31)))/'Future Type Share'!$AC31</f>
        <v>0.37523319633397739</v>
      </c>
      <c r="AC41" s="105">
        <f>(E41-(Q41*(1-'Future Type Share'!$AC31)))/'Future Type Share'!$AC31</f>
        <v>0.15566026717751238</v>
      </c>
      <c r="AD41" s="105">
        <f>(F41-(R41*(1-'Future Type Share'!$AC31)))/'Future Type Share'!$AC31</f>
        <v>5.2727272727272748E-2</v>
      </c>
      <c r="AE41" s="105">
        <f>(G41-(S41*(1-'Future Type Share'!$AC31)))/'Future Type Share'!$AC31</f>
        <v>6.5909090909090931E-2</v>
      </c>
      <c r="AF41" s="105">
        <f>(H41-(T41*(1-'Future Type Share'!$AC31)))/'Future Type Share'!$AC31</f>
        <v>7.2051010163679249E-2</v>
      </c>
      <c r="AG41" s="105">
        <f>(I41-(U41*(1-'Future Type Share'!$AC31)))/'Future Type Share'!$AC31</f>
        <v>0.10706528404487416</v>
      </c>
      <c r="AH41" s="25">
        <f t="shared" si="2"/>
        <v>0.99999999999999989</v>
      </c>
    </row>
    <row r="42" spans="2:34">
      <c r="B42" s="23">
        <v>2031</v>
      </c>
      <c r="C42" s="105">
        <f>TREND($C$63:$C$64,$B$63:$B$64,$B42)</f>
        <v>0.23830436661675947</v>
      </c>
      <c r="D42" s="105">
        <f t="shared" si="8"/>
        <v>0.28396871352414044</v>
      </c>
      <c r="E42" s="105">
        <f>TREND($E$63:$E$64,$B$63:$B$64,$B42)</f>
        <v>0.25060641023662145</v>
      </c>
      <c r="F42" s="105">
        <f>TREND($F$63:$F$64,$B$63:$B$64,$B42)</f>
        <v>0.04</v>
      </c>
      <c r="G42" s="105">
        <f>TREND($G$63:$G$64,$B$63:$B$64,$B42)</f>
        <v>0.05</v>
      </c>
      <c r="H42" s="105">
        <f t="shared" si="3"/>
        <v>5.4659387020722171E-2</v>
      </c>
      <c r="I42" s="105">
        <f>TREND($I$63:$I$64,$B$63:$B$64,$B42)</f>
        <v>8.2461122601756504E-2</v>
      </c>
      <c r="J42" s="25">
        <f t="shared" si="0"/>
        <v>1</v>
      </c>
      <c r="N42" s="23">
        <v>2031</v>
      </c>
      <c r="O42" s="42">
        <f>1-SUM(P42:T42)-U42</f>
        <v>0.44977477096621876</v>
      </c>
      <c r="P42" s="42">
        <f>TREND($P$22:$P$27,$N$22:$N$27,N42)</f>
        <v>0</v>
      </c>
      <c r="Q42" s="42">
        <f t="shared" si="4"/>
        <v>0.5455360382197858</v>
      </c>
      <c r="R42" s="42">
        <f t="shared" si="5"/>
        <v>0</v>
      </c>
      <c r="S42" s="42">
        <f t="shared" si="5"/>
        <v>0</v>
      </c>
      <c r="T42" s="42">
        <f t="shared" si="5"/>
        <v>0</v>
      </c>
      <c r="U42" s="42">
        <f t="shared" si="6"/>
        <v>4.6891908139954312E-3</v>
      </c>
      <c r="V42" s="25">
        <f t="shared" si="7"/>
        <v>1</v>
      </c>
      <c r="X42" s="17"/>
      <c r="Z42" s="23">
        <v>2031</v>
      </c>
      <c r="AA42" s="105">
        <f>(C42-(O42*(1-'Future Type Share'!$AC32)))/'Future Type Share'!$AC32</f>
        <v>0.17177650595559685</v>
      </c>
      <c r="AB42" s="105">
        <f>(D42-(P42*(1-'Future Type Share'!$AC32)))/'Future Type Share'!$AC32</f>
        <v>0.37330429248413743</v>
      </c>
      <c r="AC42" s="105">
        <f>(E42-(Q42*(1-'Future Type Share'!$AC32)))/'Future Type Share'!$AC32</f>
        <v>0.15782256534980546</v>
      </c>
      <c r="AD42" s="105">
        <f>(F42-(R42*(1-'Future Type Share'!$AC32)))/'Future Type Share'!$AC32</f>
        <v>5.2583862194016319E-2</v>
      </c>
      <c r="AE42" s="105">
        <f>(G42-(S42*(1-'Future Type Share'!$AC32)))/'Future Type Share'!$AC32</f>
        <v>6.5729827742520397E-2</v>
      </c>
      <c r="AF42" s="105">
        <f>(H42-(T42*(1-'Future Type Share'!$AC32)))/'Future Type Share'!$AC32</f>
        <v>7.1855041867676467E-2</v>
      </c>
      <c r="AG42" s="105">
        <f>(I42-(U42*(1-'Future Type Share'!$AC32)))/'Future Type Share'!$AC32</f>
        <v>0.10692790440624707</v>
      </c>
      <c r="AH42" s="25">
        <f t="shared" si="2"/>
        <v>1</v>
      </c>
    </row>
    <row r="43" spans="2:34">
      <c r="B43" s="23">
        <v>2032</v>
      </c>
      <c r="C43" s="105">
        <f>TREND($C$63:$C$64,$B$63:$B$64,$B43)</f>
        <v>0.23734097890008776</v>
      </c>
      <c r="D43" s="105">
        <f t="shared" si="8"/>
        <v>0.28327776086388456</v>
      </c>
      <c r="E43" s="105">
        <f>TREND($E$63:$E$64,$B$63:$B$64,$B43)</f>
        <v>0.25215344127679939</v>
      </c>
      <c r="F43" s="105">
        <f>TREND($F$63:$F$64,$B$63:$B$64,$B43)</f>
        <v>0.04</v>
      </c>
      <c r="G43" s="105">
        <f>TREND($G$63:$G$64,$B$63:$B$64,$B43)</f>
        <v>0.05</v>
      </c>
      <c r="H43" s="105">
        <f t="shared" si="3"/>
        <v>5.4659387020722171E-2</v>
      </c>
      <c r="I43" s="105">
        <f>TREND($I$63:$I$64,$B$63:$B$64,$B43)</f>
        <v>8.2568431938506187E-2</v>
      </c>
      <c r="J43" s="25">
        <f t="shared" si="0"/>
        <v>1.0000000000000002</v>
      </c>
      <c r="N43" s="23">
        <v>2032</v>
      </c>
      <c r="O43" s="42">
        <f>1-SUM(P43:T43)-U43</f>
        <v>0.44683817828808903</v>
      </c>
      <c r="P43" s="42">
        <f>TREND($P$22:$P$27,$N$22:$N$27,N43)</f>
        <v>0</v>
      </c>
      <c r="Q43" s="42">
        <f t="shared" si="4"/>
        <v>0.54847263089791554</v>
      </c>
      <c r="R43" s="42">
        <f t="shared" si="5"/>
        <v>0</v>
      </c>
      <c r="S43" s="42">
        <f t="shared" si="5"/>
        <v>0</v>
      </c>
      <c r="T43" s="42">
        <f t="shared" si="5"/>
        <v>0</v>
      </c>
      <c r="U43" s="42">
        <f t="shared" si="6"/>
        <v>4.6891908139954312E-3</v>
      </c>
      <c r="V43" s="25">
        <f t="shared" si="7"/>
        <v>1</v>
      </c>
      <c r="X43" s="17"/>
      <c r="Z43" s="23">
        <v>2032</v>
      </c>
      <c r="AA43" s="105">
        <f>(C43-(O43*(1-'Future Type Share'!$AC33)))/'Future Type Share'!$AC33</f>
        <v>0.17218090965101662</v>
      </c>
      <c r="AB43" s="105">
        <f>(D43-(P43*(1-'Future Type Share'!$AC33)))/'Future Type Share'!$AC33</f>
        <v>0.37138585285048187</v>
      </c>
      <c r="AC43" s="105">
        <f>(E43-(Q43*(1-'Future Type Share'!$AC33)))/'Future Type Share'!$AC33</f>
        <v>0.1599890640347883</v>
      </c>
      <c r="AD43" s="105">
        <f>(F43-(R43*(1-'Future Type Share'!$AC33)))/'Future Type Share'!$AC33</f>
        <v>5.244122965641957E-2</v>
      </c>
      <c r="AE43" s="105">
        <f>(G43-(S43*(1-'Future Type Share'!$AC33)))/'Future Type Share'!$AC33</f>
        <v>6.5551537070524468E-2</v>
      </c>
      <c r="AF43" s="105">
        <f>(H43-(T43*(1-'Future Type Share'!$AC33)))/'Future Type Share'!$AC33</f>
        <v>7.1660136690820261E-2</v>
      </c>
      <c r="AG43" s="105">
        <f>(I43-(U43*(1-'Future Type Share'!$AC33)))/'Future Type Share'!$AC33</f>
        <v>0.10679127004594903</v>
      </c>
      <c r="AH43" s="25">
        <f t="shared" si="2"/>
        <v>1.0000000000000002</v>
      </c>
    </row>
    <row r="44" spans="2:34">
      <c r="B44" s="23">
        <v>2033</v>
      </c>
      <c r="C44" s="105">
        <f>TREND($C$63:$C$64,$B$63:$B$64,$B44)</f>
        <v>0.23637759118341628</v>
      </c>
      <c r="D44" s="105">
        <f t="shared" si="8"/>
        <v>0.28258680820362847</v>
      </c>
      <c r="E44" s="105">
        <f>TREND($E$63:$E$64,$B$63:$B$64,$B44)</f>
        <v>0.25370047231697734</v>
      </c>
      <c r="F44" s="105">
        <f>TREND($F$63:$F$64,$B$63:$B$64,$B44)</f>
        <v>0.04</v>
      </c>
      <c r="G44" s="105">
        <f>TREND($G$63:$G$64,$B$63:$B$64,$B44)</f>
        <v>0.05</v>
      </c>
      <c r="H44" s="105">
        <f t="shared" si="3"/>
        <v>5.4659387020722171E-2</v>
      </c>
      <c r="I44" s="105">
        <f>TREND($I$63:$I$64,$B$63:$B$64,$B44)</f>
        <v>8.2675741275255843E-2</v>
      </c>
      <c r="J44" s="25">
        <f t="shared" si="0"/>
        <v>1.0000000000000002</v>
      </c>
      <c r="N44" s="23">
        <v>2033</v>
      </c>
      <c r="O44" s="42">
        <f>1-SUM(P44:T44)-U44</f>
        <v>0.4439015856099584</v>
      </c>
      <c r="P44" s="42">
        <f>TREND($P$22:$P$27,$N$22:$N$27,N44)</f>
        <v>0</v>
      </c>
      <c r="Q44" s="42">
        <f t="shared" si="4"/>
        <v>0.55140922357604616</v>
      </c>
      <c r="R44" s="42">
        <f t="shared" ref="R44:T61" si="9">TREND(R$22:R$27,$N$22:$N$27,$N44)</f>
        <v>0</v>
      </c>
      <c r="S44" s="42">
        <f t="shared" si="9"/>
        <v>0</v>
      </c>
      <c r="T44" s="42">
        <f t="shared" si="9"/>
        <v>0</v>
      </c>
      <c r="U44" s="42">
        <f t="shared" si="6"/>
        <v>4.6891908139954312E-3</v>
      </c>
      <c r="V44" s="25">
        <f t="shared" si="7"/>
        <v>1</v>
      </c>
      <c r="X44" s="17"/>
      <c r="Z44" s="23">
        <v>2033</v>
      </c>
      <c r="AA44" s="105">
        <f>(C44-(O44*(1-'Future Type Share'!$AC34)))/'Future Type Share'!$AC34</f>
        <v>0.17256723762214399</v>
      </c>
      <c r="AB44" s="105">
        <f>(D44-(P44*(1-'Future Type Share'!$AC34)))/'Future Type Share'!$AC34</f>
        <v>0.36947779251150714</v>
      </c>
      <c r="AC44" s="105">
        <f>(E44-(Q44*(1-'Future Type Share'!$AC34)))/'Future Type Share'!$AC34</f>
        <v>0.16215972914353946</v>
      </c>
      <c r="AD44" s="105">
        <f>(F44-(R44*(1-'Future Type Share'!$AC34)))/'Future Type Share'!$AC34</f>
        <v>5.2299368800721391E-2</v>
      </c>
      <c r="AE44" s="105">
        <f>(G44-(S44*(1-'Future Type Share'!$AC34)))/'Future Type Share'!$AC34</f>
        <v>6.5374211000901739E-2</v>
      </c>
      <c r="AF44" s="105">
        <f>(H44-(T44*(1-'Future Type Share'!$AC34)))/'Future Type Share'!$AC34</f>
        <v>7.1466286005452823E-2</v>
      </c>
      <c r="AG44" s="105">
        <f>(I44-(U44*(1-'Future Type Share'!$AC34)))/'Future Type Share'!$AC34</f>
        <v>0.10665537491573361</v>
      </c>
      <c r="AH44" s="25">
        <f t="shared" si="2"/>
        <v>1.0000000000000002</v>
      </c>
    </row>
    <row r="45" spans="2:34">
      <c r="B45" s="23">
        <v>2034</v>
      </c>
      <c r="C45" s="105">
        <f>TREND($C$63:$C$64,$B$63:$B$64,$B45)</f>
        <v>0.2354142034667448</v>
      </c>
      <c r="D45" s="105">
        <f t="shared" si="8"/>
        <v>0.28189585554337271</v>
      </c>
      <c r="E45" s="105">
        <f>TREND($E$63:$E$64,$B$63:$B$64,$B45)</f>
        <v>0.25524750335715485</v>
      </c>
      <c r="F45" s="105">
        <f>TREND($F$63:$F$64,$B$63:$B$64,$B45)</f>
        <v>0.04</v>
      </c>
      <c r="G45" s="105">
        <f>TREND($G$63:$G$64,$B$63:$B$64,$B45)</f>
        <v>0.05</v>
      </c>
      <c r="H45" s="105">
        <f t="shared" si="3"/>
        <v>5.4659387020722171E-2</v>
      </c>
      <c r="I45" s="105">
        <f>TREND($I$63:$I$64,$B$63:$B$64,$B45)</f>
        <v>8.2783050612005499E-2</v>
      </c>
      <c r="J45" s="25">
        <f t="shared" si="0"/>
        <v>1</v>
      </c>
      <c r="N45" s="23">
        <v>2034</v>
      </c>
      <c r="O45" s="42">
        <f>1-SUM(P45:T45)-U45</f>
        <v>0.44096499293182867</v>
      </c>
      <c r="P45" s="42">
        <f>TREND($P$22:$P$27,$N$22:$N$27,N45)</f>
        <v>0</v>
      </c>
      <c r="Q45" s="42">
        <f t="shared" si="4"/>
        <v>0.55434581625417589</v>
      </c>
      <c r="R45" s="42">
        <f t="shared" si="9"/>
        <v>0</v>
      </c>
      <c r="S45" s="42">
        <f t="shared" si="9"/>
        <v>0</v>
      </c>
      <c r="T45" s="42">
        <f t="shared" si="9"/>
        <v>0</v>
      </c>
      <c r="U45" s="42">
        <f t="shared" si="6"/>
        <v>4.6891908139954312E-3</v>
      </c>
      <c r="V45" s="25">
        <f t="shared" si="7"/>
        <v>1</v>
      </c>
      <c r="X45" s="17"/>
      <c r="Z45" s="23">
        <v>2034</v>
      </c>
      <c r="AA45" s="105">
        <f>(C45-(O45*(1-'Future Type Share'!$AC35)))/'Future Type Share'!$AC35</f>
        <v>0.17293563616530744</v>
      </c>
      <c r="AB45" s="105">
        <f>(D45-(P45*(1-'Future Type Share'!$AC35)))/'Future Type Share'!$AC35</f>
        <v>0.36758002746213164</v>
      </c>
      <c r="AC45" s="105">
        <f>(E45-(Q45*(1-'Future Type Share'!$AC35)))/'Future Type Share'!$AC35</f>
        <v>0.16433452695500278</v>
      </c>
      <c r="AD45" s="105">
        <f>(F45-(R45*(1-'Future Type Share'!$AC35)))/'Future Type Share'!$AC35</f>
        <v>5.2158273381294966E-2</v>
      </c>
      <c r="AE45" s="105">
        <f>(G45-(S45*(1-'Future Type Share'!$AC35)))/'Future Type Share'!$AC35</f>
        <v>6.5197841726618702E-2</v>
      </c>
      <c r="AF45" s="105">
        <f>(H45-(T45*(1-'Future Type Share'!$AC35)))/'Future Type Share'!$AC35</f>
        <v>7.1273481277020809E-2</v>
      </c>
      <c r="AG45" s="105">
        <f>(I45-(U45*(1-'Future Type Share'!$AC35)))/'Future Type Share'!$AC35</f>
        <v>0.10652021303262367</v>
      </c>
      <c r="AH45" s="25">
        <f t="shared" si="2"/>
        <v>1</v>
      </c>
    </row>
    <row r="46" spans="2:34">
      <c r="B46" s="23">
        <v>2035</v>
      </c>
      <c r="C46" s="105">
        <f>TREND($C$63:$C$64,$B$63:$B$64,$B46)</f>
        <v>0.23445081575007309</v>
      </c>
      <c r="D46" s="105">
        <f t="shared" si="8"/>
        <v>0.28120490288311684</v>
      </c>
      <c r="E46" s="105">
        <f>TREND($E$63:$E$64,$B$63:$B$64,$B46)</f>
        <v>0.2567945343973328</v>
      </c>
      <c r="F46" s="105">
        <f>TREND($F$63:$F$64,$B$63:$B$64,$B46)</f>
        <v>0.04</v>
      </c>
      <c r="G46" s="105">
        <f>TREND($G$63:$G$64,$B$63:$B$64,$B46)</f>
        <v>0.05</v>
      </c>
      <c r="H46" s="105">
        <f t="shared" si="3"/>
        <v>5.4659387020722171E-2</v>
      </c>
      <c r="I46" s="105">
        <f>TREND($I$63:$I$64,$B$63:$B$64,$B46)</f>
        <v>8.2890359948755155E-2</v>
      </c>
      <c r="J46" s="25">
        <f t="shared" si="0"/>
        <v>1</v>
      </c>
      <c r="N46" s="23">
        <v>2035</v>
      </c>
      <c r="O46" s="42">
        <f>1-SUM(P46:T46)-U46</f>
        <v>0.43802840025369805</v>
      </c>
      <c r="P46" s="42">
        <f>TREND($P$22:$P$27,$N$22:$N$27,N46)</f>
        <v>0</v>
      </c>
      <c r="Q46" s="42">
        <f t="shared" si="4"/>
        <v>0.55728240893230652</v>
      </c>
      <c r="R46" s="42">
        <f t="shared" si="9"/>
        <v>0</v>
      </c>
      <c r="S46" s="42">
        <f t="shared" si="9"/>
        <v>0</v>
      </c>
      <c r="T46" s="42">
        <f t="shared" si="9"/>
        <v>0</v>
      </c>
      <c r="U46" s="42">
        <f t="shared" si="6"/>
        <v>4.6891908139954312E-3</v>
      </c>
      <c r="V46" s="25">
        <f t="shared" si="7"/>
        <v>1</v>
      </c>
      <c r="X46" s="17"/>
      <c r="Z46" s="23">
        <v>2035</v>
      </c>
      <c r="AA46" s="105">
        <f>(C46-(O46*(1-'Future Type Share'!$AC36)))/'Future Type Share'!$AC36</f>
        <v>0.17328625000234699</v>
      </c>
      <c r="AB46" s="105">
        <f>(D46-(P46*(1-'Future Type Share'!$AC36)))/'Future Type Share'!$AC36</f>
        <v>0.36569247460136295</v>
      </c>
      <c r="AC46" s="105">
        <f>(E46-(Q46*(1-'Future Type Share'!$AC36)))/'Future Type Share'!$AC36</f>
        <v>0.16651342411103995</v>
      </c>
      <c r="AD46" s="105">
        <f>(F46-(R46*(1-'Future Type Share'!$AC36)))/'Future Type Share'!$AC36</f>
        <v>5.2017937219730984E-2</v>
      </c>
      <c r="AE46" s="105">
        <f>(G46-(S46*(1-'Future Type Share'!$AC36)))/'Future Type Share'!$AC36</f>
        <v>6.5022421524663726E-2</v>
      </c>
      <c r="AF46" s="105">
        <f>(H46-(T46*(1-'Future Type Share'!$AC36)))/'Future Type Share'!$AC36</f>
        <v>7.1081714062822612E-2</v>
      </c>
      <c r="AG46" s="105">
        <f>(I46-(U46*(1-'Future Type Share'!$AC36)))/'Future Type Share'!$AC36</f>
        <v>0.10638577847803281</v>
      </c>
      <c r="AH46" s="25">
        <f t="shared" si="2"/>
        <v>1</v>
      </c>
    </row>
    <row r="47" spans="2:34">
      <c r="B47" s="23">
        <v>2036</v>
      </c>
      <c r="C47" s="105">
        <f>TREND($C$63:$C$64,$B$63:$B$64,$B47)</f>
        <v>0.23348742803340161</v>
      </c>
      <c r="D47" s="105">
        <f t="shared" si="8"/>
        <v>0.28051395022286074</v>
      </c>
      <c r="E47" s="105">
        <f>TREND($E$63:$E$64,$B$63:$B$64,$B47)</f>
        <v>0.25834156543751075</v>
      </c>
      <c r="F47" s="105">
        <f>TREND($F$63:$F$64,$B$63:$B$64,$B47)</f>
        <v>0.04</v>
      </c>
      <c r="G47" s="105">
        <f>TREND($G$63:$G$64,$B$63:$B$64,$B47)</f>
        <v>0.05</v>
      </c>
      <c r="H47" s="105">
        <f t="shared" si="3"/>
        <v>5.4659387020722171E-2</v>
      </c>
      <c r="I47" s="105">
        <f>TREND($I$63:$I$64,$B$63:$B$64,$B47)</f>
        <v>8.299766928550481E-2</v>
      </c>
      <c r="J47" s="25">
        <f t="shared" si="0"/>
        <v>1.0000000000000002</v>
      </c>
      <c r="N47" s="23">
        <v>2036</v>
      </c>
      <c r="O47" s="42">
        <f>1-SUM(P47:T47)-U47</f>
        <v>0.43509180757556831</v>
      </c>
      <c r="P47" s="42">
        <f>TREND($P$22:$P$27,$N$22:$N$27,N47)</f>
        <v>0</v>
      </c>
      <c r="Q47" s="42">
        <f t="shared" si="4"/>
        <v>0.56021900161043625</v>
      </c>
      <c r="R47" s="42">
        <f t="shared" si="9"/>
        <v>0</v>
      </c>
      <c r="S47" s="42">
        <f t="shared" si="9"/>
        <v>0</v>
      </c>
      <c r="T47" s="42">
        <f t="shared" si="9"/>
        <v>0</v>
      </c>
      <c r="U47" s="42">
        <f t="shared" si="6"/>
        <v>4.6891908139954312E-3</v>
      </c>
      <c r="V47" s="25">
        <f t="shared" si="7"/>
        <v>1</v>
      </c>
      <c r="X47" s="17"/>
      <c r="Z47" s="23">
        <v>2036</v>
      </c>
      <c r="AA47" s="105">
        <f>(C47-(O47*(1-'Future Type Share'!$AC37)))/'Future Type Share'!$AC37</f>
        <v>0.17361922230173843</v>
      </c>
      <c r="AB47" s="105">
        <f>(D47-(P47*(1-'Future Type Share'!$AC37)))/'Future Type Share'!$AC37</f>
        <v>0.36381505172016837</v>
      </c>
      <c r="AC47" s="105">
        <f>(E47-(Q47*(1-'Future Type Share'!$AC37)))/'Future Type Share'!$AC37</f>
        <v>0.16869638761156136</v>
      </c>
      <c r="AD47" s="105">
        <f>(F47-(R47*(1-'Future Type Share'!$AC37)))/'Future Type Share'!$AC37</f>
        <v>5.187835420393562E-2</v>
      </c>
      <c r="AE47" s="105">
        <f>(G47-(S47*(1-'Future Type Share'!$AC37)))/'Future Type Share'!$AC37</f>
        <v>6.4847942754919521E-2</v>
      </c>
      <c r="AF47" s="105">
        <f>(H47-(T47*(1-'Future Type Share'!$AC37)))/'Future Type Share'!$AC37</f>
        <v>7.0890976010775653E-2</v>
      </c>
      <c r="AG47" s="105">
        <f>(I47-(U47*(1-'Future Type Share'!$AC37)))/'Future Type Share'!$AC37</f>
        <v>0.10625206539690119</v>
      </c>
      <c r="AH47" s="25">
        <f t="shared" si="2"/>
        <v>1.0000000000000002</v>
      </c>
    </row>
    <row r="48" spans="2:34">
      <c r="B48" s="23">
        <v>2037</v>
      </c>
      <c r="C48" s="105">
        <f>TREND($C$63:$C$64,$B$63:$B$64,$B48)</f>
        <v>0.23252404031673013</v>
      </c>
      <c r="D48" s="105">
        <f t="shared" si="8"/>
        <v>0.27982299756260498</v>
      </c>
      <c r="E48" s="105">
        <f>TREND($E$63:$E$64,$B$63:$B$64,$B48)</f>
        <v>0.25988859647768825</v>
      </c>
      <c r="F48" s="105">
        <f>TREND($F$63:$F$64,$B$63:$B$64,$B48)</f>
        <v>0.04</v>
      </c>
      <c r="G48" s="105">
        <f>TREND($G$63:$G$64,$B$63:$B$64,$B48)</f>
        <v>0.05</v>
      </c>
      <c r="H48" s="105">
        <f t="shared" si="3"/>
        <v>5.4659387020722171E-2</v>
      </c>
      <c r="I48" s="105">
        <f>TREND($I$63:$I$64,$B$63:$B$64,$B48)</f>
        <v>8.3104978622254466E-2</v>
      </c>
      <c r="J48" s="25">
        <f t="shared" si="0"/>
        <v>1</v>
      </c>
      <c r="N48" s="23">
        <v>2037</v>
      </c>
      <c r="O48" s="42">
        <f>1-SUM(P48:T48)-U48</f>
        <v>0.43215521489743769</v>
      </c>
      <c r="P48" s="42">
        <f>TREND($P$22:$P$27,$N$22:$N$27,N48)</f>
        <v>0</v>
      </c>
      <c r="Q48" s="42">
        <f t="shared" si="4"/>
        <v>0.56315559428856687</v>
      </c>
      <c r="R48" s="42">
        <f t="shared" si="9"/>
        <v>0</v>
      </c>
      <c r="S48" s="42">
        <f t="shared" si="9"/>
        <v>0</v>
      </c>
      <c r="T48" s="42">
        <f t="shared" si="9"/>
        <v>0</v>
      </c>
      <c r="U48" s="42">
        <f t="shared" si="6"/>
        <v>4.6891908139954312E-3</v>
      </c>
      <c r="V48" s="25">
        <f t="shared" si="7"/>
        <v>1</v>
      </c>
      <c r="X48" s="17"/>
      <c r="Z48" s="23">
        <v>2037</v>
      </c>
      <c r="AA48" s="105">
        <f>(C48-(O48*(1-'Future Type Share'!$AC38)))/'Future Type Share'!$AC38</f>
        <v>0.17393469469937708</v>
      </c>
      <c r="AB48" s="105">
        <f>(D48-(P48*(1-'Future Type Share'!$AC38)))/'Future Type Share'!$AC38</f>
        <v>0.36194767748954254</v>
      </c>
      <c r="AC48" s="105">
        <f>(E48-(Q48*(1-'Future Type Share'!$AC38)))/'Future Type Share'!$AC38</f>
        <v>0.17088338480973189</v>
      </c>
      <c r="AD48" s="105">
        <f>(F48-(R48*(1-'Future Type Share'!$AC38)))/'Future Type Share'!$AC38</f>
        <v>5.1739518287243533E-2</v>
      </c>
      <c r="AE48" s="105">
        <f>(G48-(S48*(1-'Future Type Share'!$AC38)))/'Future Type Share'!$AC38</f>
        <v>6.4674397859054419E-2</v>
      </c>
      <c r="AF48" s="105">
        <f>(H48-(T48*(1-'Future Type Share'!$AC38)))/'Future Type Share'!$AC38</f>
        <v>7.0701258858204413E-2</v>
      </c>
      <c r="AG48" s="105">
        <f>(I48-(U48*(1-'Future Type Share'!$AC38)))/'Future Type Share'!$AC38</f>
        <v>0.1061190679968461</v>
      </c>
      <c r="AH48" s="25">
        <f t="shared" si="2"/>
        <v>1</v>
      </c>
    </row>
    <row r="49" spans="2:46">
      <c r="B49" s="23">
        <v>2038</v>
      </c>
      <c r="C49" s="105">
        <f>TREND($C$63:$C$64,$B$63:$B$64,$B49)</f>
        <v>0.23156065260005843</v>
      </c>
      <c r="D49" s="105">
        <f t="shared" si="8"/>
        <v>0.27913204490234911</v>
      </c>
      <c r="E49" s="105">
        <f>TREND($E$63:$E$64,$B$63:$B$64,$B49)</f>
        <v>0.2614356275178662</v>
      </c>
      <c r="F49" s="105">
        <f>TREND($F$63:$F$64,$B$63:$B$64,$B49)</f>
        <v>0.04</v>
      </c>
      <c r="G49" s="105">
        <f>TREND($G$63:$G$64,$B$63:$B$64,$B49)</f>
        <v>0.05</v>
      </c>
      <c r="H49" s="105">
        <f t="shared" si="3"/>
        <v>5.4659387020722171E-2</v>
      </c>
      <c r="I49" s="105">
        <f>TREND($I$63:$I$64,$B$63:$B$64,$B49)</f>
        <v>8.3212287959004122E-2</v>
      </c>
      <c r="J49" s="25">
        <f t="shared" si="0"/>
        <v>1</v>
      </c>
      <c r="N49" s="23">
        <v>2038</v>
      </c>
      <c r="O49" s="42">
        <f>1-SUM(P49:T49)-U49</f>
        <v>0.42921862221930795</v>
      </c>
      <c r="P49" s="42">
        <f>TREND($P$22:$P$27,$N$22:$N$27,N49)</f>
        <v>0</v>
      </c>
      <c r="Q49" s="42">
        <f t="shared" si="4"/>
        <v>0.56609218696669661</v>
      </c>
      <c r="R49" s="42">
        <f t="shared" si="9"/>
        <v>0</v>
      </c>
      <c r="S49" s="42">
        <f t="shared" si="9"/>
        <v>0</v>
      </c>
      <c r="T49" s="42">
        <f t="shared" si="9"/>
        <v>0</v>
      </c>
      <c r="U49" s="42">
        <f t="shared" si="6"/>
        <v>4.6891908139954312E-3</v>
      </c>
      <c r="V49" s="25">
        <f t="shared" si="7"/>
        <v>1</v>
      </c>
      <c r="X49" s="17"/>
      <c r="Z49" s="23">
        <v>2038</v>
      </c>
      <c r="AA49" s="105">
        <f>(C49-(O49*(1-'Future Type Share'!$AC39)))/'Future Type Share'!$AC39</f>
        <v>0.17423280731903035</v>
      </c>
      <c r="AB49" s="105">
        <f>(D49-(P49*(1-'Future Type Share'!$AC39)))/'Future Type Share'!$AC39</f>
        <v>0.36009027144876027</v>
      </c>
      <c r="AC49" s="105">
        <f>(E49-(Q49*(1-'Future Type Share'!$AC39)))/'Future Type Share'!$AC39</f>
        <v>0.17307438340726208</v>
      </c>
      <c r="AD49" s="105">
        <f>(F49-(R49*(1-'Future Type Share'!$AC39)))/'Future Type Share'!$AC39</f>
        <v>5.1601423487544526E-2</v>
      </c>
      <c r="AE49" s="105">
        <f>(G49-(S49*(1-'Future Type Share'!$AC39)))/'Future Type Share'!$AC39</f>
        <v>6.4501779359430661E-2</v>
      </c>
      <c r="AF49" s="105">
        <f>(H49-(T49*(1-'Future Type Share'!$AC39)))/'Future Type Share'!$AC39</f>
        <v>7.0512554430646981E-2</v>
      </c>
      <c r="AG49" s="105">
        <f>(I49-(U49*(1-'Future Type Share'!$AC39)))/'Future Type Share'!$AC39</f>
        <v>0.10598678054732522</v>
      </c>
      <c r="AH49" s="25">
        <f t="shared" si="2"/>
        <v>1</v>
      </c>
    </row>
    <row r="50" spans="2:46">
      <c r="B50" s="23">
        <v>2039</v>
      </c>
      <c r="C50" s="105">
        <f>TREND($C$63:$C$64,$B$63:$B$64,$B50)</f>
        <v>0.23059726488338694</v>
      </c>
      <c r="D50" s="105">
        <f t="shared" si="8"/>
        <v>0.27844109224209301</v>
      </c>
      <c r="E50" s="105">
        <f>TREND($E$63:$E$64,$B$63:$B$64,$B50)</f>
        <v>0.26298265855804415</v>
      </c>
      <c r="F50" s="105">
        <f>TREND($F$63:$F$64,$B$63:$B$64,$B50)</f>
        <v>0.04</v>
      </c>
      <c r="G50" s="105">
        <f>TREND($G$63:$G$64,$B$63:$B$64,$B50)</f>
        <v>0.05</v>
      </c>
      <c r="H50" s="105">
        <f t="shared" si="3"/>
        <v>5.4659387020722171E-2</v>
      </c>
      <c r="I50" s="105">
        <f>TREND($I$63:$I$64,$B$63:$B$64,$B50)</f>
        <v>8.3319597295753778E-2</v>
      </c>
      <c r="J50" s="25">
        <f t="shared" si="0"/>
        <v>1</v>
      </c>
      <c r="N50" s="23">
        <v>2039</v>
      </c>
      <c r="O50" s="42">
        <f>1-SUM(P50:T50)-U50</f>
        <v>0.42628202954117733</v>
      </c>
      <c r="P50" s="42">
        <f>TREND($P$22:$P$27,$N$22:$N$27,N50)</f>
        <v>0</v>
      </c>
      <c r="Q50" s="42">
        <f t="shared" si="4"/>
        <v>0.56902877964482723</v>
      </c>
      <c r="R50" s="42">
        <f t="shared" si="9"/>
        <v>0</v>
      </c>
      <c r="S50" s="42">
        <f t="shared" si="9"/>
        <v>0</v>
      </c>
      <c r="T50" s="42">
        <f t="shared" si="9"/>
        <v>0</v>
      </c>
      <c r="U50" s="42">
        <f t="shared" si="6"/>
        <v>4.6891908139954312E-3</v>
      </c>
      <c r="V50" s="25">
        <f t="shared" si="7"/>
        <v>1</v>
      </c>
      <c r="X50" s="17"/>
      <c r="Z50" s="23">
        <v>2039</v>
      </c>
      <c r="AA50" s="105">
        <f>(C50-(O50*(1-'Future Type Share'!$AC40)))/'Future Type Share'!$AC40</f>
        <v>0.17451369879246734</v>
      </c>
      <c r="AB50" s="105">
        <f>(D50-(P50*(1-'Future Type Share'!$AC40)))/'Future Type Share'!$AC40</f>
        <v>0.35824275399381988</v>
      </c>
      <c r="AC50" s="105">
        <f>(E50-(Q50*(1-'Future Type Share'!$AC40)))/'Future Type Share'!$AC40</f>
        <v>0.17526935144976455</v>
      </c>
      <c r="AD50" s="105">
        <f>(F50-(R50*(1-'Future Type Share'!$AC40)))/'Future Type Share'!$AC40</f>
        <v>5.1464063886424154E-2</v>
      </c>
      <c r="AE50" s="105">
        <f>(G50-(S50*(1-'Future Type Share'!$AC40)))/'Future Type Share'!$AC40</f>
        <v>6.4330079858030201E-2</v>
      </c>
      <c r="AF50" s="105">
        <f>(H50-(T50*(1-'Future Type Share'!$AC40)))/'Future Type Share'!$AC40</f>
        <v>7.0324854640680723E-2</v>
      </c>
      <c r="AG50" s="105">
        <f>(I50-(U50*(1-'Future Type Share'!$AC40)))/'Future Type Share'!$AC40</f>
        <v>0.10585519737881322</v>
      </c>
      <c r="AH50" s="25">
        <f t="shared" si="2"/>
        <v>1</v>
      </c>
    </row>
    <row r="51" spans="2:46">
      <c r="B51" s="23">
        <v>2040</v>
      </c>
      <c r="C51" s="105">
        <f>TREND($C$63:$C$64,$B$63:$B$64,$B51)</f>
        <v>0.22963387716671546</v>
      </c>
      <c r="D51" s="105">
        <f t="shared" si="8"/>
        <v>0.27775013958183736</v>
      </c>
      <c r="E51" s="105">
        <f>TREND($E$63:$E$64,$B$63:$B$64,$B51)</f>
        <v>0.26452968959822165</v>
      </c>
      <c r="F51" s="105">
        <f>TREND($F$63:$F$64,$B$63:$B$64,$B51)</f>
        <v>0.04</v>
      </c>
      <c r="G51" s="105">
        <f>TREND($G$63:$G$64,$B$63:$B$64,$B51)</f>
        <v>0.05</v>
      </c>
      <c r="H51" s="105">
        <f t="shared" si="3"/>
        <v>5.4659387020722171E-2</v>
      </c>
      <c r="I51" s="105">
        <f>TREND($I$63:$I$64,$B$63:$B$64,$B51)</f>
        <v>8.3426906632503434E-2</v>
      </c>
      <c r="J51" s="25">
        <f t="shared" si="0"/>
        <v>1.0000000000000002</v>
      </c>
      <c r="N51" s="23">
        <v>2040</v>
      </c>
      <c r="O51" s="42">
        <f>1-SUM(P51:T51)-U51</f>
        <v>0.4233454368630476</v>
      </c>
      <c r="P51" s="42">
        <f>TREND($P$22:$P$27,$N$22:$N$27,N51)</f>
        <v>0</v>
      </c>
      <c r="Q51" s="42">
        <f t="shared" si="4"/>
        <v>0.57196537232295697</v>
      </c>
      <c r="R51" s="42">
        <f t="shared" si="9"/>
        <v>0</v>
      </c>
      <c r="S51" s="42">
        <f t="shared" si="9"/>
        <v>0</v>
      </c>
      <c r="T51" s="42">
        <f t="shared" si="9"/>
        <v>0</v>
      </c>
      <c r="U51" s="42">
        <f t="shared" si="6"/>
        <v>4.6891908139954312E-3</v>
      </c>
      <c r="V51" s="25">
        <f t="shared" si="7"/>
        <v>1</v>
      </c>
      <c r="X51" s="17"/>
      <c r="Z51" s="23">
        <v>2040</v>
      </c>
      <c r="AA51" s="105">
        <f>(C51-(O51*(1-'Future Type Share'!$AC41)))/'Future Type Share'!$AC41</f>
        <v>0.17477750627925856</v>
      </c>
      <c r="AB51" s="105">
        <f>(D51-(P51*(1-'Future Type Share'!$AC41)))/'Future Type Share'!$AC41</f>
        <v>0.35640504636607451</v>
      </c>
      <c r="AC51" s="105">
        <f>(E51-(Q51*(1-'Future Type Share'!$AC41)))/'Future Type Share'!$AC41</f>
        <v>0.1774682573221904</v>
      </c>
      <c r="AD51" s="105">
        <f>(F51-(R51*(1-'Future Type Share'!$AC41)))/'Future Type Share'!$AC41</f>
        <v>5.1327433628318583E-2</v>
      </c>
      <c r="AE51" s="105">
        <f>(G51-(S51*(1-'Future Type Share'!$AC41)))/'Future Type Share'!$AC41</f>
        <v>6.4159292035398233E-2</v>
      </c>
      <c r="AF51" s="105">
        <f>(H51-(T51*(1-'Future Type Share'!$AC41)))/'Future Type Share'!$AC41</f>
        <v>7.0138151486767386E-2</v>
      </c>
      <c r="AG51" s="105">
        <f>(I51-(U51*(1-'Future Type Share'!$AC41)))/'Future Type Share'!$AC41</f>
        <v>0.10572431288199242</v>
      </c>
      <c r="AH51" s="25">
        <f t="shared" si="2"/>
        <v>1.0000000000000002</v>
      </c>
    </row>
    <row r="52" spans="2:46">
      <c r="B52" s="23">
        <v>2041</v>
      </c>
      <c r="C52" s="105">
        <f>TREND($C$63:$C$64,$B$63:$B$64,$B52)</f>
        <v>0.22867048945004376</v>
      </c>
      <c r="D52" s="105">
        <f t="shared" si="8"/>
        <v>0.27705918692158149</v>
      </c>
      <c r="E52" s="105">
        <f>TREND($E$63:$E$64,$B$63:$B$64,$B52)</f>
        <v>0.2660767206383996</v>
      </c>
      <c r="F52" s="105">
        <f>TREND($F$63:$F$64,$B$63:$B$64,$B52)</f>
        <v>0.04</v>
      </c>
      <c r="G52" s="105">
        <f>TREND($G$63:$G$64,$B$63:$B$64,$B52)</f>
        <v>0.05</v>
      </c>
      <c r="H52" s="105">
        <f t="shared" si="3"/>
        <v>5.4659387020722171E-2</v>
      </c>
      <c r="I52" s="105">
        <f>TREND($I$63:$I$64,$B$63:$B$64,$B52)</f>
        <v>8.3534215969253089E-2</v>
      </c>
      <c r="J52" s="25">
        <f t="shared" si="0"/>
        <v>1.0000000000000002</v>
      </c>
      <c r="N52" s="23">
        <v>2041</v>
      </c>
      <c r="O52" s="42">
        <f>1-SUM(P52:T52)-U52</f>
        <v>0.42040884418491697</v>
      </c>
      <c r="P52" s="42">
        <f>TREND($P$22:$P$27,$N$22:$N$27,N52)</f>
        <v>0</v>
      </c>
      <c r="Q52" s="42">
        <f t="shared" si="4"/>
        <v>0.57490196500108759</v>
      </c>
      <c r="R52" s="42">
        <f t="shared" si="9"/>
        <v>0</v>
      </c>
      <c r="S52" s="42">
        <f t="shared" si="9"/>
        <v>0</v>
      </c>
      <c r="T52" s="42">
        <f t="shared" si="9"/>
        <v>0</v>
      </c>
      <c r="U52" s="42">
        <f t="shared" si="6"/>
        <v>4.6891908139954312E-3</v>
      </c>
      <c r="V52" s="25">
        <f t="shared" si="7"/>
        <v>1</v>
      </c>
      <c r="X52" s="17"/>
      <c r="Z52" s="23">
        <v>2041</v>
      </c>
      <c r="AA52" s="105">
        <f>(C52-(O52*(1-'Future Type Share'!$AC42)))/'Future Type Share'!$AC42</f>
        <v>0.17502436548627057</v>
      </c>
      <c r="AB52" s="105">
        <f>(D52-(P52*(1-'Future Type Share'!$AC42)))/'Future Type Share'!$AC42</f>
        <v>0.35457707064103572</v>
      </c>
      <c r="AC52" s="105">
        <f>(E52-(Q52*(1-'Future Type Share'!$AC42)))/'Future Type Share'!$AC42</f>
        <v>0.17967106974433744</v>
      </c>
      <c r="AD52" s="105">
        <f>(F52-(R52*(1-'Future Type Share'!$AC42)))/'Future Type Share'!$AC42</f>
        <v>5.1191526919682297E-2</v>
      </c>
      <c r="AE52" s="105">
        <f>(G52-(S52*(1-'Future Type Share'!$AC42)))/'Future Type Share'!$AC42</f>
        <v>6.3989408649602883E-2</v>
      </c>
      <c r="AF52" s="105">
        <f>(H52-(T52*(1-'Future Type Share'!$AC42)))/'Future Type Share'!$AC42</f>
        <v>6.9952437052115804E-2</v>
      </c>
      <c r="AG52" s="105">
        <f>(I52-(U52*(1-'Future Type Share'!$AC42)))/'Future Type Share'!$AC42</f>
        <v>0.10559412150695545</v>
      </c>
      <c r="AH52" s="25">
        <f t="shared" si="2"/>
        <v>1.0000000000000002</v>
      </c>
    </row>
    <row r="53" spans="2:46">
      <c r="B53" s="23">
        <v>2042</v>
      </c>
      <c r="C53" s="105">
        <f>TREND($C$63:$C$64,$B$63:$B$64,$B53)</f>
        <v>0.22770710173337227</v>
      </c>
      <c r="D53" s="105">
        <f t="shared" si="8"/>
        <v>0.27636823426132529</v>
      </c>
      <c r="E53" s="105">
        <f>TREND($E$63:$E$64,$B$63:$B$64,$B53)</f>
        <v>0.26762375167857755</v>
      </c>
      <c r="F53" s="105">
        <f>TREND($F$63:$F$64,$B$63:$B$64,$B53)</f>
        <v>0.04</v>
      </c>
      <c r="G53" s="105">
        <f>TREND($G$63:$G$64,$B$63:$B$64,$B53)</f>
        <v>0.05</v>
      </c>
      <c r="H53" s="105">
        <f t="shared" si="3"/>
        <v>5.4659387020722171E-2</v>
      </c>
      <c r="I53" s="105">
        <f>TREND($I$63:$I$64,$B$63:$B$64,$B53)</f>
        <v>8.3641525306002745E-2</v>
      </c>
      <c r="J53" s="25">
        <f t="shared" si="0"/>
        <v>1</v>
      </c>
      <c r="N53" s="23">
        <v>2042</v>
      </c>
      <c r="O53" s="42">
        <f>1-SUM(P53:T53)-U53</f>
        <v>0.41747225150678724</v>
      </c>
      <c r="P53" s="42">
        <f>TREND($P$22:$P$27,$N$22:$N$27,N53)</f>
        <v>0</v>
      </c>
      <c r="Q53" s="42">
        <f t="shared" si="4"/>
        <v>0.57783855767921732</v>
      </c>
      <c r="R53" s="42">
        <f t="shared" si="9"/>
        <v>0</v>
      </c>
      <c r="S53" s="42">
        <f t="shared" si="9"/>
        <v>0</v>
      </c>
      <c r="T53" s="42">
        <f t="shared" si="9"/>
        <v>0</v>
      </c>
      <c r="U53" s="42">
        <f t="shared" si="6"/>
        <v>4.6891908139954312E-3</v>
      </c>
      <c r="V53" s="25">
        <f t="shared" si="7"/>
        <v>1</v>
      </c>
      <c r="X53" s="17"/>
      <c r="Z53" s="23">
        <v>2042</v>
      </c>
      <c r="AA53" s="105">
        <f>(C53-(O53*(1-'Future Type Share'!$AC43)))/'Future Type Share'!$AC43</f>
        <v>0.17525441068684727</v>
      </c>
      <c r="AB53" s="105">
        <f>(D53-(P53*(1-'Future Type Share'!$AC43)))/'Future Type Share'!$AC43</f>
        <v>0.35275874971736076</v>
      </c>
      <c r="AC53" s="105">
        <f>(E53-(Q53*(1-'Future Type Share'!$AC43)))/'Future Type Share'!$AC43</f>
        <v>0.18187775776642873</v>
      </c>
      <c r="AD53" s="105">
        <f>(F53-(R53*(1-'Future Type Share'!$AC43)))/'Future Type Share'!$AC43</f>
        <v>5.1056338028169036E-2</v>
      </c>
      <c r="AE53" s="105">
        <f>(G53-(S53*(1-'Future Type Share'!$AC43)))/'Future Type Share'!$AC43</f>
        <v>6.3820422535211294E-2</v>
      </c>
      <c r="AF53" s="105">
        <f>(H53-(T53*(1-'Future Type Share'!$AC43)))/'Future Type Share'!$AC43</f>
        <v>6.976770350356265E-2</v>
      </c>
      <c r="AG53" s="105">
        <f>(I53-(U53*(1-'Future Type Share'!$AC43)))/'Future Type Share'!$AC43</f>
        <v>0.10546461776242029</v>
      </c>
      <c r="AH53" s="25">
        <f t="shared" si="2"/>
        <v>1</v>
      </c>
    </row>
    <row r="54" spans="2:46">
      <c r="B54" s="23">
        <v>2043</v>
      </c>
      <c r="C54" s="105">
        <f>TREND($C$63:$C$64,$B$63:$B$64,$B54)</f>
        <v>0.22674371401670079</v>
      </c>
      <c r="D54" s="105">
        <f t="shared" si="8"/>
        <v>0.27567728160106919</v>
      </c>
      <c r="E54" s="105">
        <f>TREND($E$63:$E$64,$B$63:$B$64,$B54)</f>
        <v>0.2691707827187555</v>
      </c>
      <c r="F54" s="105">
        <f>TREND($F$63:$F$64,$B$63:$B$64,$B54)</f>
        <v>0.04</v>
      </c>
      <c r="G54" s="105">
        <f>TREND($G$63:$G$64,$B$63:$B$64,$B54)</f>
        <v>0.05</v>
      </c>
      <c r="H54" s="105">
        <f t="shared" si="3"/>
        <v>5.4659387020722171E-2</v>
      </c>
      <c r="I54" s="105">
        <f>TREND($I$63:$I$64,$B$63:$B$64,$B54)</f>
        <v>8.3748834642752401E-2</v>
      </c>
      <c r="J54" s="25">
        <f t="shared" si="0"/>
        <v>1</v>
      </c>
      <c r="N54" s="23">
        <v>2043</v>
      </c>
      <c r="O54" s="42">
        <f>1-SUM(P54:T54)-U54</f>
        <v>0.41453565882865662</v>
      </c>
      <c r="P54" s="42">
        <f>TREND($P$22:$P$27,$N$22:$N$27,N54)</f>
        <v>0</v>
      </c>
      <c r="Q54" s="42">
        <f t="shared" si="4"/>
        <v>0.58077515035734795</v>
      </c>
      <c r="R54" s="42">
        <f t="shared" si="9"/>
        <v>0</v>
      </c>
      <c r="S54" s="42">
        <f t="shared" si="9"/>
        <v>0</v>
      </c>
      <c r="T54" s="42">
        <f t="shared" si="9"/>
        <v>0</v>
      </c>
      <c r="U54" s="42">
        <f t="shared" si="6"/>
        <v>4.6891908139954312E-3</v>
      </c>
      <c r="V54" s="25">
        <f t="shared" si="7"/>
        <v>1</v>
      </c>
      <c r="X54" s="17"/>
      <c r="Z54" s="23">
        <v>2043</v>
      </c>
      <c r="AA54" s="105">
        <f>(C54-(O54*(1-'Future Type Share'!$AC44)))/'Future Type Share'!$AC44</f>
        <v>0.17546777473968739</v>
      </c>
      <c r="AB54" s="105">
        <f>(D54-(P54*(1-'Future Type Share'!$AC44)))/'Future Type Share'!$AC44</f>
        <v>0.35095000730601433</v>
      </c>
      <c r="AC54" s="105">
        <f>(E54-(Q54*(1-'Future Type Share'!$AC44)))/'Future Type Share'!$AC44</f>
        <v>0.18408829076475877</v>
      </c>
      <c r="AD54" s="105">
        <f>(F54-(R54*(1-'Future Type Share'!$AC44)))/'Future Type Share'!$AC44</f>
        <v>5.0921861281826165E-2</v>
      </c>
      <c r="AE54" s="105">
        <f>(G54-(S54*(1-'Future Type Share'!$AC44)))/'Future Type Share'!$AC44</f>
        <v>6.3652326602282705E-2</v>
      </c>
      <c r="AF54" s="105">
        <f>(H54-(T54*(1-'Future Type Share'!$AC44)))/'Future Type Share'!$AC44</f>
        <v>6.9583943090471598E-2</v>
      </c>
      <c r="AG54" s="105">
        <f>(I54-(U54*(1-'Future Type Share'!$AC44)))/'Future Type Share'!$AC44</f>
        <v>0.10533579621495909</v>
      </c>
      <c r="AH54" s="25">
        <f t="shared" si="2"/>
        <v>1</v>
      </c>
    </row>
    <row r="55" spans="2:46">
      <c r="B55" s="23">
        <v>2044</v>
      </c>
      <c r="C55" s="105">
        <f>TREND($C$63:$C$64,$B$63:$B$64,$B55)</f>
        <v>0.22578032630002909</v>
      </c>
      <c r="D55" s="105">
        <f t="shared" si="8"/>
        <v>0.27498632894081376</v>
      </c>
      <c r="E55" s="105">
        <f>TREND($E$63:$E$64,$B$63:$B$64,$B55)</f>
        <v>0.270717813758933</v>
      </c>
      <c r="F55" s="105">
        <f>TREND($F$63:$F$64,$B$63:$B$64,$B55)</f>
        <v>0.04</v>
      </c>
      <c r="G55" s="105">
        <f>TREND($G$63:$G$64,$B$63:$B$64,$B55)</f>
        <v>0.05</v>
      </c>
      <c r="H55" s="105">
        <f t="shared" si="3"/>
        <v>5.4659387020722171E-2</v>
      </c>
      <c r="I55" s="105">
        <f>TREND($I$63:$I$64,$B$63:$B$64,$B55)</f>
        <v>8.3856143979502057E-2</v>
      </c>
      <c r="J55" s="25">
        <f t="shared" si="0"/>
        <v>1.0000000000000002</v>
      </c>
      <c r="N55" s="23">
        <v>2044</v>
      </c>
      <c r="O55" s="42">
        <f>1-SUM(P55:T55)-U55</f>
        <v>0.41159906615052688</v>
      </c>
      <c r="P55" s="42">
        <f>TREND($P$22:$P$27,$N$22:$N$27,N55)</f>
        <v>0</v>
      </c>
      <c r="Q55" s="42">
        <f t="shared" si="4"/>
        <v>0.58371174303547768</v>
      </c>
      <c r="R55" s="42">
        <f t="shared" si="9"/>
        <v>0</v>
      </c>
      <c r="S55" s="42">
        <f t="shared" si="9"/>
        <v>0</v>
      </c>
      <c r="T55" s="42">
        <f t="shared" si="9"/>
        <v>0</v>
      </c>
      <c r="U55" s="42">
        <f t="shared" si="6"/>
        <v>4.6891908139954312E-3</v>
      </c>
      <c r="V55" s="25">
        <f t="shared" si="7"/>
        <v>1</v>
      </c>
      <c r="X55" s="17"/>
      <c r="Z55" s="23">
        <v>2044</v>
      </c>
      <c r="AA55" s="105">
        <f>(C55-(O55*(1-'Future Type Share'!$AC45)))/'Future Type Share'!$AC45</f>
        <v>0.1756645891074253</v>
      </c>
      <c r="AB55" s="105">
        <f>(D55-(P55*(1-'Future Type Share'!$AC45)))/'Future Type Share'!$AC45</f>
        <v>0.34915076791959743</v>
      </c>
      <c r="AC55" s="105">
        <f>(E55-(Q55*(1-'Future Type Share'!$AC45)))/'Future Type Share'!$AC45</f>
        <v>0.18630263843741279</v>
      </c>
      <c r="AD55" s="105">
        <f>(F55-(R55*(1-'Future Type Share'!$AC45)))/'Future Type Share'!$AC45</f>
        <v>5.0788091068301268E-2</v>
      </c>
      <c r="AE55" s="105">
        <f>(G55-(S55*(1-'Future Type Share'!$AC45)))/'Future Type Share'!$AC45</f>
        <v>6.3485113835376583E-2</v>
      </c>
      <c r="AF55" s="105">
        <f>(H55-(T55*(1-'Future Type Share'!$AC45)))/'Future Type Share'!$AC45</f>
        <v>6.9401148143649047E-2</v>
      </c>
      <c r="AG55" s="105">
        <f>(I55-(U55*(1-'Future Type Share'!$AC45)))/'Future Type Share'!$AC45</f>
        <v>0.10520765148823773</v>
      </c>
      <c r="AH55" s="25">
        <f t="shared" si="2"/>
        <v>1.0000000000000002</v>
      </c>
    </row>
    <row r="56" spans="2:46">
      <c r="B56" s="23">
        <v>2045</v>
      </c>
      <c r="C56" s="105">
        <f>TREND($C$63:$C$64,$B$63:$B$64,$B56)</f>
        <v>0.22481693858335761</v>
      </c>
      <c r="D56" s="105">
        <f t="shared" si="8"/>
        <v>0.27429537628055756</v>
      </c>
      <c r="E56" s="105">
        <f>TREND($E$63:$E$64,$B$63:$B$64,$B56)</f>
        <v>0.27226484479911095</v>
      </c>
      <c r="F56" s="105">
        <f>TREND($F$63:$F$64,$B$63:$B$64,$B56)</f>
        <v>0.04</v>
      </c>
      <c r="G56" s="105">
        <f>TREND($G$63:$G$64,$B$63:$B$64,$B56)</f>
        <v>0.05</v>
      </c>
      <c r="H56" s="105">
        <f t="shared" si="3"/>
        <v>5.4659387020722171E-2</v>
      </c>
      <c r="I56" s="105">
        <f>TREND($I$63:$I$64,$B$63:$B$64,$B56)</f>
        <v>8.3963453316251713E-2</v>
      </c>
      <c r="J56" s="25">
        <f t="shared" si="0"/>
        <v>1</v>
      </c>
      <c r="N56" s="23">
        <v>2045</v>
      </c>
      <c r="O56" s="42">
        <f>1-SUM(P56:T56)-U56</f>
        <v>0.40866247347239626</v>
      </c>
      <c r="P56" s="42">
        <f>TREND($P$22:$P$27,$N$22:$N$27,N56)</f>
        <v>0</v>
      </c>
      <c r="Q56" s="42">
        <f t="shared" si="4"/>
        <v>0.5866483357136083</v>
      </c>
      <c r="R56" s="42">
        <f t="shared" si="9"/>
        <v>0</v>
      </c>
      <c r="S56" s="42">
        <f t="shared" si="9"/>
        <v>0</v>
      </c>
      <c r="T56" s="42">
        <f t="shared" si="9"/>
        <v>0</v>
      </c>
      <c r="U56" s="42">
        <f t="shared" si="6"/>
        <v>4.6891908139954312E-3</v>
      </c>
      <c r="V56" s="25">
        <f t="shared" si="7"/>
        <v>1</v>
      </c>
      <c r="X56" s="17"/>
      <c r="Z56" s="23">
        <v>2045</v>
      </c>
      <c r="AA56" s="105">
        <f>(C56-(O56*(1-'Future Type Share'!$AC46)))/'Future Type Share'!$AC46</f>
        <v>0.17584498387492362</v>
      </c>
      <c r="AB56" s="105">
        <f>(D56-(P56*(1-'Future Type Share'!$AC46)))/'Future Type Share'!$AC46</f>
        <v>0.3473609568618416</v>
      </c>
      <c r="AC56" s="105">
        <f>(E56-(Q56*(1-'Future Type Share'!$AC46)))/'Future Type Share'!$AC46</f>
        <v>0.18852077080005256</v>
      </c>
      <c r="AD56" s="105">
        <f>(F56-(R56*(1-'Future Type Share'!$AC46)))/'Future Type Share'!$AC46</f>
        <v>5.0655021834061155E-2</v>
      </c>
      <c r="AE56" s="105">
        <f>(G56-(S56*(1-'Future Type Share'!$AC46)))/'Future Type Share'!$AC46</f>
        <v>6.3318777292576442E-2</v>
      </c>
      <c r="AF56" s="105">
        <f>(H56-(T56*(1-'Future Type Share'!$AC46)))/'Future Type Share'!$AC46</f>
        <v>6.9219311074277007E-2</v>
      </c>
      <c r="AG56" s="105">
        <f>(I56-(U56*(1-'Future Type Share'!$AC46)))/'Future Type Share'!$AC46</f>
        <v>0.10508017826226762</v>
      </c>
      <c r="AH56" s="25">
        <f t="shared" si="2"/>
        <v>1</v>
      </c>
    </row>
    <row r="57" spans="2:46">
      <c r="B57" s="23">
        <v>2046</v>
      </c>
      <c r="C57" s="105">
        <f>TREND($C$63:$C$64,$B$63:$B$64,$B57)</f>
        <v>0.22385355086668612</v>
      </c>
      <c r="D57" s="105">
        <f t="shared" si="8"/>
        <v>0.27360442362030146</v>
      </c>
      <c r="E57" s="105">
        <f>TREND($E$63:$E$64,$B$63:$B$64,$B57)</f>
        <v>0.2738118758392889</v>
      </c>
      <c r="F57" s="105">
        <f>TREND($F$63:$F$64,$B$63:$B$64,$B57)</f>
        <v>0.04</v>
      </c>
      <c r="G57" s="105">
        <f>TREND($G$63:$G$64,$B$63:$B$64,$B57)</f>
        <v>0.05</v>
      </c>
      <c r="H57" s="105">
        <f t="shared" si="3"/>
        <v>5.4659387020722171E-2</v>
      </c>
      <c r="I57" s="105">
        <f>TREND($I$63:$I$64,$B$63:$B$64,$B57)</f>
        <v>8.4070762653001369E-2</v>
      </c>
      <c r="J57" s="25">
        <f t="shared" si="0"/>
        <v>1</v>
      </c>
      <c r="N57" s="23">
        <v>2046</v>
      </c>
      <c r="O57" s="42">
        <f>1-SUM(P57:T57)-U57</f>
        <v>0.40572588079426652</v>
      </c>
      <c r="P57" s="42">
        <f>TREND($P$22:$P$27,$N$22:$N$27,N57)</f>
        <v>0</v>
      </c>
      <c r="Q57" s="42">
        <f t="shared" si="4"/>
        <v>0.58958492839173804</v>
      </c>
      <c r="R57" s="42">
        <f t="shared" si="9"/>
        <v>0</v>
      </c>
      <c r="S57" s="42">
        <f t="shared" si="9"/>
        <v>0</v>
      </c>
      <c r="T57" s="42">
        <f t="shared" si="9"/>
        <v>0</v>
      </c>
      <c r="U57" s="42">
        <f t="shared" si="6"/>
        <v>4.6891908139954312E-3</v>
      </c>
      <c r="V57" s="25">
        <f t="shared" si="7"/>
        <v>1</v>
      </c>
      <c r="X57" s="17"/>
      <c r="Z57" s="23">
        <v>2046</v>
      </c>
      <c r="AA57" s="105">
        <f>(C57-(O57*(1-'Future Type Share'!$AC47)))/'Future Type Share'!$AC47</f>
        <v>0.17600908776727034</v>
      </c>
      <c r="AB57" s="105">
        <f>(D57-(P57*(1-'Future Type Share'!$AC47)))/'Future Type Share'!$AC47</f>
        <v>0.34558050021727971</v>
      </c>
      <c r="AC57" s="105">
        <f>(E57-(Q57*(1-'Future Type Share'!$AC47)))/'Future Type Share'!$AC47</f>
        <v>0.19074265818176306</v>
      </c>
      <c r="AD57" s="105">
        <f>(F57-(R57*(1-'Future Type Share'!$AC47)))/'Future Type Share'!$AC47</f>
        <v>5.0522648083623695E-2</v>
      </c>
      <c r="AE57" s="105">
        <f>(G57-(S57*(1-'Future Type Share'!$AC47)))/'Future Type Share'!$AC47</f>
        <v>6.3153310104529625E-2</v>
      </c>
      <c r="AF57" s="105">
        <f>(H57-(T57*(1-'Future Type Share'!$AC47)))/'Future Type Share'!$AC47</f>
        <v>6.9038424372863366E-2</v>
      </c>
      <c r="AG57" s="105">
        <f>(I57-(U57*(1-'Future Type Share'!$AC47)))/'Future Type Share'!$AC47</f>
        <v>0.10495337127267017</v>
      </c>
      <c r="AH57" s="25">
        <f t="shared" si="2"/>
        <v>0.99999999999999989</v>
      </c>
    </row>
    <row r="58" spans="2:46">
      <c r="B58" s="23">
        <v>2047</v>
      </c>
      <c r="C58" s="105">
        <f>TREND($C$63:$C$64,$B$63:$B$64,$B58)</f>
        <v>0.22289016315001442</v>
      </c>
      <c r="D58" s="105">
        <f t="shared" si="8"/>
        <v>0.27291347096004603</v>
      </c>
      <c r="E58" s="105">
        <f>TREND($E$63:$E$64,$B$63:$B$64,$B58)</f>
        <v>0.2753589068794664</v>
      </c>
      <c r="F58" s="105">
        <f>TREND($F$63:$F$64,$B$63:$B$64,$B58)</f>
        <v>0.04</v>
      </c>
      <c r="G58" s="105">
        <f>TREND($G$63:$G$64,$B$63:$B$64,$B58)</f>
        <v>0.05</v>
      </c>
      <c r="H58" s="105">
        <f t="shared" si="3"/>
        <v>5.4659387020722171E-2</v>
      </c>
      <c r="I58" s="105">
        <f>TREND($I$63:$I$64,$B$63:$B$64,$B58)</f>
        <v>8.4178071989751024E-2</v>
      </c>
      <c r="J58" s="25">
        <f t="shared" si="0"/>
        <v>1</v>
      </c>
      <c r="N58" s="23">
        <v>2047</v>
      </c>
      <c r="O58" s="42">
        <f>1-SUM(P58:T58)-U58</f>
        <v>0.4027892881161359</v>
      </c>
      <c r="P58" s="42">
        <f>TREND($P$22:$P$27,$N$22:$N$27,N58)</f>
        <v>0</v>
      </c>
      <c r="Q58" s="42">
        <f t="shared" si="4"/>
        <v>0.59252152106986866</v>
      </c>
      <c r="R58" s="42">
        <f t="shared" si="9"/>
        <v>0</v>
      </c>
      <c r="S58" s="42">
        <f t="shared" si="9"/>
        <v>0</v>
      </c>
      <c r="T58" s="42">
        <f t="shared" si="9"/>
        <v>0</v>
      </c>
      <c r="U58" s="42">
        <f t="shared" si="6"/>
        <v>4.6891908139954312E-3</v>
      </c>
      <c r="V58" s="25">
        <f t="shared" si="7"/>
        <v>1</v>
      </c>
      <c r="X58" s="17"/>
      <c r="Z58" s="23">
        <v>2047</v>
      </c>
      <c r="AA58" s="105">
        <f>(C58-(O58*(1-'Future Type Share'!$AC48)))/'Future Type Share'!$AC48</f>
        <v>0.17615702816750312</v>
      </c>
      <c r="AB58" s="105">
        <f>(D58-(P58*(1-'Future Type Share'!$AC48)))/'Future Type Share'!$AC48</f>
        <v>0.34380932484106608</v>
      </c>
      <c r="AC58" s="105">
        <f>(E58-(Q58*(1-'Future Type Share'!$AC48)))/'Future Type Share'!$AC48</f>
        <v>0.19296827122096891</v>
      </c>
      <c r="AD58" s="105">
        <f>(F58-(R58*(1-'Future Type Share'!$AC48)))/'Future Type Share'!$AC48</f>
        <v>5.0390964378801084E-2</v>
      </c>
      <c r="AE58" s="105">
        <f>(G58-(S58*(1-'Future Type Share'!$AC48)))/'Future Type Share'!$AC48</f>
        <v>6.2988705473501355E-2</v>
      </c>
      <c r="AF58" s="105">
        <f>(H58-(T58*(1-'Future Type Share'!$AC48)))/'Future Type Share'!$AC48</f>
        <v>6.8858480608207831E-2</v>
      </c>
      <c r="AG58" s="105">
        <f>(I58-(U58*(1-'Future Type Share'!$AC48)))/'Future Type Share'!$AC48</f>
        <v>0.10482722530995173</v>
      </c>
      <c r="AH58" s="25">
        <f t="shared" si="2"/>
        <v>1.0000000000000002</v>
      </c>
    </row>
    <row r="59" spans="2:46">
      <c r="B59" s="23">
        <v>2048</v>
      </c>
      <c r="C59" s="105">
        <f>TREND($C$63:$C$64,$B$63:$B$64,$B59)</f>
        <v>0.22192677543334294</v>
      </c>
      <c r="D59" s="105">
        <f t="shared" si="8"/>
        <v>0.27222251829978994</v>
      </c>
      <c r="E59" s="105">
        <f>TREND($E$63:$E$64,$B$63:$B$64,$B59)</f>
        <v>0.27690593791964435</v>
      </c>
      <c r="F59" s="105">
        <f>TREND($F$63:$F$64,$B$63:$B$64,$B59)</f>
        <v>0.04</v>
      </c>
      <c r="G59" s="105">
        <f>TREND($G$63:$G$64,$B$63:$B$64,$B59)</f>
        <v>0.05</v>
      </c>
      <c r="H59" s="105">
        <f t="shared" si="3"/>
        <v>5.4659387020722171E-2</v>
      </c>
      <c r="I59" s="105">
        <f>TREND($I$63:$I$64,$B$63:$B$64,$B59)</f>
        <v>8.428538132650068E-2</v>
      </c>
      <c r="J59" s="25">
        <f t="shared" si="0"/>
        <v>1.0000000000000002</v>
      </c>
      <c r="N59" s="23">
        <v>2048</v>
      </c>
      <c r="O59" s="42">
        <f>1-SUM(P59:T59)-U59</f>
        <v>0.39985269543800617</v>
      </c>
      <c r="P59" s="42">
        <f>TREND($P$22:$P$27,$N$22:$N$27,N59)</f>
        <v>0</v>
      </c>
      <c r="Q59" s="42">
        <f t="shared" si="4"/>
        <v>0.5954581137479984</v>
      </c>
      <c r="R59" s="42">
        <f t="shared" si="9"/>
        <v>0</v>
      </c>
      <c r="S59" s="42">
        <f t="shared" si="9"/>
        <v>0</v>
      </c>
      <c r="T59" s="42">
        <f t="shared" si="9"/>
        <v>0</v>
      </c>
      <c r="U59" s="42">
        <f t="shared" si="6"/>
        <v>4.6891908139954312E-3</v>
      </c>
      <c r="V59" s="25">
        <f t="shared" si="7"/>
        <v>1</v>
      </c>
      <c r="X59" s="17"/>
      <c r="Z59" s="23">
        <v>2048</v>
      </c>
      <c r="AA59" s="105">
        <f>(C59-(O59*(1-'Future Type Share'!$AC49)))/'Future Type Share'!$AC49</f>
        <v>0.17628893113405314</v>
      </c>
      <c r="AB59" s="105">
        <f>(D59-(P59*(1-'Future Type Share'!$AC49)))/'Future Type Share'!$AC49</f>
        <v>0.34204735834895628</v>
      </c>
      <c r="AC59" s="105">
        <f>(E59-(Q59*(1-'Future Type Share'!$AC49)))/'Future Type Share'!$AC49</f>
        <v>0.19519758086141822</v>
      </c>
      <c r="AD59" s="105">
        <f>(F59-(R59*(1-'Future Type Share'!$AC49)))/'Future Type Share'!$AC49</f>
        <v>5.0259965337954959E-2</v>
      </c>
      <c r="AE59" s="105">
        <f>(G59-(S59*(1-'Future Type Share'!$AC49)))/'Future Type Share'!$AC49</f>
        <v>6.2824956672443699E-2</v>
      </c>
      <c r="AF59" s="105">
        <f>(H59-(T59*(1-'Future Type Share'!$AC49)))/'Future Type Share'!$AC49</f>
        <v>6.8679472426384044E-2</v>
      </c>
      <c r="AG59" s="105">
        <f>(I59-(U59*(1-'Future Type Share'!$AC49)))/'Future Type Share'!$AC49</f>
        <v>0.10470173521878977</v>
      </c>
      <c r="AH59" s="25">
        <f t="shared" si="2"/>
        <v>1.0000000000000002</v>
      </c>
    </row>
    <row r="60" spans="2:46">
      <c r="B60" s="23">
        <v>2049</v>
      </c>
      <c r="C60" s="105">
        <f>TREND($C$63:$C$64,$B$63:$B$64,$B60)</f>
        <v>0.22096338771667146</v>
      </c>
      <c r="D60" s="105">
        <f t="shared" si="8"/>
        <v>0.27153156563953385</v>
      </c>
      <c r="E60" s="105">
        <f>TREND($E$63:$E$64,$B$63:$B$64,$B60)</f>
        <v>0.2784529689598223</v>
      </c>
      <c r="F60" s="105">
        <f>TREND($F$63:$F$64,$B$63:$B$64,$B60)</f>
        <v>0.04</v>
      </c>
      <c r="G60" s="105">
        <f>TREND($G$63:$G$64,$B$63:$B$64,$B60)</f>
        <v>0.05</v>
      </c>
      <c r="H60" s="105">
        <f t="shared" si="3"/>
        <v>5.4659387020722171E-2</v>
      </c>
      <c r="I60" s="105">
        <f>TREND($I$63:$I$64,$B$63:$B$64,$B60)</f>
        <v>8.4392690663250336E-2</v>
      </c>
      <c r="J60" s="25">
        <f t="shared" si="0"/>
        <v>1.0000000000000002</v>
      </c>
      <c r="N60" s="23">
        <v>2049</v>
      </c>
      <c r="O60" s="42">
        <f>1-SUM(P60:T60)-U60</f>
        <v>0.39691610275987643</v>
      </c>
      <c r="P60" s="42">
        <f>TREND($P$22:$P$27,$N$22:$N$27,N60)</f>
        <v>0</v>
      </c>
      <c r="Q60" s="42">
        <f t="shared" si="4"/>
        <v>0.59839470642612813</v>
      </c>
      <c r="R60" s="42">
        <f t="shared" si="9"/>
        <v>0</v>
      </c>
      <c r="S60" s="42">
        <f t="shared" si="9"/>
        <v>0</v>
      </c>
      <c r="T60" s="42">
        <f t="shared" si="9"/>
        <v>0</v>
      </c>
      <c r="U60" s="42">
        <f t="shared" si="6"/>
        <v>4.6891908139954312E-3</v>
      </c>
      <c r="V60" s="25">
        <f t="shared" si="7"/>
        <v>1</v>
      </c>
      <c r="X60" s="17"/>
      <c r="Z60" s="23">
        <v>2049</v>
      </c>
      <c r="AA60" s="105">
        <f>(C60-(O60*(1-'Future Type Share'!$AC50)))/'Future Type Share'!$AC50</f>
        <v>0.17640492141791683</v>
      </c>
      <c r="AB60" s="105">
        <f>(D60-(P60*(1-'Future Type Share'!$AC50)))/'Future Type Share'!$AC50</f>
        <v>0.34029452910745384</v>
      </c>
      <c r="AC60" s="105">
        <f>(E60-(Q60*(1-'Future Type Share'!$AC50)))/'Future Type Share'!$AC50</f>
        <v>0.19743055834821677</v>
      </c>
      <c r="AD60" s="105">
        <f>(F60-(R60*(1-'Future Type Share'!$AC50)))/'Future Type Share'!$AC50</f>
        <v>5.0129645635263613E-2</v>
      </c>
      <c r="AE60" s="105">
        <f>(G60-(S60*(1-'Future Type Share'!$AC50)))/'Future Type Share'!$AC50</f>
        <v>6.2662057044079525E-2</v>
      </c>
      <c r="AF60" s="105">
        <f>(H60-(T60*(1-'Future Type Share'!$AC50)))/'Future Type Share'!$AC50</f>
        <v>6.8501392549738249E-2</v>
      </c>
      <c r="AG60" s="105">
        <f>(I60-(U60*(1-'Future Type Share'!$AC50)))/'Future Type Share'!$AC50</f>
        <v>0.10457689589733132</v>
      </c>
      <c r="AH60" s="25">
        <f t="shared" si="2"/>
        <v>1</v>
      </c>
    </row>
    <row r="61" spans="2:46">
      <c r="B61" s="26">
        <v>2050</v>
      </c>
      <c r="C61" s="106">
        <f>TREND($C$63:$C$64,$B$63:$B$64,$B61)</f>
        <v>0.21999999999999975</v>
      </c>
      <c r="D61" s="106">
        <f>1-SUM(E61:I61,C61)</f>
        <v>0.27084061297927831</v>
      </c>
      <c r="E61" s="106">
        <f>TREND($E$63:$E$64,$B$63:$B$64,$B61)</f>
        <v>0.2799999999999998</v>
      </c>
      <c r="F61" s="106">
        <f>TREND($F$63:$F$64,$B$63:$B$64,$B61)</f>
        <v>0.04</v>
      </c>
      <c r="G61" s="106">
        <f>TREND($G$63:$G$64,$B$63:$B$64,$B61)</f>
        <v>0.05</v>
      </c>
      <c r="H61" s="106">
        <f>H60</f>
        <v>5.4659387020722171E-2</v>
      </c>
      <c r="I61" s="106">
        <f>TREND($I$63:$I$64,$B$63:$B$64,$B61)</f>
        <v>8.4499999999999992E-2</v>
      </c>
      <c r="J61" s="29">
        <f t="shared" si="0"/>
        <v>1</v>
      </c>
      <c r="N61" s="26">
        <v>2050</v>
      </c>
      <c r="O61" s="43">
        <f>1-SUM(P61:T61)-U61</f>
        <v>0.39397951008174581</v>
      </c>
      <c r="P61" s="43">
        <f>TREND($P$22:$P$27,$N$22:$N$27,N61)</f>
        <v>0</v>
      </c>
      <c r="Q61" s="42">
        <f t="shared" si="4"/>
        <v>0.60133129910425875</v>
      </c>
      <c r="R61" s="43">
        <f t="shared" si="9"/>
        <v>0</v>
      </c>
      <c r="S61" s="43">
        <f t="shared" si="9"/>
        <v>0</v>
      </c>
      <c r="T61" s="43">
        <f t="shared" si="9"/>
        <v>0</v>
      </c>
      <c r="U61" s="43">
        <f t="shared" si="6"/>
        <v>4.6891908139954312E-3</v>
      </c>
      <c r="V61" s="25">
        <f t="shared" si="7"/>
        <v>1</v>
      </c>
      <c r="X61" s="17"/>
      <c r="Z61" s="26">
        <v>2050</v>
      </c>
      <c r="AA61" s="106">
        <f>(C61-(O61*(1-'Future Type Share'!$AC51)))/'Future Type Share'!$AC51</f>
        <v>0.17650512247956307</v>
      </c>
      <c r="AB61" s="106">
        <f>(D61-(P61*(1-'Future Type Share'!$AC51)))/'Future Type Share'!$AC51</f>
        <v>0.33855076622409813</v>
      </c>
      <c r="AC61" s="106">
        <f>(E61-(Q61*(1-'Future Type Share'!$AC51)))/'Future Type Share'!$AC51</f>
        <v>0.19966717522393476</v>
      </c>
      <c r="AD61" s="106">
        <f>(F61-(R61*(1-'Future Type Share'!$AC51)))/'Future Type Share'!$AC51</f>
        <v>5.0000000000000037E-2</v>
      </c>
      <c r="AE61" s="106">
        <f>(G61-(S61*(1-'Future Type Share'!$AC51)))/'Future Type Share'!$AC51</f>
        <v>6.2500000000000056E-2</v>
      </c>
      <c r="AF61" s="106">
        <f>(H61-(T61*(1-'Future Type Share'!$AC51)))/'Future Type Share'!$AC51</f>
        <v>6.8324233775902771E-2</v>
      </c>
      <c r="AG61" s="106">
        <f>(I61-(U61*(1-'Future Type Share'!$AC51)))/'Future Type Share'!$AC51</f>
        <v>0.10445270229650121</v>
      </c>
      <c r="AH61" s="25">
        <f t="shared" si="2"/>
        <v>0.99999999999999989</v>
      </c>
    </row>
    <row r="62" spans="2:46">
      <c r="C62" s="1"/>
      <c r="D62" s="1"/>
      <c r="E62" s="1"/>
      <c r="F62" s="1" t="s">
        <v>913</v>
      </c>
      <c r="G62" s="1"/>
      <c r="I62" s="1"/>
      <c r="J62" s="17"/>
      <c r="AA62" s="1"/>
      <c r="AB62" s="1"/>
      <c r="AC62" s="1"/>
      <c r="AD62" s="17"/>
      <c r="AE62" s="1"/>
      <c r="AF62" s="1"/>
      <c r="AG62" s="17"/>
      <c r="AH62" s="17"/>
      <c r="AJ62" s="17"/>
      <c r="AM62" s="1"/>
      <c r="AN62" s="1"/>
      <c r="AO62" s="1"/>
      <c r="AP62" s="1"/>
      <c r="AR62" s="1"/>
      <c r="AS62" s="17"/>
      <c r="AT62" s="17"/>
    </row>
    <row r="63" spans="2:46">
      <c r="B63">
        <v>2016</v>
      </c>
      <c r="C63" s="1">
        <f>C27</f>
        <v>0.25275518236683286</v>
      </c>
      <c r="D63" s="1"/>
      <c r="E63" s="1">
        <f t="shared" ref="E63:H63" si="10">E27</f>
        <v>0.22740094463395435</v>
      </c>
      <c r="F63" s="1">
        <v>0.04</v>
      </c>
      <c r="G63" s="1">
        <v>0.05</v>
      </c>
      <c r="H63" s="1">
        <f t="shared" si="10"/>
        <v>6.2090002623983204E-2</v>
      </c>
      <c r="I63" s="1">
        <f>I27</f>
        <v>8.085148255051168E-2</v>
      </c>
      <c r="J63" s="17"/>
      <c r="AA63" s="1"/>
      <c r="AB63" s="1"/>
      <c r="AC63" s="1"/>
      <c r="AD63" s="17"/>
      <c r="AE63" s="1"/>
      <c r="AF63" s="1"/>
      <c r="AG63" s="17"/>
      <c r="AH63" s="17"/>
      <c r="AJ63" s="17"/>
      <c r="AK63" s="17"/>
      <c r="AM63" s="1"/>
      <c r="AN63" s="17"/>
      <c r="AO63" s="17"/>
      <c r="AP63" s="17"/>
      <c r="AR63" s="1"/>
      <c r="AS63" s="17"/>
      <c r="AT63" s="17"/>
    </row>
    <row r="64" spans="2:46">
      <c r="B64">
        <v>2050</v>
      </c>
      <c r="C64" s="1">
        <v>0.22</v>
      </c>
      <c r="E64" s="17">
        <v>0.28000000000000003</v>
      </c>
      <c r="F64" s="17">
        <v>0.04</v>
      </c>
      <c r="G64" s="17">
        <v>0.05</v>
      </c>
      <c r="H64" s="17">
        <v>0.06</v>
      </c>
      <c r="I64" s="17">
        <v>8.4500000000000006E-2</v>
      </c>
      <c r="J64" s="17">
        <f>SUM(C64:I64)</f>
        <v>0.73450000000000015</v>
      </c>
      <c r="AN64" s="17"/>
      <c r="AO64" s="17"/>
      <c r="AP64" s="1"/>
    </row>
    <row r="65" spans="1:37" s="52" customFormat="1">
      <c r="A65" s="102" t="s">
        <v>914</v>
      </c>
      <c r="N65" s="102" t="s">
        <v>914</v>
      </c>
      <c r="Z65" s="102" t="s">
        <v>914</v>
      </c>
    </row>
    <row r="66" spans="1:37">
      <c r="B66" s="128" t="s">
        <v>509</v>
      </c>
      <c r="C66" s="21"/>
      <c r="D66" s="21"/>
      <c r="E66" s="21"/>
      <c r="F66" s="21"/>
      <c r="G66" s="21"/>
      <c r="H66" s="21"/>
      <c r="I66" s="21"/>
      <c r="J66" s="22"/>
      <c r="N66" s="481" t="s">
        <v>535</v>
      </c>
      <c r="O66" s="21"/>
      <c r="P66" s="21"/>
      <c r="Q66" s="21"/>
      <c r="R66" s="21"/>
      <c r="S66" s="21"/>
      <c r="T66" s="21"/>
      <c r="U66" s="21"/>
      <c r="V66" s="22"/>
      <c r="Z66" s="128" t="s">
        <v>525</v>
      </c>
      <c r="AA66" s="21"/>
      <c r="AB66" s="21"/>
      <c r="AC66" s="21"/>
      <c r="AD66" s="21"/>
      <c r="AE66" s="21"/>
      <c r="AF66" s="21"/>
      <c r="AG66" s="21"/>
      <c r="AH66" s="22"/>
    </row>
    <row r="67" spans="1:37" s="471" customFormat="1" ht="33" customHeight="1">
      <c r="B67" s="472" t="s">
        <v>554</v>
      </c>
      <c r="C67" s="740" t="s">
        <v>515</v>
      </c>
      <c r="D67" s="740" t="s">
        <v>510</v>
      </c>
      <c r="E67" s="740" t="s">
        <v>511</v>
      </c>
      <c r="F67" s="740" t="s">
        <v>512</v>
      </c>
      <c r="G67" s="740" t="s">
        <v>513</v>
      </c>
      <c r="H67" s="740" t="s">
        <v>514</v>
      </c>
      <c r="I67" s="740" t="s">
        <v>516</v>
      </c>
      <c r="J67" s="474" t="s">
        <v>517</v>
      </c>
      <c r="N67" s="472" t="s">
        <v>554</v>
      </c>
      <c r="O67" s="473" t="s">
        <v>515</v>
      </c>
      <c r="P67" s="473" t="s">
        <v>510</v>
      </c>
      <c r="Q67" s="473" t="s">
        <v>511</v>
      </c>
      <c r="R67" s="473" t="s">
        <v>512</v>
      </c>
      <c r="S67" s="473" t="s">
        <v>513</v>
      </c>
      <c r="T67" s="473" t="s">
        <v>514</v>
      </c>
      <c r="U67" s="473" t="s">
        <v>516</v>
      </c>
      <c r="V67" s="474" t="s">
        <v>517</v>
      </c>
      <c r="Y67"/>
      <c r="Z67" s="472" t="s">
        <v>554</v>
      </c>
      <c r="AA67" s="473" t="s">
        <v>515</v>
      </c>
      <c r="AB67" s="473" t="s">
        <v>510</v>
      </c>
      <c r="AC67" s="473" t="s">
        <v>511</v>
      </c>
      <c r="AD67" s="473" t="s">
        <v>512</v>
      </c>
      <c r="AE67" s="473" t="s">
        <v>513</v>
      </c>
      <c r="AF67" s="473" t="s">
        <v>514</v>
      </c>
      <c r="AG67" s="473" t="s">
        <v>516</v>
      </c>
      <c r="AH67" s="474" t="s">
        <v>517</v>
      </c>
      <c r="AK67"/>
    </row>
    <row r="68" spans="1:37">
      <c r="B68" s="477">
        <v>2006</v>
      </c>
      <c r="C68" s="743">
        <f>'Private,Public8EndUse'!W26</f>
        <v>0.27636480153803022</v>
      </c>
      <c r="D68" s="743">
        <f>'Private,Public8EndUse'!X26</f>
        <v>0.20050466615933032</v>
      </c>
      <c r="E68" s="743">
        <f>'Private,Public8EndUse'!Y26</f>
        <v>0.21968999078783996</v>
      </c>
      <c r="F68" s="743">
        <f>'Private,Public8EndUse'!Z26</f>
        <v>7.0493050827091758E-2</v>
      </c>
      <c r="G68" s="743">
        <f>'Private,Public8EndUse'!AA26</f>
        <v>0.10638042215724756</v>
      </c>
      <c r="H68" s="743">
        <f>'Private,Public8EndUse'!AB26</f>
        <v>8.8556895101534028E-2</v>
      </c>
      <c r="I68" s="743">
        <f>'Private,Public8EndUse'!AC26+'Private,Public8EndUse'!AD26</f>
        <v>3.7970120559138065E-2</v>
      </c>
      <c r="J68" s="479">
        <f>SUM(C68:I68)</f>
        <v>0.99995994713021186</v>
      </c>
      <c r="N68" s="477">
        <v>2006</v>
      </c>
      <c r="O68" s="480">
        <f>'Private,Public8EndUse'!W110</f>
        <v>0.5617977528089888</v>
      </c>
      <c r="P68" s="480">
        <f>'Private,Public8EndUse'!X110</f>
        <v>0</v>
      </c>
      <c r="Q68" s="480">
        <f>'Private,Public8EndUse'!Y110</f>
        <v>0.4335035750766088</v>
      </c>
      <c r="R68" s="480">
        <f>'Private,Public8EndUse'!Z110</f>
        <v>0</v>
      </c>
      <c r="S68" s="480">
        <f>'Private,Public8EndUse'!AA110</f>
        <v>0</v>
      </c>
      <c r="T68" s="480">
        <f>'Private,Public8EndUse'!AB110</f>
        <v>0</v>
      </c>
      <c r="U68" s="480">
        <f>'Private,Public8EndUse'!AC110+'Private,Public8EndUse'!AD110</f>
        <v>4.5965270684371808E-3</v>
      </c>
      <c r="V68" s="479">
        <f>SUM(O68:U68)</f>
        <v>0.99989785495403471</v>
      </c>
      <c r="X68" s="17"/>
      <c r="Z68" s="477">
        <v>2006</v>
      </c>
      <c r="AA68" s="478">
        <f>'Private,Public8EndUse'!W66</f>
        <v>9.2244844172102519E-2</v>
      </c>
      <c r="AB68" s="478">
        <f>'Private,Public8EndUse'!X66</f>
        <v>0.32984120708967518</v>
      </c>
      <c r="AC68" s="478">
        <f>'Private,Public8EndUse'!Y66</f>
        <v>8.1768465441128022E-2</v>
      </c>
      <c r="AD68" s="478">
        <f>'Private,Public8EndUse'!Z66</f>
        <v>0.1159649469592146</v>
      </c>
      <c r="AE68" s="478">
        <f>'Private,Public8EndUse'!AA66</f>
        <v>0.17500164722936021</v>
      </c>
      <c r="AF68" s="478">
        <f>'Private,Public8EndUse'!AB66</f>
        <v>0.14568096461751334</v>
      </c>
      <c r="AG68" s="478">
        <f>'Private,Public8EndUse'!AC66+'Private,Public8EndUse'!AD66</f>
        <v>5.9497924491006125E-2</v>
      </c>
      <c r="AH68" s="479">
        <f>SUM(AA68:AG68)</f>
        <v>0.99999999999999989</v>
      </c>
    </row>
    <row r="69" spans="1:37">
      <c r="B69" s="477">
        <v>2007</v>
      </c>
      <c r="C69" s="743">
        <f>'Private,Public8EndUse'!BX27</f>
        <v>0.27885646217986898</v>
      </c>
      <c r="D69" s="743">
        <f>'Private,Public8EndUse'!X27</f>
        <v>0.19706174310105221</v>
      </c>
      <c r="E69" s="743">
        <f>'Private,Public8EndUse'!Y27</f>
        <v>0.21584276354973198</v>
      </c>
      <c r="F69" s="743">
        <f>'Private,Public8EndUse'!Z27</f>
        <v>6.7857851895969823E-2</v>
      </c>
      <c r="G69" s="743">
        <f>'Private,Public8EndUse'!AA27</f>
        <v>0.10883462378399841</v>
      </c>
      <c r="H69" s="743">
        <f>'Private,Public8EndUse'!AB27</f>
        <v>9.223744292237443E-2</v>
      </c>
      <c r="I69" s="743">
        <f>'Private,Public8EndUse'!CD27</f>
        <v>3.9309112567004166E-2</v>
      </c>
      <c r="J69" s="479">
        <f t="shared" ref="J69:J83" si="11">SUM(C69:I69)</f>
        <v>1</v>
      </c>
      <c r="N69" s="477">
        <v>2007</v>
      </c>
      <c r="O69" s="480">
        <f>'Private,Public8EndUse'!W111</f>
        <v>0.5744946863929985</v>
      </c>
      <c r="P69" s="480">
        <f>'Private,Public8EndUse'!X111</f>
        <v>0</v>
      </c>
      <c r="Q69" s="480">
        <f>'Private,Public8EndUse'!Y111</f>
        <v>0.42060846009585329</v>
      </c>
      <c r="R69" s="480">
        <f>'Private,Public8EndUse'!Z111</f>
        <v>0</v>
      </c>
      <c r="S69" s="480">
        <f>'Private,Public8EndUse'!AA111</f>
        <v>0</v>
      </c>
      <c r="T69" s="480">
        <f>'Private,Public8EndUse'!AB111</f>
        <v>0</v>
      </c>
      <c r="U69" s="480">
        <f>'Private,Public8EndUse'!AC111+'Private,Public8EndUse'!AD111</f>
        <v>4.8968535111481555E-3</v>
      </c>
      <c r="V69" s="479">
        <f t="shared" ref="V69:V83" si="12">SUM(O69:U69)</f>
        <v>0.99999999999999989</v>
      </c>
      <c r="Z69" s="477">
        <v>2007</v>
      </c>
      <c r="AA69" s="478">
        <f>'Private,Public8EndUse'!W67</f>
        <v>9.681144543529864E-2</v>
      </c>
      <c r="AB69" s="478">
        <f>'Private,Public8EndUse'!X67</f>
        <v>0.3184063642779239</v>
      </c>
      <c r="AC69" s="478">
        <f>'Private,Public8EndUse'!Y67</f>
        <v>8.9754282414832867E-2</v>
      </c>
      <c r="AD69" s="478">
        <f>'Private,Public8EndUse'!Z67</f>
        <v>0.10964265092705459</v>
      </c>
      <c r="AE69" s="478">
        <f>'Private,Public8EndUse'!AA67</f>
        <v>0.17585167126451531</v>
      </c>
      <c r="AF69" s="478">
        <f>'Private,Public8EndUse'!AB67</f>
        <v>0.14903445178674538</v>
      </c>
      <c r="AG69" s="478">
        <f>'Private,Public8EndUse'!AC67+'Private,Public8EndUse'!AD67</f>
        <v>6.0499133893629306E-2</v>
      </c>
      <c r="AH69" s="479">
        <f t="shared" ref="AH69:AH83" si="13">SUM(AA69:AG69)</f>
        <v>0.99999999999999989</v>
      </c>
    </row>
    <row r="70" spans="1:37">
      <c r="B70" s="477">
        <v>2008</v>
      </c>
      <c r="C70" s="743">
        <f>'Private,Public8EndUse'!BX28</f>
        <v>0.28722487663507479</v>
      </c>
      <c r="D70" s="743">
        <f>'Private,Public8EndUse'!X28</f>
        <v>0.18940195041710728</v>
      </c>
      <c r="E70" s="743">
        <f>'Private,Public8EndUse'!Y28</f>
        <v>0.21771824697450359</v>
      </c>
      <c r="F70" s="743">
        <f>'Private,Public8EndUse'!Z28</f>
        <v>6.364312850037207E-2</v>
      </c>
      <c r="G70" s="743">
        <f>'Private,Public8EndUse'!AA28</f>
        <v>0.1082912309560177</v>
      </c>
      <c r="H70" s="743">
        <f>'Private,Public8EndUse'!AB28</f>
        <v>9.3917675165472128E-2</v>
      </c>
      <c r="I70" s="743">
        <f>'Private,Public8EndUse'!CD28</f>
        <v>3.9829247278138954E-2</v>
      </c>
      <c r="J70" s="479">
        <f t="shared" si="11"/>
        <v>1.0000263559266864</v>
      </c>
      <c r="N70" s="477">
        <v>2008</v>
      </c>
      <c r="O70" s="480">
        <f>'Private,Public8EndUse'!W112</f>
        <v>0.58466877615596613</v>
      </c>
      <c r="P70" s="480">
        <f>'Private,Public8EndUse'!X112</f>
        <v>0</v>
      </c>
      <c r="Q70" s="480">
        <f>'Private,Public8EndUse'!Y112</f>
        <v>0.41012554863733797</v>
      </c>
      <c r="R70" s="480">
        <f>'Private,Public8EndUse'!Z112</f>
        <v>0</v>
      </c>
      <c r="S70" s="480">
        <f>'Private,Public8EndUse'!AA112</f>
        <v>0</v>
      </c>
      <c r="T70" s="480">
        <f>'Private,Public8EndUse'!AB112</f>
        <v>0</v>
      </c>
      <c r="U70" s="480">
        <f>'Private,Public8EndUse'!AC112+'Private,Public8EndUse'!AD112</f>
        <v>5.3077472695723183E-3</v>
      </c>
      <c r="V70" s="479">
        <f t="shared" si="12"/>
        <v>1.0001020720628764</v>
      </c>
      <c r="Z70" s="477">
        <v>2008</v>
      </c>
      <c r="AA70" s="478">
        <f>'Private,Public8EndUse'!W68</f>
        <v>0.10205897305541434</v>
      </c>
      <c r="AB70" s="478">
        <f>'Private,Public8EndUse'!X68</f>
        <v>0.30732079308591764</v>
      </c>
      <c r="AC70" s="478">
        <f>'Private,Public8EndUse'!Y68</f>
        <v>9.7928317234367054E-2</v>
      </c>
      <c r="AD70" s="478">
        <f>'Private,Public8EndUse'!Z68</f>
        <v>0.103266395526182</v>
      </c>
      <c r="AE70" s="478">
        <f>'Private,Public8EndUse'!AA68</f>
        <v>0.175711743772242</v>
      </c>
      <c r="AF70" s="478">
        <f>'Private,Public8EndUse'!AB68</f>
        <v>0.15238942552109813</v>
      </c>
      <c r="AG70" s="478">
        <f>'Private,Public8EndUse'!AC68+'Private,Public8EndUse'!AD68</f>
        <v>6.1324351804778854E-2</v>
      </c>
      <c r="AH70" s="479">
        <f t="shared" si="13"/>
        <v>1</v>
      </c>
    </row>
    <row r="71" spans="1:37">
      <c r="B71" s="477">
        <v>2009</v>
      </c>
      <c r="C71" s="743">
        <f>'Private,Public8EndUse'!BX29</f>
        <v>0.28030535522479666</v>
      </c>
      <c r="D71" s="743">
        <f>'Private,Public8EndUse'!X29</f>
        <v>0.19575725026852847</v>
      </c>
      <c r="E71" s="743">
        <f>'Private,Public8EndUse'!Y29</f>
        <v>0.21263618229246586</v>
      </c>
      <c r="F71" s="743">
        <f>'Private,Public8EndUse'!Z29</f>
        <v>6.287402178916679E-2</v>
      </c>
      <c r="G71" s="743">
        <f>'Private,Public8EndUse'!AA29</f>
        <v>0.10810188737148994</v>
      </c>
      <c r="H71" s="743">
        <f>'Private,Public8EndUse'!AB29</f>
        <v>9.663188583704159E-2</v>
      </c>
      <c r="I71" s="743">
        <f>'Private,Public8EndUse'!CD29</f>
        <v>4.3693417216510662E-2</v>
      </c>
      <c r="J71" s="479">
        <f t="shared" si="11"/>
        <v>1</v>
      </c>
      <c r="N71" s="477">
        <v>2009</v>
      </c>
      <c r="O71" s="480">
        <f>'Private,Public8EndUse'!W113</f>
        <v>0.57882328823288232</v>
      </c>
      <c r="P71" s="480">
        <f>'Private,Public8EndUse'!X113</f>
        <v>0</v>
      </c>
      <c r="Q71" s="480">
        <f>'Private,Public8EndUse'!Y113</f>
        <v>0.41656416564165644</v>
      </c>
      <c r="R71" s="480">
        <f>'Private,Public8EndUse'!Z113</f>
        <v>0</v>
      </c>
      <c r="S71" s="480">
        <f>'Private,Public8EndUse'!AA113</f>
        <v>0</v>
      </c>
      <c r="T71" s="480">
        <f>'Private,Public8EndUse'!AB113</f>
        <v>0</v>
      </c>
      <c r="U71" s="480">
        <f>'Private,Public8EndUse'!AC113+'Private,Public8EndUse'!AD113</f>
        <v>4.6125461254612546E-3</v>
      </c>
      <c r="V71" s="479">
        <f t="shared" si="12"/>
        <v>1</v>
      </c>
      <c r="Z71" s="477">
        <v>2009</v>
      </c>
      <c r="AA71" s="478">
        <f>'Private,Public8EndUse'!W69</f>
        <v>0.10176557135850907</v>
      </c>
      <c r="AB71" s="478">
        <f>'Private,Public8EndUse'!X69</f>
        <v>0.31283717508582637</v>
      </c>
      <c r="AC71" s="478">
        <f>'Private,Public8EndUse'!Y69</f>
        <v>9.0669445806768029E-2</v>
      </c>
      <c r="AD71" s="478">
        <f>'Private,Public8EndUse'!Z69</f>
        <v>0.10047817557626287</v>
      </c>
      <c r="AE71" s="478">
        <f>'Private,Public8EndUse'!AA69</f>
        <v>0.17275625306522804</v>
      </c>
      <c r="AF71" s="478">
        <f>'Private,Public8EndUse'!AB69</f>
        <v>0.15442618930848456</v>
      </c>
      <c r="AG71" s="478">
        <f>'Private,Public8EndUse'!AC69+'Private,Public8EndUse'!AD69</f>
        <v>6.706718979892104E-2</v>
      </c>
      <c r="AH71" s="479">
        <f t="shared" si="13"/>
        <v>1</v>
      </c>
    </row>
    <row r="72" spans="1:37">
      <c r="B72" s="477">
        <v>2010</v>
      </c>
      <c r="C72" s="743">
        <f>'Private,Public8EndUse'!BX30</f>
        <v>0.28855320993004396</v>
      </c>
      <c r="D72" s="743">
        <f>'Private,Public8EndUse'!X30</f>
        <v>0.17768697374938089</v>
      </c>
      <c r="E72" s="743">
        <f>'Private,Public8EndUse'!Y30</f>
        <v>0.22022040614165428</v>
      </c>
      <c r="F72" s="743">
        <f>'Private,Public8EndUse'!Z30</f>
        <v>5.8630510153541357E-2</v>
      </c>
      <c r="G72" s="743">
        <f>'Private,Public8EndUse'!AA30</f>
        <v>0.11255572065378901</v>
      </c>
      <c r="H72" s="743">
        <f>'Private,Public8EndUse'!AB30</f>
        <v>9.6458642892521054E-2</v>
      </c>
      <c r="I72" s="743">
        <f>'Private,Public8EndUse'!CD30</f>
        <v>4.59357394911162E-2</v>
      </c>
      <c r="J72" s="479">
        <f t="shared" si="11"/>
        <v>1.0000412030120469</v>
      </c>
      <c r="N72" s="477">
        <v>2010</v>
      </c>
      <c r="O72" s="480">
        <f>'Private,Public8EndUse'!W114</f>
        <v>0.58409199808337331</v>
      </c>
      <c r="P72" s="480">
        <f>'Private,Public8EndUse'!X114</f>
        <v>0</v>
      </c>
      <c r="Q72" s="480">
        <f>'Private,Public8EndUse'!Y114</f>
        <v>0.41686631528509821</v>
      </c>
      <c r="R72" s="480">
        <f>'Private,Public8EndUse'!Z114</f>
        <v>0</v>
      </c>
      <c r="S72" s="480">
        <f>'Private,Public8EndUse'!AA114</f>
        <v>0</v>
      </c>
      <c r="T72" s="480">
        <f>'Private,Public8EndUse'!AB114</f>
        <v>-4.7915668423574509E-3</v>
      </c>
      <c r="U72" s="480">
        <f>'Private,Public8EndUse'!AC114+'Private,Public8EndUse'!AD114</f>
        <v>3.9929723686312089E-3</v>
      </c>
      <c r="V72" s="479">
        <f t="shared" si="12"/>
        <v>1.0001597188947451</v>
      </c>
      <c r="Z72" s="477">
        <v>2010</v>
      </c>
      <c r="AA72" s="478">
        <f>'Private,Public8EndUse'!W70</f>
        <v>0.10150641997775756</v>
      </c>
      <c r="AB72" s="478">
        <f>'Private,Public8EndUse'!X70</f>
        <v>0.29016277423920733</v>
      </c>
      <c r="AC72" s="478">
        <f>'Private,Public8EndUse'!Y70</f>
        <v>9.5743605297745421E-2</v>
      </c>
      <c r="AD72" s="478">
        <f>'Private,Public8EndUse'!Z70</f>
        <v>9.5743605297745421E-2</v>
      </c>
      <c r="AE72" s="478">
        <f>'Private,Public8EndUse'!AA70</f>
        <v>0.18380345768880801</v>
      </c>
      <c r="AF72" s="478">
        <f>'Private,Public8EndUse'!AB70</f>
        <v>0.16054999494489941</v>
      </c>
      <c r="AG72" s="478">
        <f>'Private,Public8EndUse'!AC70+'Private,Public8EndUse'!AD70</f>
        <v>7.2490142553836817E-2</v>
      </c>
      <c r="AH72" s="479">
        <f t="shared" si="13"/>
        <v>0.99999999999999989</v>
      </c>
    </row>
    <row r="73" spans="1:37">
      <c r="B73" s="477">
        <v>2011</v>
      </c>
      <c r="C73" s="743">
        <f>'Private,Public8EndUse'!BX31</f>
        <v>0.28860204578665366</v>
      </c>
      <c r="D73" s="743">
        <f>'Private,Public8EndUse'!X31</f>
        <v>0.17845835362883586</v>
      </c>
      <c r="E73" s="743">
        <f>'Private,Public8EndUse'!Y31</f>
        <v>0.21706039941548952</v>
      </c>
      <c r="F73" s="743">
        <f>'Private,Public8EndUse'!Z31</f>
        <v>5.7355090112031173E-2</v>
      </c>
      <c r="G73" s="743">
        <f>'Private,Public8EndUse'!AA31</f>
        <v>0.10734291281052119</v>
      </c>
      <c r="H73" s="743">
        <f>'Private,Public8EndUse'!AB31</f>
        <v>9.9975645396980034E-2</v>
      </c>
      <c r="I73" s="743">
        <f>'Private,Public8EndUse'!CD31</f>
        <v>5.120555284948855E-2</v>
      </c>
      <c r="J73" s="479">
        <f t="shared" si="11"/>
        <v>1</v>
      </c>
      <c r="N73" s="477">
        <v>2011</v>
      </c>
      <c r="O73" s="480">
        <f>'Private,Public8EndUse'!W115</f>
        <v>0.5986029889538661</v>
      </c>
      <c r="P73" s="480">
        <f>'Private,Public8EndUse'!X115</f>
        <v>0</v>
      </c>
      <c r="Q73" s="480">
        <f>'Private,Public8EndUse'!Y115</f>
        <v>0.397498375568551</v>
      </c>
      <c r="R73" s="480">
        <f>'Private,Public8EndUse'!Z115</f>
        <v>0</v>
      </c>
      <c r="S73" s="480">
        <f>'Private,Public8EndUse'!AA115</f>
        <v>0</v>
      </c>
      <c r="T73" s="480">
        <f>'Private,Public8EndUse'!AB115</f>
        <v>0</v>
      </c>
      <c r="U73" s="480">
        <f>'Private,Public8EndUse'!AC115+'Private,Public8EndUse'!AD115</f>
        <v>3.8986354775828458E-3</v>
      </c>
      <c r="V73" s="479">
        <f t="shared" si="12"/>
        <v>0.99999999999999989</v>
      </c>
      <c r="Z73" s="477">
        <v>2011</v>
      </c>
      <c r="AA73" s="478">
        <f>'Private,Public8EndUse'!W71</f>
        <v>0.10274639657187379</v>
      </c>
      <c r="AB73" s="478">
        <f>'Private,Public8EndUse'!X71</f>
        <v>0.28544994156603037</v>
      </c>
      <c r="AC73" s="478">
        <f>'Private,Public8EndUse'!Y71</f>
        <v>0.10888196338137904</v>
      </c>
      <c r="AD73" s="478">
        <f>'Private,Public8EndUse'!Z71</f>
        <v>9.1741332294507205E-2</v>
      </c>
      <c r="AE73" s="478">
        <f>'Private,Public8EndUse'!AA71</f>
        <v>0.17169848071679003</v>
      </c>
      <c r="AF73" s="478">
        <f>'Private,Public8EndUse'!AB71</f>
        <v>0.15991429684456565</v>
      </c>
      <c r="AG73" s="478">
        <f>'Private,Public8EndUse'!AC71+'Private,Public8EndUse'!AD71</f>
        <v>7.9567588624853913E-2</v>
      </c>
      <c r="AH73" s="479">
        <f t="shared" si="13"/>
        <v>1</v>
      </c>
    </row>
    <row r="74" spans="1:37">
      <c r="B74" s="477">
        <v>2012</v>
      </c>
      <c r="C74" s="743">
        <f>'Private,Public8EndUse'!BX32</f>
        <v>0.28483339262421442</v>
      </c>
      <c r="D74" s="743">
        <f>'Private,Public8EndUse'!X32</f>
        <v>0.17959207873829006</v>
      </c>
      <c r="E74" s="743">
        <f>'Private,Public8EndUse'!Y32</f>
        <v>0.21042333689078618</v>
      </c>
      <c r="F74" s="743">
        <f>'Private,Public8EndUse'!Z32</f>
        <v>5.7512154630617811E-2</v>
      </c>
      <c r="G74" s="743">
        <f>'Private,Public8EndUse'!AA32</f>
        <v>0.10227676983279972</v>
      </c>
      <c r="H74" s="743">
        <f>'Private,Public8EndUse'!AB32</f>
        <v>0.10636784062611171</v>
      </c>
      <c r="I74" s="743">
        <f>'Private,Public8EndUse'!CD32</f>
        <v>5.8994426657180125E-2</v>
      </c>
      <c r="J74" s="479">
        <f t="shared" si="11"/>
        <v>1</v>
      </c>
      <c r="N74" s="477">
        <v>2012</v>
      </c>
      <c r="O74" s="480">
        <f>'Private,Public8EndUse'!W116</f>
        <v>0.59496124031007747</v>
      </c>
      <c r="P74" s="480">
        <f>'Private,Public8EndUse'!X116</f>
        <v>0</v>
      </c>
      <c r="Q74" s="480">
        <f>'Private,Public8EndUse'!Y116</f>
        <v>0.40164728682170542</v>
      </c>
      <c r="R74" s="480">
        <f>'Private,Public8EndUse'!Z116</f>
        <v>0</v>
      </c>
      <c r="S74" s="480">
        <f>'Private,Public8EndUse'!AA116</f>
        <v>0</v>
      </c>
      <c r="T74" s="480">
        <f>'Private,Public8EndUse'!AB116</f>
        <v>0</v>
      </c>
      <c r="U74" s="480">
        <f>'Private,Public8EndUse'!AC116+'Private,Public8EndUse'!AD116</f>
        <v>3.3914728682170542E-3</v>
      </c>
      <c r="V74" s="479">
        <f t="shared" si="12"/>
        <v>0.99999999999999989</v>
      </c>
      <c r="X74" s="17"/>
      <c r="Z74" s="477">
        <v>2012</v>
      </c>
      <c r="AA74" s="478">
        <f>'Private,Public8EndUse'!W72</f>
        <v>0.10492786209480982</v>
      </c>
      <c r="AB74" s="478">
        <f>'Private,Public8EndUse'!X72</f>
        <v>0.28377365561176693</v>
      </c>
      <c r="AC74" s="478">
        <f>'Private,Public8EndUse'!Y72</f>
        <v>9.949409780775717E-2</v>
      </c>
      <c r="AD74" s="478">
        <f>'Private,Public8EndUse'!Z72</f>
        <v>9.0875023421397791E-2</v>
      </c>
      <c r="AE74" s="478">
        <f>'Private,Public8EndUse'!AA72</f>
        <v>0.16160764474423833</v>
      </c>
      <c r="AF74" s="478">
        <f>'Private,Public8EndUse'!AB72</f>
        <v>0.16807195053400786</v>
      </c>
      <c r="AG74" s="478">
        <f>'Private,Public8EndUse'!AC72+'Private,Public8EndUse'!AD72</f>
        <v>9.1249765786022105E-2</v>
      </c>
      <c r="AH74" s="479">
        <f t="shared" si="13"/>
        <v>0.99999999999999978</v>
      </c>
    </row>
    <row r="75" spans="1:37">
      <c r="B75" s="477">
        <v>2013</v>
      </c>
      <c r="C75" s="743">
        <f>'Private,Public8EndUse'!BX33</f>
        <v>0.30625150566128645</v>
      </c>
      <c r="D75" s="743">
        <f>'Private,Public8EndUse'!X33</f>
        <v>0.17363285955191521</v>
      </c>
      <c r="E75" s="743">
        <f>'Private,Public8EndUse'!Y33</f>
        <v>0.22048903878583473</v>
      </c>
      <c r="F75" s="743">
        <f>'Private,Public8EndUse'!Z33</f>
        <v>4.9566369549506141E-2</v>
      </c>
      <c r="G75" s="743">
        <f>'Private,Public8EndUse'!AA33</f>
        <v>9.298964105034932E-2</v>
      </c>
      <c r="H75" s="743">
        <f>'Private,Public8EndUse'!AB33</f>
        <v>9.4736208142616241E-2</v>
      </c>
      <c r="I75" s="743">
        <f>'Private,Public8EndUse'!CD33</f>
        <v>6.2334377258491933E-2</v>
      </c>
      <c r="J75" s="479">
        <f t="shared" si="11"/>
        <v>1</v>
      </c>
      <c r="N75" s="477">
        <v>2013</v>
      </c>
      <c r="O75" s="480">
        <f>'Private,Public8EndUse'!W117</f>
        <v>0.57259780651497794</v>
      </c>
      <c r="P75" s="480">
        <f>'Private,Public8EndUse'!X117</f>
        <v>0</v>
      </c>
      <c r="Q75" s="480">
        <f>'Private,Public8EndUse'!Y117</f>
        <v>0.42380094941889018</v>
      </c>
      <c r="R75" s="480">
        <f>'Private,Public8EndUse'!Z117</f>
        <v>0</v>
      </c>
      <c r="S75" s="480">
        <f>'Private,Public8EndUse'!AA117</f>
        <v>0</v>
      </c>
      <c r="T75" s="480">
        <f>'Private,Public8EndUse'!AB117</f>
        <v>0</v>
      </c>
      <c r="U75" s="480">
        <f>'Private,Public8EndUse'!AC117+'Private,Public8EndUse'!AD117</f>
        <v>3.6012440661319363E-3</v>
      </c>
      <c r="V75" s="479">
        <f t="shared" si="12"/>
        <v>1</v>
      </c>
      <c r="X75" s="17"/>
      <c r="Z75" s="477">
        <v>2013</v>
      </c>
      <c r="AA75" s="478">
        <f>'Private,Public8EndUse'!W73</f>
        <v>0.15121486422105765</v>
      </c>
      <c r="AB75" s="478">
        <f>'Private,Public8EndUse'!X73</f>
        <v>0.27470223916150549</v>
      </c>
      <c r="AC75" s="478">
        <f>'Private,Public8EndUse'!Y73</f>
        <v>0.10214387803716055</v>
      </c>
      <c r="AD75" s="478">
        <f>'Private,Public8EndUse'!Z73</f>
        <v>7.8418294425917107E-2</v>
      </c>
      <c r="AE75" s="478">
        <f>'Private,Public8EndUse'!AA73</f>
        <v>0.14711767508337303</v>
      </c>
      <c r="AF75" s="478">
        <f>'Private,Public8EndUse'!AB73</f>
        <v>0.14988089566460219</v>
      </c>
      <c r="AG75" s="478">
        <f>'Private,Public8EndUse'!AC73+'Private,Public8EndUse'!AD73</f>
        <v>9.6522153406383995E-2</v>
      </c>
      <c r="AH75" s="479">
        <f t="shared" si="13"/>
        <v>1</v>
      </c>
    </row>
    <row r="76" spans="1:37">
      <c r="B76" s="477">
        <v>2014</v>
      </c>
      <c r="C76" s="743">
        <f>'Private,Public8EndUse'!BX34</f>
        <v>0.29259728298411236</v>
      </c>
      <c r="D76" s="743">
        <f>'Private,Public8EndUse'!X34</f>
        <v>0.20124338015196869</v>
      </c>
      <c r="E76" s="743">
        <f>'Private,Public8EndUse'!Y34</f>
        <v>0.22254202164402487</v>
      </c>
      <c r="F76" s="743">
        <f>'Private,Public8EndUse'!Z34</f>
        <v>4.4612019341469029E-2</v>
      </c>
      <c r="G76" s="743">
        <f>'Private,Public8EndUse'!AA34</f>
        <v>8.6058024407091871E-2</v>
      </c>
      <c r="H76" s="743">
        <f>'Private,Public8EndUse'!AB34</f>
        <v>8.5712641031545009E-2</v>
      </c>
      <c r="I76" s="743">
        <f>'Private,Public8EndUse'!CD34</f>
        <v>6.7234630439788168E-2</v>
      </c>
      <c r="J76" s="479">
        <f t="shared" si="11"/>
        <v>1</v>
      </c>
      <c r="N76" s="477">
        <v>2014</v>
      </c>
      <c r="O76" s="480">
        <f>'Private,Public8EndUse'!W118</f>
        <v>0.55018038701213512</v>
      </c>
      <c r="P76" s="480">
        <f>'Private,Public8EndUse'!X118</f>
        <v>0</v>
      </c>
      <c r="Q76" s="480">
        <f>'Private,Public8EndUse'!Y118</f>
        <v>0.44604788455231226</v>
      </c>
      <c r="R76" s="480">
        <f>'Private,Public8EndUse'!Z118</f>
        <v>0</v>
      </c>
      <c r="S76" s="480">
        <f>'Private,Public8EndUse'!AA118</f>
        <v>0</v>
      </c>
      <c r="T76" s="480">
        <f>'Private,Public8EndUse'!AB118</f>
        <v>0</v>
      </c>
      <c r="U76" s="480">
        <f>'Private,Public8EndUse'!AC118+'Private,Public8EndUse'!AD118</f>
        <v>3.7717284355526402E-3</v>
      </c>
      <c r="V76" s="479">
        <f t="shared" si="12"/>
        <v>1</v>
      </c>
      <c r="X76" s="17"/>
      <c r="Z76" s="477">
        <v>2014</v>
      </c>
      <c r="AA76" s="478">
        <f>'Private,Public8EndUse'!W74</f>
        <v>0.15327301756253325</v>
      </c>
      <c r="AB76" s="478">
        <f>'Private,Public8EndUse'!X74</f>
        <v>0.31009402164271777</v>
      </c>
      <c r="AC76" s="478">
        <f>'Private,Public8EndUse'!Y74</f>
        <v>0.10164981373070782</v>
      </c>
      <c r="AD76" s="478">
        <f>'Private,Public8EndUse'!Z74</f>
        <v>6.8742238779492634E-2</v>
      </c>
      <c r="AE76" s="478">
        <f>'Private,Public8EndUse'!AA74</f>
        <v>0.13260599609721482</v>
      </c>
      <c r="AF76" s="478">
        <f>'Private,Public8EndUse'!AB74</f>
        <v>0.13207379811956715</v>
      </c>
      <c r="AG76" s="478">
        <f>'Private,Public8EndUse'!AC74+'Private,Public8EndUse'!AD74</f>
        <v>0.10156111406776654</v>
      </c>
      <c r="AH76" s="479">
        <f t="shared" si="13"/>
        <v>1</v>
      </c>
    </row>
    <row r="77" spans="1:37">
      <c r="B77" s="477">
        <v>2015</v>
      </c>
      <c r="C77" s="743">
        <f>'Private,Public8EndUse'!BX35</f>
        <v>0.28943491839019503</v>
      </c>
      <c r="D77" s="743">
        <f>'Private,Public8EndUse'!X35</f>
        <v>0.21094808791467798</v>
      </c>
      <c r="E77" s="743">
        <f>'Private,Public8EndUse'!Y35</f>
        <v>0.22780036532909081</v>
      </c>
      <c r="F77" s="743">
        <f>'Private,Public8EndUse'!Z35</f>
        <v>4.0716516410347063E-2</v>
      </c>
      <c r="G77" s="743">
        <f>'Private,Public8EndUse'!AA35</f>
        <v>7.9488539272877259E-2</v>
      </c>
      <c r="H77" s="743">
        <f>'Private,Public8EndUse'!AB35</f>
        <v>7.8840374756938308E-2</v>
      </c>
      <c r="I77" s="743">
        <f>'Private,Public8EndUse'!CD35</f>
        <v>7.2771197925873554E-2</v>
      </c>
      <c r="J77" s="479">
        <f t="shared" si="11"/>
        <v>1</v>
      </c>
      <c r="N77" s="477">
        <v>2015</v>
      </c>
      <c r="O77" s="480">
        <f>'Private,Public8EndUse'!W119</f>
        <v>0.52862916807005722</v>
      </c>
      <c r="P77" s="480">
        <f>'Private,Public8EndUse'!X119</f>
        <v>0</v>
      </c>
      <c r="Q77" s="480">
        <f>'Private,Public8EndUse'!Y119</f>
        <v>0.46749747389693497</v>
      </c>
      <c r="R77" s="480">
        <f>'Private,Public8EndUse'!Z119</f>
        <v>0</v>
      </c>
      <c r="S77" s="480">
        <f>'Private,Public8EndUse'!AA119</f>
        <v>0</v>
      </c>
      <c r="T77" s="480">
        <f>'Private,Public8EndUse'!AB119</f>
        <v>0</v>
      </c>
      <c r="U77" s="480">
        <f>'Private,Public8EndUse'!AC119+'Private,Public8EndUse'!AD119</f>
        <v>3.8733580330077466E-3</v>
      </c>
      <c r="V77" s="479">
        <f t="shared" si="12"/>
        <v>0.99999999999999989</v>
      </c>
      <c r="X77" s="17"/>
      <c r="Z77" s="477">
        <v>2015</v>
      </c>
      <c r="AA77" s="478">
        <f>'Private,Public8EndUse'!W75</f>
        <v>0.16069971902474395</v>
      </c>
      <c r="AB77" s="478">
        <f>'Private,Public8EndUse'!X75</f>
        <v>0.32448110214810116</v>
      </c>
      <c r="AC77" s="478">
        <f>'Private,Public8EndUse'!Y75</f>
        <v>9.8794525514365988E-2</v>
      </c>
      <c r="AD77" s="478">
        <f>'Private,Public8EndUse'!Z75</f>
        <v>6.2630290945345779E-2</v>
      </c>
      <c r="AE77" s="478">
        <f>'Private,Public8EndUse'!AA75</f>
        <v>0.12226955497144928</v>
      </c>
      <c r="AF77" s="478">
        <f>'Private,Public8EndUse'!AB75</f>
        <v>0.12127254599836854</v>
      </c>
      <c r="AG77" s="478">
        <f>'Private,Public8EndUse'!AC75+'Private,Public8EndUse'!AD75</f>
        <v>0.1098522613976253</v>
      </c>
      <c r="AH77" s="479">
        <f t="shared" si="13"/>
        <v>1</v>
      </c>
    </row>
    <row r="78" spans="1:37">
      <c r="B78" s="477">
        <v>2016</v>
      </c>
      <c r="C78" s="743">
        <f>'Private,Public8EndUse'!BX36</f>
        <v>0.2875094537204026</v>
      </c>
      <c r="D78" s="743">
        <f>'Private,Public8EndUse'!X36</f>
        <v>0.21862819244865903</v>
      </c>
      <c r="E78" s="743">
        <f>'Private,Public8EndUse'!Y36</f>
        <v>0.23730292629006924</v>
      </c>
      <c r="F78" s="743">
        <f>'Private,Public8EndUse'!Z36</f>
        <v>3.6825877014369658E-2</v>
      </c>
      <c r="G78" s="743">
        <f>'Private,Public8EndUse'!AA36</f>
        <v>7.1324684391180407E-2</v>
      </c>
      <c r="H78" s="743">
        <f>'Private,Public8EndUse'!AB36</f>
        <v>7.1615568095875271E-2</v>
      </c>
      <c r="I78" s="743">
        <f>'Private,Public8EndUse'!CD36</f>
        <v>7.6793298039443833E-2</v>
      </c>
      <c r="J78" s="479">
        <f t="shared" si="11"/>
        <v>1.0000000000000002</v>
      </c>
      <c r="N78" s="477">
        <v>2016</v>
      </c>
      <c r="O78" s="480">
        <f>'Private,Public8EndUse'!W120</f>
        <v>0.50940904588973257</v>
      </c>
      <c r="P78" s="480">
        <f>'Private,Public8EndUse'!X120</f>
        <v>0</v>
      </c>
      <c r="Q78" s="480">
        <f>'Private,Public8EndUse'!Y120</f>
        <v>0.48679432155827007</v>
      </c>
      <c r="R78" s="480">
        <f>'Private,Public8EndUse'!Z120</f>
        <v>0</v>
      </c>
      <c r="S78" s="480">
        <f>'Private,Public8EndUse'!AA120</f>
        <v>0</v>
      </c>
      <c r="T78" s="480">
        <f>'Private,Public8EndUse'!AB120</f>
        <v>0</v>
      </c>
      <c r="U78" s="480">
        <f>'Private,Public8EndUse'!AC120+'Private,Public8EndUse'!AD120</f>
        <v>3.7966325519973587E-3</v>
      </c>
      <c r="V78" s="479">
        <f t="shared" si="12"/>
        <v>1</v>
      </c>
      <c r="X78" s="17"/>
      <c r="Z78" s="477">
        <v>2016</v>
      </c>
      <c r="AA78" s="478">
        <f>'Private,Public8EndUse'!W76</f>
        <v>0.16674153265654479</v>
      </c>
      <c r="AB78" s="478">
        <f>'Private,Public8EndUse'!X76</f>
        <v>0.33761566795436171</v>
      </c>
      <c r="AC78" s="478">
        <f>'Private,Public8EndUse'!Y76</f>
        <v>0.10151828227472824</v>
      </c>
      <c r="AD78" s="478">
        <f>'Private,Public8EndUse'!Z76</f>
        <v>5.6868205911418564E-2</v>
      </c>
      <c r="AE78" s="478">
        <f>'Private,Public8EndUse'!AA76</f>
        <v>0.11014284430868745</v>
      </c>
      <c r="AF78" s="478">
        <f>'Private,Public8EndUse'!AB76</f>
        <v>0.11059204024795616</v>
      </c>
      <c r="AG78" s="478">
        <f>'Private,Public8EndUse'!AC76+'Private,Public8EndUse'!AD76</f>
        <v>0.11652142664630312</v>
      </c>
      <c r="AH78" s="479">
        <f t="shared" si="13"/>
        <v>1</v>
      </c>
    </row>
    <row r="79" spans="1:37">
      <c r="B79" s="477">
        <v>2017</v>
      </c>
      <c r="C79" s="743">
        <f>'Private,Public8EndUse'!BX37</f>
        <v>0.28637371860200228</v>
      </c>
      <c r="D79" s="743">
        <f>'Private,Public8EndUse'!X37</f>
        <v>0.22906300581499911</v>
      </c>
      <c r="E79" s="743">
        <f>'Private,Public8EndUse'!Y37</f>
        <v>0.24225166356933037</v>
      </c>
      <c r="F79" s="743">
        <f>'Private,Public8EndUse'!Z37</f>
        <v>3.4170613272585575E-2</v>
      </c>
      <c r="G79" s="743">
        <f>'Private,Public8EndUse'!AA37</f>
        <v>6.3125711887776506E-2</v>
      </c>
      <c r="H79" s="743">
        <f>'Private,Public8EndUse'!AB37</f>
        <v>6.4744319884898982E-2</v>
      </c>
      <c r="I79" s="743">
        <f>'Private,Public8EndUse'!CD37</f>
        <v>8.0270966968407173E-2</v>
      </c>
      <c r="J79" s="479">
        <f t="shared" si="11"/>
        <v>1</v>
      </c>
      <c r="N79" s="477">
        <v>2017</v>
      </c>
      <c r="O79" s="480">
        <f>'Private,Public8EndUse'!W121</f>
        <v>0.49165120593692024</v>
      </c>
      <c r="P79" s="480">
        <f>'Private,Public8EndUse'!X121</f>
        <v>0</v>
      </c>
      <c r="Q79" s="480">
        <f>'Private,Public8EndUse'!Y121</f>
        <v>0.50430089391128352</v>
      </c>
      <c r="R79" s="480">
        <f>'Private,Public8EndUse'!Z121</f>
        <v>0</v>
      </c>
      <c r="S79" s="480">
        <f>'Private,Public8EndUse'!AA121</f>
        <v>0</v>
      </c>
      <c r="T79" s="480">
        <f>'Private,Public8EndUse'!AB121</f>
        <v>0</v>
      </c>
      <c r="U79" s="480">
        <f>'Private,Public8EndUse'!AC121+'Private,Public8EndUse'!AD121</f>
        <v>4.0479001517962554E-3</v>
      </c>
      <c r="V79" s="479">
        <f t="shared" si="12"/>
        <v>1</v>
      </c>
      <c r="X79" s="17"/>
      <c r="Z79" s="477">
        <v>2017</v>
      </c>
      <c r="AA79" s="478">
        <f>'Private,Public8EndUse'!W77</f>
        <v>0.17317708333333334</v>
      </c>
      <c r="AB79" s="478">
        <f>'Private,Public8EndUse'!X77</f>
        <v>0.35537574404761907</v>
      </c>
      <c r="AC79" s="478">
        <f>'Private,Public8EndUse'!Y77</f>
        <v>9.7749255952380959E-2</v>
      </c>
      <c r="AD79" s="478">
        <f>'Private,Public8EndUse'!Z77</f>
        <v>5.3013392857142856E-2</v>
      </c>
      <c r="AE79" s="478">
        <f>'Private,Public8EndUse'!AA77</f>
        <v>9.7935267857142863E-2</v>
      </c>
      <c r="AF79" s="478">
        <f>'Private,Public8EndUse'!AB77</f>
        <v>0.10044642857142858</v>
      </c>
      <c r="AG79" s="478">
        <f>'Private,Public8EndUse'!AC77+'Private,Public8EndUse'!AD77</f>
        <v>0.12230282738095238</v>
      </c>
      <c r="AH79" s="479">
        <f t="shared" si="13"/>
        <v>1.0000000000000002</v>
      </c>
    </row>
    <row r="80" spans="1:37">
      <c r="B80" s="477">
        <v>2018</v>
      </c>
      <c r="C80" s="743">
        <f>'Private,Public8EndUse'!BX38</f>
        <v>0.29306049822064056</v>
      </c>
      <c r="D80" s="743">
        <f>'Private,Public8EndUse'!X38</f>
        <v>0.22342823250296559</v>
      </c>
      <c r="E80" s="743">
        <f>'Private,Public8EndUse'!Y38</f>
        <v>0.24460260972716488</v>
      </c>
      <c r="F80" s="743">
        <f>'Private,Public8EndUse'!Z38</f>
        <v>3.368920521945433E-2</v>
      </c>
      <c r="G80" s="743">
        <f>'Private,Public8EndUse'!AA38</f>
        <v>6.2277580071174378E-2</v>
      </c>
      <c r="H80" s="743">
        <f>'Private,Public8EndUse'!AB38</f>
        <v>6.3819691577698692E-2</v>
      </c>
      <c r="I80" s="743">
        <f>'Private,Public8EndUse'!CD38</f>
        <v>7.9122182680901543E-2</v>
      </c>
      <c r="J80" s="479">
        <f t="shared" si="11"/>
        <v>0.99999999999999989</v>
      </c>
      <c r="N80" s="477">
        <v>2018</v>
      </c>
      <c r="O80" s="480">
        <f>'Private,Public8EndUse'!W122</f>
        <v>0.49814366424535916</v>
      </c>
      <c r="P80" s="480">
        <f>'Private,Public8EndUse'!X122</f>
        <v>0</v>
      </c>
      <c r="Q80" s="480">
        <f>'Private,Public8EndUse'!Y122</f>
        <v>0.49798224374495559</v>
      </c>
      <c r="R80" s="480">
        <f>'Private,Public8EndUse'!Z122</f>
        <v>0</v>
      </c>
      <c r="S80" s="480">
        <f>'Private,Public8EndUse'!AA122</f>
        <v>0</v>
      </c>
      <c r="T80" s="480">
        <f>'Private,Public8EndUse'!AB122</f>
        <v>0</v>
      </c>
      <c r="U80" s="480">
        <f>'Private,Public8EndUse'!AC122+'Private,Public8EndUse'!AD122</f>
        <v>3.87409200968523E-3</v>
      </c>
      <c r="V80" s="479">
        <f t="shared" si="12"/>
        <v>1</v>
      </c>
      <c r="X80" s="17"/>
      <c r="Z80" s="477">
        <v>2018</v>
      </c>
      <c r="AA80" s="478">
        <f>'Private,Public8EndUse'!W78</f>
        <v>0.17393342709798407</v>
      </c>
      <c r="AB80" s="478">
        <f>'Private,Public8EndUse'!X78</f>
        <v>0.35321143928738863</v>
      </c>
      <c r="AC80" s="478">
        <f>'Private,Public8EndUse'!Y78</f>
        <v>9.7421472105016407E-2</v>
      </c>
      <c r="AD80" s="478">
        <f>'Private,Public8EndUse'!Z78</f>
        <v>5.3258321612751992E-2</v>
      </c>
      <c r="AE80" s="478">
        <f>'Private,Public8EndUse'!AA78</f>
        <v>9.8452883263009841E-2</v>
      </c>
      <c r="AF80" s="478">
        <f>'Private,Public8EndUse'!AB78</f>
        <v>0.10089076418190342</v>
      </c>
      <c r="AG80" s="478">
        <f>'Private,Public8EndUse'!AC78+'Private,Public8EndUse'!AD78</f>
        <v>0.12283169245194561</v>
      </c>
      <c r="AH80" s="479">
        <f t="shared" si="13"/>
        <v>1</v>
      </c>
    </row>
    <row r="81" spans="2:34">
      <c r="B81" s="477">
        <v>2019</v>
      </c>
      <c r="C81" s="743">
        <f>'Private,Public8EndUse'!BX39</f>
        <v>0.2854747934379116</v>
      </c>
      <c r="D81" s="743">
        <f>'Private,Public8EndUse'!X39</f>
        <v>0.22865525086815949</v>
      </c>
      <c r="E81" s="743">
        <f>'Private,Public8EndUse'!Y39</f>
        <v>0.23715722667943959</v>
      </c>
      <c r="F81" s="743">
        <f>'Private,Public8EndUse'!Z39</f>
        <v>3.496587235061669E-2</v>
      </c>
      <c r="G81" s="743">
        <f>'Private,Public8EndUse'!AA39</f>
        <v>6.544126451921925E-2</v>
      </c>
      <c r="H81" s="743">
        <f>'Private,Public8EndUse'!AB39</f>
        <v>6.6219614417435041E-2</v>
      </c>
      <c r="I81" s="743">
        <f>'Private,Public8EndUse'!CD39</f>
        <v>8.2085977727218304E-2</v>
      </c>
      <c r="J81" s="479">
        <f t="shared" si="11"/>
        <v>1</v>
      </c>
      <c r="N81" s="477">
        <v>2019</v>
      </c>
      <c r="O81" s="480">
        <f>'Private,Public8EndUse'!W123</f>
        <v>0.49183427883788894</v>
      </c>
      <c r="P81" s="480">
        <f>'Private,Public8EndUse'!X123</f>
        <v>0</v>
      </c>
      <c r="Q81" s="480">
        <f>'Private,Public8EndUse'!Y123</f>
        <v>0.50421179302045727</v>
      </c>
      <c r="R81" s="480">
        <f>'Private,Public8EndUse'!Z123</f>
        <v>0</v>
      </c>
      <c r="S81" s="480">
        <f>'Private,Public8EndUse'!AA123</f>
        <v>0</v>
      </c>
      <c r="T81" s="480">
        <f>'Private,Public8EndUse'!AB123</f>
        <v>0</v>
      </c>
      <c r="U81" s="480">
        <f>'Private,Public8EndUse'!AC123+'Private,Public8EndUse'!AD123</f>
        <v>3.9539281416537736E-3</v>
      </c>
      <c r="V81" s="479">
        <f t="shared" si="12"/>
        <v>0.99999999999999989</v>
      </c>
      <c r="X81" s="17"/>
      <c r="Z81" s="477">
        <v>2019</v>
      </c>
      <c r="AA81" s="478">
        <f>'Private,Public8EndUse'!W79</f>
        <v>0.17519522278364721</v>
      </c>
      <c r="AB81" s="478">
        <f>'Private,Public8EndUse'!X79</f>
        <v>0.35084979329352317</v>
      </c>
      <c r="AC81" s="478">
        <f>'Private,Public8EndUse'!Y79</f>
        <v>9.4441892512632061E-2</v>
      </c>
      <c r="AD81" s="478">
        <f>'Private,Public8EndUse'!Z79</f>
        <v>5.3651814423518601E-2</v>
      </c>
      <c r="AE81" s="478">
        <f>'Private,Public8EndUse'!AA79</f>
        <v>0.10041341295360588</v>
      </c>
      <c r="AF81" s="478">
        <f>'Private,Public8EndUse'!AB79</f>
        <v>0.10160771704180065</v>
      </c>
      <c r="AG81" s="478">
        <f>'Private,Public8EndUse'!AC79+'Private,Public8EndUse'!AD79</f>
        <v>0.1238401469912724</v>
      </c>
      <c r="AH81" s="479">
        <f t="shared" si="13"/>
        <v>0.99999999999999989</v>
      </c>
    </row>
    <row r="82" spans="2:34">
      <c r="B82" s="477">
        <v>2020</v>
      </c>
      <c r="C82" s="743">
        <f>'Private,Public8EndUse'!BX40</f>
        <v>0.28319902859035212</v>
      </c>
      <c r="D82" s="743">
        <f>'Private,Public8EndUse'!X40</f>
        <v>0.23622916436692792</v>
      </c>
      <c r="E82" s="743">
        <f>'Private,Public8EndUse'!Y40</f>
        <v>0.2383265261066343</v>
      </c>
      <c r="F82" s="743">
        <f>'Private,Public8EndUse'!Z40</f>
        <v>3.4054531405232367E-2</v>
      </c>
      <c r="G82" s="743">
        <f>'Private,Public8EndUse'!AA40</f>
        <v>6.3638370681090628E-2</v>
      </c>
      <c r="H82" s="743">
        <f>'Private,Public8EndUse'!AB40</f>
        <v>6.452147036096699E-2</v>
      </c>
      <c r="I82" s="743">
        <f>'Private,Public8EndUse'!CD40</f>
        <v>8.0030908488795668E-2</v>
      </c>
      <c r="J82" s="479">
        <f t="shared" si="11"/>
        <v>1</v>
      </c>
      <c r="N82" s="477">
        <v>2020</v>
      </c>
      <c r="O82" s="480">
        <f>'Private,Public8EndUse'!W124</f>
        <v>0.48962590380383525</v>
      </c>
      <c r="P82" s="480">
        <f>'Private,Public8EndUse'!X124</f>
        <v>0</v>
      </c>
      <c r="Q82" s="480">
        <f>'Private,Public8EndUse'!Y124</f>
        <v>0.50644451430367809</v>
      </c>
      <c r="R82" s="480">
        <f>'Private,Public8EndUse'!Z124</f>
        <v>0</v>
      </c>
      <c r="S82" s="480">
        <f>'Private,Public8EndUse'!AA124</f>
        <v>0</v>
      </c>
      <c r="T82" s="480">
        <f>'Private,Public8EndUse'!AB124</f>
        <v>0</v>
      </c>
      <c r="U82" s="480">
        <f>'Private,Public8EndUse'!AC124+'Private,Public8EndUse'!AD124</f>
        <v>3.9295818924866398E-3</v>
      </c>
      <c r="V82" s="479">
        <f t="shared" si="12"/>
        <v>0.99999999999999989</v>
      </c>
      <c r="X82" s="17"/>
      <c r="Z82" s="477">
        <v>2020</v>
      </c>
      <c r="AA82" s="478">
        <f>'Private,Public8EndUse'!W80</f>
        <v>0.1714869003062266</v>
      </c>
      <c r="AB82" s="478">
        <f>'Private,Public8EndUse'!X80</f>
        <v>0.36406941136440968</v>
      </c>
      <c r="AC82" s="478">
        <f>'Private,Public8EndUse'!Y80</f>
        <v>9.3228989452194627E-2</v>
      </c>
      <c r="AD82" s="478">
        <f>'Private,Public8EndUse'!Z80</f>
        <v>5.2483838040149708E-2</v>
      </c>
      <c r="AE82" s="478">
        <f>'Private,Public8EndUse'!AA80</f>
        <v>9.8077577407281388E-2</v>
      </c>
      <c r="AF82" s="478">
        <f>'Private,Public8EndUse'!AB80</f>
        <v>9.9438584552568904E-2</v>
      </c>
      <c r="AG82" s="478">
        <f>'Private,Public8EndUse'!AC80+'Private,Public8EndUse'!AD80</f>
        <v>0.12121469887716911</v>
      </c>
      <c r="AH82" s="479">
        <f t="shared" si="13"/>
        <v>1</v>
      </c>
    </row>
    <row r="83" spans="2:34">
      <c r="B83" s="477">
        <v>2021</v>
      </c>
      <c r="C83" s="743">
        <f>'Private,Public8EndUse'!BX41</f>
        <v>0.2798360655737705</v>
      </c>
      <c r="D83" s="743">
        <f>'Private,Public8EndUse'!X41</f>
        <v>0.24295081967213114</v>
      </c>
      <c r="E83" s="743">
        <f>'Private,Public8EndUse'!Y41</f>
        <v>0.23218579234972678</v>
      </c>
      <c r="F83" s="743">
        <f>'Private,Public8EndUse'!Z41</f>
        <v>3.4426229508196723E-2</v>
      </c>
      <c r="G83" s="743">
        <f>'Private,Public8EndUse'!AA41</f>
        <v>6.4644808743169399E-2</v>
      </c>
      <c r="H83" s="743">
        <f>'Private,Public8EndUse'!AB41</f>
        <v>6.5191256830601091E-2</v>
      </c>
      <c r="I83" s="743">
        <f>'Private,Public8EndUse'!CD41</f>
        <v>8.076502732240437E-2</v>
      </c>
      <c r="J83" s="479">
        <f t="shared" si="11"/>
        <v>1</v>
      </c>
      <c r="N83" s="477">
        <v>2021</v>
      </c>
      <c r="O83" s="480">
        <f>'Private,Public8EndUse'!W125</f>
        <v>0.49126462574130469</v>
      </c>
      <c r="P83" s="480">
        <f>'Private,Public8EndUse'!X125</f>
        <v>0</v>
      </c>
      <c r="Q83" s="480">
        <f>'Private,Public8EndUse'!Y125</f>
        <v>0.50472832184644978</v>
      </c>
      <c r="R83" s="480">
        <f>'Private,Public8EndUse'!Z125</f>
        <v>0</v>
      </c>
      <c r="S83" s="480">
        <f>'Private,Public8EndUse'!AA125</f>
        <v>0</v>
      </c>
      <c r="T83" s="480">
        <f>'Private,Public8EndUse'!AB125</f>
        <v>0</v>
      </c>
      <c r="U83" s="480">
        <f>'Private,Public8EndUse'!AC125+'Private,Public8EndUse'!AD125</f>
        <v>4.0070524122455525E-3</v>
      </c>
      <c r="V83" s="479">
        <f t="shared" si="12"/>
        <v>1</v>
      </c>
      <c r="X83" s="17"/>
      <c r="Z83" s="477">
        <v>2021</v>
      </c>
      <c r="AA83" s="478">
        <f>'Private,Public8EndUse'!W81</f>
        <v>0.17046679379819252</v>
      </c>
      <c r="AB83" s="478">
        <f>'Private,Public8EndUse'!X81</f>
        <v>0.36862615040212254</v>
      </c>
      <c r="AC83" s="478">
        <f>'Private,Public8EndUse'!Y81</f>
        <v>9.1203051156620515E-2</v>
      </c>
      <c r="AD83" s="478">
        <f>'Private,Public8EndUse'!Z81</f>
        <v>5.2234474753337201E-2</v>
      </c>
      <c r="AE83" s="478">
        <f>'Private,Public8EndUse'!AA81</f>
        <v>9.8084735925710972E-2</v>
      </c>
      <c r="AF83" s="478">
        <f>'Private,Public8EndUse'!AB81</f>
        <v>9.8913854572589333E-2</v>
      </c>
      <c r="AG83" s="478">
        <f>'Private,Public8EndUse'!AC81+'Private,Public8EndUse'!AD81</f>
        <v>0.12047093939142692</v>
      </c>
      <c r="AH83" s="479">
        <f t="shared" si="13"/>
        <v>1</v>
      </c>
    </row>
    <row r="84" spans="2:34">
      <c r="B84" s="23">
        <v>2022</v>
      </c>
      <c r="C84" s="105">
        <f>TREND(C$73:C$78,B$73:B$78,B84)</f>
        <v>0.29024789561716846</v>
      </c>
      <c r="D84" s="105">
        <f>1-SUM(E84:I84,C84)</f>
        <v>0.20633919196610562</v>
      </c>
      <c r="E84" s="105">
        <f>TREND(E$68:E$83,B$68:B$83,B84)</f>
        <v>0.24215144434429092</v>
      </c>
      <c r="F84" s="669">
        <f t="shared" ref="F84:H112" si="14">F$78</f>
        <v>3.6825877014369658E-2</v>
      </c>
      <c r="G84" s="105">
        <f t="shared" si="14"/>
        <v>7.1324684391180407E-2</v>
      </c>
      <c r="H84" s="105">
        <f t="shared" si="14"/>
        <v>7.1615568095875271E-2</v>
      </c>
      <c r="I84" s="105">
        <f>TREND($I$63:$I$64,$B$63:$B$64,$B84)</f>
        <v>8.1495338571009601E-2</v>
      </c>
      <c r="J84" s="25">
        <f>SUM(C84:I84)</f>
        <v>1</v>
      </c>
      <c r="N84" s="23">
        <v>2022</v>
      </c>
      <c r="O84" s="42">
        <f>1-SUM(P84:T84)-U84</f>
        <v>0.48911847484738835</v>
      </c>
      <c r="P84" s="42">
        <f t="shared" ref="P84:T94" si="15">TREND(P$74:P$78,$N$74:$N$78,$N84)</f>
        <v>0</v>
      </c>
      <c r="Q84" s="42">
        <f t="shared" ref="Q84:Q112" si="16">TREND(Q$79:Q$83,$N$79:$N$83,$N84)</f>
        <v>0.5063286912940812</v>
      </c>
      <c r="R84" s="42">
        <f t="shared" si="15"/>
        <v>0</v>
      </c>
      <c r="S84" s="42">
        <f t="shared" si="15"/>
        <v>0</v>
      </c>
      <c r="T84" s="42">
        <f t="shared" si="15"/>
        <v>0</v>
      </c>
      <c r="U84" s="42">
        <f>TREND(U$74:U$78,$N$74:$N$78,$N84)</f>
        <v>4.5528338585304751E-3</v>
      </c>
      <c r="V84" s="25">
        <f>SUM(O84:U84)</f>
        <v>1</v>
      </c>
      <c r="X84" s="17"/>
      <c r="Z84" s="23">
        <v>2022</v>
      </c>
      <c r="AA84" s="105">
        <f>(C84-(O84*(1-'Future Type Share'!$AL23)))/'Future Type Share'!$AL23</f>
        <v>0.18880343215794909</v>
      </c>
      <c r="AB84" s="105">
        <f>(D84-(P84*(1-'Future Type Share'!AL23)))/'Future Type Share'!$AL23</f>
        <v>0.31159341660120782</v>
      </c>
      <c r="AC84" s="105">
        <f>(E84-(Q84*(1-'Future Type Share'!$AL23)))/'Future Type Share'!$AL23</f>
        <v>0.10739385889002773</v>
      </c>
      <c r="AD84" s="105">
        <f>(F84-(R84*(1-'Future Type Share'!$AL23)))/'Future Type Share'!$AL23</f>
        <v>5.5610864464993269E-2</v>
      </c>
      <c r="AE84" s="105">
        <f>(G84-(S84*(1-'Future Type Share'!$AL23)))/'Future Type Share'!$AL23</f>
        <v>0.10770761427185109</v>
      </c>
      <c r="AF84" s="105">
        <f>(H84-(T84*(1-'Future Type Share'!$AL23)))/'Future Type Share'!$AL23</f>
        <v>0.10814687860411802</v>
      </c>
      <c r="AG84" s="105">
        <f>(I84-(U84*(1-'Future Type Share'!$AL23)))/'Future Type Share'!$AL23</f>
        <v>0.12074393500985285</v>
      </c>
      <c r="AH84" s="25">
        <f>SUM(AA84:AG84)</f>
        <v>0.99999999999999978</v>
      </c>
    </row>
    <row r="85" spans="2:34">
      <c r="B85" s="23">
        <v>2023</v>
      </c>
      <c r="C85" s="105">
        <f t="shared" ref="C85:C112" si="17">TREND(C$73:C$78,B$73:B$78,B85)</f>
        <v>0.29009610688258308</v>
      </c>
      <c r="D85" s="105">
        <f t="shared" ref="D85:D112" si="18">1-SUM(E85:I85,C85)</f>
        <v>0.20448533597442009</v>
      </c>
      <c r="E85" s="105">
        <f t="shared" ref="E85:E112" si="19">TREND(E$68:E$83,B$68:B$83,B85)</f>
        <v>0.24404977973381214</v>
      </c>
      <c r="F85" s="669">
        <f t="shared" si="14"/>
        <v>3.6825877014369658E-2</v>
      </c>
      <c r="G85" s="105">
        <f t="shared" si="14"/>
        <v>7.1324684391180407E-2</v>
      </c>
      <c r="H85" s="105">
        <f t="shared" si="14"/>
        <v>7.1615568095875271E-2</v>
      </c>
      <c r="I85" s="105">
        <f t="shared" ref="I85:I112" si="20">TREND($I$63:$I$64,$B$63:$B$64,$B85)</f>
        <v>8.1602647907759257E-2</v>
      </c>
      <c r="J85" s="25">
        <f t="shared" ref="J85:J112" si="21">SUM(C85:I85)</f>
        <v>1</v>
      </c>
      <c r="N85" s="23">
        <v>2023</v>
      </c>
      <c r="O85" s="42">
        <f>1-SUM(P85:T85)-U85</f>
        <v>0.48807851887103909</v>
      </c>
      <c r="P85" s="42">
        <f t="shared" si="15"/>
        <v>0</v>
      </c>
      <c r="Q85" s="42">
        <f>TREND(Q$79:Q$83,$N$79:$N$83,$N85)</f>
        <v>0.50726040393698679</v>
      </c>
      <c r="R85" s="42">
        <f t="shared" si="15"/>
        <v>0</v>
      </c>
      <c r="S85" s="42">
        <f t="shared" si="15"/>
        <v>0</v>
      </c>
      <c r="T85" s="42">
        <f t="shared" si="15"/>
        <v>0</v>
      </c>
      <c r="U85" s="42">
        <f>TREND(U$74:U$78,$N$74:$N$78,$N85)</f>
        <v>4.6610771919741167E-3</v>
      </c>
      <c r="V85" s="25">
        <f t="shared" ref="V85:V112" si="22">SUM(O85:U85)</f>
        <v>1</v>
      </c>
      <c r="X85" s="17"/>
      <c r="Z85" s="23">
        <v>2023</v>
      </c>
      <c r="AA85" s="105">
        <f>(C85-(O85*(1-'Future Type Share'!$AL24)))/'Future Type Share'!$AL24</f>
        <v>0.19051363997862836</v>
      </c>
      <c r="AB85" s="105">
        <f>(D85-(P85*(1-'Future Type Share'!AL24)))/'Future Type Share'!$AL24</f>
        <v>0.30733868540832882</v>
      </c>
      <c r="AC85" s="105">
        <f>(E85-(Q85*(1-'Future Type Share'!$AL24)))/'Future Type Share'!$AL24</f>
        <v>0.11165840713547132</v>
      </c>
      <c r="AD85" s="105">
        <f>(F85-(R85*(1-'Future Type Share'!$AL24)))/'Future Type Share'!$AL24</f>
        <v>5.5348793480335341E-2</v>
      </c>
      <c r="AE85" s="105">
        <f>(G85-(S85*(1-'Future Type Share'!$AL24)))/'Future Type Share'!$AL24</f>
        <v>0.10720003287028612</v>
      </c>
      <c r="AF85" s="105">
        <f>(H85-(T85*(1-'Future Type Share'!$AL24)))/'Future Type Share'!$AL24</f>
        <v>0.10763722713158419</v>
      </c>
      <c r="AG85" s="105">
        <f>(I85-(U85*(1-'Future Type Share'!$AL24)))/'Future Type Share'!$AL24</f>
        <v>0.12030321399536567</v>
      </c>
      <c r="AH85" s="25">
        <f t="shared" ref="AH85:AH112" si="23">SUM(AA85:AG85)</f>
        <v>0.99999999999999989</v>
      </c>
    </row>
    <row r="86" spans="2:34">
      <c r="B86" s="23">
        <v>2024</v>
      </c>
      <c r="C86" s="105">
        <f t="shared" si="17"/>
        <v>0.28994431814799776</v>
      </c>
      <c r="D86" s="105">
        <f t="shared" si="18"/>
        <v>0.20263147998273467</v>
      </c>
      <c r="E86" s="105">
        <f t="shared" si="19"/>
        <v>0.24594811512333337</v>
      </c>
      <c r="F86" s="669">
        <f t="shared" si="14"/>
        <v>3.6825877014369658E-2</v>
      </c>
      <c r="G86" s="105">
        <f t="shared" si="14"/>
        <v>7.1324684391180407E-2</v>
      </c>
      <c r="H86" s="105">
        <f t="shared" si="14"/>
        <v>7.1615568095875271E-2</v>
      </c>
      <c r="I86" s="105">
        <f t="shared" si="20"/>
        <v>8.1709957244508913E-2</v>
      </c>
      <c r="J86" s="25">
        <f t="shared" si="21"/>
        <v>1</v>
      </c>
      <c r="N86" s="23">
        <v>2024</v>
      </c>
      <c r="O86" s="42">
        <f>1-SUM(P86:T86)-U86</f>
        <v>0.48703856289468983</v>
      </c>
      <c r="P86" s="42">
        <f t="shared" si="15"/>
        <v>0</v>
      </c>
      <c r="Q86" s="42">
        <f t="shared" si="16"/>
        <v>0.50819211657989238</v>
      </c>
      <c r="R86" s="42">
        <f t="shared" si="15"/>
        <v>0</v>
      </c>
      <c r="S86" s="42">
        <f t="shared" si="15"/>
        <v>0</v>
      </c>
      <c r="T86" s="42">
        <f t="shared" si="15"/>
        <v>0</v>
      </c>
      <c r="U86" s="42">
        <f>TREND(U$74:U$78,$N$74:$N$78,$N86)</f>
        <v>4.7693205254177584E-3</v>
      </c>
      <c r="V86" s="25">
        <f t="shared" si="22"/>
        <v>1</v>
      </c>
      <c r="X86" s="17"/>
      <c r="Z86" s="23">
        <v>2024</v>
      </c>
      <c r="AA86" s="105">
        <f>(C86-(O86*(1-'Future Type Share'!$AL25)))/'Future Type Share'!$AL25</f>
        <v>0.19219804861304815</v>
      </c>
      <c r="AB86" s="105">
        <f>(D86-(P86*(1-'Future Type Share'!AL25)))/'Future Type Share'!$AL25</f>
        <v>0.30312386769356636</v>
      </c>
      <c r="AC86" s="105">
        <f>(E86-(Q86*(1-'Future Type Share'!$AL25)))/'Future Type Share'!$AL25</f>
        <v>0.11589169017170242</v>
      </c>
      <c r="AD86" s="105">
        <f>(F86-(R86*(1-'Future Type Share'!$AL25)))/'Future Type Share'!$AL25</f>
        <v>5.508918097402471E-2</v>
      </c>
      <c r="AE86" s="105">
        <f>(G86-(S86*(1-'Future Type Share'!$AL25)))/'Future Type Share'!$AL25</f>
        <v>0.10669721307133379</v>
      </c>
      <c r="AF86" s="105">
        <f>(H86-(T86*(1-'Future Type Share'!$AL25)))/'Future Type Share'!$AL25</f>
        <v>0.10713235668092325</v>
      </c>
      <c r="AG86" s="105">
        <f>(I86-(U86*(1-'Future Type Share'!$AL25)))/'Future Type Share'!$AL25</f>
        <v>0.11986764279540144</v>
      </c>
      <c r="AH86" s="25">
        <f t="shared" si="23"/>
        <v>1.0000000000000002</v>
      </c>
    </row>
    <row r="87" spans="2:34">
      <c r="B87" s="23">
        <v>2025</v>
      </c>
      <c r="C87" s="105">
        <f t="shared" si="17"/>
        <v>0.28979252941341238</v>
      </c>
      <c r="D87" s="105">
        <f t="shared" si="18"/>
        <v>0.20077762399104915</v>
      </c>
      <c r="E87" s="105">
        <f t="shared" si="19"/>
        <v>0.24784645051285459</v>
      </c>
      <c r="F87" s="669">
        <f t="shared" si="14"/>
        <v>3.6825877014369658E-2</v>
      </c>
      <c r="G87" s="105">
        <f t="shared" si="14"/>
        <v>7.1324684391180407E-2</v>
      </c>
      <c r="H87" s="105">
        <f t="shared" si="14"/>
        <v>7.1615568095875271E-2</v>
      </c>
      <c r="I87" s="105">
        <f t="shared" si="20"/>
        <v>8.1817266581258569E-2</v>
      </c>
      <c r="J87" s="25">
        <f t="shared" si="21"/>
        <v>1.0000000000000002</v>
      </c>
      <c r="N87" s="23">
        <v>2025</v>
      </c>
      <c r="O87" s="42">
        <f>1-SUM(P87:T87)-U87</f>
        <v>0.48599860691834085</v>
      </c>
      <c r="P87" s="42">
        <f t="shared" si="15"/>
        <v>0</v>
      </c>
      <c r="Q87" s="42">
        <f t="shared" si="16"/>
        <v>0.50912382922279775</v>
      </c>
      <c r="R87" s="42">
        <f t="shared" si="15"/>
        <v>0</v>
      </c>
      <c r="S87" s="42">
        <f t="shared" si="15"/>
        <v>0</v>
      </c>
      <c r="T87" s="42">
        <f t="shared" si="15"/>
        <v>0</v>
      </c>
      <c r="U87" s="42">
        <f>TREND(U$74:U$78,$N$74:$N$78,$N87)</f>
        <v>4.8775638588614001E-3</v>
      </c>
      <c r="V87" s="25">
        <f t="shared" si="22"/>
        <v>1</v>
      </c>
      <c r="X87" s="17"/>
      <c r="Z87" s="23">
        <v>2025</v>
      </c>
      <c r="AA87" s="105">
        <f>(C87-(O87*(1-'Future Type Share'!$AL26)))/'Future Type Share'!$AL26</f>
        <v>0.19385701939820202</v>
      </c>
      <c r="AB87" s="105">
        <f>(D87-(P87*(1-'Future Type Share'!AL26)))/'Future Type Share'!$AL26</f>
        <v>0.29894840443866094</v>
      </c>
      <c r="AC87" s="105">
        <f>(E87-(Q87*(1-'Future Type Share'!$AL26)))/'Future Type Share'!$AL26</f>
        <v>0.12009414589147488</v>
      </c>
      <c r="AD87" s="105">
        <f>(F87-(R87*(1-'Future Type Share'!$AL26)))/'Future Type Share'!$AL26</f>
        <v>5.4831992513224286E-2</v>
      </c>
      <c r="AE87" s="105">
        <f>(G87-(S87*(1-'Future Type Share'!$AL26)))/'Future Type Share'!$AL26</f>
        <v>0.10619908818517057</v>
      </c>
      <c r="AF87" s="105">
        <f>(H87-(T87*(1-'Future Type Share'!$AL26)))/'Future Type Share'!$AL26</f>
        <v>0.10663220029033033</v>
      </c>
      <c r="AG87" s="105">
        <f>(I87-(U87*(1-'Future Type Share'!$AL26)))/'Future Type Share'!$AL26</f>
        <v>0.11943714928293703</v>
      </c>
      <c r="AH87" s="25">
        <f t="shared" si="23"/>
        <v>1</v>
      </c>
    </row>
    <row r="88" spans="2:34">
      <c r="B88" s="23">
        <v>2026</v>
      </c>
      <c r="C88" s="105">
        <f t="shared" si="17"/>
        <v>0.289640740678827</v>
      </c>
      <c r="D88" s="105">
        <f t="shared" si="18"/>
        <v>0.19892376799936362</v>
      </c>
      <c r="E88" s="105">
        <f t="shared" si="19"/>
        <v>0.24974478590237581</v>
      </c>
      <c r="F88" s="669">
        <f t="shared" si="14"/>
        <v>3.6825877014369658E-2</v>
      </c>
      <c r="G88" s="105">
        <f t="shared" si="14"/>
        <v>7.1324684391180407E-2</v>
      </c>
      <c r="H88" s="105">
        <f t="shared" si="14"/>
        <v>7.1615568095875271E-2</v>
      </c>
      <c r="I88" s="105">
        <f t="shared" si="20"/>
        <v>8.1924575918008224E-2</v>
      </c>
      <c r="J88" s="25">
        <f t="shared" si="21"/>
        <v>1.0000000000000002</v>
      </c>
      <c r="N88" s="23">
        <v>2026</v>
      </c>
      <c r="O88" s="42">
        <f>1-SUM(P88:T88)-U88</f>
        <v>0.48495865094199164</v>
      </c>
      <c r="P88" s="42">
        <f t="shared" si="15"/>
        <v>0</v>
      </c>
      <c r="Q88" s="42">
        <f t="shared" si="16"/>
        <v>0.51005554186570334</v>
      </c>
      <c r="R88" s="42">
        <f t="shared" si="15"/>
        <v>0</v>
      </c>
      <c r="S88" s="42">
        <f t="shared" si="15"/>
        <v>0</v>
      </c>
      <c r="T88" s="42">
        <f t="shared" si="15"/>
        <v>0</v>
      </c>
      <c r="U88" s="42">
        <f>TREND(U$74:U$78,$N$74:$N$78,$N88)</f>
        <v>4.9858071923050418E-3</v>
      </c>
      <c r="V88" s="25">
        <f t="shared" si="22"/>
        <v>1</v>
      </c>
      <c r="X88" s="17"/>
      <c r="Z88" s="23">
        <v>2026</v>
      </c>
      <c r="AA88" s="105">
        <f>(C88-(O88*(1-'Future Type Share'!$AL27)))/'Future Type Share'!$AL27</f>
        <v>0.19549090695471058</v>
      </c>
      <c r="AB88" s="105">
        <f>(D88-(P88*(1-'Future Type Share'!AL27)))/'Future Type Share'!$AL27</f>
        <v>0.29481174701613921</v>
      </c>
      <c r="AC88" s="105">
        <f>(E88-(Q88*(1-'Future Type Share'!$AL27)))/'Future Type Share'!$AL27</f>
        <v>0.12426620404818331</v>
      </c>
      <c r="AD88" s="105">
        <f>(F88-(R88*(1-'Future Type Share'!$AL27)))/'Future Type Share'!$AL27</f>
        <v>5.457719430511962E-2</v>
      </c>
      <c r="AE88" s="105">
        <f>(G88-(S88*(1-'Future Type Share'!$AL27)))/'Future Type Share'!$AL27</f>
        <v>0.10570559276157449</v>
      </c>
      <c r="AF88" s="105">
        <f>(H88-(T88*(1-'Future Type Share'!$AL27)))/'Future Type Share'!$AL27</f>
        <v>0.10613669224265758</v>
      </c>
      <c r="AG88" s="105">
        <f>(I88-(U88*(1-'Future Type Share'!$AL27)))/'Future Type Share'!$AL27</f>
        <v>0.11901166267161517</v>
      </c>
      <c r="AH88" s="25">
        <f t="shared" si="23"/>
        <v>1</v>
      </c>
    </row>
    <row r="89" spans="2:34">
      <c r="B89" s="23">
        <v>2027</v>
      </c>
      <c r="C89" s="105">
        <f t="shared" si="17"/>
        <v>0.28948895194424168</v>
      </c>
      <c r="D89" s="105">
        <f t="shared" si="18"/>
        <v>0.19706991200767843</v>
      </c>
      <c r="E89" s="105">
        <f t="shared" si="19"/>
        <v>0.25164312129189659</v>
      </c>
      <c r="F89" s="669">
        <f t="shared" si="14"/>
        <v>3.6825877014369658E-2</v>
      </c>
      <c r="G89" s="105">
        <f t="shared" si="14"/>
        <v>7.1324684391180407E-2</v>
      </c>
      <c r="H89" s="105">
        <f t="shared" si="14"/>
        <v>7.1615568095875271E-2</v>
      </c>
      <c r="I89" s="105">
        <f t="shared" si="20"/>
        <v>8.203188525475788E-2</v>
      </c>
      <c r="J89" s="25">
        <f t="shared" si="21"/>
        <v>1</v>
      </c>
      <c r="N89" s="23">
        <v>2027</v>
      </c>
      <c r="O89" s="42">
        <f>1-SUM(P89:T89)-U89</f>
        <v>0.4839186949656426</v>
      </c>
      <c r="P89" s="42">
        <f t="shared" si="15"/>
        <v>0</v>
      </c>
      <c r="Q89" s="42">
        <f t="shared" si="16"/>
        <v>0.51098725450860871</v>
      </c>
      <c r="R89" s="42">
        <f t="shared" si="15"/>
        <v>0</v>
      </c>
      <c r="S89" s="42">
        <f t="shared" si="15"/>
        <v>0</v>
      </c>
      <c r="T89" s="42">
        <f t="shared" si="15"/>
        <v>0</v>
      </c>
      <c r="U89" s="42">
        <f>TREND(U$74:U$78,$N$74:$N$78,$N89)</f>
        <v>5.0940505257486834E-3</v>
      </c>
      <c r="V89" s="25">
        <f t="shared" si="22"/>
        <v>1</v>
      </c>
      <c r="X89" s="17"/>
      <c r="Z89" s="23">
        <v>2027</v>
      </c>
      <c r="AA89" s="105">
        <f>(C89-(O89*(1-'Future Type Share'!$AL28)))/'Future Type Share'!$AL28</f>
        <v>0.19710005934215255</v>
      </c>
      <c r="AB89" s="105">
        <f>(D89-(P89*(1-'Future Type Share'!AL28)))/'Future Type Share'!$AL28</f>
        <v>0.29071335694900358</v>
      </c>
      <c r="AC89" s="105">
        <f>(E89-(Q89*(1-'Future Type Share'!$AL28)))/'Future Type Share'!$AL28</f>
        <v>0.12840828644410598</v>
      </c>
      <c r="AD89" s="105">
        <f>(F89-(R89*(1-'Future Type Share'!$AL28)))/'Future Type Share'!$AL28</f>
        <v>5.4324753182116527E-2</v>
      </c>
      <c r="AE89" s="105">
        <f>(G89-(S89*(1-'Future Type Share'!$AL28)))/'Future Type Share'!$AL28</f>
        <v>0.1052166625612557</v>
      </c>
      <c r="AF89" s="105">
        <f>(H89-(T89*(1-'Future Type Share'!$AL28)))/'Future Type Share'!$AL28</f>
        <v>0.10564576803662787</v>
      </c>
      <c r="AG89" s="105">
        <f>(I89-(U89*(1-'Future Type Share'!$AL28)))/'Future Type Share'!$AL28</f>
        <v>0.11859111348473765</v>
      </c>
      <c r="AH89" s="25">
        <f t="shared" si="23"/>
        <v>0.99999999999999978</v>
      </c>
    </row>
    <row r="90" spans="2:34">
      <c r="B90" s="23">
        <v>2028</v>
      </c>
      <c r="C90" s="105">
        <f t="shared" si="17"/>
        <v>0.2893371632096563</v>
      </c>
      <c r="D90" s="105">
        <f t="shared" si="18"/>
        <v>0.19521605601599301</v>
      </c>
      <c r="E90" s="105">
        <f t="shared" si="19"/>
        <v>0.25354145668141781</v>
      </c>
      <c r="F90" s="669">
        <f t="shared" si="14"/>
        <v>3.6825877014369658E-2</v>
      </c>
      <c r="G90" s="105">
        <f t="shared" si="14"/>
        <v>7.1324684391180407E-2</v>
      </c>
      <c r="H90" s="105">
        <f t="shared" si="14"/>
        <v>7.1615568095875271E-2</v>
      </c>
      <c r="I90" s="105">
        <f t="shared" si="20"/>
        <v>8.2139194591507536E-2</v>
      </c>
      <c r="J90" s="25">
        <f t="shared" si="21"/>
        <v>1</v>
      </c>
      <c r="N90" s="23">
        <v>2028</v>
      </c>
      <c r="O90" s="42">
        <f>1-SUM(P90:T90)-U90</f>
        <v>0.48287873898929334</v>
      </c>
      <c r="P90" s="42">
        <f t="shared" si="15"/>
        <v>0</v>
      </c>
      <c r="Q90" s="42">
        <f t="shared" si="16"/>
        <v>0.5119189671515143</v>
      </c>
      <c r="R90" s="42">
        <f t="shared" si="15"/>
        <v>0</v>
      </c>
      <c r="S90" s="42">
        <f t="shared" si="15"/>
        <v>0</v>
      </c>
      <c r="T90" s="42">
        <f t="shared" si="15"/>
        <v>0</v>
      </c>
      <c r="U90" s="42">
        <f>TREND(U$74:U$78,$N$74:$N$78,$N90)</f>
        <v>5.2022938591923251E-3</v>
      </c>
      <c r="V90" s="25">
        <f t="shared" si="22"/>
        <v>1</v>
      </c>
      <c r="X90" s="17"/>
      <c r="Z90" s="23">
        <v>2028</v>
      </c>
      <c r="AA90" s="105">
        <f>(C90-(O90*(1-'Future Type Share'!$AL29)))/'Future Type Share'!$AL29</f>
        <v>0.19868481821010089</v>
      </c>
      <c r="AB90" s="105">
        <f>(D90-(P90*(1-'Future Type Share'!AL29)))/'Future Type Share'!$AL29</f>
        <v>0.28665270567706419</v>
      </c>
      <c r="AC90" s="105">
        <f>(E90-(Q90*(1-'Future Type Share'!$AL29)))/'Future Type Share'!$AL29</f>
        <v>0.13252080711344133</v>
      </c>
      <c r="AD90" s="105">
        <f>(F90-(R90*(1-'Future Type Share'!$AL29)))/'Future Type Share'!$AL29</f>
        <v>5.4074636587448793E-2</v>
      </c>
      <c r="AE90" s="105">
        <f>(G90-(S90*(1-'Future Type Share'!$AL29)))/'Future Type Share'!$AL29</f>
        <v>0.10473223452798137</v>
      </c>
      <c r="AF90" s="105">
        <f>(H90-(T90*(1-'Future Type Share'!$AL29)))/'Future Type Share'!$AL29</f>
        <v>0.1051593643588459</v>
      </c>
      <c r="AG90" s="105">
        <f>(I90-(U90*(1-'Future Type Share'!$AL29)))/'Future Type Share'!$AL29</f>
        <v>0.11817543352511752</v>
      </c>
      <c r="AH90" s="25">
        <f t="shared" si="23"/>
        <v>1.0000000000000002</v>
      </c>
    </row>
    <row r="91" spans="2:34">
      <c r="B91" s="23">
        <v>2029</v>
      </c>
      <c r="C91" s="105">
        <f t="shared" si="17"/>
        <v>0.28918537447507092</v>
      </c>
      <c r="D91" s="105">
        <f t="shared" si="18"/>
        <v>0.1933622000243076</v>
      </c>
      <c r="E91" s="105">
        <f t="shared" si="19"/>
        <v>0.25543979207093903</v>
      </c>
      <c r="F91" s="669">
        <f t="shared" si="14"/>
        <v>3.6825877014369658E-2</v>
      </c>
      <c r="G91" s="105">
        <f t="shared" si="14"/>
        <v>7.1324684391180407E-2</v>
      </c>
      <c r="H91" s="105">
        <f t="shared" si="14"/>
        <v>7.1615568095875271E-2</v>
      </c>
      <c r="I91" s="105">
        <f t="shared" si="20"/>
        <v>8.2246503928257192E-2</v>
      </c>
      <c r="J91" s="25">
        <f t="shared" si="21"/>
        <v>1.0000000000000002</v>
      </c>
      <c r="N91" s="23">
        <v>2029</v>
      </c>
      <c r="O91" s="42">
        <f>1-SUM(P91:T91)-U91</f>
        <v>0.48183878301294414</v>
      </c>
      <c r="P91" s="42">
        <f t="shared" si="15"/>
        <v>0</v>
      </c>
      <c r="Q91" s="42">
        <f t="shared" si="16"/>
        <v>0.51285067979441989</v>
      </c>
      <c r="R91" s="42">
        <f t="shared" si="15"/>
        <v>0</v>
      </c>
      <c r="S91" s="42">
        <f t="shared" si="15"/>
        <v>0</v>
      </c>
      <c r="T91" s="42">
        <f t="shared" si="15"/>
        <v>0</v>
      </c>
      <c r="U91" s="42">
        <f>TREND(U$74:U$78,$N$74:$N$78,$N91)</f>
        <v>5.3105371926359668E-3</v>
      </c>
      <c r="V91" s="25">
        <f t="shared" si="22"/>
        <v>1</v>
      </c>
      <c r="X91" s="17"/>
      <c r="Z91" s="23">
        <v>2029</v>
      </c>
      <c r="AA91" s="105">
        <f>(C91-(O91*(1-'Future Type Share'!$AL30)))/'Future Type Share'!$AL30</f>
        <v>0.20024551894501094</v>
      </c>
      <c r="AB91" s="105">
        <f>(D91-(P91*(1-'Future Type Share'!AL30)))/'Future Type Share'!$AL30</f>
        <v>0.28262927432969498</v>
      </c>
      <c r="AC91" s="105">
        <f>(E91-(Q91*(1-'Future Type Share'!$AL30)))/'Future Type Share'!$AL30</f>
        <v>0.13660417250031415</v>
      </c>
      <c r="AD91" s="105">
        <f>(F91-(R91*(1-'Future Type Share'!$AL30)))/'Future Type Share'!$AL30</f>
        <v>5.3826812561180472E-2</v>
      </c>
      <c r="AE91" s="105">
        <f>(G91-(S91*(1-'Future Type Share'!$AL30)))/'Future Type Share'!$AL30</f>
        <v>0.10425224676146486</v>
      </c>
      <c r="AF91" s="105">
        <f>(H91-(T91*(1-'Future Type Share'!$AL30)))/'Future Type Share'!$AL30</f>
        <v>0.10467741905657686</v>
      </c>
      <c r="AG91" s="105">
        <f>(I91-(U91*(1-'Future Type Share'!$AL30)))/'Future Type Share'!$AL30</f>
        <v>0.11776455584575789</v>
      </c>
      <c r="AH91" s="25">
        <f t="shared" si="23"/>
        <v>1.0000000000000002</v>
      </c>
    </row>
    <row r="92" spans="2:34">
      <c r="B92" s="23">
        <v>2030</v>
      </c>
      <c r="C92" s="105">
        <f t="shared" si="17"/>
        <v>0.2890335857404856</v>
      </c>
      <c r="D92" s="105">
        <f t="shared" si="18"/>
        <v>0.1915083440326224</v>
      </c>
      <c r="E92" s="105">
        <f t="shared" si="19"/>
        <v>0.25733812746045981</v>
      </c>
      <c r="F92" s="669">
        <f t="shared" si="14"/>
        <v>3.6825877014369658E-2</v>
      </c>
      <c r="G92" s="105">
        <f t="shared" si="14"/>
        <v>7.1324684391180407E-2</v>
      </c>
      <c r="H92" s="105">
        <f t="shared" si="14"/>
        <v>7.1615568095875271E-2</v>
      </c>
      <c r="I92" s="105">
        <f t="shared" si="20"/>
        <v>8.2353813265006848E-2</v>
      </c>
      <c r="J92" s="25">
        <f t="shared" si="21"/>
        <v>1</v>
      </c>
      <c r="N92" s="23">
        <v>2030</v>
      </c>
      <c r="O92" s="42">
        <f>1-SUM(P92:T92)-U92</f>
        <v>0.48079882703659516</v>
      </c>
      <c r="P92" s="42">
        <f t="shared" si="15"/>
        <v>0</v>
      </c>
      <c r="Q92" s="42">
        <f t="shared" si="16"/>
        <v>0.51378239243732526</v>
      </c>
      <c r="R92" s="42">
        <f t="shared" si="15"/>
        <v>0</v>
      </c>
      <c r="S92" s="42">
        <f t="shared" si="15"/>
        <v>0</v>
      </c>
      <c r="T92" s="42">
        <f t="shared" si="15"/>
        <v>0</v>
      </c>
      <c r="U92" s="42">
        <f>TREND(U$74:U$78,$N$74:$N$78,$N92)</f>
        <v>5.4187805260796085E-3</v>
      </c>
      <c r="V92" s="25">
        <f t="shared" si="22"/>
        <v>1</v>
      </c>
      <c r="X92" s="17"/>
      <c r="Z92" s="23">
        <v>2030</v>
      </c>
      <c r="AA92" s="105">
        <f>(C92-(O92*(1-'Future Type Share'!$AL31)))/'Future Type Share'!$AL31</f>
        <v>0.20178249081308189</v>
      </c>
      <c r="AB92" s="105">
        <f>(D92-(P92*(1-'Future Type Share'!AL31)))/'Future Type Share'!$AL31</f>
        <v>0.27864255350481215</v>
      </c>
      <c r="AC92" s="105">
        <f>(E92-(Q92*(1-'Future Type Share'!$AL31)))/'Future Type Share'!$AL31</f>
        <v>0.1406587816319064</v>
      </c>
      <c r="AD92" s="105">
        <f>(F92-(R92*(1-'Future Type Share'!$AL31)))/'Future Type Share'!$AL31</f>
        <v>5.3581249726592492E-2</v>
      </c>
      <c r="AE92" s="105">
        <f>(G92-(S92*(1-'Future Type Share'!$AL31)))/'Future Type Share'!$AL31</f>
        <v>0.10377663849099904</v>
      </c>
      <c r="AF92" s="105">
        <f>(H92-(T92*(1-'Future Type Share'!$AL31)))/'Future Type Share'!$AL31</f>
        <v>0.10419987111127228</v>
      </c>
      <c r="AG92" s="105">
        <f>(I92-(U92*(1-'Future Type Share'!$AL31)))/'Future Type Share'!$AL31</f>
        <v>0.11735841472133572</v>
      </c>
      <c r="AH92" s="25">
        <f t="shared" si="23"/>
        <v>0.99999999999999989</v>
      </c>
    </row>
    <row r="93" spans="2:34">
      <c r="B93" s="23">
        <v>2031</v>
      </c>
      <c r="C93" s="105">
        <f t="shared" si="17"/>
        <v>0.28888179700590022</v>
      </c>
      <c r="D93" s="105">
        <f t="shared" si="18"/>
        <v>0.18965448804093687</v>
      </c>
      <c r="E93" s="105">
        <f t="shared" si="19"/>
        <v>0.25923646284998103</v>
      </c>
      <c r="F93" s="669">
        <f t="shared" si="14"/>
        <v>3.6825877014369658E-2</v>
      </c>
      <c r="G93" s="105">
        <f t="shared" si="14"/>
        <v>7.1324684391180407E-2</v>
      </c>
      <c r="H93" s="105">
        <f t="shared" si="14"/>
        <v>7.1615568095875271E-2</v>
      </c>
      <c r="I93" s="105">
        <f t="shared" si="20"/>
        <v>8.2461122601756504E-2</v>
      </c>
      <c r="J93" s="25">
        <f t="shared" si="21"/>
        <v>1</v>
      </c>
      <c r="N93" s="23">
        <v>2031</v>
      </c>
      <c r="O93" s="42">
        <f>1-SUM(P93:T93)-U93</f>
        <v>0.4797588710602459</v>
      </c>
      <c r="P93" s="42">
        <f t="shared" si="15"/>
        <v>0</v>
      </c>
      <c r="Q93" s="42">
        <f t="shared" si="16"/>
        <v>0.51471410508023085</v>
      </c>
      <c r="R93" s="42">
        <f t="shared" si="15"/>
        <v>0</v>
      </c>
      <c r="S93" s="42">
        <f t="shared" si="15"/>
        <v>0</v>
      </c>
      <c r="T93" s="42">
        <f t="shared" si="15"/>
        <v>0</v>
      </c>
      <c r="U93" s="42">
        <f>TREND(U$74:U$78,$N$74:$N$78,$N93)</f>
        <v>5.5270238595232501E-3</v>
      </c>
      <c r="V93" s="25">
        <f t="shared" si="22"/>
        <v>1</v>
      </c>
      <c r="X93" s="17"/>
      <c r="Z93" s="23">
        <v>2031</v>
      </c>
      <c r="AA93" s="105">
        <f>(C93-(O93*(1-'Future Type Share'!$AL32)))/'Future Type Share'!$AL32</f>
        <v>0.20329605709923185</v>
      </c>
      <c r="AB93" s="105">
        <f>(D93-(P93*(1-'Future Type Share'!AL32)))/'Future Type Share'!$AL32</f>
        <v>0.27469204305386913</v>
      </c>
      <c r="AC93" s="105">
        <f>(E93-(Q93*(1-'Future Type Share'!$AL32)))/'Future Type Share'!$AL32</f>
        <v>0.14468502628687835</v>
      </c>
      <c r="AD93" s="105">
        <f>(F93-(R93*(1-'Future Type Share'!$AL32)))/'Future Type Share'!$AL32</f>
        <v>5.3337917276939067E-2</v>
      </c>
      <c r="AE93" s="105">
        <f>(G93-(S93*(1-'Future Type Share'!$AL32)))/'Future Type Share'!$AL32</f>
        <v>0.10330535004980615</v>
      </c>
      <c r="AF93" s="105">
        <f>(H93-(T93*(1-'Future Type Share'!$AL32)))/'Future Type Share'!$AL32</f>
        <v>0.10372666061281514</v>
      </c>
      <c r="AG93" s="105">
        <f>(I93-(U93*(1-'Future Type Share'!$AL32)))/'Future Type Share'!$AL32</f>
        <v>0.11695694562046025</v>
      </c>
      <c r="AH93" s="25">
        <f t="shared" si="23"/>
        <v>0.99999999999999989</v>
      </c>
    </row>
    <row r="94" spans="2:34">
      <c r="B94" s="23">
        <v>2032</v>
      </c>
      <c r="C94" s="105">
        <f t="shared" si="17"/>
        <v>0.28873000827131484</v>
      </c>
      <c r="D94" s="105">
        <f t="shared" si="18"/>
        <v>0.18780063204925135</v>
      </c>
      <c r="E94" s="105">
        <f t="shared" si="19"/>
        <v>0.26113479823950225</v>
      </c>
      <c r="F94" s="669">
        <f t="shared" si="14"/>
        <v>3.6825877014369658E-2</v>
      </c>
      <c r="G94" s="105">
        <f t="shared" si="14"/>
        <v>7.1324684391180407E-2</v>
      </c>
      <c r="H94" s="105">
        <f t="shared" si="14"/>
        <v>7.1615568095875271E-2</v>
      </c>
      <c r="I94" s="105">
        <f t="shared" si="20"/>
        <v>8.2568431938506187E-2</v>
      </c>
      <c r="J94" s="25">
        <f t="shared" si="21"/>
        <v>1.0000000000000002</v>
      </c>
      <c r="N94" s="23">
        <v>2032</v>
      </c>
      <c r="O94" s="42">
        <f>1-SUM(P94:T94)-U94</f>
        <v>0.47871891508389686</v>
      </c>
      <c r="P94" s="42">
        <f t="shared" si="15"/>
        <v>0</v>
      </c>
      <c r="Q94" s="42">
        <f t="shared" si="16"/>
        <v>0.51564581772313622</v>
      </c>
      <c r="R94" s="42">
        <f t="shared" si="15"/>
        <v>0</v>
      </c>
      <c r="S94" s="42">
        <f t="shared" si="15"/>
        <v>0</v>
      </c>
      <c r="T94" s="42">
        <f t="shared" si="15"/>
        <v>0</v>
      </c>
      <c r="U94" s="42">
        <f>TREND(U$74:U$78,$N$74:$N$78,$N94)</f>
        <v>5.6352671929668918E-3</v>
      </c>
      <c r="V94" s="25">
        <f t="shared" si="22"/>
        <v>1</v>
      </c>
      <c r="X94" s="17"/>
      <c r="Z94" s="23">
        <v>2032</v>
      </c>
      <c r="AA94" s="105">
        <f>(C94-(O94*(1-'Future Type Share'!$AL33)))/'Future Type Share'!$AL33</f>
        <v>0.20478653524229673</v>
      </c>
      <c r="AB94" s="105">
        <f>(D94-(P94*(1-'Future Type Share'!AL33)))/'Future Type Share'!$AL33</f>
        <v>0.27077725187269291</v>
      </c>
      <c r="AC94" s="105">
        <f>(E94-(Q94*(1-'Future Type Share'!$AL33)))/'Future Type Share'!$AL33</f>
        <v>0.14868329115920853</v>
      </c>
      <c r="AD94" s="105">
        <f>(F94-(R94*(1-'Future Type Share'!$AL33)))/'Future Type Share'!$AL33</f>
        <v>5.3096784962564432E-2</v>
      </c>
      <c r="AE94" s="105">
        <f>(G94-(S94*(1-'Future Type Share'!$AL33)))/'Future Type Share'!$AL33</f>
        <v>0.10283832285008529</v>
      </c>
      <c r="AF94" s="105">
        <f>(H94-(T94*(1-'Future Type Share'!$AL33)))/'Future Type Share'!$AL33</f>
        <v>0.10325772873446575</v>
      </c>
      <c r="AG94" s="105">
        <f>(I94-(U94*(1-'Future Type Share'!$AL33)))/'Future Type Share'!$AL33</f>
        <v>0.11656008517868631</v>
      </c>
      <c r="AH94" s="25">
        <f t="shared" si="23"/>
        <v>1</v>
      </c>
    </row>
    <row r="95" spans="2:34">
      <c r="B95" s="23">
        <v>2033</v>
      </c>
      <c r="C95" s="105">
        <f t="shared" si="17"/>
        <v>0.28857821953672952</v>
      </c>
      <c r="D95" s="105">
        <f t="shared" si="18"/>
        <v>0.18594677605756593</v>
      </c>
      <c r="E95" s="105">
        <f t="shared" si="19"/>
        <v>0.26303313362902347</v>
      </c>
      <c r="F95" s="669">
        <f t="shared" si="14"/>
        <v>3.6825877014369658E-2</v>
      </c>
      <c r="G95" s="105">
        <f t="shared" si="14"/>
        <v>7.1324684391180407E-2</v>
      </c>
      <c r="H95" s="105">
        <f t="shared" si="14"/>
        <v>7.1615568095875271E-2</v>
      </c>
      <c r="I95" s="105">
        <f t="shared" si="20"/>
        <v>8.2675741275255843E-2</v>
      </c>
      <c r="J95" s="25">
        <f t="shared" si="21"/>
        <v>1.0000000000000002</v>
      </c>
      <c r="N95" s="23">
        <v>2033</v>
      </c>
      <c r="O95" s="42">
        <f>1-SUM(P95:T95)-U95</f>
        <v>0.47767895910754765</v>
      </c>
      <c r="P95" s="42">
        <f t="shared" ref="P95:T112" si="24">TREND(P$74:P$78,$N$74:$N$78,$N95)</f>
        <v>0</v>
      </c>
      <c r="Q95" s="42">
        <f t="shared" si="16"/>
        <v>0.51657753036604181</v>
      </c>
      <c r="R95" s="42">
        <f t="shared" si="24"/>
        <v>0</v>
      </c>
      <c r="S95" s="42">
        <f t="shared" si="24"/>
        <v>0</v>
      </c>
      <c r="T95" s="42">
        <f t="shared" si="24"/>
        <v>0</v>
      </c>
      <c r="U95" s="42">
        <f>TREND(U$74:U$78,$N$74:$N$78,$N95)</f>
        <v>5.7435105264105335E-3</v>
      </c>
      <c r="V95" s="25">
        <f t="shared" si="22"/>
        <v>1</v>
      </c>
      <c r="X95" s="17"/>
      <c r="Z95" s="23">
        <v>2033</v>
      </c>
      <c r="AA95" s="105">
        <f>(C95-(O95*(1-'Future Type Share'!$AL34)))/'Future Type Share'!$AL34</f>
        <v>0.20625423696658496</v>
      </c>
      <c r="AB95" s="105">
        <f>(D95-(P95*(1-'Future Type Share'!AL34)))/'Future Type Share'!$AL34</f>
        <v>0.26689769769795879</v>
      </c>
      <c r="AC95" s="105">
        <f>(E95-(Q95*(1-'Future Type Share'!$AL34)))/'Future Type Share'!$AL34</f>
        <v>0.15265395401762238</v>
      </c>
      <c r="AD95" s="105">
        <f>(F95-(R95*(1-'Future Type Share'!$AL34)))/'Future Type Share'!$AL34</f>
        <v>5.2857823078366423E-2</v>
      </c>
      <c r="AE95" s="105">
        <f>(G95-(S95*(1-'Future Type Share'!$AL34)))/'Future Type Share'!$AL34</f>
        <v>0.1023754993587318</v>
      </c>
      <c r="AF95" s="105">
        <f>(H95-(T95*(1-'Future Type Share'!$AL34)))/'Future Type Share'!$AL34</f>
        <v>0.10279301770848193</v>
      </c>
      <c r="AG95" s="105">
        <f>(I95-(U95*(1-'Future Type Share'!$AL34)))/'Future Type Share'!$AL34</f>
        <v>0.11616777117225388</v>
      </c>
      <c r="AH95" s="25">
        <f t="shared" si="23"/>
        <v>1.0000000000000002</v>
      </c>
    </row>
    <row r="96" spans="2:34">
      <c r="B96" s="23">
        <v>2034</v>
      </c>
      <c r="C96" s="105">
        <f t="shared" si="17"/>
        <v>0.28842643080214414</v>
      </c>
      <c r="D96" s="105">
        <f t="shared" si="18"/>
        <v>0.18409292006588029</v>
      </c>
      <c r="E96" s="105">
        <f t="shared" si="19"/>
        <v>0.2649314690185447</v>
      </c>
      <c r="F96" s="669">
        <f t="shared" si="14"/>
        <v>3.6825877014369658E-2</v>
      </c>
      <c r="G96" s="105">
        <f t="shared" si="14"/>
        <v>7.1324684391180407E-2</v>
      </c>
      <c r="H96" s="105">
        <f t="shared" si="14"/>
        <v>7.1615568095875271E-2</v>
      </c>
      <c r="I96" s="105">
        <f t="shared" si="20"/>
        <v>8.2783050612005499E-2</v>
      </c>
      <c r="J96" s="25">
        <f t="shared" si="21"/>
        <v>1</v>
      </c>
      <c r="N96" s="23">
        <v>2034</v>
      </c>
      <c r="O96" s="42">
        <f>1-SUM(P96:T96)-U96</f>
        <v>0.47663900313119845</v>
      </c>
      <c r="P96" s="42">
        <f t="shared" si="24"/>
        <v>0</v>
      </c>
      <c r="Q96" s="42">
        <f t="shared" si="16"/>
        <v>0.51750924300894741</v>
      </c>
      <c r="R96" s="42">
        <f t="shared" si="24"/>
        <v>0</v>
      </c>
      <c r="S96" s="42">
        <f t="shared" si="24"/>
        <v>0</v>
      </c>
      <c r="T96" s="42">
        <f t="shared" si="24"/>
        <v>0</v>
      </c>
      <c r="U96" s="42">
        <f>TREND(U$74:U$78,$N$74:$N$78,$N96)</f>
        <v>5.8517538598541752E-3</v>
      </c>
      <c r="V96" s="25">
        <f t="shared" si="22"/>
        <v>1</v>
      </c>
      <c r="X96" s="17"/>
      <c r="Z96" s="23">
        <v>2034</v>
      </c>
      <c r="AA96" s="105">
        <f>(C96-(O96*(1-'Future Type Share'!$AL35)))/'Future Type Share'!$AL35</f>
        <v>0.20769946840988882</v>
      </c>
      <c r="AB96" s="105">
        <f>(D96-(P96*(1-'Future Type Share'!AL35)))/'Future Type Share'!$AL35</f>
        <v>0.26305290690914318</v>
      </c>
      <c r="AC96" s="105">
        <f>(E96-(Q96*(1-'Future Type Share'!$AL35)))/'Future Type Share'!$AL35</f>
        <v>0.15659738586072561</v>
      </c>
      <c r="AD96" s="105">
        <f>(F96-(R96*(1-'Future Type Share'!$AL35)))/'Future Type Share'!$AL35</f>
        <v>5.2621002451598078E-2</v>
      </c>
      <c r="AE96" s="105">
        <f>(G96-(S96*(1-'Future Type Share'!$AL35)))/'Future Type Share'!$AL35</f>
        <v>0.10191682307371128</v>
      </c>
      <c r="AF96" s="105">
        <f>(H96-(T96*(1-'Future Type Share'!$AL35)))/'Future Type Share'!$AL35</f>
        <v>0.10233247080239689</v>
      </c>
      <c r="AG96" s="105">
        <f>(I96-(U96*(1-'Future Type Share'!$AL35)))/'Future Type Share'!$AL35</f>
        <v>0.11577994249253613</v>
      </c>
      <c r="AH96" s="25">
        <f t="shared" si="23"/>
        <v>1</v>
      </c>
    </row>
    <row r="97" spans="2:34">
      <c r="B97" s="23">
        <v>2035</v>
      </c>
      <c r="C97" s="105">
        <f t="shared" si="17"/>
        <v>0.28827464206755876</v>
      </c>
      <c r="D97" s="105">
        <f t="shared" si="18"/>
        <v>0.18223906407419532</v>
      </c>
      <c r="E97" s="105">
        <f t="shared" si="19"/>
        <v>0.26682980440806547</v>
      </c>
      <c r="F97" s="669">
        <f t="shared" si="14"/>
        <v>3.6825877014369658E-2</v>
      </c>
      <c r="G97" s="105">
        <f t="shared" si="14"/>
        <v>7.1324684391180407E-2</v>
      </c>
      <c r="H97" s="105">
        <f t="shared" si="14"/>
        <v>7.1615568095875271E-2</v>
      </c>
      <c r="I97" s="105">
        <f t="shared" si="20"/>
        <v>8.2890359948755155E-2</v>
      </c>
      <c r="J97" s="25">
        <f t="shared" si="21"/>
        <v>1.0000000000000002</v>
      </c>
      <c r="N97" s="23">
        <v>2035</v>
      </c>
      <c r="O97" s="42">
        <f>1-SUM(P97:T97)-U97</f>
        <v>0.47559904715484941</v>
      </c>
      <c r="P97" s="42">
        <f t="shared" si="24"/>
        <v>0</v>
      </c>
      <c r="Q97" s="42">
        <f t="shared" si="16"/>
        <v>0.51844095565185278</v>
      </c>
      <c r="R97" s="42">
        <f t="shared" si="24"/>
        <v>0</v>
      </c>
      <c r="S97" s="42">
        <f t="shared" si="24"/>
        <v>0</v>
      </c>
      <c r="T97" s="42">
        <f t="shared" si="24"/>
        <v>0</v>
      </c>
      <c r="U97" s="42">
        <f>TREND(U$74:U$78,$N$74:$N$78,$N97)</f>
        <v>5.9599971932978169E-3</v>
      </c>
      <c r="V97" s="25">
        <f t="shared" si="22"/>
        <v>1</v>
      </c>
      <c r="X97" s="17"/>
      <c r="Z97" s="23">
        <v>2035</v>
      </c>
      <c r="AA97" s="105">
        <f>(C97-(O97*(1-'Future Type Share'!$AL36)))/'Future Type Share'!$AL36</f>
        <v>0.20912253024807689</v>
      </c>
      <c r="AB97" s="105">
        <f>(D97-(P97*(1-'Future Type Share'!AL36)))/'Future Type Share'!$AL36</f>
        <v>0.25924241433577366</v>
      </c>
      <c r="AC97" s="105">
        <f>(E97-(Q97*(1-'Future Type Share'!$AL36)))/'Future Type Share'!$AL36</f>
        <v>0.16051395106799246</v>
      </c>
      <c r="AD97" s="105">
        <f>(F97-(R97*(1-'Future Type Share'!$AL36)))/'Future Type Share'!$AL36</f>
        <v>5.2386294429994686E-2</v>
      </c>
      <c r="AE97" s="105">
        <f>(G97-(S97*(1-'Future Type Share'!$AL36)))/'Future Type Share'!$AL36</f>
        <v>0.10146223850106395</v>
      </c>
      <c r="AF97" s="105">
        <f>(H97-(T97*(1-'Future Type Share'!$AL36)))/'Future Type Share'!$AL36</f>
        <v>0.10187603229592962</v>
      </c>
      <c r="AG97" s="105">
        <f>(I97-(U97*(1-'Future Type Share'!$AL36)))/'Future Type Share'!$AL36</f>
        <v>0.1153965391211688</v>
      </c>
      <c r="AH97" s="25">
        <f t="shared" si="23"/>
        <v>1.0000000000000002</v>
      </c>
    </row>
    <row r="98" spans="2:34">
      <c r="B98" s="23">
        <v>2036</v>
      </c>
      <c r="C98" s="105">
        <f t="shared" si="17"/>
        <v>0.28812285333297344</v>
      </c>
      <c r="D98" s="105">
        <f t="shared" si="18"/>
        <v>0.18038520808250968</v>
      </c>
      <c r="E98" s="105">
        <f t="shared" si="19"/>
        <v>0.2687281397975867</v>
      </c>
      <c r="F98" s="669">
        <f t="shared" si="14"/>
        <v>3.6825877014369658E-2</v>
      </c>
      <c r="G98" s="105">
        <f t="shared" si="14"/>
        <v>7.1324684391180407E-2</v>
      </c>
      <c r="H98" s="105">
        <f t="shared" si="14"/>
        <v>7.1615568095875271E-2</v>
      </c>
      <c r="I98" s="105">
        <f t="shared" si="20"/>
        <v>8.299766928550481E-2</v>
      </c>
      <c r="J98" s="25">
        <f t="shared" si="21"/>
        <v>1</v>
      </c>
      <c r="N98" s="23">
        <v>2036</v>
      </c>
      <c r="O98" s="42">
        <f>1-SUM(P98:T98)-U98</f>
        <v>0.47455909117850015</v>
      </c>
      <c r="P98" s="42">
        <f t="shared" si="24"/>
        <v>0</v>
      </c>
      <c r="Q98" s="42">
        <f t="shared" si="16"/>
        <v>0.51937266829475837</v>
      </c>
      <c r="R98" s="42">
        <f t="shared" si="24"/>
        <v>0</v>
      </c>
      <c r="S98" s="42">
        <f t="shared" si="24"/>
        <v>0</v>
      </c>
      <c r="T98" s="42">
        <f t="shared" si="24"/>
        <v>0</v>
      </c>
      <c r="U98" s="42">
        <f>TREND(U$74:U$78,$N$74:$N$78,$N98)</f>
        <v>6.0682405267414585E-3</v>
      </c>
      <c r="V98" s="25">
        <f t="shared" si="22"/>
        <v>1</v>
      </c>
      <c r="X98" s="17"/>
      <c r="Z98" s="23">
        <v>2036</v>
      </c>
      <c r="AA98" s="105">
        <f>(C98-(O98*(1-'Future Type Share'!$AL37)))/'Future Type Share'!$AL37</f>
        <v>0.21052371781636103</v>
      </c>
      <c r="AB98" s="105">
        <f>(D98-(P98*(1-'Future Type Share'!AL37)))/'Future Type Share'!$AL37</f>
        <v>0.25546576306981283</v>
      </c>
      <c r="AC98" s="105">
        <f>(E98-(Q98*(1-'Future Type Share'!$AL37)))/'Future Type Share'!$AL37</f>
        <v>0.1644040075467271</v>
      </c>
      <c r="AD98" s="105">
        <f>(F98-(R98*(1-'Future Type Share'!$AL37)))/'Future Type Share'!$AL37</f>
        <v>5.2153670870218154E-2</v>
      </c>
      <c r="AE98" s="105">
        <f>(G98-(S98*(1-'Future Type Share'!$AL37)))/'Future Type Share'!$AL37</f>
        <v>0.10101169113252362</v>
      </c>
      <c r="AF98" s="105">
        <f>(H98-(T98*(1-'Future Type Share'!$AL37)))/'Future Type Share'!$AL37</f>
        <v>0.10142364745851271</v>
      </c>
      <c r="AG98" s="105">
        <f>(I98-(U98*(1-'Future Type Share'!$AL37)))/'Future Type Share'!$AL37</f>
        <v>0.11501750210584452</v>
      </c>
      <c r="AH98" s="25">
        <f t="shared" si="23"/>
        <v>1</v>
      </c>
    </row>
    <row r="99" spans="2:34">
      <c r="B99" s="23">
        <v>2037</v>
      </c>
      <c r="C99" s="105">
        <f t="shared" si="17"/>
        <v>0.28797106459838806</v>
      </c>
      <c r="D99" s="105">
        <f t="shared" si="18"/>
        <v>0.17853135209082416</v>
      </c>
      <c r="E99" s="105">
        <f t="shared" si="19"/>
        <v>0.27062647518710792</v>
      </c>
      <c r="F99" s="669">
        <f t="shared" si="14"/>
        <v>3.6825877014369658E-2</v>
      </c>
      <c r="G99" s="105">
        <f t="shared" si="14"/>
        <v>7.1324684391180407E-2</v>
      </c>
      <c r="H99" s="105">
        <f t="shared" si="14"/>
        <v>7.1615568095875271E-2</v>
      </c>
      <c r="I99" s="105">
        <f t="shared" si="20"/>
        <v>8.3104978622254466E-2</v>
      </c>
      <c r="J99" s="25">
        <f t="shared" si="21"/>
        <v>1</v>
      </c>
      <c r="N99" s="23">
        <v>2037</v>
      </c>
      <c r="O99" s="42">
        <f>1-SUM(P99:T99)-U99</f>
        <v>0.47351913520215116</v>
      </c>
      <c r="P99" s="42">
        <f t="shared" si="24"/>
        <v>0</v>
      </c>
      <c r="Q99" s="42">
        <f t="shared" si="16"/>
        <v>0.52030438093766374</v>
      </c>
      <c r="R99" s="42">
        <f t="shared" si="24"/>
        <v>0</v>
      </c>
      <c r="S99" s="42">
        <f t="shared" si="24"/>
        <v>0</v>
      </c>
      <c r="T99" s="42">
        <f t="shared" si="24"/>
        <v>0</v>
      </c>
      <c r="U99" s="42">
        <f>TREND(U$74:U$78,$N$74:$N$78,$N99)</f>
        <v>6.1764838601851002E-3</v>
      </c>
      <c r="V99" s="25">
        <f t="shared" si="22"/>
        <v>1</v>
      </c>
      <c r="X99" s="17"/>
      <c r="Z99" s="23">
        <v>2037</v>
      </c>
      <c r="AA99" s="105">
        <f>(C99-(O99*(1-'Future Type Share'!$AL38)))/'Future Type Share'!$AL38</f>
        <v>0.21190332122735084</v>
      </c>
      <c r="AB99" s="105">
        <f>(D99-(P99*(1-'Future Type Share'!AL38)))/'Future Type Share'!$AL38</f>
        <v>0.25172250428302417</v>
      </c>
      <c r="AC99" s="105">
        <f>(E99-(Q99*(1-'Future Type Share'!$AL38)))/'Future Type Share'!$AL38</f>
        <v>0.1682679068751283</v>
      </c>
      <c r="AD99" s="105">
        <f>(F99-(R99*(1-'Future Type Share'!$AL38)))/'Future Type Share'!$AL38</f>
        <v>5.1923104126606938E-2</v>
      </c>
      <c r="AE99" s="105">
        <f>(G99-(S99*(1-'Future Type Share'!$AL38)))/'Future Type Share'!$AL38</f>
        <v>0.10056512742372845</v>
      </c>
      <c r="AF99" s="105">
        <f>(H99-(T99*(1-'Future Type Share'!$AL38)))/'Future Type Share'!$AL38</f>
        <v>0.10097526252741412</v>
      </c>
      <c r="AG99" s="105">
        <f>(I99-(U99*(1-'Future Type Share'!$AL38)))/'Future Type Share'!$AL38</f>
        <v>0.11464277353674708</v>
      </c>
      <c r="AH99" s="25">
        <f t="shared" si="23"/>
        <v>0.99999999999999989</v>
      </c>
    </row>
    <row r="100" spans="2:34">
      <c r="B100" s="23">
        <v>2038</v>
      </c>
      <c r="C100" s="105">
        <f t="shared" si="17"/>
        <v>0.28781927586380274</v>
      </c>
      <c r="D100" s="105">
        <f t="shared" si="18"/>
        <v>0.17667749609913908</v>
      </c>
      <c r="E100" s="105">
        <f t="shared" si="19"/>
        <v>0.2725248105766287</v>
      </c>
      <c r="F100" s="669">
        <f t="shared" si="14"/>
        <v>3.6825877014369658E-2</v>
      </c>
      <c r="G100" s="105">
        <f t="shared" si="14"/>
        <v>7.1324684391180407E-2</v>
      </c>
      <c r="H100" s="105">
        <f t="shared" si="14"/>
        <v>7.1615568095875271E-2</v>
      </c>
      <c r="I100" s="105">
        <f t="shared" si="20"/>
        <v>8.3212287959004122E-2</v>
      </c>
      <c r="J100" s="25">
        <f t="shared" si="21"/>
        <v>1</v>
      </c>
      <c r="N100" s="23">
        <v>2038</v>
      </c>
      <c r="O100" s="42">
        <f>1-SUM(P100:T100)-U100</f>
        <v>0.47247917922580196</v>
      </c>
      <c r="P100" s="42">
        <f t="shared" si="24"/>
        <v>0</v>
      </c>
      <c r="Q100" s="42">
        <f t="shared" si="16"/>
        <v>0.52123609358056933</v>
      </c>
      <c r="R100" s="42">
        <f t="shared" si="24"/>
        <v>0</v>
      </c>
      <c r="S100" s="42">
        <f t="shared" si="24"/>
        <v>0</v>
      </c>
      <c r="T100" s="42">
        <f t="shared" si="24"/>
        <v>0</v>
      </c>
      <c r="U100" s="42">
        <f>TREND(U$74:U$78,$N$74:$N$78,$N100)</f>
        <v>6.2847271936287419E-3</v>
      </c>
      <c r="V100" s="25">
        <f t="shared" si="22"/>
        <v>1</v>
      </c>
      <c r="X100" s="17"/>
      <c r="Z100" s="23">
        <v>2038</v>
      </c>
      <c r="AA100" s="105">
        <f>(C100-(O100*(1-'Future Type Share'!$AL39)))/'Future Type Share'!$AL39</f>
        <v>0.21326162548598759</v>
      </c>
      <c r="AB100" s="105">
        <f>(D100-(P100*(1-'Future Type Share'!AL39)))/'Future Type Share'!$AL39</f>
        <v>0.24801219704915689</v>
      </c>
      <c r="AC100" s="105">
        <f>(E100-(Q100*(1-'Future Type Share'!$AL39)))/'Future Type Share'!$AL39</f>
        <v>0.17210599444157362</v>
      </c>
      <c r="AD100" s="105">
        <f>(F100-(R100*(1-'Future Type Share'!$AL39)))/'Future Type Share'!$AL39</f>
        <v>5.1694567040224036E-2</v>
      </c>
      <c r="AE100" s="105">
        <f>(G100-(S100*(1-'Future Type Share'!$AL39)))/'Future Type Share'!$AL39</f>
        <v>0.10012249477300894</v>
      </c>
      <c r="AF100" s="105">
        <f>(H100-(T100*(1-'Future Type Share'!$AL39)))/'Future Type Share'!$AL39</f>
        <v>0.10053082468643884</v>
      </c>
      <c r="AG100" s="105">
        <f>(I100-(U100*(1-'Future Type Share'!$AL39)))/'Future Type Share'!$AL39</f>
        <v>0.11427229652360998</v>
      </c>
      <c r="AH100" s="25">
        <f t="shared" si="23"/>
        <v>0.99999999999999978</v>
      </c>
    </row>
    <row r="101" spans="2:34">
      <c r="B101" s="23">
        <v>2039</v>
      </c>
      <c r="C101" s="105">
        <f t="shared" si="17"/>
        <v>0.28766748712921736</v>
      </c>
      <c r="D101" s="105">
        <f t="shared" si="18"/>
        <v>0.17482364010745366</v>
      </c>
      <c r="E101" s="105">
        <f t="shared" si="19"/>
        <v>0.27442314596614992</v>
      </c>
      <c r="F101" s="669">
        <f t="shared" si="14"/>
        <v>3.6825877014369658E-2</v>
      </c>
      <c r="G101" s="105">
        <f t="shared" si="14"/>
        <v>7.1324684391180407E-2</v>
      </c>
      <c r="H101" s="105">
        <f t="shared" si="14"/>
        <v>7.1615568095875271E-2</v>
      </c>
      <c r="I101" s="105">
        <f t="shared" si="20"/>
        <v>8.3319597295753778E-2</v>
      </c>
      <c r="J101" s="25">
        <f t="shared" si="21"/>
        <v>1</v>
      </c>
      <c r="N101" s="23">
        <v>2039</v>
      </c>
      <c r="O101" s="42">
        <f>1-SUM(P101:T101)-U101</f>
        <v>0.4714392232494527</v>
      </c>
      <c r="P101" s="42">
        <f t="shared" si="24"/>
        <v>0</v>
      </c>
      <c r="Q101" s="42">
        <f t="shared" si="16"/>
        <v>0.52216780622347492</v>
      </c>
      <c r="R101" s="42">
        <f t="shared" si="24"/>
        <v>0</v>
      </c>
      <c r="S101" s="42">
        <f t="shared" si="24"/>
        <v>0</v>
      </c>
      <c r="T101" s="42">
        <f t="shared" si="24"/>
        <v>0</v>
      </c>
      <c r="U101" s="42">
        <f>TREND(U$74:U$78,$N$74:$N$78,$N101)</f>
        <v>6.3929705270723836E-3</v>
      </c>
      <c r="V101" s="25">
        <f t="shared" si="22"/>
        <v>1</v>
      </c>
      <c r="X101" s="17"/>
      <c r="Z101" s="23">
        <v>2039</v>
      </c>
      <c r="AA101" s="105">
        <f>(C101-(O101*(1-'Future Type Share'!$AL40)))/'Future Type Share'!$AL40</f>
        <v>0.21459891060145894</v>
      </c>
      <c r="AB101" s="105">
        <f>(D101-(P101*(1-'Future Type Share'!AL40)))/'Future Type Share'!$AL40</f>
        <v>0.24433440817080332</v>
      </c>
      <c r="AC101" s="105">
        <f>(E101-(Q101*(1-'Future Type Share'!$AL40)))/'Future Type Share'!$AL40</f>
        <v>0.17591860958024924</v>
      </c>
      <c r="AD101" s="105">
        <f>(F101-(R101*(1-'Future Type Share'!$AL40)))/'Future Type Share'!$AL40</f>
        <v>5.1468032928191923E-2</v>
      </c>
      <c r="AE101" s="105">
        <f>(G101-(S101*(1-'Future Type Share'!$AL40)))/'Future Type Share'!$AL40</f>
        <v>9.9683741500731907E-2</v>
      </c>
      <c r="AF101" s="105">
        <f>(H101-(T101*(1-'Future Type Share'!$AL40)))/'Future Type Share'!$AL40</f>
        <v>0.1000902820451884</v>
      </c>
      <c r="AG101" s="105">
        <f>(I101-(U101*(1-'Future Type Share'!$AL40)))/'Future Type Share'!$AL40</f>
        <v>0.11390601517337637</v>
      </c>
      <c r="AH101" s="25">
        <f t="shared" si="23"/>
        <v>1.0000000000000002</v>
      </c>
    </row>
    <row r="102" spans="2:34">
      <c r="B102" s="23">
        <v>2040</v>
      </c>
      <c r="C102" s="105">
        <f t="shared" si="17"/>
        <v>0.28751569839463198</v>
      </c>
      <c r="D102" s="105">
        <f t="shared" si="18"/>
        <v>0.17296978411576813</v>
      </c>
      <c r="E102" s="105">
        <f t="shared" si="19"/>
        <v>0.27632148135567114</v>
      </c>
      <c r="F102" s="669">
        <f t="shared" si="14"/>
        <v>3.6825877014369658E-2</v>
      </c>
      <c r="G102" s="105">
        <f t="shared" si="14"/>
        <v>7.1324684391180407E-2</v>
      </c>
      <c r="H102" s="105">
        <f t="shared" si="14"/>
        <v>7.1615568095875271E-2</v>
      </c>
      <c r="I102" s="105">
        <f t="shared" si="20"/>
        <v>8.3426906632503434E-2</v>
      </c>
      <c r="J102" s="25">
        <f t="shared" si="21"/>
        <v>1.0000000000000002</v>
      </c>
      <c r="N102" s="23">
        <v>2040</v>
      </c>
      <c r="O102" s="42">
        <f>1-SUM(P102:T102)-U102</f>
        <v>0.47039926727310366</v>
      </c>
      <c r="P102" s="42">
        <f t="shared" si="24"/>
        <v>0</v>
      </c>
      <c r="Q102" s="42">
        <f t="shared" si="16"/>
        <v>0.52309951886638029</v>
      </c>
      <c r="R102" s="42">
        <f t="shared" si="24"/>
        <v>0</v>
      </c>
      <c r="S102" s="42">
        <f t="shared" si="24"/>
        <v>0</v>
      </c>
      <c r="T102" s="42">
        <f t="shared" si="24"/>
        <v>0</v>
      </c>
      <c r="U102" s="42">
        <f>TREND(U$74:U$78,$N$74:$N$78,$N102)</f>
        <v>6.5012138605160252E-3</v>
      </c>
      <c r="V102" s="25">
        <f t="shared" si="22"/>
        <v>1</v>
      </c>
      <c r="X102" s="17"/>
      <c r="Z102" s="23">
        <v>2040</v>
      </c>
      <c r="AA102" s="105">
        <f>(C102-(O102*(1-'Future Type Share'!$AL41)))/'Future Type Share'!$AL41</f>
        <v>0.21591545169618029</v>
      </c>
      <c r="AB102" s="105">
        <f>(D102-(P102*(1-'Future Type Share'!AL41)))/'Future Type Share'!$AL41</f>
        <v>0.24068871201079789</v>
      </c>
      <c r="AC102" s="105">
        <f>(E102-(Q102*(1-'Future Type Share'!$AL41)))/'Future Type Share'!$AL41</f>
        <v>0.17970608570321617</v>
      </c>
      <c r="AD102" s="105">
        <f>(F102-(R102*(1-'Future Type Share'!$AL41)))/'Future Type Share'!$AL41</f>
        <v>5.1243475573307759E-2</v>
      </c>
      <c r="AE102" s="105">
        <f>(G102-(S102*(1-'Future Type Share'!$AL41)))/'Future Type Share'!$AL41</f>
        <v>9.9248816829186889E-2</v>
      </c>
      <c r="AF102" s="105">
        <f>(H102-(T102*(1-'Future Type Share'!$AL41)))/'Future Type Share'!$AL41</f>
        <v>9.9653583618865477E-2</v>
      </c>
      <c r="AG102" s="105">
        <f>(I102-(U102*(1-'Future Type Share'!$AL41)))/'Future Type Share'!$AL41</f>
        <v>0.1135438745684456</v>
      </c>
      <c r="AH102" s="25">
        <f t="shared" si="23"/>
        <v>1</v>
      </c>
    </row>
    <row r="103" spans="2:34">
      <c r="B103" s="23">
        <v>2041</v>
      </c>
      <c r="C103" s="105">
        <f t="shared" si="17"/>
        <v>0.28736390966004666</v>
      </c>
      <c r="D103" s="105">
        <f t="shared" si="18"/>
        <v>0.17111592812408261</v>
      </c>
      <c r="E103" s="105">
        <f t="shared" si="19"/>
        <v>0.27821981674519236</v>
      </c>
      <c r="F103" s="669">
        <f t="shared" si="14"/>
        <v>3.6825877014369658E-2</v>
      </c>
      <c r="G103" s="105">
        <f t="shared" si="14"/>
        <v>7.1324684391180407E-2</v>
      </c>
      <c r="H103" s="105">
        <f t="shared" si="14"/>
        <v>7.1615568095875271E-2</v>
      </c>
      <c r="I103" s="105">
        <f t="shared" si="20"/>
        <v>8.3534215969253089E-2</v>
      </c>
      <c r="J103" s="25">
        <f t="shared" si="21"/>
        <v>1.0000000000000002</v>
      </c>
      <c r="N103" s="23">
        <v>2041</v>
      </c>
      <c r="O103" s="42">
        <f>1-SUM(P103:T103)-U103</f>
        <v>0.46935931129675446</v>
      </c>
      <c r="P103" s="42">
        <f t="shared" si="24"/>
        <v>0</v>
      </c>
      <c r="Q103" s="42">
        <f t="shared" si="16"/>
        <v>0.52403123150928588</v>
      </c>
      <c r="R103" s="42">
        <f t="shared" si="24"/>
        <v>0</v>
      </c>
      <c r="S103" s="42">
        <f t="shared" si="24"/>
        <v>0</v>
      </c>
      <c r="T103" s="42">
        <f t="shared" si="24"/>
        <v>0</v>
      </c>
      <c r="U103" s="42">
        <f>TREND(U$74:U$78,$N$74:$N$78,$N103)</f>
        <v>6.6094571939596669E-3</v>
      </c>
      <c r="V103" s="25">
        <f t="shared" si="22"/>
        <v>1</v>
      </c>
      <c r="X103" s="17"/>
      <c r="Z103" s="23">
        <v>2041</v>
      </c>
      <c r="AA103" s="105">
        <f>(C103-(O103*(1-'Future Type Share'!$AL42)))/'Future Type Share'!$AL42</f>
        <v>0.21721151911194056</v>
      </c>
      <c r="AB103" s="105">
        <f>(D103-(P103*(1-'Future Type Share'!AL42)))/'Future Type Share'!$AL42</f>
        <v>0.23707469032800135</v>
      </c>
      <c r="AC103" s="105">
        <f>(E103-(Q103*(1-'Future Type Share'!$AL42)))/'Future Type Share'!$AL42</f>
        <v>0.18346875042904717</v>
      </c>
      <c r="AD103" s="105">
        <f>(F103-(R103*(1-'Future Type Share'!$AL42)))/'Future Type Share'!$AL42</f>
        <v>5.1020869213928156E-2</v>
      </c>
      <c r="AE103" s="105">
        <f>(G103-(S103*(1-'Future Type Share'!$AL42)))/'Future Type Share'!$AL42</f>
        <v>9.881767086299513E-2</v>
      </c>
      <c r="AF103" s="105">
        <f>(H103-(T103*(1-'Future Type Share'!$AL42)))/'Future Type Share'!$AL42</f>
        <v>9.9220679308602774E-2</v>
      </c>
      <c r="AG103" s="105">
        <f>(I103-(U103*(1-'Future Type Share'!$AL42)))/'Future Type Share'!$AL42</f>
        <v>0.11318582074548492</v>
      </c>
      <c r="AH103" s="25">
        <f t="shared" si="23"/>
        <v>1</v>
      </c>
    </row>
    <row r="104" spans="2:34">
      <c r="B104" s="23">
        <v>2042</v>
      </c>
      <c r="C104" s="105">
        <f t="shared" si="17"/>
        <v>0.28721212092546128</v>
      </c>
      <c r="D104" s="105">
        <f t="shared" si="18"/>
        <v>0.16926207213239697</v>
      </c>
      <c r="E104" s="105">
        <f t="shared" si="19"/>
        <v>0.28011815213471358</v>
      </c>
      <c r="F104" s="669">
        <f t="shared" si="14"/>
        <v>3.6825877014369658E-2</v>
      </c>
      <c r="G104" s="105">
        <f t="shared" si="14"/>
        <v>7.1324684391180407E-2</v>
      </c>
      <c r="H104" s="105">
        <f t="shared" si="14"/>
        <v>7.1615568095875271E-2</v>
      </c>
      <c r="I104" s="105">
        <f t="shared" si="20"/>
        <v>8.3641525306002745E-2</v>
      </c>
      <c r="J104" s="25">
        <f t="shared" si="21"/>
        <v>1</v>
      </c>
      <c r="N104" s="23">
        <v>2042</v>
      </c>
      <c r="O104" s="42">
        <f>1-SUM(P104:T104)-U104</f>
        <v>0.46831935532040547</v>
      </c>
      <c r="P104" s="42">
        <f t="shared" si="24"/>
        <v>0</v>
      </c>
      <c r="Q104" s="42">
        <f t="shared" si="16"/>
        <v>0.52496294415219125</v>
      </c>
      <c r="R104" s="42">
        <f t="shared" si="24"/>
        <v>0</v>
      </c>
      <c r="S104" s="42">
        <f t="shared" si="24"/>
        <v>0</v>
      </c>
      <c r="T104" s="42">
        <f t="shared" si="24"/>
        <v>0</v>
      </c>
      <c r="U104" s="42">
        <f>TREND(U$74:U$78,$N$74:$N$78,$N104)</f>
        <v>6.7177005274033086E-3</v>
      </c>
      <c r="V104" s="25">
        <f t="shared" si="22"/>
        <v>1</v>
      </c>
      <c r="X104" s="17"/>
      <c r="Z104" s="23">
        <v>2042</v>
      </c>
      <c r="AA104" s="105">
        <f>(C104-(O104*(1-'Future Type Share'!$AL43)))/'Future Type Share'!$AL43</f>
        <v>0.21848737851328723</v>
      </c>
      <c r="AB104" s="105">
        <f>(D104-(P104*(1-'Future Type Share'!AL43)))/'Future Type Share'!$AL43</f>
        <v>0.23349193211735261</v>
      </c>
      <c r="AC104" s="105">
        <f>(E104-(Q104*(1-'Future Type Share'!$AL43)))/'Future Type Share'!$AL43</f>
        <v>0.18720692570811634</v>
      </c>
      <c r="AD104" s="105">
        <f>(F104-(R104*(1-'Future Type Share'!$AL43)))/'Future Type Share'!$AL43</f>
        <v>5.0800188534117587E-2</v>
      </c>
      <c r="AE104" s="105">
        <f>(G104-(S104*(1-'Future Type Share'!$AL43)))/'Future Type Share'!$AL43</f>
        <v>9.8390254570028673E-2</v>
      </c>
      <c r="AF104" s="105">
        <f>(H104-(T104*(1-'Future Type Share'!$AL43)))/'Future Type Share'!$AL43</f>
        <v>9.8791519882304488E-2</v>
      </c>
      <c r="AG104" s="105">
        <f>(I104-(U104*(1-'Future Type Share'!$AL43)))/'Future Type Share'!$AL43</f>
        <v>0.11283180067479298</v>
      </c>
      <c r="AH104" s="25">
        <f t="shared" si="23"/>
        <v>1</v>
      </c>
    </row>
    <row r="105" spans="2:34">
      <c r="B105" s="23">
        <v>2043</v>
      </c>
      <c r="C105" s="105">
        <f t="shared" si="17"/>
        <v>0.2870603321908759</v>
      </c>
      <c r="D105" s="105">
        <f t="shared" si="18"/>
        <v>0.167408216140712</v>
      </c>
      <c r="E105" s="105">
        <f t="shared" si="19"/>
        <v>0.28201648752423436</v>
      </c>
      <c r="F105" s="669">
        <f t="shared" si="14"/>
        <v>3.6825877014369658E-2</v>
      </c>
      <c r="G105" s="105">
        <f t="shared" si="14"/>
        <v>7.1324684391180407E-2</v>
      </c>
      <c r="H105" s="105">
        <f t="shared" si="14"/>
        <v>7.1615568095875271E-2</v>
      </c>
      <c r="I105" s="105">
        <f t="shared" si="20"/>
        <v>8.3748834642752401E-2</v>
      </c>
      <c r="J105" s="25">
        <f t="shared" si="21"/>
        <v>1</v>
      </c>
      <c r="N105" s="23">
        <v>2043</v>
      </c>
      <c r="O105" s="42">
        <f>1-SUM(P105:T105)-U105</f>
        <v>0.46727939934405621</v>
      </c>
      <c r="P105" s="42">
        <f t="shared" si="24"/>
        <v>0</v>
      </c>
      <c r="Q105" s="42">
        <f t="shared" si="16"/>
        <v>0.52589465679509684</v>
      </c>
      <c r="R105" s="42">
        <f t="shared" si="24"/>
        <v>0</v>
      </c>
      <c r="S105" s="42">
        <f t="shared" si="24"/>
        <v>0</v>
      </c>
      <c r="T105" s="42">
        <f t="shared" si="24"/>
        <v>0</v>
      </c>
      <c r="U105" s="42">
        <f>TREND(U$74:U$78,$N$74:$N$78,$N105)</f>
        <v>6.8259438608469503E-3</v>
      </c>
      <c r="V105" s="25">
        <f t="shared" si="22"/>
        <v>1</v>
      </c>
      <c r="X105" s="17"/>
      <c r="Z105" s="23">
        <v>2043</v>
      </c>
      <c r="AA105" s="105">
        <f>(C105-(O105*(1-'Future Type Share'!$AL44)))/'Future Type Share'!$AL44</f>
        <v>0.21974329098824638</v>
      </c>
      <c r="AB105" s="105">
        <f>(D105-(P105*(1-'Future Type Share'!AL44)))/'Future Type Share'!$AL44</f>
        <v>0.22994003345405084</v>
      </c>
      <c r="AC105" s="105">
        <f>(E105-(Q105*(1-'Future Type Share'!$AL44)))/'Future Type Share'!$AL44</f>
        <v>0.19092092794465637</v>
      </c>
      <c r="AD105" s="105">
        <f>(F105-(R105*(1-'Future Type Share'!$AL44)))/'Future Type Share'!$AL44</f>
        <v>5.0581408654050232E-2</v>
      </c>
      <c r="AE105" s="105">
        <f>(G105-(S105*(1-'Future Type Share'!$AL44)))/'Future Type Share'!$AL44</f>
        <v>9.7966519762820822E-2</v>
      </c>
      <c r="AF105" s="105">
        <f>(H105-(T105*(1-'Future Type Share'!$AL44)))/'Future Type Share'!$AL44</f>
        <v>9.8366056955980774E-2</v>
      </c>
      <c r="AG105" s="105">
        <f>(I105-(U105*(1-'Future Type Share'!$AL44)))/'Future Type Share'!$AL44</f>
        <v>0.11248176224019459</v>
      </c>
      <c r="AH105" s="25">
        <f t="shared" si="23"/>
        <v>0.99999999999999989</v>
      </c>
    </row>
    <row r="106" spans="2:34">
      <c r="B106" s="23">
        <v>2044</v>
      </c>
      <c r="C106" s="105">
        <f t="shared" si="17"/>
        <v>0.28690854345629058</v>
      </c>
      <c r="D106" s="105">
        <f t="shared" si="18"/>
        <v>0.16555436014902647</v>
      </c>
      <c r="E106" s="105">
        <f t="shared" si="19"/>
        <v>0.28391482291375558</v>
      </c>
      <c r="F106" s="669">
        <f t="shared" si="14"/>
        <v>3.6825877014369658E-2</v>
      </c>
      <c r="G106" s="105">
        <f t="shared" si="14"/>
        <v>7.1324684391180407E-2</v>
      </c>
      <c r="H106" s="105">
        <f t="shared" si="14"/>
        <v>7.1615568095875271E-2</v>
      </c>
      <c r="I106" s="105">
        <f t="shared" si="20"/>
        <v>8.3856143979502057E-2</v>
      </c>
      <c r="J106" s="25">
        <f t="shared" si="21"/>
        <v>1</v>
      </c>
      <c r="N106" s="23">
        <v>2044</v>
      </c>
      <c r="O106" s="42">
        <f>1-SUM(P106:T106)-U106</f>
        <v>0.46623944336770695</v>
      </c>
      <c r="P106" s="42">
        <f t="shared" si="24"/>
        <v>0</v>
      </c>
      <c r="Q106" s="42">
        <f t="shared" si="16"/>
        <v>0.52682636943800243</v>
      </c>
      <c r="R106" s="42">
        <f t="shared" si="24"/>
        <v>0</v>
      </c>
      <c r="S106" s="42">
        <f t="shared" si="24"/>
        <v>0</v>
      </c>
      <c r="T106" s="42">
        <f t="shared" si="24"/>
        <v>0</v>
      </c>
      <c r="U106" s="42">
        <f>TREND(U$74:U$78,$N$74:$N$78,$N106)</f>
        <v>6.9341871942905919E-3</v>
      </c>
      <c r="V106" s="25">
        <f t="shared" si="22"/>
        <v>1</v>
      </c>
      <c r="X106" s="17"/>
      <c r="Z106" s="23">
        <v>2044</v>
      </c>
      <c r="AA106" s="105">
        <f>(C106-(O106*(1-'Future Type Share'!$AL45)))/'Future Type Share'!$AL45</f>
        <v>0.22097951314644509</v>
      </c>
      <c r="AB106" s="105">
        <f>(D106-(P106*(1-'Future Type Share'!AL45)))/'Future Type Share'!$AL45</f>
        <v>0.22641859734174571</v>
      </c>
      <c r="AC106" s="105">
        <f>(E106-(Q106*(1-'Future Type Share'!$AL45)))/'Future Type Share'!$AL45</f>
        <v>0.19461106811567358</v>
      </c>
      <c r="AD106" s="105">
        <f>(F106-(R106*(1-'Future Type Share'!$AL45)))/'Future Type Share'!$AL45</f>
        <v>5.0364505120659875E-2</v>
      </c>
      <c r="AE106" s="105">
        <f>(G106-(S106*(1-'Future Type Share'!$AL45)))/'Future Type Share'!$AL45</f>
        <v>9.7546419080456553E-2</v>
      </c>
      <c r="AF106" s="105">
        <f>(H106-(T106*(1-'Future Type Share'!$AL45)))/'Future Type Share'!$AL45</f>
        <v>9.7944242975564449E-2</v>
      </c>
      <c r="AG106" s="105">
        <f>(I106-(U106*(1-'Future Type Share'!$AL45)))/'Future Type Share'!$AL45</f>
        <v>0.11213565421945476</v>
      </c>
      <c r="AH106" s="25">
        <f t="shared" si="23"/>
        <v>1</v>
      </c>
    </row>
    <row r="107" spans="2:34">
      <c r="B107" s="23">
        <v>2045</v>
      </c>
      <c r="C107" s="105">
        <f t="shared" si="17"/>
        <v>0.2867567547217052</v>
      </c>
      <c r="D107" s="105">
        <f t="shared" si="18"/>
        <v>0.16370050415734094</v>
      </c>
      <c r="E107" s="105">
        <f t="shared" si="19"/>
        <v>0.2858131583032768</v>
      </c>
      <c r="F107" s="669">
        <f t="shared" si="14"/>
        <v>3.6825877014369658E-2</v>
      </c>
      <c r="G107" s="105">
        <f t="shared" si="14"/>
        <v>7.1324684391180407E-2</v>
      </c>
      <c r="H107" s="105">
        <f t="shared" si="14"/>
        <v>7.1615568095875271E-2</v>
      </c>
      <c r="I107" s="105">
        <f t="shared" si="20"/>
        <v>8.3963453316251713E-2</v>
      </c>
      <c r="J107" s="25">
        <f t="shared" si="21"/>
        <v>1</v>
      </c>
      <c r="N107" s="23">
        <v>2045</v>
      </c>
      <c r="O107" s="42">
        <f>1-SUM(P107:T107)-U107</f>
        <v>0.46519948739135797</v>
      </c>
      <c r="P107" s="42">
        <f t="shared" si="24"/>
        <v>0</v>
      </c>
      <c r="Q107" s="42">
        <f t="shared" si="16"/>
        <v>0.5277580820809078</v>
      </c>
      <c r="R107" s="42">
        <f t="shared" si="24"/>
        <v>0</v>
      </c>
      <c r="S107" s="42">
        <f t="shared" si="24"/>
        <v>0</v>
      </c>
      <c r="T107" s="42">
        <f t="shared" si="24"/>
        <v>0</v>
      </c>
      <c r="U107" s="42">
        <f>TREND(U$74:U$78,$N$74:$N$78,$N107)</f>
        <v>7.0424305277342336E-3</v>
      </c>
      <c r="V107" s="25">
        <f t="shared" si="22"/>
        <v>1</v>
      </c>
      <c r="X107" s="17"/>
      <c r="Z107" s="23">
        <v>2045</v>
      </c>
      <c r="AA107" s="105">
        <f>(C107-(O107*(1-'Future Type Share'!$AL46)))/'Future Type Share'!$AL46</f>
        <v>0.2221962972147252</v>
      </c>
      <c r="AB107" s="105">
        <f>(D107-(P107*(1-'Future Type Share'!AL46)))/'Future Type Share'!$AL46</f>
        <v>0.22292723356462141</v>
      </c>
      <c r="AC107" s="105">
        <f>(E107-(Q107*(1-'Future Type Share'!$AL46)))/'Future Type Share'!$AL46</f>
        <v>0.19827765188681562</v>
      </c>
      <c r="AD107" s="105">
        <f>(F107-(R107*(1-'Future Type Share'!$AL46)))/'Future Type Share'!$AL46</f>
        <v>5.014945389852829E-2</v>
      </c>
      <c r="AE107" s="105">
        <f>(G107-(S107*(1-'Future Type Share'!$AL46)))/'Future Type Share'!$AL46</f>
        <v>9.7129905970925232E-2</v>
      </c>
      <c r="AF107" s="105">
        <f>(H107-(T107*(1-'Future Type Share'!$AL46)))/'Future Type Share'!$AL46</f>
        <v>9.7526031199191648E-2</v>
      </c>
      <c r="AG107" s="105">
        <f>(I107-(U107*(1-'Future Type Share'!$AL46)))/'Future Type Share'!$AL46</f>
        <v>0.11179342626519256</v>
      </c>
      <c r="AH107" s="25">
        <f t="shared" si="23"/>
        <v>1</v>
      </c>
    </row>
    <row r="108" spans="2:34">
      <c r="B108" s="23">
        <v>2046</v>
      </c>
      <c r="C108" s="105">
        <f t="shared" si="17"/>
        <v>0.28660496598711982</v>
      </c>
      <c r="D108" s="105">
        <f t="shared" si="18"/>
        <v>0.16184664816565586</v>
      </c>
      <c r="E108" s="105">
        <f t="shared" si="19"/>
        <v>0.28771149369279758</v>
      </c>
      <c r="F108" s="669">
        <f t="shared" si="14"/>
        <v>3.6825877014369658E-2</v>
      </c>
      <c r="G108" s="105">
        <f t="shared" si="14"/>
        <v>7.1324684391180407E-2</v>
      </c>
      <c r="H108" s="105">
        <f t="shared" si="14"/>
        <v>7.1615568095875271E-2</v>
      </c>
      <c r="I108" s="105">
        <f t="shared" si="20"/>
        <v>8.4070762653001369E-2</v>
      </c>
      <c r="J108" s="25">
        <f t="shared" si="21"/>
        <v>1</v>
      </c>
      <c r="N108" s="23">
        <v>2046</v>
      </c>
      <c r="O108" s="42">
        <f>1-SUM(P108:T108)-U108</f>
        <v>0.46415953141500876</v>
      </c>
      <c r="P108" s="42">
        <f t="shared" si="24"/>
        <v>0</v>
      </c>
      <c r="Q108" s="42">
        <f t="shared" si="16"/>
        <v>0.52868979472381339</v>
      </c>
      <c r="R108" s="42">
        <f t="shared" si="24"/>
        <v>0</v>
      </c>
      <c r="S108" s="42">
        <f t="shared" si="24"/>
        <v>0</v>
      </c>
      <c r="T108" s="42">
        <f t="shared" si="24"/>
        <v>0</v>
      </c>
      <c r="U108" s="42">
        <f>TREND(U$74:U$78,$N$74:$N$78,$N108)</f>
        <v>7.1506738611778753E-3</v>
      </c>
      <c r="V108" s="25">
        <f t="shared" si="22"/>
        <v>1</v>
      </c>
      <c r="X108" s="17"/>
      <c r="Z108" s="23">
        <v>2046</v>
      </c>
      <c r="AA108" s="105">
        <f>(C108-(O108*(1-'Future Type Share'!$AL47)))/'Future Type Share'!$AL47</f>
        <v>0.22339389113031408</v>
      </c>
      <c r="AB108" s="105">
        <f>(D108-(P108*(1-'Future Type Share'!AL47)))/'Future Type Share'!$AL47</f>
        <v>0.21946555854325092</v>
      </c>
      <c r="AC108" s="105">
        <f>(E108-(Q108*(1-'Future Type Share'!$AL47)))/'Future Type Share'!$AL47</f>
        <v>0.20192097972528236</v>
      </c>
      <c r="AD108" s="105">
        <f>(F108-(R108*(1-'Future Type Share'!$AL47)))/'Future Type Share'!$AL47</f>
        <v>4.9936231361007076E-2</v>
      </c>
      <c r="AE108" s="105">
        <f>(G108-(S108*(1-'Future Type Share'!$AL47)))/'Future Type Share'!$AL47</f>
        <v>9.6716934673925226E-2</v>
      </c>
      <c r="AF108" s="105">
        <f>(H108-(T108*(1-'Future Type Share'!$AL47)))/'Future Type Share'!$AL47</f>
        <v>9.7111375679936343E-2</v>
      </c>
      <c r="AG108" s="105">
        <f>(I108-(U108*(1-'Future Type Share'!$AL47)))/'Future Type Share'!$AL47</f>
        <v>0.11145502888628392</v>
      </c>
      <c r="AH108" s="25">
        <f t="shared" si="23"/>
        <v>0.99999999999999989</v>
      </c>
    </row>
    <row r="109" spans="2:34">
      <c r="B109" s="23">
        <v>2047</v>
      </c>
      <c r="C109" s="105">
        <f t="shared" si="17"/>
        <v>0.2864531772525345</v>
      </c>
      <c r="D109" s="105">
        <f t="shared" si="18"/>
        <v>0.15999279217397033</v>
      </c>
      <c r="E109" s="105">
        <f t="shared" si="19"/>
        <v>0.2896098290823188</v>
      </c>
      <c r="F109" s="669">
        <f t="shared" si="14"/>
        <v>3.6825877014369658E-2</v>
      </c>
      <c r="G109" s="105">
        <f t="shared" si="14"/>
        <v>7.1324684391180407E-2</v>
      </c>
      <c r="H109" s="105">
        <f t="shared" si="14"/>
        <v>7.1615568095875271E-2</v>
      </c>
      <c r="I109" s="105">
        <f t="shared" si="20"/>
        <v>8.4178071989751024E-2</v>
      </c>
      <c r="J109" s="25">
        <f t="shared" si="21"/>
        <v>1</v>
      </c>
      <c r="N109" s="23">
        <v>2047</v>
      </c>
      <c r="O109" s="42">
        <f>1-SUM(P109:T109)-U109</f>
        <v>0.46311957543865973</v>
      </c>
      <c r="P109" s="42">
        <f t="shared" si="24"/>
        <v>0</v>
      </c>
      <c r="Q109" s="42">
        <f t="shared" si="16"/>
        <v>0.52962150736671876</v>
      </c>
      <c r="R109" s="42">
        <f t="shared" si="24"/>
        <v>0</v>
      </c>
      <c r="S109" s="42">
        <f t="shared" si="24"/>
        <v>0</v>
      </c>
      <c r="T109" s="42">
        <f t="shared" si="24"/>
        <v>0</v>
      </c>
      <c r="U109" s="42">
        <f>TREND(U$74:U$78,$N$74:$N$78,$N109)</f>
        <v>7.258917194621517E-3</v>
      </c>
      <c r="V109" s="25">
        <f t="shared" si="22"/>
        <v>1</v>
      </c>
      <c r="X109" s="17"/>
      <c r="Z109" s="23">
        <v>2047</v>
      </c>
      <c r="AA109" s="105">
        <f>(C109-(O109*(1-'Future Type Share'!$AL48)))/'Future Type Share'!$AL48</f>
        <v>0.22457253863163182</v>
      </c>
      <c r="AB109" s="105">
        <f>(D109-(P109*(1-'Future Type Share'!AL48)))/'Future Type Share'!$AL48</f>
        <v>0.21603319519410841</v>
      </c>
      <c r="AC109" s="105">
        <f>(E109-(Q109*(1-'Future Type Share'!$AL48)))/'Future Type Share'!$AL48</f>
        <v>0.205541347009876</v>
      </c>
      <c r="AD109" s="105">
        <f>(F109-(R109*(1-'Future Type Share'!$AL48)))/'Future Type Share'!$AL48</f>
        <v>4.9724814281564056E-2</v>
      </c>
      <c r="AE109" s="105">
        <f>(G109-(S109*(1-'Future Type Share'!$AL48)))/'Future Type Share'!$AL48</f>
        <v>9.6307460204103523E-2</v>
      </c>
      <c r="AF109" s="105">
        <f>(H109-(T109*(1-'Future Type Share'!$AL48)))/'Future Type Share'!$AL48</f>
        <v>9.6700231248981597E-2</v>
      </c>
      <c r="AG109" s="105">
        <f>(I109-(U109*(1-'Future Type Share'!$AL48)))/'Future Type Share'!$AL48</f>
        <v>0.11112041342973461</v>
      </c>
      <c r="AH109" s="25">
        <f t="shared" si="23"/>
        <v>1</v>
      </c>
    </row>
    <row r="110" spans="2:34">
      <c r="B110" s="23">
        <v>2048</v>
      </c>
      <c r="C110" s="105">
        <f t="shared" si="17"/>
        <v>0.28630138851794912</v>
      </c>
      <c r="D110" s="105">
        <f t="shared" si="18"/>
        <v>0.15813893618228492</v>
      </c>
      <c r="E110" s="105">
        <f t="shared" si="19"/>
        <v>0.29150816447184003</v>
      </c>
      <c r="F110" s="669">
        <f t="shared" si="14"/>
        <v>3.6825877014369658E-2</v>
      </c>
      <c r="G110" s="105">
        <f t="shared" si="14"/>
        <v>7.1324684391180407E-2</v>
      </c>
      <c r="H110" s="105">
        <f t="shared" si="14"/>
        <v>7.1615568095875271E-2</v>
      </c>
      <c r="I110" s="105">
        <f t="shared" si="20"/>
        <v>8.428538132650068E-2</v>
      </c>
      <c r="J110" s="25">
        <f t="shared" si="21"/>
        <v>1.0000000000000002</v>
      </c>
      <c r="N110" s="23">
        <v>2048</v>
      </c>
      <c r="O110" s="42">
        <f>1-SUM(P110:T110)-U110</f>
        <v>0.46207961946231046</v>
      </c>
      <c r="P110" s="42">
        <f t="shared" si="24"/>
        <v>0</v>
      </c>
      <c r="Q110" s="42">
        <f t="shared" si="16"/>
        <v>0.53055322000962435</v>
      </c>
      <c r="R110" s="42">
        <f t="shared" si="24"/>
        <v>0</v>
      </c>
      <c r="S110" s="42">
        <f t="shared" si="24"/>
        <v>0</v>
      </c>
      <c r="T110" s="42">
        <f t="shared" si="24"/>
        <v>0</v>
      </c>
      <c r="U110" s="42">
        <f>TREND(U$74:U$78,$N$74:$N$78,$N110)</f>
        <v>7.3671605280651586E-3</v>
      </c>
      <c r="V110" s="25">
        <f t="shared" si="22"/>
        <v>1</v>
      </c>
      <c r="X110" s="17"/>
      <c r="Z110" s="23">
        <v>2048</v>
      </c>
      <c r="AA110" s="105">
        <f>(C110-(O110*(1-'Future Type Share'!$AL49)))/'Future Type Share'!$AL49</f>
        <v>0.22573247934679763</v>
      </c>
      <c r="AB110" s="105">
        <f>(D110-(P110*(1-'Future Type Share'!AL49)))/'Future Type Share'!$AL49</f>
        <v>0.212629772792645</v>
      </c>
      <c r="AC110" s="105">
        <f>(E110-(Q110*(1-'Future Type Share'!$AL49)))/'Future Type Share'!$AL49</f>
        <v>0.20913904413825432</v>
      </c>
      <c r="AD110" s="105">
        <f>(F110-(R110*(1-'Future Type Share'!$AL49)))/'Future Type Share'!$AL49</f>
        <v>4.9515179825349517E-2</v>
      </c>
      <c r="AE110" s="105">
        <f>(G110-(S110*(1-'Future Type Share'!$AL49)))/'Future Type Share'!$AL49</f>
        <v>9.5901438334721173E-2</v>
      </c>
      <c r="AF110" s="105">
        <f>(H110-(T110*(1-'Future Type Share'!$AL49)))/'Future Type Share'!$AL49</f>
        <v>9.6292553499218406E-2</v>
      </c>
      <c r="AG110" s="105">
        <f>(I110-(U110*(1-'Future Type Share'!$AL49)))/'Future Type Share'!$AL49</f>
        <v>0.11078953206301408</v>
      </c>
      <c r="AH110" s="25">
        <f t="shared" si="23"/>
        <v>1</v>
      </c>
    </row>
    <row r="111" spans="2:34">
      <c r="B111" s="23">
        <v>2049</v>
      </c>
      <c r="C111" s="105">
        <f t="shared" si="17"/>
        <v>0.28614959978336374</v>
      </c>
      <c r="D111" s="105">
        <f t="shared" si="18"/>
        <v>0.15628508019059939</v>
      </c>
      <c r="E111" s="105">
        <f t="shared" si="19"/>
        <v>0.29340649986136125</v>
      </c>
      <c r="F111" s="669">
        <f t="shared" si="14"/>
        <v>3.6825877014369658E-2</v>
      </c>
      <c r="G111" s="105">
        <f t="shared" si="14"/>
        <v>7.1324684391180407E-2</v>
      </c>
      <c r="H111" s="105">
        <f t="shared" si="14"/>
        <v>7.1615568095875271E-2</v>
      </c>
      <c r="I111" s="105">
        <f t="shared" si="20"/>
        <v>8.4392690663250336E-2</v>
      </c>
      <c r="J111" s="25">
        <f t="shared" si="21"/>
        <v>1.0000000000000002</v>
      </c>
      <c r="N111" s="23">
        <v>2049</v>
      </c>
      <c r="O111" s="42">
        <f>1-SUM(P111:T111)-U111</f>
        <v>0.46103966348596126</v>
      </c>
      <c r="P111" s="42">
        <f t="shared" si="24"/>
        <v>0</v>
      </c>
      <c r="Q111" s="42">
        <f t="shared" si="16"/>
        <v>0.53148493265252994</v>
      </c>
      <c r="R111" s="42">
        <f t="shared" si="24"/>
        <v>0</v>
      </c>
      <c r="S111" s="42">
        <f t="shared" si="24"/>
        <v>0</v>
      </c>
      <c r="T111" s="42">
        <f t="shared" si="24"/>
        <v>0</v>
      </c>
      <c r="U111" s="42">
        <f>TREND(U$74:U$78,$N$74:$N$78,$N111)</f>
        <v>7.4754038615088003E-3</v>
      </c>
      <c r="V111" s="25">
        <f t="shared" si="22"/>
        <v>1</v>
      </c>
      <c r="X111" s="17"/>
      <c r="Z111" s="23">
        <v>2049</v>
      </c>
      <c r="AA111" s="105">
        <f>(C111-(O111*(1-'Future Type Share'!$AL50)))/'Future Type Share'!$AL50</f>
        <v>0.2268739488799113</v>
      </c>
      <c r="AB111" s="105">
        <f>(D111-(P111*(1-'Future Type Share'!AL50)))/'Future Type Share'!$AL50</f>
        <v>0.20925492683980298</v>
      </c>
      <c r="AC111" s="105">
        <f>(E111-(Q111*(1-'Future Type Share'!$AL50)))/'Future Type Share'!$AL50</f>
        <v>0.21271435663149532</v>
      </c>
      <c r="AD111" s="105">
        <f>(F111-(R111*(1-'Future Type Share'!$AL50)))/'Future Type Share'!$AL50</f>
        <v>4.9307305540973984E-2</v>
      </c>
      <c r="AE111" s="105">
        <f>(G111-(S111*(1-'Future Type Share'!$AL50)))/'Future Type Share'!$AL50</f>
        <v>9.5498825581728439E-2</v>
      </c>
      <c r="AF111" s="105">
        <f>(H111-(T111*(1-'Future Type Share'!$AL50)))/'Future Type Share'!$AL50</f>
        <v>9.5888298769255878E-2</v>
      </c>
      <c r="AG111" s="105">
        <f>(I111-(U111*(1-'Future Type Share'!$AL50)))/'Future Type Share'!$AL50</f>
        <v>0.11046233775683215</v>
      </c>
      <c r="AH111" s="25">
        <f t="shared" si="23"/>
        <v>0.99999999999999989</v>
      </c>
    </row>
    <row r="112" spans="2:34">
      <c r="B112" s="26">
        <v>2050</v>
      </c>
      <c r="C112" s="106">
        <f t="shared" si="17"/>
        <v>0.28599781104877842</v>
      </c>
      <c r="D112" s="106">
        <f t="shared" si="18"/>
        <v>0.15443122419891375</v>
      </c>
      <c r="E112" s="106">
        <f t="shared" si="19"/>
        <v>0.29530483525088247</v>
      </c>
      <c r="F112" s="28">
        <f t="shared" si="14"/>
        <v>3.6825877014369658E-2</v>
      </c>
      <c r="G112" s="106">
        <f t="shared" si="14"/>
        <v>7.1324684391180407E-2</v>
      </c>
      <c r="H112" s="106">
        <f t="shared" si="14"/>
        <v>7.1615568095875271E-2</v>
      </c>
      <c r="I112" s="106">
        <f t="shared" si="20"/>
        <v>8.4499999999999992E-2</v>
      </c>
      <c r="J112" s="29">
        <f t="shared" si="21"/>
        <v>1</v>
      </c>
      <c r="N112" s="26">
        <v>2050</v>
      </c>
      <c r="O112" s="43">
        <f>1-SUM(P112:T112)-U112</f>
        <v>0.45999970750961228</v>
      </c>
      <c r="P112" s="43">
        <f t="shared" si="24"/>
        <v>0</v>
      </c>
      <c r="Q112" s="43">
        <f t="shared" si="16"/>
        <v>0.53241664529543531</v>
      </c>
      <c r="R112" s="43">
        <f t="shared" si="24"/>
        <v>0</v>
      </c>
      <c r="S112" s="43">
        <f t="shared" si="24"/>
        <v>0</v>
      </c>
      <c r="T112" s="43">
        <f t="shared" si="24"/>
        <v>0</v>
      </c>
      <c r="U112" s="43">
        <f>TREND(U$74:U$78,$N$74:$N$78,$N112)</f>
        <v>7.583647194952442E-3</v>
      </c>
      <c r="V112" s="29">
        <f t="shared" si="22"/>
        <v>1</v>
      </c>
      <c r="X112" s="17"/>
      <c r="Z112" s="26">
        <v>2050</v>
      </c>
      <c r="AA112" s="106">
        <f>(C112-(O112*(1-'Future Type Share'!$AL51)))/'Future Type Share'!$AL51</f>
        <v>0.22799717889516713</v>
      </c>
      <c r="AB112" s="106">
        <f>(D112-(P112*(1-'Future Type Share'!AL51)))/'Future Type Share'!$AL51</f>
        <v>0.205908298931885</v>
      </c>
      <c r="AC112" s="106">
        <f>(E112-(Q112*(1-'Future Type Share'!$AL51)))/'Future Type Share'!$AL51</f>
        <v>0.21626756523603152</v>
      </c>
      <c r="AD112" s="106">
        <f>(F112-(R112*(1-'Future Type Share'!$AL51)))/'Future Type Share'!$AL51</f>
        <v>4.9101169352492875E-2</v>
      </c>
      <c r="AE112" s="106">
        <f>(G112-(S112*(1-'Future Type Share'!$AL51)))/'Future Type Share'!$AL51</f>
        <v>9.5099579188240538E-2</v>
      </c>
      <c r="AF112" s="106">
        <f>(H112-(T112*(1-'Future Type Share'!$AL51)))/'Future Type Share'!$AL51</f>
        <v>9.5487424127833689E-2</v>
      </c>
      <c r="AG112" s="106">
        <f>(I112-(U112*(1-'Future Type Share'!$AL51)))/'Future Type Share'!$AL51</f>
        <v>0.11013878426834918</v>
      </c>
      <c r="AH112" s="29">
        <f t="shared" si="23"/>
        <v>1</v>
      </c>
    </row>
    <row r="113" spans="1:46">
      <c r="D113" s="1"/>
      <c r="E113" s="1"/>
      <c r="F113" s="17"/>
      <c r="G113" s="1"/>
      <c r="I113" s="1"/>
      <c r="J113" s="17"/>
      <c r="AB113" s="1"/>
      <c r="AC113" s="1"/>
      <c r="AD113" s="17"/>
      <c r="AE113" s="1"/>
      <c r="AF113" s="1"/>
      <c r="AG113" s="1"/>
      <c r="AH113" s="17"/>
      <c r="AI113" s="17"/>
      <c r="AJ113" s="17"/>
      <c r="AM113" s="1"/>
      <c r="AN113" s="1"/>
      <c r="AO113" s="1"/>
      <c r="AP113" s="1"/>
      <c r="AR113" s="1"/>
      <c r="AS113" s="17"/>
      <c r="AT113" s="17"/>
    </row>
    <row r="114" spans="1:46">
      <c r="B114">
        <v>2016</v>
      </c>
      <c r="D114" s="1"/>
      <c r="E114" s="1"/>
      <c r="F114" s="17"/>
      <c r="G114" s="1"/>
      <c r="H114" s="1"/>
      <c r="I114" s="1">
        <f>I78</f>
        <v>7.6793298039443833E-2</v>
      </c>
      <c r="J114" s="17"/>
      <c r="AB114" s="1"/>
      <c r="AC114" s="1"/>
      <c r="AD114" s="17"/>
      <c r="AE114" s="1"/>
      <c r="AF114" s="1"/>
      <c r="AG114" s="1"/>
      <c r="AH114" s="17"/>
      <c r="AI114" s="17"/>
      <c r="AJ114" s="17"/>
      <c r="AK114" s="17"/>
      <c r="AM114" s="1"/>
      <c r="AN114" s="17"/>
      <c r="AO114" s="17"/>
      <c r="AP114" s="17"/>
      <c r="AR114" s="1"/>
      <c r="AS114" s="17"/>
      <c r="AT114" s="17"/>
    </row>
    <row r="115" spans="1:46">
      <c r="B115">
        <v>2050</v>
      </c>
      <c r="E115" s="17"/>
      <c r="F115" s="17"/>
      <c r="G115" s="17"/>
      <c r="H115" s="17"/>
      <c r="I115" s="17">
        <v>8.4500000000000006E-2</v>
      </c>
      <c r="AN115" s="17"/>
      <c r="AO115" s="17"/>
      <c r="AP115" s="1"/>
    </row>
    <row r="116" spans="1:46">
      <c r="E116" s="17"/>
      <c r="F116" s="17"/>
      <c r="G116" s="17"/>
      <c r="H116" s="17"/>
      <c r="I116" s="1"/>
      <c r="J116" s="17"/>
      <c r="AN116" s="17"/>
      <c r="AO116" s="17"/>
      <c r="AP116" s="1"/>
    </row>
    <row r="117" spans="1:46" s="56" customFormat="1">
      <c r="A117" s="150" t="s">
        <v>92</v>
      </c>
    </row>
    <row r="118" spans="1:46">
      <c r="B118" s="128" t="s">
        <v>509</v>
      </c>
      <c r="C118" s="739"/>
      <c r="D118" s="21"/>
      <c r="E118" s="21"/>
      <c r="F118" s="21"/>
      <c r="G118" s="21"/>
      <c r="H118" s="21"/>
      <c r="I118" s="21"/>
      <c r="J118" s="22"/>
      <c r="M118" s="128" t="s">
        <v>525</v>
      </c>
      <c r="N118" s="21"/>
      <c r="O118" s="21"/>
      <c r="P118" s="21"/>
      <c r="Q118" s="21"/>
      <c r="R118" s="21"/>
      <c r="S118" s="21"/>
      <c r="T118" s="22"/>
      <c r="U118" s="22"/>
      <c r="Z118" s="475" t="s">
        <v>915</v>
      </c>
      <c r="AA118" s="741"/>
      <c r="AB118" s="21"/>
      <c r="AC118" s="21"/>
      <c r="AD118" s="21"/>
      <c r="AE118" s="21"/>
      <c r="AF118" s="21"/>
      <c r="AG118" s="21"/>
      <c r="AH118" s="22"/>
      <c r="AM118" s="130" t="s">
        <v>916</v>
      </c>
      <c r="AN118" s="131"/>
      <c r="AO118" s="131"/>
      <c r="AP118" s="131"/>
      <c r="AQ118" s="131"/>
      <c r="AR118" s="131"/>
      <c r="AS118" s="131"/>
      <c r="AT118" s="132"/>
    </row>
    <row r="119" spans="1:46">
      <c r="B119" s="23"/>
      <c r="C119" s="668"/>
      <c r="D119" t="s">
        <v>510</v>
      </c>
      <c r="E119" t="s">
        <v>589</v>
      </c>
      <c r="F119" t="s">
        <v>512</v>
      </c>
      <c r="G119" t="s">
        <v>514</v>
      </c>
      <c r="H119" t="s">
        <v>515</v>
      </c>
      <c r="I119" t="s">
        <v>516</v>
      </c>
      <c r="J119" s="24" t="s">
        <v>517</v>
      </c>
      <c r="M119" s="23"/>
      <c r="N119" s="668" t="s">
        <v>510</v>
      </c>
      <c r="O119" s="668" t="s">
        <v>589</v>
      </c>
      <c r="P119" s="668" t="s">
        <v>512</v>
      </c>
      <c r="Q119" s="668" t="s">
        <v>514</v>
      </c>
      <c r="R119" s="668" t="s">
        <v>515</v>
      </c>
      <c r="S119" s="668" t="s">
        <v>516</v>
      </c>
      <c r="T119" s="24" t="s">
        <v>517</v>
      </c>
      <c r="Z119" s="23"/>
      <c r="AA119" s="668"/>
      <c r="AB119" s="668" t="s">
        <v>510</v>
      </c>
      <c r="AC119" s="668" t="s">
        <v>589</v>
      </c>
      <c r="AD119" s="668" t="s">
        <v>512</v>
      </c>
      <c r="AE119" s="668" t="s">
        <v>514</v>
      </c>
      <c r="AF119" s="668" t="s">
        <v>515</v>
      </c>
      <c r="AG119" s="668" t="s">
        <v>516</v>
      </c>
      <c r="AH119" s="24" t="s">
        <v>517</v>
      </c>
      <c r="AM119" s="133"/>
      <c r="AN119" s="105" t="s">
        <v>538</v>
      </c>
      <c r="AO119" s="105" t="s">
        <v>596</v>
      </c>
      <c r="AP119" s="105" t="s">
        <v>540</v>
      </c>
      <c r="AQ119" s="105" t="s">
        <v>541</v>
      </c>
      <c r="AR119" s="105" t="s">
        <v>542</v>
      </c>
      <c r="AS119" s="105" t="s">
        <v>543</v>
      </c>
      <c r="AT119" s="129" t="s">
        <v>544</v>
      </c>
    </row>
    <row r="120" spans="1:46">
      <c r="B120" s="23">
        <v>2006</v>
      </c>
      <c r="C120" s="668"/>
      <c r="D120" s="524">
        <f>Commercial8EndUse!H7</f>
        <v>0.26761631549444387</v>
      </c>
      <c r="E120" s="524">
        <f>Commercial8EndUse!I7</f>
        <v>0.08</v>
      </c>
      <c r="F120" s="524">
        <f>Commercial8EndUse!J7</f>
        <v>0.15</v>
      </c>
      <c r="G120" s="524">
        <f>Commercial8EndUse!K7</f>
        <v>0.05</v>
      </c>
      <c r="H120" s="524">
        <f>Commercial8EndUse!L7</f>
        <v>0.15</v>
      </c>
      <c r="I120" s="524">
        <f>Commercial8EndUse!M7</f>
        <v>0.3</v>
      </c>
      <c r="J120" s="525">
        <f>SUM(D120:I120)</f>
        <v>0.99761631549444396</v>
      </c>
      <c r="M120" s="23">
        <v>2006</v>
      </c>
      <c r="N120" s="669">
        <f>Commercial8EndUse!H28</f>
        <v>0.33</v>
      </c>
      <c r="O120" s="669">
        <f>Commercial8EndUse!I28</f>
        <v>0.05</v>
      </c>
      <c r="P120" s="669">
        <f>Commercial8EndUse!J28</f>
        <v>0.17</v>
      </c>
      <c r="Q120" s="669">
        <f>Commercial8EndUse!K28</f>
        <v>0.06</v>
      </c>
      <c r="R120" s="669">
        <f>Commercial8EndUse!L28</f>
        <v>0.06</v>
      </c>
      <c r="S120" s="669">
        <f>Commercial8EndUse!M28</f>
        <v>0.33</v>
      </c>
      <c r="T120" s="25">
        <f>SUM(N120:S120)</f>
        <v>1.0000000000000002</v>
      </c>
      <c r="Z120" s="23">
        <v>2006</v>
      </c>
      <c r="AA120" s="668"/>
      <c r="AB120" s="42">
        <f>Commercial8EndUse!S54</f>
        <v>0</v>
      </c>
      <c r="AC120" s="42">
        <f>Commercial8EndUse!T54</f>
        <v>0.23077880109872348</v>
      </c>
      <c r="AD120" s="42">
        <f>Commercial8EndUse!U54</f>
        <v>4.9480799267517493E-2</v>
      </c>
      <c r="AE120" s="42">
        <f>Commercial8EndUse!V54</f>
        <v>-2.5960036624111591E-4</v>
      </c>
      <c r="AF120" s="42">
        <f>Commercial8EndUse!W54</f>
        <v>0.60233640329617055</v>
      </c>
      <c r="AG120" s="42">
        <f>Commercial8EndUse!X54</f>
        <v>0.11766359670382953</v>
      </c>
      <c r="AH120" s="476">
        <f>Commercial8EndUse!Y54</f>
        <v>1</v>
      </c>
      <c r="AM120" s="134">
        <v>2006</v>
      </c>
      <c r="AN120" s="105">
        <v>0</v>
      </c>
      <c r="AO120" s="105">
        <v>0.23077880109872348</v>
      </c>
      <c r="AP120" s="105">
        <v>0</v>
      </c>
      <c r="AQ120" s="105">
        <v>-2.5960036624111591E-4</v>
      </c>
      <c r="AR120" s="105">
        <f>1-AO120</f>
        <v>0.76922119890127649</v>
      </c>
      <c r="AS120" s="105">
        <v>0</v>
      </c>
      <c r="AT120" s="129">
        <v>1</v>
      </c>
    </row>
    <row r="121" spans="1:46">
      <c r="B121" s="23">
        <v>2007</v>
      </c>
      <c r="C121" s="668"/>
      <c r="D121" s="524">
        <f>Commercial8EndUse!H8</f>
        <v>0.27</v>
      </c>
      <c r="E121" s="524">
        <f>Commercial8EndUse!I8</f>
        <v>0.06</v>
      </c>
      <c r="F121" s="524">
        <f>Commercial8EndUse!J8</f>
        <v>0.15</v>
      </c>
      <c r="G121" s="524">
        <f>Commercial8EndUse!K8</f>
        <v>0.04</v>
      </c>
      <c r="H121" s="524">
        <f>Commercial8EndUse!L8</f>
        <v>0.11</v>
      </c>
      <c r="I121" s="524">
        <f>Commercial8EndUse!M8</f>
        <v>0.37</v>
      </c>
      <c r="J121" s="525">
        <f t="shared" ref="J121:J135" si="25">SUM(D121:I121)</f>
        <v>1</v>
      </c>
      <c r="M121" s="23">
        <v>2007</v>
      </c>
      <c r="N121" s="676" t="s">
        <v>526</v>
      </c>
      <c r="O121" s="676"/>
      <c r="P121" s="676"/>
      <c r="Q121" s="676"/>
      <c r="R121" s="676"/>
      <c r="S121" s="676"/>
      <c r="T121" s="44"/>
      <c r="Z121" s="23">
        <v>2007</v>
      </c>
      <c r="AA121" s="668"/>
      <c r="AB121" s="542" t="str">
        <f>Commercial8EndUse!S55</f>
        <v>No data</v>
      </c>
      <c r="AC121" s="542"/>
      <c r="AD121" s="542"/>
      <c r="AE121" s="542"/>
      <c r="AF121" s="542"/>
      <c r="AG121" s="542"/>
      <c r="AH121" s="543"/>
      <c r="AM121" s="134">
        <v>2007</v>
      </c>
      <c r="AN121" s="542" t="s">
        <v>597</v>
      </c>
      <c r="AO121" s="542"/>
      <c r="AP121" s="542"/>
      <c r="AQ121" s="542"/>
      <c r="AR121" s="542"/>
      <c r="AS121" s="542"/>
      <c r="AT121" s="543"/>
    </row>
    <row r="122" spans="1:46">
      <c r="B122" s="23">
        <v>2008</v>
      </c>
      <c r="C122" s="668"/>
      <c r="D122" s="524">
        <f>Commercial8EndUse!H9</f>
        <v>0.24</v>
      </c>
      <c r="E122" s="524">
        <f>Commercial8EndUse!I9</f>
        <v>0.1</v>
      </c>
      <c r="F122" s="524">
        <f>Commercial8EndUse!J9</f>
        <v>0.1</v>
      </c>
      <c r="G122" s="524">
        <f>Commercial8EndUse!K9</f>
        <v>0.05</v>
      </c>
      <c r="H122" s="524">
        <f>Commercial8EndUse!L9</f>
        <v>0.13</v>
      </c>
      <c r="I122" s="524">
        <f>Commercial8EndUse!M9</f>
        <v>0.38</v>
      </c>
      <c r="J122" s="525">
        <f t="shared" si="25"/>
        <v>0.99999999999999989</v>
      </c>
      <c r="M122" s="23">
        <v>2008</v>
      </c>
      <c r="N122" s="676"/>
      <c r="O122" s="676"/>
      <c r="P122" s="676"/>
      <c r="Q122" s="676"/>
      <c r="R122" s="676"/>
      <c r="S122" s="676"/>
      <c r="T122" s="44"/>
      <c r="Z122" s="23">
        <v>2008</v>
      </c>
      <c r="AA122" s="668"/>
      <c r="AB122" s="542"/>
      <c r="AC122" s="542"/>
      <c r="AD122" s="542"/>
      <c r="AE122" s="542"/>
      <c r="AF122" s="542"/>
      <c r="AG122" s="542"/>
      <c r="AH122" s="543"/>
      <c r="AJ122" t="s">
        <v>537</v>
      </c>
      <c r="AM122" s="134">
        <v>2008</v>
      </c>
      <c r="AN122" s="542"/>
      <c r="AO122" s="542"/>
      <c r="AP122" s="542"/>
      <c r="AQ122" s="542"/>
      <c r="AR122" s="542"/>
      <c r="AS122" s="542"/>
      <c r="AT122" s="543"/>
    </row>
    <row r="123" spans="1:46">
      <c r="B123" s="23">
        <v>2009</v>
      </c>
      <c r="C123" s="668"/>
      <c r="D123" s="524">
        <f>Commercial8EndUse!H10</f>
        <v>0.24</v>
      </c>
      <c r="E123" s="524">
        <f>Commercial8EndUse!I10</f>
        <v>0.1</v>
      </c>
      <c r="F123" s="524">
        <f>Commercial8EndUse!J10</f>
        <v>0.1</v>
      </c>
      <c r="G123" s="524">
        <f>Commercial8EndUse!K10</f>
        <v>0.05</v>
      </c>
      <c r="H123" s="524">
        <f>Commercial8EndUse!L10</f>
        <v>0.13</v>
      </c>
      <c r="I123" s="524">
        <f>Commercial8EndUse!M10</f>
        <v>0.38</v>
      </c>
      <c r="J123" s="525">
        <f t="shared" si="25"/>
        <v>0.99999999999999989</v>
      </c>
      <c r="M123" s="23">
        <v>2009</v>
      </c>
      <c r="N123" s="676"/>
      <c r="O123" s="676"/>
      <c r="P123" s="676"/>
      <c r="Q123" s="676"/>
      <c r="R123" s="676"/>
      <c r="S123" s="676"/>
      <c r="T123" s="44"/>
      <c r="Z123" s="23">
        <v>2009</v>
      </c>
      <c r="AA123" s="668"/>
      <c r="AB123" s="542"/>
      <c r="AC123" s="542"/>
      <c r="AD123" s="542"/>
      <c r="AE123" s="542"/>
      <c r="AF123" s="542"/>
      <c r="AG123" s="542"/>
      <c r="AH123" s="543"/>
      <c r="AJ123" t="s">
        <v>545</v>
      </c>
      <c r="AM123" s="134">
        <v>2009</v>
      </c>
      <c r="AN123" s="542"/>
      <c r="AO123" s="542"/>
      <c r="AP123" s="542"/>
      <c r="AQ123" s="542"/>
      <c r="AR123" s="542"/>
      <c r="AS123" s="542"/>
      <c r="AT123" s="543"/>
    </row>
    <row r="124" spans="1:46">
      <c r="B124" s="23">
        <v>2010</v>
      </c>
      <c r="C124" s="668"/>
      <c r="D124" s="524">
        <f>Commercial8EndUse!H11</f>
        <v>0.25</v>
      </c>
      <c r="E124" s="524">
        <f>Commercial8EndUse!I11</f>
        <v>0.1</v>
      </c>
      <c r="F124" s="524">
        <f>Commercial8EndUse!J11</f>
        <v>0.12</v>
      </c>
      <c r="G124" s="524">
        <f>Commercial8EndUse!K11</f>
        <v>0.05</v>
      </c>
      <c r="H124" s="524">
        <f>Commercial8EndUse!L11</f>
        <v>0.13</v>
      </c>
      <c r="I124" s="524">
        <f>Commercial8EndUse!M11</f>
        <v>0.35</v>
      </c>
      <c r="J124" s="525">
        <f t="shared" si="25"/>
        <v>1</v>
      </c>
      <c r="M124" s="23">
        <v>2010</v>
      </c>
      <c r="N124" s="676"/>
      <c r="O124" s="676"/>
      <c r="P124" s="676"/>
      <c r="Q124" s="676"/>
      <c r="R124" s="676"/>
      <c r="S124" s="676"/>
      <c r="T124" s="44"/>
      <c r="Z124" s="23">
        <v>2010</v>
      </c>
      <c r="AA124" s="668"/>
      <c r="AB124" s="542"/>
      <c r="AC124" s="542"/>
      <c r="AD124" s="542"/>
      <c r="AE124" s="542"/>
      <c r="AF124" s="542"/>
      <c r="AG124" s="542"/>
      <c r="AH124" s="543"/>
      <c r="AJ124" t="s">
        <v>917</v>
      </c>
      <c r="AM124" s="134">
        <v>2010</v>
      </c>
      <c r="AN124" s="542"/>
      <c r="AO124" s="542"/>
      <c r="AP124" s="542"/>
      <c r="AQ124" s="542"/>
      <c r="AR124" s="542"/>
      <c r="AS124" s="542"/>
      <c r="AT124" s="543"/>
    </row>
    <row r="125" spans="1:46">
      <c r="B125" s="23">
        <v>2011</v>
      </c>
      <c r="C125" s="668"/>
      <c r="D125" s="524">
        <f>Commercial8EndUse!H12</f>
        <v>0.24622452849705204</v>
      </c>
      <c r="E125" s="524">
        <f>Commercial8EndUse!I12</f>
        <v>6.1691893942005999E-2</v>
      </c>
      <c r="F125" s="524">
        <f>Commercial8EndUse!J12</f>
        <v>0.11631555356342448</v>
      </c>
      <c r="G125" s="524">
        <f>Commercial8EndUse!K12</f>
        <v>3.4298176050753373E-2</v>
      </c>
      <c r="H125" s="524">
        <f>Commercial8EndUse!L12</f>
        <v>0.1115574250939558</v>
      </c>
      <c r="I125" s="524">
        <f>Commercial8EndUse!M12</f>
        <v>0.42991242285280834</v>
      </c>
      <c r="J125" s="525">
        <f t="shared" si="25"/>
        <v>1</v>
      </c>
      <c r="M125" s="23">
        <v>2011</v>
      </c>
      <c r="N125" s="742">
        <f>Commercial8EndUse!H33</f>
        <v>0.28580723301602556</v>
      </c>
      <c r="O125" s="742">
        <f>Commercial8EndUse!I33</f>
        <v>3.2992002242174912E-2</v>
      </c>
      <c r="P125" s="742">
        <f>Commercial8EndUse!J33</f>
        <v>0.13507101888832168</v>
      </c>
      <c r="Q125" s="742">
        <f>Commercial8EndUse!K33</f>
        <v>3.9828633774761521E-2</v>
      </c>
      <c r="R125" s="742">
        <f>Commercial8EndUse!L33</f>
        <v>4.1870614496061179E-2</v>
      </c>
      <c r="S125" s="742">
        <f>Commercial8EndUse!M33</f>
        <v>0.4644304975826552</v>
      </c>
      <c r="T125" s="525">
        <f t="shared" ref="T125:T126" si="26">SUM(N125:S125)</f>
        <v>1</v>
      </c>
      <c r="Z125" s="23">
        <v>2011</v>
      </c>
      <c r="AA125" s="668"/>
      <c r="AB125" s="105">
        <f>Commercial8EndUse!S59</f>
        <v>7.4492519709479178E-4</v>
      </c>
      <c r="AC125" s="105">
        <f>Commercial8EndUse!T59</f>
        <v>0.23967968216524924</v>
      </c>
      <c r="AD125" s="105">
        <f>Commercial8EndUse!U59</f>
        <v>0</v>
      </c>
      <c r="AE125" s="105">
        <f>Commercial8EndUse!V59</f>
        <v>0</v>
      </c>
      <c r="AF125" s="105">
        <f>Commercial8EndUse!W59</f>
        <v>0.54373331677944003</v>
      </c>
      <c r="AG125" s="105">
        <f>Commercial8EndUse!X59</f>
        <v>0.21584207585821591</v>
      </c>
      <c r="AH125" s="129">
        <f>Commercial8EndUse!Y59</f>
        <v>1</v>
      </c>
      <c r="AJ125" t="s">
        <v>918</v>
      </c>
      <c r="AM125" s="134">
        <v>2011</v>
      </c>
      <c r="AN125" s="105">
        <f>AB125</f>
        <v>7.4492519709479178E-4</v>
      </c>
      <c r="AO125" s="105">
        <f t="shared" ref="AO125:AS125" si="27">AC125</f>
        <v>0.23967968216524924</v>
      </c>
      <c r="AP125" s="105">
        <f t="shared" si="27"/>
        <v>0</v>
      </c>
      <c r="AQ125" s="105">
        <f t="shared" si="27"/>
        <v>0</v>
      </c>
      <c r="AR125" s="105">
        <f t="shared" si="27"/>
        <v>0.54373331677944003</v>
      </c>
      <c r="AS125" s="105">
        <f t="shared" si="27"/>
        <v>0.21584207585821591</v>
      </c>
      <c r="AT125" s="25">
        <f>SUM(AN125:AS125)</f>
        <v>1</v>
      </c>
    </row>
    <row r="126" spans="1:46">
      <c r="B126" s="23">
        <v>2012</v>
      </c>
      <c r="C126" s="668"/>
      <c r="D126" s="524">
        <f>Commercial8EndUse!H13</f>
        <v>0.24324986689878392</v>
      </c>
      <c r="E126" s="524">
        <f>Commercial8EndUse!I13</f>
        <v>6.276461789387397E-2</v>
      </c>
      <c r="F126" s="524">
        <f>Commercial8EndUse!J13</f>
        <v>0.11570932384582232</v>
      </c>
      <c r="G126" s="524">
        <f>Commercial8EndUse!K13</f>
        <v>3.4276732217254989E-2</v>
      </c>
      <c r="H126" s="524">
        <f>Commercial8EndUse!L13</f>
        <v>0.1109176800669309</v>
      </c>
      <c r="I126" s="524">
        <f>Commercial8EndUse!M13</f>
        <v>0.43308177907733392</v>
      </c>
      <c r="J126" s="525">
        <f t="shared" si="25"/>
        <v>1</v>
      </c>
      <c r="M126" s="23">
        <v>2012</v>
      </c>
      <c r="N126" s="742">
        <f>Commercial8EndUse!H34</f>
        <v>0.2810875766931103</v>
      </c>
      <c r="O126" s="742">
        <f>Commercial8EndUse!I34</f>
        <v>3.3510492789870651E-2</v>
      </c>
      <c r="P126" s="742">
        <f>Commercial8EndUse!J34</f>
        <v>0.13376841611629997</v>
      </c>
      <c r="Q126" s="742">
        <f>Commercial8EndUse!K34</f>
        <v>3.9626401969596312E-2</v>
      </c>
      <c r="R126" s="742">
        <f>Commercial8EndUse!L34</f>
        <v>4.5292899292664814E-2</v>
      </c>
      <c r="S126" s="742">
        <f>Commercial8EndUse!M34</f>
        <v>0.46671421313845796</v>
      </c>
      <c r="T126" s="525">
        <f t="shared" si="26"/>
        <v>1</v>
      </c>
      <c r="V126" s="17"/>
      <c r="Z126" s="23">
        <v>2012</v>
      </c>
      <c r="AA126" s="668"/>
      <c r="AB126" s="105">
        <f>Commercial8EndUse!S60</f>
        <v>8.1377151799687014E-4</v>
      </c>
      <c r="AC126" s="105">
        <f>Commercial8EndUse!T60</f>
        <v>0.25020344287949919</v>
      </c>
      <c r="AD126" s="105">
        <f>Commercial8EndUse!U60</f>
        <v>0</v>
      </c>
      <c r="AE126" s="105">
        <f>Commercial8EndUse!V60</f>
        <v>0</v>
      </c>
      <c r="AF126" s="105">
        <f>Commercial8EndUse!W60</f>
        <v>0.5313928012519562</v>
      </c>
      <c r="AG126" s="105">
        <f>Commercial8EndUse!X60</f>
        <v>0.21758998435054774</v>
      </c>
      <c r="AH126" s="129">
        <f>Commercial8EndUse!Y60</f>
        <v>1</v>
      </c>
      <c r="AJ126" t="s">
        <v>919</v>
      </c>
      <c r="AM126" s="134">
        <v>2012</v>
      </c>
      <c r="AN126" s="105">
        <f t="shared" ref="AN126:AN135" si="28">AB126</f>
        <v>8.1377151799687014E-4</v>
      </c>
      <c r="AO126" s="105">
        <f t="shared" ref="AO126:AO135" si="29">AC126</f>
        <v>0.25020344287949919</v>
      </c>
      <c r="AP126" s="105">
        <f t="shared" ref="AP126:AP135" si="30">AD126</f>
        <v>0</v>
      </c>
      <c r="AQ126" s="105">
        <f t="shared" ref="AQ126:AQ135" si="31">AE126</f>
        <v>0</v>
      </c>
      <c r="AR126" s="105">
        <f t="shared" ref="AR126:AR135" si="32">AF126</f>
        <v>0.5313928012519562</v>
      </c>
      <c r="AS126" s="105">
        <f t="shared" ref="AS126:AS135" si="33">AG126</f>
        <v>0.21758998435054774</v>
      </c>
      <c r="AT126" s="25">
        <f>SUM(AN126:AS126)</f>
        <v>1</v>
      </c>
    </row>
    <row r="127" spans="1:46">
      <c r="B127" s="23">
        <v>2013</v>
      </c>
      <c r="C127" s="668"/>
      <c r="D127" s="524">
        <f>Commercial8EndUse!H14</f>
        <v>0.2412716674985407</v>
      </c>
      <c r="E127" s="524">
        <f>Commercial8EndUse!I14</f>
        <v>6.4801576894769342E-2</v>
      </c>
      <c r="F127" s="524">
        <f>Commercial8EndUse!J14</f>
        <v>0.11539925723518912</v>
      </c>
      <c r="G127" s="524">
        <f>Commercial8EndUse!K14</f>
        <v>3.4761054759870395E-2</v>
      </c>
      <c r="H127" s="524">
        <f>Commercial8EndUse!L14</f>
        <v>0.11392726319084318</v>
      </c>
      <c r="I127" s="524">
        <f>Commercial8EndUse!M14</f>
        <v>0.42983918042078728</v>
      </c>
      <c r="J127" s="525">
        <f t="shared" si="25"/>
        <v>1</v>
      </c>
      <c r="M127" s="23">
        <v>2013</v>
      </c>
      <c r="N127" s="742">
        <f>Commercial8EndUse!H35</f>
        <v>0.27888980198794711</v>
      </c>
      <c r="O127" s="742">
        <f>Commercial8EndUse!I35</f>
        <v>3.5669562495108401E-2</v>
      </c>
      <c r="P127" s="742">
        <f>Commercial8EndUse!J35</f>
        <v>0.1334526884245128</v>
      </c>
      <c r="Q127" s="742">
        <f>Commercial8EndUse!K35</f>
        <v>4.0199186037410975E-2</v>
      </c>
      <c r="R127" s="742">
        <f>Commercial8EndUse!L35</f>
        <v>4.9199733896845892E-2</v>
      </c>
      <c r="S127" s="742">
        <f>Commercial8EndUse!M35</f>
        <v>0.46258902715817485</v>
      </c>
      <c r="T127" s="525">
        <f>SUM(N127:S127)</f>
        <v>1</v>
      </c>
      <c r="V127" s="17"/>
      <c r="Z127" s="23">
        <v>2013</v>
      </c>
      <c r="AA127" s="668"/>
      <c r="AB127" s="105">
        <f>Commercial8EndUse!S61</f>
        <v>8.1295728847476708E-4</v>
      </c>
      <c r="AC127" s="105">
        <f>Commercial8EndUse!T61</f>
        <v>0.25101619661059343</v>
      </c>
      <c r="AD127" s="105">
        <f>Commercial8EndUse!U61</f>
        <v>0</v>
      </c>
      <c r="AE127" s="105">
        <f>Commercial8EndUse!V61</f>
        <v>0</v>
      </c>
      <c r="AF127" s="105">
        <f>Commercial8EndUse!W61</f>
        <v>0.52767181539616037</v>
      </c>
      <c r="AG127" s="105">
        <f>Commercial8EndUse!X61</f>
        <v>0.22049903070477142</v>
      </c>
      <c r="AH127" s="129">
        <f>Commercial8EndUse!Y61</f>
        <v>1</v>
      </c>
      <c r="AJ127" t="s">
        <v>920</v>
      </c>
      <c r="AM127" s="134">
        <v>2013</v>
      </c>
      <c r="AN127" s="105">
        <f t="shared" si="28"/>
        <v>8.1295728847476708E-4</v>
      </c>
      <c r="AO127" s="105">
        <f t="shared" si="29"/>
        <v>0.25101619661059343</v>
      </c>
      <c r="AP127" s="105">
        <f t="shared" si="30"/>
        <v>0</v>
      </c>
      <c r="AQ127" s="105">
        <f t="shared" si="31"/>
        <v>0</v>
      </c>
      <c r="AR127" s="105">
        <f t="shared" si="32"/>
        <v>0.52767181539616037</v>
      </c>
      <c r="AS127" s="105">
        <f t="shared" si="33"/>
        <v>0.22049903070477142</v>
      </c>
      <c r="AT127" s="25">
        <f t="shared" ref="AT127:AT164" si="34">SUM(AN127:AS127)</f>
        <v>1</v>
      </c>
    </row>
    <row r="128" spans="1:46">
      <c r="B128" s="23">
        <v>2014</v>
      </c>
      <c r="C128" s="668"/>
      <c r="D128" s="524">
        <f>Commercial8EndUse!H15</f>
        <v>0.24567358335980738</v>
      </c>
      <c r="E128" s="524">
        <f>Commercial8EndUse!I15</f>
        <v>6.6957045161937567E-2</v>
      </c>
      <c r="F128" s="524">
        <f>Commercial8EndUse!J15</f>
        <v>0.11296336549233367</v>
      </c>
      <c r="G128" s="524">
        <f>Commercial8EndUse!K15</f>
        <v>3.5046064841908135E-2</v>
      </c>
      <c r="H128" s="524">
        <f>Commercial8EndUse!L15</f>
        <v>0.11358202217131774</v>
      </c>
      <c r="I128" s="524">
        <f>Commercial8EndUse!M15</f>
        <v>0.42577791897269551</v>
      </c>
      <c r="J128" s="525">
        <f t="shared" si="25"/>
        <v>1</v>
      </c>
      <c r="M128" s="23">
        <v>2014</v>
      </c>
      <c r="N128" s="742">
        <f>Commercial8EndUse!H36</f>
        <v>0.28388630630804768</v>
      </c>
      <c r="O128" s="742">
        <f>Commercial8EndUse!I36</f>
        <v>3.7440442249519187E-2</v>
      </c>
      <c r="P128" s="742">
        <f>Commercial8EndUse!J36</f>
        <v>0.13058731431995438</v>
      </c>
      <c r="Q128" s="742">
        <f>Commercial8EndUse!K36</f>
        <v>4.0513767142484371E-2</v>
      </c>
      <c r="R128" s="742">
        <f>Commercial8EndUse!L36</f>
        <v>5.0912816151385411E-2</v>
      </c>
      <c r="S128" s="742">
        <f>Commercial8EndUse!M36</f>
        <v>0.456659353828609</v>
      </c>
      <c r="T128" s="525">
        <f>SUM(N128:S128)</f>
        <v>1</v>
      </c>
      <c r="V128" s="17"/>
      <c r="Z128" s="23">
        <v>2014</v>
      </c>
      <c r="AA128" s="668"/>
      <c r="AB128" s="105">
        <f>Commercial8EndUse!S62</f>
        <v>7.4335625348448246E-4</v>
      </c>
      <c r="AC128" s="105">
        <f>Commercial8EndUse!T62</f>
        <v>0.25614817567986126</v>
      </c>
      <c r="AD128" s="105">
        <f>Commercial8EndUse!U62</f>
        <v>0</v>
      </c>
      <c r="AE128" s="105">
        <f>Commercial8EndUse!V62</f>
        <v>0</v>
      </c>
      <c r="AF128" s="105">
        <f>Commercial8EndUse!W62</f>
        <v>0.51526977637366045</v>
      </c>
      <c r="AG128" s="105">
        <f>Commercial8EndUse!X62</f>
        <v>0.22783869169299387</v>
      </c>
      <c r="AH128" s="129">
        <f>Commercial8EndUse!Y62</f>
        <v>1</v>
      </c>
      <c r="AJ128" s="17" t="s">
        <v>921</v>
      </c>
      <c r="AM128" s="134">
        <v>2014</v>
      </c>
      <c r="AN128" s="105">
        <f t="shared" si="28"/>
        <v>7.4335625348448246E-4</v>
      </c>
      <c r="AO128" s="105">
        <f t="shared" si="29"/>
        <v>0.25614817567986126</v>
      </c>
      <c r="AP128" s="105">
        <f t="shared" si="30"/>
        <v>0</v>
      </c>
      <c r="AQ128" s="105">
        <f t="shared" si="31"/>
        <v>0</v>
      </c>
      <c r="AR128" s="105">
        <f t="shared" si="32"/>
        <v>0.51526977637366045</v>
      </c>
      <c r="AS128" s="105">
        <f t="shared" si="33"/>
        <v>0.22783869169299387</v>
      </c>
      <c r="AT128" s="25">
        <f t="shared" si="34"/>
        <v>1</v>
      </c>
    </row>
    <row r="129" spans="1:46">
      <c r="B129" s="23">
        <v>2015</v>
      </c>
      <c r="C129" s="668"/>
      <c r="D129" s="524">
        <f>Commercial8EndUse!H16</f>
        <v>0.24277077416247281</v>
      </c>
      <c r="E129" s="524">
        <f>Commercial8EndUse!I16</f>
        <v>6.7284535020844749E-2</v>
      </c>
      <c r="F129" s="524">
        <f>Commercial8EndUse!J16</f>
        <v>0.11193881110169913</v>
      </c>
      <c r="G129" s="524">
        <f>Commercial8EndUse!K16</f>
        <v>3.5353032039463848E-2</v>
      </c>
      <c r="H129" s="524">
        <f>Commercial8EndUse!L16</f>
        <v>0.11497002009733087</v>
      </c>
      <c r="I129" s="524">
        <f>Commercial8EndUse!M16</f>
        <v>0.4276828275781886</v>
      </c>
      <c r="J129" s="525">
        <f t="shared" si="25"/>
        <v>1</v>
      </c>
      <c r="M129" s="23">
        <v>2015</v>
      </c>
      <c r="N129" s="742">
        <f>Commercial8EndUse!H37</f>
        <v>0.27923666456434071</v>
      </c>
      <c r="O129" s="742">
        <f>Commercial8EndUse!I37</f>
        <v>3.8807025591040267E-2</v>
      </c>
      <c r="P129" s="742">
        <f>Commercial8EndUse!J37</f>
        <v>0.1288056877472622</v>
      </c>
      <c r="Q129" s="742">
        <f>Commercial8EndUse!K37</f>
        <v>4.0680006880339431E-2</v>
      </c>
      <c r="R129" s="742">
        <f>Commercial8EndUse!L37</f>
        <v>5.3637979473654035E-2</v>
      </c>
      <c r="S129" s="742">
        <f>Commercial8EndUse!M37</f>
        <v>0.45883263574336336</v>
      </c>
      <c r="T129" s="525">
        <f>SUM(N129:S129)</f>
        <v>1</v>
      </c>
      <c r="V129" s="17"/>
      <c r="Z129" s="23">
        <v>2015</v>
      </c>
      <c r="AA129" s="668"/>
      <c r="AB129" s="105">
        <f>Commercial8EndUse!S63</f>
        <v>7.6103500761035003E-4</v>
      </c>
      <c r="AC129" s="105">
        <f>Commercial8EndUse!T63</f>
        <v>0.25627853881278539</v>
      </c>
      <c r="AD129" s="105">
        <f>Commercial8EndUse!U63</f>
        <v>0</v>
      </c>
      <c r="AE129" s="105">
        <f>Commercial8EndUse!V63</f>
        <v>0</v>
      </c>
      <c r="AF129" s="105">
        <f>Commercial8EndUse!W63</f>
        <v>0.52200659563673257</v>
      </c>
      <c r="AG129" s="105">
        <f>Commercial8EndUse!X63</f>
        <v>0.22095383054287163</v>
      </c>
      <c r="AH129" s="129">
        <f>Commercial8EndUse!Y63</f>
        <v>1</v>
      </c>
      <c r="AJ129" s="17" t="s">
        <v>922</v>
      </c>
      <c r="AM129" s="134">
        <v>2015</v>
      </c>
      <c r="AN129" s="105">
        <f t="shared" si="28"/>
        <v>7.6103500761035003E-4</v>
      </c>
      <c r="AO129" s="105">
        <f t="shared" si="29"/>
        <v>0.25627853881278539</v>
      </c>
      <c r="AP129" s="105">
        <f t="shared" si="30"/>
        <v>0</v>
      </c>
      <c r="AQ129" s="105">
        <f t="shared" si="31"/>
        <v>0</v>
      </c>
      <c r="AR129" s="105">
        <f t="shared" si="32"/>
        <v>0.52200659563673257</v>
      </c>
      <c r="AS129" s="105">
        <f t="shared" si="33"/>
        <v>0.22095383054287163</v>
      </c>
      <c r="AT129" s="25">
        <f t="shared" si="34"/>
        <v>1</v>
      </c>
    </row>
    <row r="130" spans="1:46">
      <c r="A130" s="127" t="s">
        <v>923</v>
      </c>
      <c r="B130" s="23">
        <v>2016</v>
      </c>
      <c r="C130" s="668"/>
      <c r="D130" s="524">
        <f>Commercial8EndUse!H17</f>
        <v>0.23689584751531653</v>
      </c>
      <c r="E130" s="524">
        <f>Commercial8EndUse!I17</f>
        <v>6.9393481545434926E-2</v>
      </c>
      <c r="F130" s="524">
        <f>Commercial8EndUse!J17</f>
        <v>0.10996363877866144</v>
      </c>
      <c r="G130" s="524">
        <f>Commercial8EndUse!K17</f>
        <v>3.6029155390260505E-2</v>
      </c>
      <c r="H130" s="524">
        <f>Commercial8EndUse!L17</f>
        <v>0.11714456491059125</v>
      </c>
      <c r="I130" s="524">
        <f>Commercial8EndUse!M17</f>
        <v>0.43057331185973535</v>
      </c>
      <c r="J130" s="525">
        <f t="shared" si="25"/>
        <v>1</v>
      </c>
      <c r="M130" s="23">
        <v>2016</v>
      </c>
      <c r="N130" s="742">
        <f>Commercial8EndUse!H38</f>
        <v>0.27206738014841947</v>
      </c>
      <c r="O130" s="742">
        <f>Commercial8EndUse!I38</f>
        <v>4.0805814685514794E-2</v>
      </c>
      <c r="P130" s="742">
        <f>Commercial8EndUse!J38</f>
        <v>0.12634731681260611</v>
      </c>
      <c r="Q130" s="742">
        <f>Commercial8EndUse!K38</f>
        <v>4.1397203304145445E-2</v>
      </c>
      <c r="R130" s="742">
        <f>Commercial8EndUse!L38</f>
        <v>5.7202541063354893E-2</v>
      </c>
      <c r="S130" s="742">
        <f>Commercial8EndUse!M38</f>
        <v>0.46217974398595929</v>
      </c>
      <c r="T130" s="525">
        <f>SUM(N130:S130)</f>
        <v>1</v>
      </c>
      <c r="V130" s="17"/>
      <c r="Z130" s="23">
        <v>2016</v>
      </c>
      <c r="AA130" s="668"/>
      <c r="AB130" s="105">
        <f>Commercial8EndUse!S64</f>
        <v>8.3226632522407165E-4</v>
      </c>
      <c r="AC130" s="105">
        <f>Commercial8EndUse!T64</f>
        <v>0.2612676056338028</v>
      </c>
      <c r="AD130" s="105">
        <f>Commercial8EndUse!U64</f>
        <v>0</v>
      </c>
      <c r="AE130" s="105">
        <f>Commercial8EndUse!V64</f>
        <v>0</v>
      </c>
      <c r="AF130" s="105">
        <f>Commercial8EndUse!W64</f>
        <v>0.51946222791293217</v>
      </c>
      <c r="AG130" s="105">
        <f>Commercial8EndUse!X64</f>
        <v>0.21843790012804098</v>
      </c>
      <c r="AH130" s="129">
        <f>Commercial8EndUse!Y64</f>
        <v>1</v>
      </c>
      <c r="AI130" s="17"/>
      <c r="AJ130" s="17" t="s">
        <v>924</v>
      </c>
      <c r="AK130" s="17"/>
      <c r="AM130" s="134">
        <v>2016</v>
      </c>
      <c r="AN130" s="105">
        <f t="shared" si="28"/>
        <v>8.3226632522407165E-4</v>
      </c>
      <c r="AO130" s="105">
        <f t="shared" si="29"/>
        <v>0.2612676056338028</v>
      </c>
      <c r="AP130" s="105">
        <f t="shared" si="30"/>
        <v>0</v>
      </c>
      <c r="AQ130" s="105">
        <f t="shared" si="31"/>
        <v>0</v>
      </c>
      <c r="AR130" s="105">
        <f t="shared" si="32"/>
        <v>0.51946222791293217</v>
      </c>
      <c r="AS130" s="105">
        <f t="shared" si="33"/>
        <v>0.21843790012804098</v>
      </c>
      <c r="AT130" s="25">
        <f t="shared" si="34"/>
        <v>1</v>
      </c>
    </row>
    <row r="131" spans="1:46">
      <c r="A131" s="126" t="s">
        <v>925</v>
      </c>
      <c r="B131" s="23">
        <v>2017</v>
      </c>
      <c r="C131" s="668"/>
      <c r="D131" s="524">
        <f>Commercial8EndUse!H18</f>
        <v>0.23851207135679225</v>
      </c>
      <c r="E131" s="524">
        <f>Commercial8EndUse!I18</f>
        <v>7.2353395510302385E-2</v>
      </c>
      <c r="F131" s="524">
        <f>Commercial8EndUse!J18</f>
        <v>0.1090616149955568</v>
      </c>
      <c r="G131" s="524">
        <f>Commercial8EndUse!K18</f>
        <v>3.6517203863498576E-2</v>
      </c>
      <c r="H131" s="524">
        <f>Commercial8EndUse!L18</f>
        <v>0.11953425408399704</v>
      </c>
      <c r="I131" s="524">
        <f>Commercial8EndUse!M18</f>
        <v>0.42402146018985293</v>
      </c>
      <c r="J131" s="525">
        <f t="shared" si="25"/>
        <v>1</v>
      </c>
      <c r="M131" s="23">
        <v>2017</v>
      </c>
      <c r="N131" s="742">
        <f>Commercial8EndUse!H39</f>
        <v>0.27424979220605517</v>
      </c>
      <c r="O131" s="742">
        <f>Commercial8EndUse!I39</f>
        <v>4.2447287214223618E-2</v>
      </c>
      <c r="P131" s="742">
        <f>Commercial8EndUse!J39</f>
        <v>0.12545977395840299</v>
      </c>
      <c r="Q131" s="742">
        <f>Commercial8EndUse!K39</f>
        <v>4.2007814963074777E-2</v>
      </c>
      <c r="R131" s="742">
        <f>Commercial8EndUse!L39</f>
        <v>6.0876460528704227E-2</v>
      </c>
      <c r="S131" s="742">
        <f>Commercial8EndUse!M39</f>
        <v>0.45495887112953926</v>
      </c>
      <c r="T131" s="525">
        <f>SUM(N131:S131)</f>
        <v>1</v>
      </c>
      <c r="V131" s="17"/>
      <c r="Z131" s="23">
        <v>2017</v>
      </c>
      <c r="AA131" s="668"/>
      <c r="AB131" s="105">
        <f>Commercial8EndUse!S65</f>
        <v>8.2602617867581654E-4</v>
      </c>
      <c r="AC131" s="105">
        <f>Commercial8EndUse!T65</f>
        <v>0.27125428898208159</v>
      </c>
      <c r="AD131" s="105">
        <f>Commercial8EndUse!U65</f>
        <v>0</v>
      </c>
      <c r="AE131" s="105">
        <f>Commercial8EndUse!V65</f>
        <v>0</v>
      </c>
      <c r="AF131" s="105">
        <f>Commercial8EndUse!W65</f>
        <v>0.50965815224297872</v>
      </c>
      <c r="AG131" s="105">
        <f>Commercial8EndUse!X65</f>
        <v>0.21826153259626382</v>
      </c>
      <c r="AH131" s="129">
        <f>Commercial8EndUse!Y65</f>
        <v>1</v>
      </c>
      <c r="AI131" s="17"/>
      <c r="AJ131" s="17"/>
      <c r="AK131" s="17"/>
      <c r="AM131" s="134">
        <v>2017</v>
      </c>
      <c r="AN131" s="105">
        <f t="shared" si="28"/>
        <v>8.2602617867581654E-4</v>
      </c>
      <c r="AO131" s="105">
        <f t="shared" si="29"/>
        <v>0.27125428898208159</v>
      </c>
      <c r="AP131" s="105">
        <f t="shared" si="30"/>
        <v>0</v>
      </c>
      <c r="AQ131" s="105">
        <f t="shared" si="31"/>
        <v>0</v>
      </c>
      <c r="AR131" s="105">
        <f t="shared" si="32"/>
        <v>0.50965815224297872</v>
      </c>
      <c r="AS131" s="105">
        <f t="shared" si="33"/>
        <v>0.21826153259626382</v>
      </c>
      <c r="AT131" s="25">
        <f t="shared" si="34"/>
        <v>1</v>
      </c>
    </row>
    <row r="132" spans="1:46">
      <c r="A132" t="s">
        <v>926</v>
      </c>
      <c r="B132" s="23">
        <v>2018</v>
      </c>
      <c r="C132" s="668"/>
      <c r="D132" s="524">
        <f>Commercial8EndUse!H19</f>
        <v>0.24988340792498834</v>
      </c>
      <c r="E132" s="524">
        <f>Commercial8EndUse!I19</f>
        <v>7.3023457507302339E-2</v>
      </c>
      <c r="F132" s="524">
        <f>Commercial8EndUse!J19</f>
        <v>0.10926109261092611</v>
      </c>
      <c r="G132" s="524">
        <f>Commercial8EndUse!K19</f>
        <v>3.7685831403768584E-2</v>
      </c>
      <c r="H132" s="524">
        <f>Commercial8EndUse!L19</f>
        <v>0.1220330385122033</v>
      </c>
      <c r="I132" s="524">
        <f>Commercial8EndUse!M19</f>
        <v>0.40811317204081132</v>
      </c>
      <c r="J132" s="525">
        <f t="shared" si="25"/>
        <v>1</v>
      </c>
      <c r="M132" s="23">
        <v>2018</v>
      </c>
      <c r="N132" s="742">
        <f>Commercial8EndUse!H40</f>
        <v>0.28720611893539555</v>
      </c>
      <c r="O132" s="742">
        <f>Commercial8EndUse!I40</f>
        <v>4.3540026154121156E-2</v>
      </c>
      <c r="P132" s="742">
        <f>Commercial8EndUse!J40</f>
        <v>0.12563386111973507</v>
      </c>
      <c r="Q132" s="742">
        <f>Commercial8EndUse!K40</f>
        <v>4.3333051094615826E-2</v>
      </c>
      <c r="R132" s="742">
        <f>Commercial8EndUse!L40</f>
        <v>6.4914905026671563E-2</v>
      </c>
      <c r="S132" s="742">
        <f>Commercial8EndUse!M40</f>
        <v>0.43537203766946087</v>
      </c>
      <c r="T132" s="525">
        <f>SUM(N132:S132)</f>
        <v>1</v>
      </c>
      <c r="V132" s="17"/>
      <c r="Z132" s="23">
        <v>2018</v>
      </c>
      <c r="AA132" s="668"/>
      <c r="AB132" s="105">
        <f>Commercial8EndUse!S66</f>
        <v>8.1617277749874431E-4</v>
      </c>
      <c r="AC132" s="105">
        <f>Commercial8EndUse!T66</f>
        <v>0.26977649422400801</v>
      </c>
      <c r="AD132" s="105">
        <f>Commercial8EndUse!U66</f>
        <v>0</v>
      </c>
      <c r="AE132" s="105">
        <f>Commercial8EndUse!V66</f>
        <v>0</v>
      </c>
      <c r="AF132" s="105">
        <f>Commercial8EndUse!W66</f>
        <v>0.50320190858864888</v>
      </c>
      <c r="AG132" s="105">
        <f>Commercial8EndUse!X66</f>
        <v>0.22620542440984429</v>
      </c>
      <c r="AH132" s="129">
        <f>Commercial8EndUse!Y66</f>
        <v>0.99999999999999989</v>
      </c>
      <c r="AI132" s="17"/>
      <c r="AJ132" s="17"/>
      <c r="AK132" s="17"/>
      <c r="AM132" s="134">
        <v>2018</v>
      </c>
      <c r="AN132" s="105">
        <f t="shared" si="28"/>
        <v>8.1617277749874431E-4</v>
      </c>
      <c r="AO132" s="105">
        <f t="shared" si="29"/>
        <v>0.26977649422400801</v>
      </c>
      <c r="AP132" s="105">
        <f t="shared" si="30"/>
        <v>0</v>
      </c>
      <c r="AQ132" s="105">
        <f t="shared" si="31"/>
        <v>0</v>
      </c>
      <c r="AR132" s="105">
        <f t="shared" si="32"/>
        <v>0.50320190858864888</v>
      </c>
      <c r="AS132" s="105">
        <f t="shared" si="33"/>
        <v>0.22620542440984429</v>
      </c>
      <c r="AT132" s="25">
        <f t="shared" si="34"/>
        <v>0.99999999999999989</v>
      </c>
    </row>
    <row r="133" spans="1:46">
      <c r="B133" s="23">
        <v>2019</v>
      </c>
      <c r="C133" s="668"/>
      <c r="D133" s="524">
        <f>Commercial8EndUse!H20</f>
        <v>0.24538425892051413</v>
      </c>
      <c r="E133" s="524">
        <f>Commercial8EndUse!I20</f>
        <v>6.9640577872084428E-2</v>
      </c>
      <c r="F133" s="524">
        <f>Commercial8EndUse!J20</f>
        <v>0.10716811785078413</v>
      </c>
      <c r="G133" s="524">
        <f>Commercial8EndUse!K20</f>
        <v>3.8405567343885921E-2</v>
      </c>
      <c r="H133" s="524">
        <f>Commercial8EndUse!L20</f>
        <v>0.11177776151801176</v>
      </c>
      <c r="I133" s="524">
        <f>Commercial8EndUse!M20</f>
        <v>0.42762371649471964</v>
      </c>
      <c r="J133" s="525">
        <f t="shared" si="25"/>
        <v>1</v>
      </c>
      <c r="M133" s="23">
        <v>2019</v>
      </c>
      <c r="N133" s="742">
        <f>Commercial8EndUse!H41</f>
        <v>0.27938548158574644</v>
      </c>
      <c r="O133" s="742">
        <f>Commercial8EndUse!I41</f>
        <v>4.0440052969338905E-2</v>
      </c>
      <c r="P133" s="742">
        <f>Commercial8EndUse!J41</f>
        <v>0.12207024919666257</v>
      </c>
      <c r="Q133" s="742">
        <f>Commercial8EndUse!K41</f>
        <v>4.3746006463741008E-2</v>
      </c>
      <c r="R133" s="742">
        <f>Commercial8EndUse!L41</f>
        <v>5.5349255002917021E-2</v>
      </c>
      <c r="S133" s="742">
        <f>Commercial8EndUse!M41</f>
        <v>0.45900895478159409</v>
      </c>
      <c r="T133" s="525">
        <f>SUM(N133:S133)</f>
        <v>1</v>
      </c>
      <c r="V133" s="17"/>
      <c r="Z133" s="23">
        <v>2019</v>
      </c>
      <c r="AA133" s="668"/>
      <c r="AB133" s="105">
        <f>Commercial8EndUse!S67</f>
        <v>8.6574320724560466E-4</v>
      </c>
      <c r="AC133" s="105">
        <f>Commercial8EndUse!T67</f>
        <v>0.27963505594033033</v>
      </c>
      <c r="AD133" s="105">
        <f>Commercial8EndUse!U67</f>
        <v>0</v>
      </c>
      <c r="AE133" s="105">
        <f>Commercial8EndUse!V67</f>
        <v>0</v>
      </c>
      <c r="AF133" s="105">
        <f>Commercial8EndUse!W67</f>
        <v>0.51758124667021843</v>
      </c>
      <c r="AG133" s="105">
        <f>Commercial8EndUse!X67</f>
        <v>0.20191795418220565</v>
      </c>
      <c r="AH133" s="129">
        <f>Commercial8EndUse!Y67</f>
        <v>1</v>
      </c>
      <c r="AI133" s="17"/>
      <c r="AJ133" s="17"/>
      <c r="AK133" s="17"/>
      <c r="AM133" s="134">
        <v>2019</v>
      </c>
      <c r="AN133" s="105">
        <f t="shared" si="28"/>
        <v>8.6574320724560466E-4</v>
      </c>
      <c r="AO133" s="105">
        <f t="shared" si="29"/>
        <v>0.27963505594033033</v>
      </c>
      <c r="AP133" s="105">
        <f t="shared" si="30"/>
        <v>0</v>
      </c>
      <c r="AQ133" s="105">
        <f t="shared" si="31"/>
        <v>0</v>
      </c>
      <c r="AR133" s="105">
        <f t="shared" si="32"/>
        <v>0.51758124667021843</v>
      </c>
      <c r="AS133" s="105">
        <f t="shared" si="33"/>
        <v>0.20191795418220565</v>
      </c>
      <c r="AT133" s="25">
        <f t="shared" si="34"/>
        <v>1</v>
      </c>
    </row>
    <row r="134" spans="1:46">
      <c r="B134" s="23">
        <v>2020</v>
      </c>
      <c r="C134" s="668"/>
      <c r="D134" s="524">
        <f>Commercial8EndUse!H21</f>
        <v>0.25199318866524034</v>
      </c>
      <c r="E134" s="524">
        <f>Commercial8EndUse!I21</f>
        <v>6.482993494302057E-2</v>
      </c>
      <c r="F134" s="524">
        <f>Commercial8EndUse!J21</f>
        <v>0.11106841898441253</v>
      </c>
      <c r="G134" s="524">
        <f>Commercial8EndUse!K21</f>
        <v>4.0492511898004631E-2</v>
      </c>
      <c r="H134" s="524">
        <f>Commercial8EndUse!L21</f>
        <v>8.405885691830764E-2</v>
      </c>
      <c r="I134" s="524">
        <f>Commercial8EndUse!M21</f>
        <v>0.44755708859101428</v>
      </c>
      <c r="J134" s="525">
        <f t="shared" si="25"/>
        <v>1</v>
      </c>
      <c r="M134" s="23">
        <v>2020</v>
      </c>
      <c r="N134" s="742">
        <f>Commercial8EndUse!H42</f>
        <v>0.28235420785780008</v>
      </c>
      <c r="O134" s="742">
        <f>Commercial8EndUse!I42</f>
        <v>3.4688643971575672E-2</v>
      </c>
      <c r="P134" s="742">
        <f>Commercial8EndUse!J42</f>
        <v>0.12449347140927511</v>
      </c>
      <c r="Q134" s="742">
        <f>Commercial8EndUse!K42</f>
        <v>4.5386919327369185E-2</v>
      </c>
      <c r="R134" s="742">
        <f>Commercial8EndUse!L42</f>
        <v>3.5412955386332046E-2</v>
      </c>
      <c r="S134" s="742">
        <f>Commercial8EndUse!M42</f>
        <v>0.47766380204764797</v>
      </c>
      <c r="T134" s="525">
        <f>SUM(N134:S134)</f>
        <v>1</v>
      </c>
      <c r="V134" s="17"/>
      <c r="Z134" s="23">
        <v>2020</v>
      </c>
      <c r="AA134" s="668"/>
      <c r="AB134" s="105">
        <f>Commercial8EndUse!S68</f>
        <v>8.0978216859664749E-4</v>
      </c>
      <c r="AC134" s="105">
        <f>Commercial8EndUse!T68</f>
        <v>0.31419548141549924</v>
      </c>
      <c r="AD134" s="105">
        <f>Commercial8EndUse!U68</f>
        <v>0</v>
      </c>
      <c r="AE134" s="105">
        <f>Commercial8EndUse!V68</f>
        <v>0</v>
      </c>
      <c r="AF134" s="105">
        <f>Commercial8EndUse!W68</f>
        <v>0.4865171268928658</v>
      </c>
      <c r="AG134" s="105">
        <f>Commercial8EndUse!X68</f>
        <v>0.19847760952303831</v>
      </c>
      <c r="AH134" s="129">
        <f>Commercial8EndUse!Y68</f>
        <v>1</v>
      </c>
      <c r="AI134" s="17"/>
      <c r="AK134" s="17"/>
      <c r="AM134" s="134">
        <v>2020</v>
      </c>
      <c r="AN134" s="105">
        <f t="shared" si="28"/>
        <v>8.0978216859664749E-4</v>
      </c>
      <c r="AO134" s="105">
        <f t="shared" si="29"/>
        <v>0.31419548141549924</v>
      </c>
      <c r="AP134" s="105">
        <f t="shared" si="30"/>
        <v>0</v>
      </c>
      <c r="AQ134" s="105">
        <f t="shared" si="31"/>
        <v>0</v>
      </c>
      <c r="AR134" s="105">
        <f t="shared" si="32"/>
        <v>0.4865171268928658</v>
      </c>
      <c r="AS134" s="105">
        <f t="shared" si="33"/>
        <v>0.19847760952303831</v>
      </c>
      <c r="AT134" s="25">
        <f t="shared" si="34"/>
        <v>1</v>
      </c>
    </row>
    <row r="135" spans="1:46">
      <c r="B135" s="23">
        <v>2021</v>
      </c>
      <c r="C135" s="668"/>
      <c r="D135" s="524">
        <f>Commercial8EndUse!H22</f>
        <v>0.2474268012391326</v>
      </c>
      <c r="E135" s="524">
        <f>Commercial8EndUse!I22</f>
        <v>6.5728989707204963E-2</v>
      </c>
      <c r="F135" s="524">
        <f>Commercial8EndUse!J22</f>
        <v>0.10698344492188801</v>
      </c>
      <c r="G135" s="524">
        <f>Commercial8EndUse!K22</f>
        <v>3.8914426568069017E-2</v>
      </c>
      <c r="H135" s="524">
        <f>Commercial8EndUse!L22</f>
        <v>9.1502614836281276E-2</v>
      </c>
      <c r="I135" s="524">
        <f>Commercial8EndUse!M22</f>
        <v>0.44944372272742411</v>
      </c>
      <c r="J135" s="525">
        <f t="shared" si="25"/>
        <v>1</v>
      </c>
      <c r="M135" s="23">
        <v>2021</v>
      </c>
      <c r="N135" s="742">
        <f>Commercial8EndUse!H43</f>
        <v>0.27695305943566884</v>
      </c>
      <c r="O135" s="742">
        <f>Commercial8EndUse!I43</f>
        <v>3.6067958449115083E-2</v>
      </c>
      <c r="P135" s="742">
        <f>Commercial8EndUse!J43</f>
        <v>0.11979448350459708</v>
      </c>
      <c r="Q135" s="742">
        <f>Commercial8EndUse!K43</f>
        <v>4.3574345871953156E-2</v>
      </c>
      <c r="R135" s="742">
        <f>Commercial8EndUse!L43</f>
        <v>4.3704891740176423E-2</v>
      </c>
      <c r="S135" s="742">
        <f>Commercial8EndUse!M43</f>
        <v>0.4799052609984894</v>
      </c>
      <c r="T135" s="525">
        <f>SUM(N135:S135)</f>
        <v>1</v>
      </c>
      <c r="V135" s="17"/>
      <c r="Z135" s="23">
        <v>2021</v>
      </c>
      <c r="AA135" s="668"/>
      <c r="AB135" s="105">
        <f>Commercial8EndUse!S69</f>
        <v>8.5656439806883666E-4</v>
      </c>
      <c r="AC135" s="105">
        <f>Commercial8EndUse!T69</f>
        <v>0.31342470020246066</v>
      </c>
      <c r="AD135" s="105">
        <f>Commercial8EndUse!U69</f>
        <v>0</v>
      </c>
      <c r="AE135" s="105">
        <f>Commercial8EndUse!V69</f>
        <v>0</v>
      </c>
      <c r="AF135" s="105">
        <f>Commercial8EndUse!W69</f>
        <v>0.49065566111197634</v>
      </c>
      <c r="AG135" s="105">
        <f>Commercial8EndUse!X69</f>
        <v>0.19506307428749414</v>
      </c>
      <c r="AH135" s="129">
        <f>Commercial8EndUse!Y69</f>
        <v>1</v>
      </c>
      <c r="AI135" s="17"/>
      <c r="AJ135" s="17"/>
      <c r="AK135" s="17"/>
      <c r="AM135" s="134">
        <v>2021</v>
      </c>
      <c r="AN135" s="105">
        <f t="shared" si="28"/>
        <v>8.5656439806883666E-4</v>
      </c>
      <c r="AO135" s="105">
        <f t="shared" si="29"/>
        <v>0.31342470020246066</v>
      </c>
      <c r="AP135" s="105">
        <f t="shared" si="30"/>
        <v>0</v>
      </c>
      <c r="AQ135" s="105">
        <f t="shared" si="31"/>
        <v>0</v>
      </c>
      <c r="AR135" s="105">
        <f t="shared" si="32"/>
        <v>0.49065566111197634</v>
      </c>
      <c r="AS135" s="105">
        <f t="shared" si="33"/>
        <v>0.19506307428749414</v>
      </c>
      <c r="AT135" s="25">
        <f t="shared" si="34"/>
        <v>1</v>
      </c>
    </row>
    <row r="136" spans="1:46">
      <c r="B136" s="23">
        <v>2022</v>
      </c>
      <c r="C136" s="668"/>
      <c r="D136" s="105">
        <v>0.25</v>
      </c>
      <c r="E136" s="17">
        <v>0.09</v>
      </c>
      <c r="F136" s="17">
        <v>0.11</v>
      </c>
      <c r="G136" s="17">
        <v>0.05</v>
      </c>
      <c r="H136" s="17">
        <v>0.11</v>
      </c>
      <c r="I136" s="17">
        <v>0.39</v>
      </c>
      <c r="J136" s="25">
        <v>1</v>
      </c>
      <c r="M136" s="23">
        <v>2022</v>
      </c>
      <c r="N136" s="105">
        <v>0.28000000000000003</v>
      </c>
      <c r="O136" s="105">
        <v>0.06</v>
      </c>
      <c r="P136" s="105">
        <v>0.12</v>
      </c>
      <c r="Q136" s="105">
        <v>0.06</v>
      </c>
      <c r="R136" s="669">
        <v>0.06</v>
      </c>
      <c r="S136" s="669">
        <v>0.42</v>
      </c>
      <c r="T136" s="25">
        <v>1</v>
      </c>
      <c r="V136" s="17"/>
      <c r="X136">
        <f>(('Future Type Share'!AV22*'Future EndUse Share'!D135)-(N135*'Future Type Share'!AT22))</f>
        <v>11.306479317634512</v>
      </c>
      <c r="Z136" s="23">
        <v>2022</v>
      </c>
      <c r="AA136" s="668"/>
      <c r="AB136" s="105">
        <f>(('Future Type Share'!AV22*'Future EndUse Share'!D136)-(N136*'Future Type Share'!AT22))/('Future Type Share'!AR22+'Future Type Share'!AP22)</f>
        <v>-5.022191076854602E-4</v>
      </c>
      <c r="AC136" s="105">
        <f>((E136*'Future Type Share'!AV23)-('Future Type Share'!AT23*'Future EndUse Share'!O136))/('Future Type Share'!AV23-'Future Type Share'!AT23)</f>
        <v>0.32627218934911228</v>
      </c>
      <c r="AD136" s="105">
        <f>IF((((F135*'Future Type Share'!AV23)-('Future Type Share'!AT23*'Future EndUse Share'!P135))/('Future Type Share'!AV23-'Future Type Share'!AT23))&lt;10%,0,(((F135*'Future Type Share'!AV23)-('Future Type Share'!AT23*'Future EndUse Share'!P135))/('Future Type Share'!AV23-'Future Type Share'!AT23)))</f>
        <v>0</v>
      </c>
      <c r="AE136" s="105">
        <f>(('Future Type Share'!AY22*'Future EndUse Share'!G136)-(Q136*'Future Type Share'!AW22))/('Future Type Share'!AU22+'Future Type Share'!AS22)</f>
        <v>0</v>
      </c>
      <c r="AF136" s="105">
        <f>(H136-R136*'Future Type Share'!$AU23)/(1-'Future Type Share'!$AU23)</f>
        <v>0.50378698224852059</v>
      </c>
      <c r="AG136" s="105">
        <f>(('Future Type Share'!BA22*'Future EndUse Share'!I136)-(S136*'Future Type Share'!AY22))/('Future Type Share'!AW22+'Future Type Share'!AU22)</f>
        <v>0</v>
      </c>
      <c r="AH136" s="129">
        <f>(('Future Type Share'!BB22*'Future EndUse Share'!J136)-(T136*'Future Type Share'!AZ22))/('Future Type Share'!AX22+'Future Type Share'!AV22)</f>
        <v>0</v>
      </c>
      <c r="AI136" s="17"/>
      <c r="AJ136" s="17">
        <f>IF(AD136&gt;10,AD136,0)</f>
        <v>0</v>
      </c>
      <c r="AK136" s="17"/>
      <c r="AM136" s="134">
        <v>2022</v>
      </c>
      <c r="AN136" s="105">
        <v>0</v>
      </c>
      <c r="AO136" s="105">
        <v>0.33989367985823965</v>
      </c>
      <c r="AP136" s="105">
        <v>0</v>
      </c>
      <c r="AQ136" s="105">
        <v>0</v>
      </c>
      <c r="AR136" s="105">
        <f t="shared" ref="AR127:AR164" si="35">1-AO136</f>
        <v>0.66010632014176029</v>
      </c>
      <c r="AS136" s="105">
        <v>0</v>
      </c>
      <c r="AT136" s="25">
        <f t="shared" si="34"/>
        <v>1</v>
      </c>
    </row>
    <row r="137" spans="1:46">
      <c r="B137" s="23">
        <v>2023</v>
      </c>
      <c r="C137" s="668"/>
      <c r="D137" s="105">
        <v>0.25</v>
      </c>
      <c r="E137" s="17">
        <v>0.09</v>
      </c>
      <c r="F137" s="17">
        <v>0.11</v>
      </c>
      <c r="G137" s="17">
        <v>0.05</v>
      </c>
      <c r="H137" s="17">
        <v>0.11</v>
      </c>
      <c r="I137" s="17">
        <v>0.39</v>
      </c>
      <c r="J137" s="25">
        <v>1</v>
      </c>
      <c r="M137" s="23">
        <v>2023</v>
      </c>
      <c r="N137" s="105">
        <v>0.28000000000000003</v>
      </c>
      <c r="O137" s="105">
        <v>0.06</v>
      </c>
      <c r="P137" s="105">
        <v>0.12</v>
      </c>
      <c r="Q137" s="105">
        <v>0.06</v>
      </c>
      <c r="R137" s="669">
        <v>0.06</v>
      </c>
      <c r="S137" s="669">
        <v>0.42</v>
      </c>
      <c r="T137" s="25">
        <v>1</v>
      </c>
      <c r="V137" s="17"/>
      <c r="Z137" s="23">
        <v>2023</v>
      </c>
      <c r="AA137" s="668"/>
      <c r="AB137" s="105">
        <f>(('Future Type Share'!AV23*'Future EndUse Share'!D137)-(N137*'Future Type Share'!AT23))/('Future Type Share'!AR23+'Future Type Share'!AP23)</f>
        <v>1.3727810650887557E-2</v>
      </c>
      <c r="AC137" s="105">
        <f>((E137*'Future Type Share'!AV24)-('Future Type Share'!AT24*'Future EndUse Share'!O137))/('Future Type Share'!AV24-'Future Type Share'!AT24)</f>
        <v>0.33167947310647833</v>
      </c>
      <c r="AD137" s="105">
        <f>IF((((F136*'Future Type Share'!AV24)-('Future Type Share'!AT24*'Future EndUse Share'!P136))/('Future Type Share'!AV24-'Future Type Share'!AT24))&lt;10%,0,(((F136*'Future Type Share'!AV24)-('Future Type Share'!AT24*'Future EndUse Share'!P136))/('Future Type Share'!AV24-'Future Type Share'!AT24)))</f>
        <v>0</v>
      </c>
      <c r="AE137" s="105">
        <f>(G137-Q137*'Future Type Share'!$AU24)/(1-'Future Type Share'!$AU24)</f>
        <v>-3.0559824368826077E-2</v>
      </c>
      <c r="AF137" s="105">
        <f>(H137-R137*'Future Type Share'!$AU24)/(1-'Future Type Share'!$AU24)</f>
        <v>0.51279912184413057</v>
      </c>
      <c r="AG137" s="105">
        <f>(I137-S137*'Future Type Share'!$AU24)/(1-'Future Type Share'!$AU24)</f>
        <v>0.1483205268935219</v>
      </c>
      <c r="AH137" s="25">
        <f t="shared" ref="AH137:AH164" si="36">SUM(AB137:AG137)</f>
        <v>0.97596710812619225</v>
      </c>
      <c r="AI137" s="17"/>
      <c r="AJ137" s="17"/>
      <c r="AK137" s="17"/>
      <c r="AM137" s="134">
        <v>2023</v>
      </c>
      <c r="AN137" s="105">
        <v>0</v>
      </c>
      <c r="AO137" s="105">
        <f>AC137+AB137</f>
        <v>0.3454072837573659</v>
      </c>
      <c r="AP137" s="105">
        <v>0</v>
      </c>
      <c r="AQ137" s="105">
        <v>0</v>
      </c>
      <c r="AR137" s="105">
        <f t="shared" si="35"/>
        <v>0.65459271624263415</v>
      </c>
      <c r="AS137" s="105">
        <v>0</v>
      </c>
      <c r="AT137" s="25">
        <f t="shared" si="34"/>
        <v>1</v>
      </c>
    </row>
    <row r="138" spans="1:46">
      <c r="B138" s="23">
        <v>2024</v>
      </c>
      <c r="C138" s="668"/>
      <c r="D138" s="105">
        <v>0.25</v>
      </c>
      <c r="E138" s="17">
        <v>0.09</v>
      </c>
      <c r="F138" s="17">
        <v>0.11</v>
      </c>
      <c r="G138" s="17">
        <v>0.05</v>
      </c>
      <c r="H138" s="17">
        <v>0.11</v>
      </c>
      <c r="I138" s="17">
        <v>0.39</v>
      </c>
      <c r="J138" s="25">
        <v>1</v>
      </c>
      <c r="M138" s="23">
        <v>2024</v>
      </c>
      <c r="N138" s="105">
        <v>0.28000000000000003</v>
      </c>
      <c r="O138" s="105">
        <v>0.06</v>
      </c>
      <c r="P138" s="105">
        <v>0.12</v>
      </c>
      <c r="Q138" s="105">
        <v>0.06</v>
      </c>
      <c r="R138" s="669">
        <v>0.06</v>
      </c>
      <c r="S138" s="669">
        <v>0.42</v>
      </c>
      <c r="T138" s="25">
        <v>1</v>
      </c>
      <c r="V138" s="17"/>
      <c r="Z138" s="23">
        <v>2024</v>
      </c>
      <c r="AA138" s="668"/>
      <c r="AB138" s="105">
        <f>(('Future Type Share'!AV24*'Future EndUse Share'!D138)-(N138*'Future Type Share'!AT24))/('Future Type Share'!AR24+'Future Type Share'!AP24)</f>
        <v>8.3205268935214391E-3</v>
      </c>
      <c r="AC138" s="105">
        <f>((E138*'Future Type Share'!AV25)-('Future Type Share'!AT25*'Future EndUse Share'!O138))/('Future Type Share'!AV25-'Future Type Share'!AT25)</f>
        <v>0.33731092436974969</v>
      </c>
      <c r="AD138" s="105">
        <f>IF((((F137*'Future Type Share'!AV25)-('Future Type Share'!AT25*'Future EndUse Share'!P137))/('Future Type Share'!AV25-'Future Type Share'!AT25))&lt;10%,0,(((F137*'Future Type Share'!AV25)-('Future Type Share'!AT25*'Future EndUse Share'!P137))/('Future Type Share'!AV25-'Future Type Share'!AT25)))</f>
        <v>0</v>
      </c>
      <c r="AE138" s="105">
        <f>(G138-Q138*'Future Type Share'!$AU25)/(1-'Future Type Share'!$AU25)</f>
        <v>-3.2436974789916528E-2</v>
      </c>
      <c r="AF138" s="105">
        <f>(H138-R138*'Future Type Share'!$AU25)/(1-'Future Type Share'!$AU25)</f>
        <v>0.5221848739495828</v>
      </c>
      <c r="AG138" s="105">
        <f>(I138-S138*'Future Type Share'!$AU25)/(1-'Future Type Share'!$AU25)</f>
        <v>0.14268907563025046</v>
      </c>
      <c r="AH138" s="25">
        <f t="shared" si="36"/>
        <v>0.97806842605318789</v>
      </c>
      <c r="AI138" s="17"/>
      <c r="AJ138" s="17"/>
      <c r="AK138" s="17"/>
      <c r="AM138" s="134">
        <v>2024</v>
      </c>
      <c r="AN138" s="105">
        <v>0</v>
      </c>
      <c r="AO138" s="105">
        <f t="shared" ref="AO138:AO164" si="37">AC138+AB138</f>
        <v>0.34563145126327111</v>
      </c>
      <c r="AP138" s="105">
        <v>0</v>
      </c>
      <c r="AQ138" s="105">
        <v>0</v>
      </c>
      <c r="AR138" s="105">
        <f>1-AO138</f>
        <v>0.65436854873672889</v>
      </c>
      <c r="AS138" s="105">
        <v>0</v>
      </c>
      <c r="AT138" s="25">
        <f t="shared" si="34"/>
        <v>1</v>
      </c>
    </row>
    <row r="139" spans="1:46">
      <c r="B139" s="23">
        <v>2025</v>
      </c>
      <c r="C139" s="668"/>
      <c r="D139" s="105">
        <v>0.25</v>
      </c>
      <c r="E139" s="17">
        <v>0.09</v>
      </c>
      <c r="F139" s="17">
        <v>0.11</v>
      </c>
      <c r="G139" s="17">
        <v>0.05</v>
      </c>
      <c r="H139" s="17">
        <v>0.11</v>
      </c>
      <c r="I139" s="17">
        <v>0.39</v>
      </c>
      <c r="J139" s="25">
        <v>1</v>
      </c>
      <c r="M139" s="23">
        <v>2025</v>
      </c>
      <c r="N139" s="105">
        <v>0.28000000000000003</v>
      </c>
      <c r="O139" s="105">
        <v>0.06</v>
      </c>
      <c r="P139" s="105">
        <v>0.12</v>
      </c>
      <c r="Q139" s="105">
        <v>0.06</v>
      </c>
      <c r="R139" s="669">
        <v>0.06</v>
      </c>
      <c r="S139" s="669">
        <v>0.42</v>
      </c>
      <c r="T139" s="25">
        <v>1</v>
      </c>
      <c r="V139" s="17"/>
      <c r="Z139" s="23">
        <v>2025</v>
      </c>
      <c r="AA139" s="668"/>
      <c r="AB139" s="105">
        <f>(('Future Type Share'!AV25*'Future EndUse Share'!D139)-(N139*'Future Type Share'!AT25))/('Future Type Share'!AR25+'Future Type Share'!AP25)</f>
        <v>2.6890756302500878E-3</v>
      </c>
      <c r="AC139" s="105">
        <f>((E139*'Future Type Share'!AV26)-('Future Type Share'!AT26*'Future EndUse Share'!O139))/('Future Type Share'!AV26-'Future Type Share'!AT26)</f>
        <v>0.33272727272727282</v>
      </c>
      <c r="AD139" s="105">
        <f>IF((((F138*'Future Type Share'!AV26)-('Future Type Share'!AT26*'Future EndUse Share'!P138))/('Future Type Share'!AV26-'Future Type Share'!AT26))&lt;10%,0,(((F138*'Future Type Share'!AV26)-('Future Type Share'!AT26*'Future EndUse Share'!P138))/('Future Type Share'!AV26-'Future Type Share'!AT26)))</f>
        <v>0</v>
      </c>
      <c r="AE139" s="105">
        <f>(G139-Q139*'Future Type Share'!$AU26)/(1-'Future Type Share'!$AU26)</f>
        <v>-3.0909090909090851E-2</v>
      </c>
      <c r="AF139" s="105">
        <f>(H139-R139*'Future Type Share'!$AU26)/(1-'Future Type Share'!$AU26)</f>
        <v>0.51454545454545464</v>
      </c>
      <c r="AG139" s="105">
        <f>(I139-S139*'Future Type Share'!$AU26)/(1-'Future Type Share'!$AU26)</f>
        <v>0.14727272727272772</v>
      </c>
      <c r="AH139" s="25">
        <f t="shared" si="36"/>
        <v>0.96632543926661452</v>
      </c>
      <c r="AI139" s="17"/>
      <c r="AJ139" s="17"/>
      <c r="AK139" s="17"/>
      <c r="AM139" s="134">
        <v>2025</v>
      </c>
      <c r="AN139" s="105">
        <v>0</v>
      </c>
      <c r="AO139" s="105">
        <f t="shared" si="37"/>
        <v>0.33541634835752293</v>
      </c>
      <c r="AP139" s="105">
        <v>0</v>
      </c>
      <c r="AQ139" s="105">
        <v>0</v>
      </c>
      <c r="AR139" s="105">
        <f t="shared" si="35"/>
        <v>0.66458365164247701</v>
      </c>
      <c r="AS139" s="105">
        <v>0</v>
      </c>
      <c r="AT139" s="25">
        <f t="shared" si="34"/>
        <v>1</v>
      </c>
    </row>
    <row r="140" spans="1:46">
      <c r="B140" s="23">
        <v>2026</v>
      </c>
      <c r="C140" s="668"/>
      <c r="D140" s="105">
        <v>0.25</v>
      </c>
      <c r="E140" s="17">
        <v>0.09</v>
      </c>
      <c r="F140" s="17">
        <v>0.11</v>
      </c>
      <c r="G140" s="17">
        <v>0.05</v>
      </c>
      <c r="H140" s="17">
        <v>0.11</v>
      </c>
      <c r="I140" s="17">
        <v>0.39</v>
      </c>
      <c r="J140" s="25">
        <v>1</v>
      </c>
      <c r="M140" s="23">
        <v>2026</v>
      </c>
      <c r="N140" s="105">
        <v>0.28000000000000003</v>
      </c>
      <c r="O140" s="105">
        <v>0.06</v>
      </c>
      <c r="P140" s="105">
        <v>0.12</v>
      </c>
      <c r="Q140" s="105">
        <v>0.06</v>
      </c>
      <c r="R140" s="669">
        <v>0.06</v>
      </c>
      <c r="S140" s="669">
        <v>0.42</v>
      </c>
      <c r="T140" s="25">
        <v>1</v>
      </c>
      <c r="V140" s="17"/>
      <c r="Z140" s="23">
        <v>2026</v>
      </c>
      <c r="AA140" s="668"/>
      <c r="AB140" s="105">
        <f>(('Future Type Share'!AV26*'Future EndUse Share'!D140)-(N140*'Future Type Share'!AT26))/('Future Type Share'!AR26+'Future Type Share'!AP26)</f>
        <v>7.2727272727270507E-3</v>
      </c>
      <c r="AC140" s="105">
        <f>((E140*'Future Type Share'!AV27)-('Future Type Share'!AT27*'Future EndUse Share'!O140))/('Future Type Share'!AV27-'Future Type Share'!AT27)</f>
        <v>0.33272727272727287</v>
      </c>
      <c r="AD140" s="105">
        <f>IF((((F139*'Future Type Share'!AV27)-('Future Type Share'!AT27*'Future EndUse Share'!P139))/('Future Type Share'!AV27-'Future Type Share'!AT27))&lt;10%,0,(((F139*'Future Type Share'!AV27)-('Future Type Share'!AT27*'Future EndUse Share'!P139))/('Future Type Share'!AV27-'Future Type Share'!AT27)))</f>
        <v>0</v>
      </c>
      <c r="AE140" s="105">
        <f>(G140-Q140*'Future Type Share'!$AU27)/(1-'Future Type Share'!$AU27)</f>
        <v>-3.0909090909090851E-2</v>
      </c>
      <c r="AF140" s="105">
        <f>(H140-R140*'Future Type Share'!$AU27)/(1-'Future Type Share'!$AU27)</f>
        <v>0.51454545454545464</v>
      </c>
      <c r="AG140" s="105">
        <f>(I140-S140*'Future Type Share'!$AU27)/(1-'Future Type Share'!$AU27)</f>
        <v>0.14727272727272772</v>
      </c>
      <c r="AH140" s="25">
        <f t="shared" si="36"/>
        <v>0.97090909090909139</v>
      </c>
      <c r="AI140" s="17"/>
      <c r="AJ140" s="17"/>
      <c r="AK140" s="17"/>
      <c r="AM140" s="134">
        <v>2026</v>
      </c>
      <c r="AN140" s="105">
        <v>0</v>
      </c>
      <c r="AO140" s="105">
        <f t="shared" si="37"/>
        <v>0.33999999999999991</v>
      </c>
      <c r="AP140" s="105">
        <v>0</v>
      </c>
      <c r="AQ140" s="105">
        <v>0</v>
      </c>
      <c r="AR140" s="105">
        <f t="shared" si="35"/>
        <v>0.66000000000000014</v>
      </c>
      <c r="AS140" s="105">
        <v>0</v>
      </c>
      <c r="AT140" s="25">
        <f t="shared" si="34"/>
        <v>1</v>
      </c>
    </row>
    <row r="141" spans="1:46">
      <c r="B141" s="23">
        <v>2027</v>
      </c>
      <c r="C141" s="668"/>
      <c r="D141" s="105">
        <v>0.25</v>
      </c>
      <c r="E141" s="17">
        <v>0.09</v>
      </c>
      <c r="F141" s="17">
        <v>0.11</v>
      </c>
      <c r="G141" s="17">
        <v>0.05</v>
      </c>
      <c r="H141" s="17">
        <v>0.11</v>
      </c>
      <c r="I141" s="17">
        <v>0.39</v>
      </c>
      <c r="J141" s="25">
        <v>1</v>
      </c>
      <c r="M141" s="23">
        <v>2027</v>
      </c>
      <c r="N141" s="105">
        <v>0.28000000000000003</v>
      </c>
      <c r="O141" s="105">
        <v>0.06</v>
      </c>
      <c r="P141" s="105">
        <v>0.12</v>
      </c>
      <c r="Q141" s="105">
        <v>0.06</v>
      </c>
      <c r="R141" s="669">
        <v>0.06</v>
      </c>
      <c r="S141" s="669">
        <v>0.42</v>
      </c>
      <c r="T141" s="25">
        <v>1</v>
      </c>
      <c r="V141" s="17"/>
      <c r="Z141" s="23">
        <v>2027</v>
      </c>
      <c r="AA141" s="668"/>
      <c r="AB141" s="105">
        <f>(('Future Type Share'!AV27*'Future EndUse Share'!D141)-(N141*'Future Type Share'!AT27))/('Future Type Share'!AR27+'Future Type Share'!AP27)</f>
        <v>7.2727272727268841E-3</v>
      </c>
      <c r="AC141" s="105">
        <f>((E141*'Future Type Share'!AV28)-('Future Type Share'!AT28*'Future EndUse Share'!O141))/('Future Type Share'!AV28-'Future Type Share'!AT28)</f>
        <v>0.33272727272727259</v>
      </c>
      <c r="AD141" s="105">
        <f>IF((((F140*'Future Type Share'!AV28)-('Future Type Share'!AT28*'Future EndUse Share'!P140))/('Future Type Share'!AV28-'Future Type Share'!AT28))&lt;10%,0,(((F140*'Future Type Share'!AV28)-('Future Type Share'!AT28*'Future EndUse Share'!P140))/('Future Type Share'!AV28-'Future Type Share'!AT28)))</f>
        <v>0</v>
      </c>
      <c r="AE141" s="105">
        <f>(G141-Q141*'Future Type Share'!$AU28)/(1-'Future Type Share'!$AU28)</f>
        <v>-3.0909090909090851E-2</v>
      </c>
      <c r="AF141" s="105">
        <f>(H141-R141*'Future Type Share'!$AU28)/(1-'Future Type Share'!$AU28)</f>
        <v>0.51454545454545464</v>
      </c>
      <c r="AG141" s="105">
        <f>(I141-S141*'Future Type Share'!$AU28)/(1-'Future Type Share'!$AU28)</f>
        <v>0.14727272727272772</v>
      </c>
      <c r="AH141" s="25">
        <f t="shared" si="36"/>
        <v>0.97090909090909094</v>
      </c>
      <c r="AI141" s="17"/>
      <c r="AJ141" s="17"/>
      <c r="AK141" s="17"/>
      <c r="AM141" s="134">
        <v>2027</v>
      </c>
      <c r="AN141" s="105">
        <v>0</v>
      </c>
      <c r="AO141" s="105">
        <f t="shared" si="37"/>
        <v>0.33999999999999947</v>
      </c>
      <c r="AP141" s="105">
        <v>0</v>
      </c>
      <c r="AQ141" s="105">
        <v>0</v>
      </c>
      <c r="AR141" s="105">
        <f t="shared" si="35"/>
        <v>0.66000000000000059</v>
      </c>
      <c r="AS141" s="105">
        <v>0</v>
      </c>
      <c r="AT141" s="25">
        <f t="shared" si="34"/>
        <v>1</v>
      </c>
    </row>
    <row r="142" spans="1:46">
      <c r="B142" s="23">
        <v>2028</v>
      </c>
      <c r="C142" s="668"/>
      <c r="D142" s="105">
        <v>0.25</v>
      </c>
      <c r="E142" s="17">
        <v>0.09</v>
      </c>
      <c r="F142" s="17">
        <v>0.11</v>
      </c>
      <c r="G142" s="17">
        <v>0.05</v>
      </c>
      <c r="H142" s="17">
        <v>0.11</v>
      </c>
      <c r="I142" s="17">
        <v>0.39</v>
      </c>
      <c r="J142" s="25">
        <v>1</v>
      </c>
      <c r="M142" s="23">
        <v>2028</v>
      </c>
      <c r="N142" s="105">
        <v>0.28000000000000003</v>
      </c>
      <c r="O142" s="105">
        <v>0.06</v>
      </c>
      <c r="P142" s="105">
        <v>0.12</v>
      </c>
      <c r="Q142" s="105">
        <v>0.06</v>
      </c>
      <c r="R142" s="669">
        <v>0.06</v>
      </c>
      <c r="S142" s="669">
        <v>0.42</v>
      </c>
      <c r="T142" s="25">
        <v>1</v>
      </c>
      <c r="V142" s="17"/>
      <c r="Z142" s="23">
        <v>2028</v>
      </c>
      <c r="AA142" s="668"/>
      <c r="AB142" s="105">
        <f>(('Future Type Share'!AV28*'Future EndUse Share'!D142)-(N142*'Future Type Share'!AT28))/('Future Type Share'!AR28+'Future Type Share'!AP28)</f>
        <v>7.2727272727272398E-3</v>
      </c>
      <c r="AC142" s="105">
        <f>((E142*'Future Type Share'!AV29)-('Future Type Share'!AT29*'Future EndUse Share'!O142))/('Future Type Share'!AV29-'Future Type Share'!AT29)</f>
        <v>0.3327272727272727</v>
      </c>
      <c r="AD142" s="105">
        <f>IF((((F141*'Future Type Share'!AV29)-('Future Type Share'!AT29*'Future EndUse Share'!P141))/('Future Type Share'!AV29-'Future Type Share'!AT29))&lt;10%,0,(((F141*'Future Type Share'!AV29)-('Future Type Share'!AT29*'Future EndUse Share'!P141))/('Future Type Share'!AV29-'Future Type Share'!AT29)))</f>
        <v>0</v>
      </c>
      <c r="AE142" s="105">
        <f>(G142-Q142*'Future Type Share'!$AU29)/(1-'Future Type Share'!$AU29)</f>
        <v>-3.0909090909090851E-2</v>
      </c>
      <c r="AF142" s="105">
        <f>(H142-R142*'Future Type Share'!$AU29)/(1-'Future Type Share'!$AU29)</f>
        <v>0.51454545454545464</v>
      </c>
      <c r="AG142" s="105">
        <f>(I142-S142*'Future Type Share'!$AU29)/(1-'Future Type Share'!$AU29)</f>
        <v>0.14727272727272772</v>
      </c>
      <c r="AH142" s="25">
        <f t="shared" si="36"/>
        <v>0.97090909090909139</v>
      </c>
      <c r="AI142" s="17"/>
      <c r="AJ142" s="17"/>
      <c r="AK142" s="17"/>
      <c r="AM142" s="134">
        <v>2028</v>
      </c>
      <c r="AN142" s="105">
        <v>0</v>
      </c>
      <c r="AO142" s="105">
        <f t="shared" si="37"/>
        <v>0.33999999999999997</v>
      </c>
      <c r="AP142" s="105">
        <v>0</v>
      </c>
      <c r="AQ142" s="105">
        <v>0</v>
      </c>
      <c r="AR142" s="105">
        <f t="shared" si="35"/>
        <v>0.66</v>
      </c>
      <c r="AS142" s="105">
        <v>0</v>
      </c>
      <c r="AT142" s="25">
        <f t="shared" si="34"/>
        <v>1</v>
      </c>
    </row>
    <row r="143" spans="1:46">
      <c r="B143" s="23">
        <v>2029</v>
      </c>
      <c r="C143" s="668"/>
      <c r="D143" s="105">
        <v>0.25</v>
      </c>
      <c r="E143" s="17">
        <v>0.09</v>
      </c>
      <c r="F143" s="17">
        <v>0.11</v>
      </c>
      <c r="G143" s="17">
        <v>0.05</v>
      </c>
      <c r="H143" s="17">
        <v>0.11</v>
      </c>
      <c r="I143" s="17">
        <v>0.39</v>
      </c>
      <c r="J143" s="25">
        <v>1</v>
      </c>
      <c r="M143" s="23">
        <v>2029</v>
      </c>
      <c r="N143" s="105">
        <v>0.28000000000000003</v>
      </c>
      <c r="O143" s="105">
        <v>0.06</v>
      </c>
      <c r="P143" s="105">
        <v>0.12</v>
      </c>
      <c r="Q143" s="105">
        <v>0.06</v>
      </c>
      <c r="R143" s="669">
        <v>0.06</v>
      </c>
      <c r="S143" s="669">
        <v>0.42</v>
      </c>
      <c r="T143" s="25">
        <v>1</v>
      </c>
      <c r="V143" s="17"/>
      <c r="Z143" s="23">
        <v>2029</v>
      </c>
      <c r="AA143" s="668"/>
      <c r="AB143" s="105">
        <f>(('Future Type Share'!AV29*'Future EndUse Share'!D143)-(N143*'Future Type Share'!AT29))/('Future Type Share'!AR29+'Future Type Share'!AP29)</f>
        <v>7.2727272727270741E-3</v>
      </c>
      <c r="AC143" s="105">
        <f>((E143*'Future Type Share'!AV30)-('Future Type Share'!AT30*'Future EndUse Share'!O143))/('Future Type Share'!AV30-'Future Type Share'!AT30)</f>
        <v>0.33272727272727287</v>
      </c>
      <c r="AD143" s="105">
        <f>IF((((F142*'Future Type Share'!AV30)-('Future Type Share'!AT30*'Future EndUse Share'!P142))/('Future Type Share'!AV30-'Future Type Share'!AT30))&lt;10%,0,(((F142*'Future Type Share'!AV30)-('Future Type Share'!AT30*'Future EndUse Share'!P142))/('Future Type Share'!AV30-'Future Type Share'!AT30)))</f>
        <v>0</v>
      </c>
      <c r="AE143" s="105">
        <f>(G143-Q143*'Future Type Share'!$AU30)/(1-'Future Type Share'!$AU30)</f>
        <v>-3.0909090909090851E-2</v>
      </c>
      <c r="AF143" s="105">
        <f>(H143-R143*'Future Type Share'!$AU30)/(1-'Future Type Share'!$AU30)</f>
        <v>0.51454545454545464</v>
      </c>
      <c r="AG143" s="105">
        <f>(I143-S143*'Future Type Share'!$AU30)/(1-'Future Type Share'!$AU30)</f>
        <v>0.14727272727272772</v>
      </c>
      <c r="AH143" s="25">
        <f t="shared" si="36"/>
        <v>0.97090909090909139</v>
      </c>
      <c r="AI143" s="17"/>
      <c r="AJ143" s="17"/>
      <c r="AK143" s="17"/>
      <c r="AM143" s="134">
        <v>2029</v>
      </c>
      <c r="AN143" s="105">
        <v>0</v>
      </c>
      <c r="AO143" s="105">
        <f t="shared" si="37"/>
        <v>0.33999999999999997</v>
      </c>
      <c r="AP143" s="105">
        <v>0</v>
      </c>
      <c r="AQ143" s="105">
        <v>0</v>
      </c>
      <c r="AR143" s="105">
        <f t="shared" si="35"/>
        <v>0.66</v>
      </c>
      <c r="AS143" s="105">
        <v>0</v>
      </c>
      <c r="AT143" s="25">
        <f t="shared" si="34"/>
        <v>1</v>
      </c>
    </row>
    <row r="144" spans="1:46">
      <c r="B144" s="23">
        <v>2030</v>
      </c>
      <c r="C144" s="668"/>
      <c r="D144" s="105">
        <v>0.25</v>
      </c>
      <c r="E144" s="17">
        <v>0.09</v>
      </c>
      <c r="F144" s="17">
        <v>0.11</v>
      </c>
      <c r="G144" s="17">
        <v>0.05</v>
      </c>
      <c r="H144" s="17">
        <v>0.11</v>
      </c>
      <c r="I144" s="17">
        <v>0.39</v>
      </c>
      <c r="J144" s="25">
        <v>1</v>
      </c>
      <c r="M144" s="23">
        <v>2030</v>
      </c>
      <c r="N144" s="105">
        <v>0.28000000000000003</v>
      </c>
      <c r="O144" s="105">
        <v>0.06</v>
      </c>
      <c r="P144" s="105">
        <v>0.12</v>
      </c>
      <c r="Q144" s="105">
        <v>0.06</v>
      </c>
      <c r="R144" s="669">
        <v>0.06</v>
      </c>
      <c r="S144" s="669">
        <v>0.42</v>
      </c>
      <c r="T144" s="25">
        <v>1</v>
      </c>
      <c r="V144" s="17"/>
      <c r="Z144" s="23">
        <v>2030</v>
      </c>
      <c r="AA144" s="668"/>
      <c r="AB144" s="105">
        <f>(('Future Type Share'!AV30*'Future EndUse Share'!D144)-(N144*'Future Type Share'!AT30))/('Future Type Share'!AR30+'Future Type Share'!AP30)</f>
        <v>7.272727272726911E-3</v>
      </c>
      <c r="AC144" s="105">
        <f>((E144*'Future Type Share'!AV31)-('Future Type Share'!AT31*'Future EndUse Share'!O144))/('Future Type Share'!AV31-'Future Type Share'!AT31)</f>
        <v>0.33272727272727259</v>
      </c>
      <c r="AD144" s="105">
        <f>IF((((F143*'Future Type Share'!AV31)-('Future Type Share'!AT31*'Future EndUse Share'!P143))/('Future Type Share'!AV31-'Future Type Share'!AT31))&lt;10%,0,(((F143*'Future Type Share'!AV31)-('Future Type Share'!AT31*'Future EndUse Share'!P143))/('Future Type Share'!AV31-'Future Type Share'!AT31)))</f>
        <v>0</v>
      </c>
      <c r="AE144" s="105">
        <f>(G144-Q144*'Future Type Share'!$AU31)/(1-'Future Type Share'!$AU31)</f>
        <v>-3.0909090909090851E-2</v>
      </c>
      <c r="AF144" s="105">
        <f>(H144-R144*'Future Type Share'!$AU31)/(1-'Future Type Share'!$AU31)</f>
        <v>0.51454545454545464</v>
      </c>
      <c r="AG144" s="105">
        <f>(I144-S144*'Future Type Share'!$AU31)/(1-'Future Type Share'!$AU31)</f>
        <v>0.14727272727272772</v>
      </c>
      <c r="AH144" s="25">
        <f t="shared" si="36"/>
        <v>0.97090909090909094</v>
      </c>
      <c r="AI144" s="17"/>
      <c r="AJ144" s="17"/>
      <c r="AK144" s="17"/>
      <c r="AM144" s="134">
        <v>2030</v>
      </c>
      <c r="AN144" s="105">
        <v>0</v>
      </c>
      <c r="AO144" s="105">
        <f t="shared" si="37"/>
        <v>0.33999999999999952</v>
      </c>
      <c r="AP144" s="105">
        <v>0</v>
      </c>
      <c r="AQ144" s="105">
        <v>0</v>
      </c>
      <c r="AR144" s="105">
        <f t="shared" si="35"/>
        <v>0.66000000000000048</v>
      </c>
      <c r="AS144" s="105">
        <v>0</v>
      </c>
      <c r="AT144" s="25">
        <f t="shared" si="34"/>
        <v>1</v>
      </c>
    </row>
    <row r="145" spans="2:46">
      <c r="B145" s="23">
        <v>2031</v>
      </c>
      <c r="C145" s="668"/>
      <c r="D145" s="105">
        <v>0.25</v>
      </c>
      <c r="E145" s="17">
        <v>0.09</v>
      </c>
      <c r="F145" s="17">
        <v>0.11</v>
      </c>
      <c r="G145" s="17">
        <v>0.05</v>
      </c>
      <c r="H145" s="17">
        <v>0.11</v>
      </c>
      <c r="I145" s="17">
        <v>0.39</v>
      </c>
      <c r="J145" s="25">
        <v>1</v>
      </c>
      <c r="M145" s="23">
        <v>2031</v>
      </c>
      <c r="N145" s="105">
        <v>0.28000000000000003</v>
      </c>
      <c r="O145" s="105">
        <v>0.06</v>
      </c>
      <c r="P145" s="105">
        <v>0.12</v>
      </c>
      <c r="Q145" s="105">
        <v>0.06</v>
      </c>
      <c r="R145" s="669">
        <v>0.06</v>
      </c>
      <c r="S145" s="669">
        <v>0.42</v>
      </c>
      <c r="T145" s="25">
        <v>1</v>
      </c>
      <c r="V145" s="17"/>
      <c r="Z145" s="23">
        <v>2031</v>
      </c>
      <c r="AA145" s="668"/>
      <c r="AB145" s="105">
        <f>(('Future Type Share'!AV31*'Future EndUse Share'!D145)-(N145*'Future Type Share'!AT31))/('Future Type Share'!AR31+'Future Type Share'!AP31)</f>
        <v>7.2727272727270038E-3</v>
      </c>
      <c r="AC145" s="105">
        <f>((E145*'Future Type Share'!AV32)-('Future Type Share'!AT32*'Future EndUse Share'!O145))/('Future Type Share'!AV32-'Future Type Share'!AT32)</f>
        <v>0.33272727272727276</v>
      </c>
      <c r="AD145" s="105">
        <f>IF((((F144*'Future Type Share'!AV32)-('Future Type Share'!AT32*'Future EndUse Share'!P144))/('Future Type Share'!AV32-'Future Type Share'!AT32))&lt;10%,0,(((F144*'Future Type Share'!AV32)-('Future Type Share'!AT32*'Future EndUse Share'!P144))/('Future Type Share'!AV32-'Future Type Share'!AT32)))</f>
        <v>0</v>
      </c>
      <c r="AE145" s="105">
        <f>(G145-Q145*'Future Type Share'!$AU32)/(1-'Future Type Share'!$AU32)</f>
        <v>-3.0909090909090851E-2</v>
      </c>
      <c r="AF145" s="105">
        <f>(H145-R145*'Future Type Share'!$AU32)/(1-'Future Type Share'!$AU32)</f>
        <v>0.51454545454545464</v>
      </c>
      <c r="AG145" s="105">
        <f>(I145-S145*'Future Type Share'!$AU32)/(1-'Future Type Share'!$AU32)</f>
        <v>0.14727272727272772</v>
      </c>
      <c r="AH145" s="25">
        <f t="shared" si="36"/>
        <v>0.97090909090909117</v>
      </c>
      <c r="AI145" s="17"/>
      <c r="AJ145" s="17"/>
      <c r="AK145" s="17"/>
      <c r="AM145" s="134">
        <v>2031</v>
      </c>
      <c r="AN145" s="105">
        <v>0</v>
      </c>
      <c r="AO145" s="105">
        <f t="shared" si="37"/>
        <v>0.33999999999999975</v>
      </c>
      <c r="AP145" s="105">
        <v>0</v>
      </c>
      <c r="AQ145" s="105">
        <v>0</v>
      </c>
      <c r="AR145" s="105">
        <f t="shared" si="35"/>
        <v>0.66000000000000025</v>
      </c>
      <c r="AS145" s="105">
        <v>0</v>
      </c>
      <c r="AT145" s="25">
        <f t="shared" si="34"/>
        <v>1</v>
      </c>
    </row>
    <row r="146" spans="2:46">
      <c r="B146" s="23">
        <v>2032</v>
      </c>
      <c r="C146" s="668"/>
      <c r="D146" s="105">
        <v>0.25</v>
      </c>
      <c r="E146" s="17">
        <v>0.09</v>
      </c>
      <c r="F146" s="17">
        <v>0.11</v>
      </c>
      <c r="G146" s="17">
        <v>0.05</v>
      </c>
      <c r="H146" s="17">
        <v>0.11</v>
      </c>
      <c r="I146" s="17">
        <v>0.39</v>
      </c>
      <c r="J146" s="25">
        <v>1</v>
      </c>
      <c r="M146" s="23">
        <v>2032</v>
      </c>
      <c r="N146" s="105">
        <v>0.28000000000000003</v>
      </c>
      <c r="O146" s="105">
        <v>0.06</v>
      </c>
      <c r="P146" s="105">
        <v>0.12</v>
      </c>
      <c r="Q146" s="105">
        <v>0.06</v>
      </c>
      <c r="R146" s="669">
        <v>0.06</v>
      </c>
      <c r="S146" s="669">
        <v>0.42</v>
      </c>
      <c r="T146" s="25">
        <v>1</v>
      </c>
      <c r="V146" s="17"/>
      <c r="Z146" s="23">
        <v>2032</v>
      </c>
      <c r="AA146" s="668"/>
      <c r="AB146" s="105">
        <f>(('Future Type Share'!AV32*'Future EndUse Share'!D146)-(N146*'Future Type Share'!AT32))/('Future Type Share'!AR32+'Future Type Share'!AP32)</f>
        <v>7.2727272727270975E-3</v>
      </c>
      <c r="AC146" s="105">
        <f>((E146*'Future Type Share'!AV33)-('Future Type Share'!AT33*'Future EndUse Share'!O146))/('Future Type Share'!AV33-'Future Type Share'!AT33)</f>
        <v>0.33272727272727287</v>
      </c>
      <c r="AD146" s="105">
        <f>IF((((F145*'Future Type Share'!AV33)-('Future Type Share'!AT33*'Future EndUse Share'!P145))/('Future Type Share'!AV33-'Future Type Share'!AT33))&lt;10%,0,(((F145*'Future Type Share'!AV33)-('Future Type Share'!AT33*'Future EndUse Share'!P145))/('Future Type Share'!AV33-'Future Type Share'!AT33)))</f>
        <v>0</v>
      </c>
      <c r="AE146" s="105">
        <f>(G146-Q146*'Future Type Share'!$AU33)/(1-'Future Type Share'!$AU33)</f>
        <v>-3.0909090909090851E-2</v>
      </c>
      <c r="AF146" s="105">
        <f>(H146-R146*'Future Type Share'!$AU33)/(1-'Future Type Share'!$AU33)</f>
        <v>0.51454545454545464</v>
      </c>
      <c r="AG146" s="105">
        <f>(I146-S146*'Future Type Share'!$AU33)/(1-'Future Type Share'!$AU33)</f>
        <v>0.14727272727272772</v>
      </c>
      <c r="AH146" s="25">
        <f t="shared" si="36"/>
        <v>0.97090909090909139</v>
      </c>
      <c r="AI146" s="17"/>
      <c r="AJ146" s="17"/>
      <c r="AK146" s="17"/>
      <c r="AM146" s="134">
        <v>2032</v>
      </c>
      <c r="AN146" s="105">
        <v>0</v>
      </c>
      <c r="AO146" s="105">
        <f t="shared" si="37"/>
        <v>0.33999999999999997</v>
      </c>
      <c r="AP146" s="105">
        <v>0</v>
      </c>
      <c r="AQ146" s="105">
        <v>0</v>
      </c>
      <c r="AR146" s="105">
        <f t="shared" si="35"/>
        <v>0.66</v>
      </c>
      <c r="AS146" s="105">
        <v>0</v>
      </c>
      <c r="AT146" s="25">
        <f t="shared" si="34"/>
        <v>1</v>
      </c>
    </row>
    <row r="147" spans="2:46">
      <c r="B147" s="23">
        <v>2033</v>
      </c>
      <c r="C147" s="668"/>
      <c r="D147" s="105">
        <v>0.25</v>
      </c>
      <c r="E147" s="17">
        <v>0.09</v>
      </c>
      <c r="F147" s="17">
        <v>0.11</v>
      </c>
      <c r="G147" s="17">
        <v>0.05</v>
      </c>
      <c r="H147" s="17">
        <v>0.11</v>
      </c>
      <c r="I147" s="17">
        <v>0.39</v>
      </c>
      <c r="J147" s="25">
        <v>1</v>
      </c>
      <c r="M147" s="23">
        <v>2033</v>
      </c>
      <c r="N147" s="105">
        <v>0.28000000000000003</v>
      </c>
      <c r="O147" s="105">
        <v>0.06</v>
      </c>
      <c r="P147" s="105">
        <v>0.12</v>
      </c>
      <c r="Q147" s="105">
        <v>0.06</v>
      </c>
      <c r="R147" s="669">
        <v>0.06</v>
      </c>
      <c r="S147" s="669">
        <v>0.42</v>
      </c>
      <c r="T147" s="25">
        <v>1</v>
      </c>
      <c r="V147" s="17"/>
      <c r="Z147" s="23">
        <v>2033</v>
      </c>
      <c r="AA147" s="668"/>
      <c r="AB147" s="105">
        <f>(('Future Type Share'!AV33*'Future EndUse Share'!D147)-(N147*'Future Type Share'!AT33))/('Future Type Share'!AR33+'Future Type Share'!AP33)</f>
        <v>7.2727272727269362E-3</v>
      </c>
      <c r="AC147" s="105">
        <f>((E147*'Future Type Share'!AV34)-('Future Type Share'!AT34*'Future EndUse Share'!O147))/('Future Type Share'!AV34-'Future Type Share'!AT34)</f>
        <v>0.33272727272727276</v>
      </c>
      <c r="AD147" s="105">
        <f>IF((((F146*'Future Type Share'!AV34)-('Future Type Share'!AT34*'Future EndUse Share'!P146))/('Future Type Share'!AV34-'Future Type Share'!AT34))&lt;10%,0,(((F146*'Future Type Share'!AV34)-('Future Type Share'!AT34*'Future EndUse Share'!P146))/('Future Type Share'!AV34-'Future Type Share'!AT34)))</f>
        <v>0</v>
      </c>
      <c r="AE147" s="105">
        <f>(G147-Q147*'Future Type Share'!$AU34)/(1-'Future Type Share'!$AU34)</f>
        <v>-3.0909090909090851E-2</v>
      </c>
      <c r="AF147" s="105">
        <f>(H147-R147*'Future Type Share'!$AU34)/(1-'Future Type Share'!$AU34)</f>
        <v>0.51454545454545464</v>
      </c>
      <c r="AG147" s="105">
        <f>(I147-S147*'Future Type Share'!$AU34)/(1-'Future Type Share'!$AU34)</f>
        <v>0.14727272727272772</v>
      </c>
      <c r="AH147" s="25">
        <f t="shared" si="36"/>
        <v>0.97090909090909117</v>
      </c>
      <c r="AI147" s="17"/>
      <c r="AJ147" s="17"/>
      <c r="AK147" s="17"/>
      <c r="AM147" s="134">
        <v>2033</v>
      </c>
      <c r="AN147" s="105">
        <v>0</v>
      </c>
      <c r="AO147" s="105">
        <f t="shared" si="37"/>
        <v>0.33999999999999969</v>
      </c>
      <c r="AP147" s="105">
        <v>0</v>
      </c>
      <c r="AQ147" s="105">
        <v>0</v>
      </c>
      <c r="AR147" s="105">
        <f t="shared" si="35"/>
        <v>0.66000000000000036</v>
      </c>
      <c r="AS147" s="105">
        <v>0</v>
      </c>
      <c r="AT147" s="25">
        <f t="shared" si="34"/>
        <v>1</v>
      </c>
    </row>
    <row r="148" spans="2:46">
      <c r="B148" s="23">
        <v>2034</v>
      </c>
      <c r="C148" s="668"/>
      <c r="D148" s="105">
        <v>0.25</v>
      </c>
      <c r="E148" s="17">
        <v>0.09</v>
      </c>
      <c r="F148" s="17">
        <v>0.11</v>
      </c>
      <c r="G148" s="17">
        <v>0.05</v>
      </c>
      <c r="H148" s="17">
        <v>0.11</v>
      </c>
      <c r="I148" s="17">
        <v>0.39</v>
      </c>
      <c r="J148" s="25">
        <v>1</v>
      </c>
      <c r="M148" s="23">
        <v>2034</v>
      </c>
      <c r="N148" s="105">
        <v>0.28000000000000003</v>
      </c>
      <c r="O148" s="105">
        <v>0.06</v>
      </c>
      <c r="P148" s="105">
        <v>0.12</v>
      </c>
      <c r="Q148" s="105">
        <v>0.06</v>
      </c>
      <c r="R148" s="669">
        <v>0.06</v>
      </c>
      <c r="S148" s="669">
        <v>0.42</v>
      </c>
      <c r="T148" s="25">
        <v>1</v>
      </c>
      <c r="V148" s="17"/>
      <c r="Z148" s="23">
        <v>2034</v>
      </c>
      <c r="AA148" s="668"/>
      <c r="AB148" s="105">
        <f>(('Future Type Share'!AV34*'Future EndUse Share'!D148)-(N148*'Future Type Share'!AT34))/('Future Type Share'!AR34+'Future Type Share'!AP34)</f>
        <v>7.2727272727272762E-3</v>
      </c>
      <c r="AC148" s="105">
        <f>((E148*'Future Type Share'!AV35)-('Future Type Share'!AT35*'Future EndUse Share'!O148))/('Future Type Share'!AV35-'Future Type Share'!AT35)</f>
        <v>0.33272727272727265</v>
      </c>
      <c r="AD148" s="105">
        <f>IF((((F147*'Future Type Share'!AV35)-('Future Type Share'!AT35*'Future EndUse Share'!P147))/('Future Type Share'!AV35-'Future Type Share'!AT35))&lt;10%,0,(((F147*'Future Type Share'!AV35)-('Future Type Share'!AT35*'Future EndUse Share'!P147))/('Future Type Share'!AV35-'Future Type Share'!AT35)))</f>
        <v>0</v>
      </c>
      <c r="AE148" s="105">
        <f>(G148-Q148*'Future Type Share'!$AU35)/(1-'Future Type Share'!$AU35)</f>
        <v>-3.0909090909090851E-2</v>
      </c>
      <c r="AF148" s="105">
        <f>(H148-R148*'Future Type Share'!$AU35)/(1-'Future Type Share'!$AU35)</f>
        <v>0.51454545454545464</v>
      </c>
      <c r="AG148" s="105">
        <f>(I148-S148*'Future Type Share'!$AU35)/(1-'Future Type Share'!$AU35)</f>
        <v>0.14727272727272772</v>
      </c>
      <c r="AH148" s="25">
        <f t="shared" si="36"/>
        <v>0.97090909090909139</v>
      </c>
      <c r="AI148" s="17"/>
      <c r="AJ148" s="17"/>
      <c r="AK148" s="17"/>
      <c r="AM148" s="134">
        <v>2034</v>
      </c>
      <c r="AN148" s="105">
        <v>0</v>
      </c>
      <c r="AO148" s="105">
        <f t="shared" si="37"/>
        <v>0.33999999999999991</v>
      </c>
      <c r="AP148" s="105">
        <v>0</v>
      </c>
      <c r="AQ148" s="105">
        <v>0</v>
      </c>
      <c r="AR148" s="105">
        <f t="shared" si="35"/>
        <v>0.66000000000000014</v>
      </c>
      <c r="AS148" s="105">
        <v>0</v>
      </c>
      <c r="AT148" s="25">
        <f t="shared" si="34"/>
        <v>1</v>
      </c>
    </row>
    <row r="149" spans="2:46">
      <c r="B149" s="23">
        <v>2035</v>
      </c>
      <c r="C149" s="668"/>
      <c r="D149" s="105">
        <v>0.25</v>
      </c>
      <c r="E149" s="17">
        <v>0.09</v>
      </c>
      <c r="F149" s="17">
        <v>0.11</v>
      </c>
      <c r="G149" s="17">
        <v>0.05</v>
      </c>
      <c r="H149" s="17">
        <v>0.11</v>
      </c>
      <c r="I149" s="17">
        <v>0.39</v>
      </c>
      <c r="J149" s="25">
        <v>1</v>
      </c>
      <c r="M149" s="23">
        <v>2035</v>
      </c>
      <c r="N149" s="105">
        <v>0.28000000000000003</v>
      </c>
      <c r="O149" s="105">
        <v>0.06</v>
      </c>
      <c r="P149" s="105">
        <v>0.12</v>
      </c>
      <c r="Q149" s="105">
        <v>0.06</v>
      </c>
      <c r="R149" s="669">
        <v>0.06</v>
      </c>
      <c r="S149" s="669">
        <v>0.42</v>
      </c>
      <c r="T149" s="25">
        <v>1</v>
      </c>
      <c r="V149" s="17"/>
      <c r="Z149" s="23">
        <v>2035</v>
      </c>
      <c r="AA149" s="668"/>
      <c r="AB149" s="105">
        <f>(('Future Type Share'!AV35*'Future EndUse Share'!D149)-(N149*'Future Type Share'!AT35))/('Future Type Share'!AR35+'Future Type Share'!AP35)</f>
        <v>7.2727272727271201E-3</v>
      </c>
      <c r="AC149" s="105">
        <f>((E149*'Future Type Share'!AV36)-('Future Type Share'!AT36*'Future EndUse Share'!O149))/('Future Type Share'!AV36-'Future Type Share'!AT36)</f>
        <v>0.33272727272727276</v>
      </c>
      <c r="AD149" s="105">
        <f>IF((((F148*'Future Type Share'!AV36)-('Future Type Share'!AT36*'Future EndUse Share'!P148))/('Future Type Share'!AV36-'Future Type Share'!AT36))&lt;10%,0,(((F148*'Future Type Share'!AV36)-('Future Type Share'!AT36*'Future EndUse Share'!P148))/('Future Type Share'!AV36-'Future Type Share'!AT36)))</f>
        <v>0</v>
      </c>
      <c r="AE149" s="105">
        <f>(G149-Q149*'Future Type Share'!$AU36)/(1-'Future Type Share'!$AU36)</f>
        <v>-3.0909090909090851E-2</v>
      </c>
      <c r="AF149" s="105">
        <f>(H149-R149*'Future Type Share'!$AU36)/(1-'Future Type Share'!$AU36)</f>
        <v>0.51454545454545464</v>
      </c>
      <c r="AG149" s="105">
        <f>(I149-S149*'Future Type Share'!$AU36)/(1-'Future Type Share'!$AU36)</f>
        <v>0.14727272727272772</v>
      </c>
      <c r="AH149" s="25">
        <f t="shared" si="36"/>
        <v>0.97090909090909139</v>
      </c>
      <c r="AI149" s="17"/>
      <c r="AJ149" s="17"/>
      <c r="AK149" s="17"/>
      <c r="AM149" s="134">
        <v>2035</v>
      </c>
      <c r="AN149" s="105">
        <v>0</v>
      </c>
      <c r="AO149" s="105">
        <f t="shared" si="37"/>
        <v>0.33999999999999986</v>
      </c>
      <c r="AP149" s="105">
        <v>0</v>
      </c>
      <c r="AQ149" s="105">
        <v>0</v>
      </c>
      <c r="AR149" s="105">
        <f t="shared" si="35"/>
        <v>0.66000000000000014</v>
      </c>
      <c r="AS149" s="105">
        <v>0</v>
      </c>
      <c r="AT149" s="25">
        <f t="shared" si="34"/>
        <v>1</v>
      </c>
    </row>
    <row r="150" spans="2:46">
      <c r="B150" s="23">
        <v>2036</v>
      </c>
      <c r="C150" s="668"/>
      <c r="D150" s="105">
        <v>0.25</v>
      </c>
      <c r="E150" s="17">
        <v>0.09</v>
      </c>
      <c r="F150" s="17">
        <v>0.11</v>
      </c>
      <c r="G150" s="17">
        <v>0.05</v>
      </c>
      <c r="H150" s="17">
        <v>0.11</v>
      </c>
      <c r="I150" s="17">
        <v>0.39</v>
      </c>
      <c r="J150" s="25">
        <v>1</v>
      </c>
      <c r="M150" s="23">
        <v>2036</v>
      </c>
      <c r="N150" s="105">
        <v>0.28000000000000003</v>
      </c>
      <c r="O150" s="105">
        <v>0.06</v>
      </c>
      <c r="P150" s="105">
        <v>0.12</v>
      </c>
      <c r="Q150" s="105">
        <v>0.06</v>
      </c>
      <c r="R150" s="669">
        <v>0.06</v>
      </c>
      <c r="S150" s="669">
        <v>0.42</v>
      </c>
      <c r="T150" s="25">
        <v>1</v>
      </c>
      <c r="V150" s="17"/>
      <c r="Z150" s="23">
        <v>2036</v>
      </c>
      <c r="AA150" s="668"/>
      <c r="AB150" s="105">
        <f>(('Future Type Share'!AV36*'Future EndUse Share'!D150)-(N150*'Future Type Share'!AT36))/('Future Type Share'!AR36+'Future Type Share'!AP36)</f>
        <v>7.2727272727269639E-3</v>
      </c>
      <c r="AC150" s="105">
        <f>((E150*'Future Type Share'!AV37)-('Future Type Share'!AT37*'Future EndUse Share'!O150))/('Future Type Share'!AV37-'Future Type Share'!AT37)</f>
        <v>0.33272727272727276</v>
      </c>
      <c r="AD150" s="105">
        <f>IF((((F149*'Future Type Share'!AV37)-('Future Type Share'!AT37*'Future EndUse Share'!P149))/('Future Type Share'!AV37-'Future Type Share'!AT37))&lt;10%,0,(((F149*'Future Type Share'!AV37)-('Future Type Share'!AT37*'Future EndUse Share'!P149))/('Future Type Share'!AV37-'Future Type Share'!AT37)))</f>
        <v>0</v>
      </c>
      <c r="AE150" s="105">
        <f>(G150-Q150*'Future Type Share'!$AU37)/(1-'Future Type Share'!$AU37)</f>
        <v>-3.0909090909090851E-2</v>
      </c>
      <c r="AF150" s="105">
        <f>(H150-R150*'Future Type Share'!$AU37)/(1-'Future Type Share'!$AU37)</f>
        <v>0.51454545454545464</v>
      </c>
      <c r="AG150" s="105">
        <f>(I150-S150*'Future Type Share'!$AU37)/(1-'Future Type Share'!$AU37)</f>
        <v>0.14727272727272772</v>
      </c>
      <c r="AH150" s="25">
        <f t="shared" si="36"/>
        <v>0.97090909090909117</v>
      </c>
      <c r="AI150" s="17"/>
      <c r="AJ150" s="17"/>
      <c r="AK150" s="17"/>
      <c r="AM150" s="134">
        <v>2036</v>
      </c>
      <c r="AN150" s="105">
        <v>0</v>
      </c>
      <c r="AO150" s="105">
        <f t="shared" si="37"/>
        <v>0.33999999999999975</v>
      </c>
      <c r="AP150" s="105">
        <v>0</v>
      </c>
      <c r="AQ150" s="105">
        <v>0</v>
      </c>
      <c r="AR150" s="105">
        <f t="shared" si="35"/>
        <v>0.66000000000000025</v>
      </c>
      <c r="AS150" s="105">
        <v>0</v>
      </c>
      <c r="AT150" s="25">
        <f t="shared" si="34"/>
        <v>1</v>
      </c>
    </row>
    <row r="151" spans="2:46">
      <c r="B151" s="23">
        <v>2037</v>
      </c>
      <c r="C151" s="668"/>
      <c r="D151" s="105">
        <v>0.25</v>
      </c>
      <c r="E151" s="17">
        <v>0.09</v>
      </c>
      <c r="F151" s="17">
        <v>0.11</v>
      </c>
      <c r="G151" s="17">
        <v>0.05</v>
      </c>
      <c r="H151" s="17">
        <v>0.11</v>
      </c>
      <c r="I151" s="17">
        <v>0.39</v>
      </c>
      <c r="J151" s="25">
        <v>1</v>
      </c>
      <c r="M151" s="23">
        <v>2037</v>
      </c>
      <c r="N151" s="105">
        <v>0.28000000000000003</v>
      </c>
      <c r="O151" s="105">
        <v>0.06</v>
      </c>
      <c r="P151" s="105">
        <v>0.12</v>
      </c>
      <c r="Q151" s="105">
        <v>0.06</v>
      </c>
      <c r="R151" s="669">
        <v>0.06</v>
      </c>
      <c r="S151" s="669">
        <v>0.42</v>
      </c>
      <c r="T151" s="25">
        <v>1</v>
      </c>
      <c r="V151" s="17"/>
      <c r="Z151" s="23">
        <v>2037</v>
      </c>
      <c r="AA151" s="668"/>
      <c r="AB151" s="105">
        <f>(('Future Type Share'!AV37*'Future EndUse Share'!D151)-(N151*'Future Type Share'!AT37))/('Future Type Share'!AR37+'Future Type Share'!AP37)</f>
        <v>7.2727272727270056E-3</v>
      </c>
      <c r="AC151" s="105">
        <f>((E151*'Future Type Share'!AV38)-('Future Type Share'!AT38*'Future EndUse Share'!O151))/('Future Type Share'!AV38-'Future Type Share'!AT38)</f>
        <v>0.33272727272727259</v>
      </c>
      <c r="AD151" s="105">
        <f>IF((((F150*'Future Type Share'!AV38)-('Future Type Share'!AT38*'Future EndUse Share'!P150))/('Future Type Share'!AV38-'Future Type Share'!AT38))&lt;10%,0,(((F150*'Future Type Share'!AV38)-('Future Type Share'!AT38*'Future EndUse Share'!P150))/('Future Type Share'!AV38-'Future Type Share'!AT38)))</f>
        <v>0</v>
      </c>
      <c r="AE151" s="105">
        <f>(G151-Q151*'Future Type Share'!$AU38)/(1-'Future Type Share'!$AU38)</f>
        <v>-3.0909090909090851E-2</v>
      </c>
      <c r="AF151" s="105">
        <f>(H151-R151*'Future Type Share'!$AU38)/(1-'Future Type Share'!$AU38)</f>
        <v>0.51454545454545464</v>
      </c>
      <c r="AG151" s="105">
        <f>(I151-S151*'Future Type Share'!$AU38)/(1-'Future Type Share'!$AU38)</f>
        <v>0.14727272727272772</v>
      </c>
      <c r="AH151" s="25">
        <f t="shared" si="36"/>
        <v>0.97090909090909117</v>
      </c>
      <c r="AI151" s="17"/>
      <c r="AJ151" s="17"/>
      <c r="AK151" s="17"/>
      <c r="AM151" s="134">
        <v>2037</v>
      </c>
      <c r="AN151" s="105">
        <v>0</v>
      </c>
      <c r="AO151" s="105">
        <f t="shared" si="37"/>
        <v>0.33999999999999958</v>
      </c>
      <c r="AP151" s="105">
        <v>0</v>
      </c>
      <c r="AQ151" s="105">
        <v>0</v>
      </c>
      <c r="AR151" s="105">
        <f t="shared" si="35"/>
        <v>0.66000000000000036</v>
      </c>
      <c r="AS151" s="105">
        <v>0</v>
      </c>
      <c r="AT151" s="25">
        <f t="shared" si="34"/>
        <v>1</v>
      </c>
    </row>
    <row r="152" spans="2:46">
      <c r="B152" s="23">
        <v>2038</v>
      </c>
      <c r="C152" s="668"/>
      <c r="D152" s="105">
        <v>0.25</v>
      </c>
      <c r="E152" s="17">
        <v>0.09</v>
      </c>
      <c r="F152" s="17">
        <v>0.11</v>
      </c>
      <c r="G152" s="17">
        <v>0.05</v>
      </c>
      <c r="H152" s="17">
        <v>0.11</v>
      </c>
      <c r="I152" s="17">
        <v>0.39</v>
      </c>
      <c r="J152" s="25">
        <v>1</v>
      </c>
      <c r="M152" s="23">
        <v>2038</v>
      </c>
      <c r="N152" s="105">
        <v>0.28000000000000003</v>
      </c>
      <c r="O152" s="105">
        <v>0.06</v>
      </c>
      <c r="P152" s="105">
        <v>0.12</v>
      </c>
      <c r="Q152" s="105">
        <v>0.06</v>
      </c>
      <c r="R152" s="669">
        <v>0.06</v>
      </c>
      <c r="S152" s="669">
        <v>0.42</v>
      </c>
      <c r="T152" s="25">
        <v>1</v>
      </c>
      <c r="V152" s="17"/>
      <c r="Z152" s="23">
        <v>2038</v>
      </c>
      <c r="AA152" s="668"/>
      <c r="AB152" s="105">
        <f>(('Future Type Share'!AV38*'Future EndUse Share'!D152)-(N152*'Future Type Share'!AT38))/('Future Type Share'!AR38+'Future Type Share'!AP38)</f>
        <v>7.272727272726944E-3</v>
      </c>
      <c r="AC152" s="105">
        <f>((E152*'Future Type Share'!AV39)-('Future Type Share'!AT39*'Future EndUse Share'!O152))/('Future Type Share'!AV39-'Future Type Share'!AT39)</f>
        <v>0.33272727272727265</v>
      </c>
      <c r="AD152" s="105">
        <f>IF((((F151*'Future Type Share'!AV39)-('Future Type Share'!AT39*'Future EndUse Share'!P151))/('Future Type Share'!AV39-'Future Type Share'!AT39))&lt;10%,0,(((F151*'Future Type Share'!AV39)-('Future Type Share'!AT39*'Future EndUse Share'!P151))/('Future Type Share'!AV39-'Future Type Share'!AT39)))</f>
        <v>0</v>
      </c>
      <c r="AE152" s="105">
        <f>(G152-Q152*'Future Type Share'!$AU39)/(1-'Future Type Share'!$AU39)</f>
        <v>-3.0909090909090851E-2</v>
      </c>
      <c r="AF152" s="105">
        <f>(H152-R152*'Future Type Share'!$AU39)/(1-'Future Type Share'!$AU39)</f>
        <v>0.51454545454545464</v>
      </c>
      <c r="AG152" s="105">
        <f>(I152-S152*'Future Type Share'!$AU39)/(1-'Future Type Share'!$AU39)</f>
        <v>0.14727272727272772</v>
      </c>
      <c r="AH152" s="25">
        <f t="shared" si="36"/>
        <v>0.97090909090909117</v>
      </c>
      <c r="AI152" s="17"/>
      <c r="AJ152" s="17"/>
      <c r="AK152" s="17"/>
      <c r="AM152" s="134">
        <v>2038</v>
      </c>
      <c r="AN152" s="105">
        <v>0</v>
      </c>
      <c r="AO152" s="105">
        <f t="shared" si="37"/>
        <v>0.33999999999999958</v>
      </c>
      <c r="AP152" s="105">
        <v>0</v>
      </c>
      <c r="AQ152" s="105">
        <v>0</v>
      </c>
      <c r="AR152" s="105">
        <f t="shared" si="35"/>
        <v>0.66000000000000036</v>
      </c>
      <c r="AS152" s="105">
        <v>0</v>
      </c>
      <c r="AT152" s="25">
        <f t="shared" si="34"/>
        <v>1</v>
      </c>
    </row>
    <row r="153" spans="2:46">
      <c r="B153" s="23">
        <v>2039</v>
      </c>
      <c r="C153" s="668"/>
      <c r="D153" s="105">
        <v>0.25</v>
      </c>
      <c r="E153" s="17">
        <v>0.09</v>
      </c>
      <c r="F153" s="17">
        <v>0.11</v>
      </c>
      <c r="G153" s="17">
        <v>0.05</v>
      </c>
      <c r="H153" s="17">
        <v>0.11</v>
      </c>
      <c r="I153" s="17">
        <v>0.39</v>
      </c>
      <c r="J153" s="25">
        <v>1</v>
      </c>
      <c r="M153" s="23">
        <v>2039</v>
      </c>
      <c r="N153" s="105">
        <v>0.28000000000000003</v>
      </c>
      <c r="O153" s="105">
        <v>0.06</v>
      </c>
      <c r="P153" s="105">
        <v>0.12</v>
      </c>
      <c r="Q153" s="105">
        <v>0.06</v>
      </c>
      <c r="R153" s="669">
        <v>0.06</v>
      </c>
      <c r="S153" s="669">
        <v>0.42</v>
      </c>
      <c r="T153" s="25">
        <v>1</v>
      </c>
      <c r="V153" s="17"/>
      <c r="Z153" s="23">
        <v>2039</v>
      </c>
      <c r="AA153" s="668"/>
      <c r="AB153" s="105">
        <f>(('Future Type Share'!AV39*'Future EndUse Share'!D153)-(N153*'Future Type Share'!AT39))/('Future Type Share'!AR39+'Future Type Share'!AP39)</f>
        <v>7.2727272727273681E-3</v>
      </c>
      <c r="AC153" s="105">
        <f>((E153*'Future Type Share'!AV40)-('Future Type Share'!AT40*'Future EndUse Share'!O153))/('Future Type Share'!AV40-'Future Type Share'!AT40)</f>
        <v>0.33272727272727276</v>
      </c>
      <c r="AD153" s="105">
        <f>IF((((F152*'Future Type Share'!AV40)-('Future Type Share'!AT40*'Future EndUse Share'!P152))/('Future Type Share'!AV40-'Future Type Share'!AT40))&lt;10%,0,(((F152*'Future Type Share'!AV40)-('Future Type Share'!AT40*'Future EndUse Share'!P152))/('Future Type Share'!AV40-'Future Type Share'!AT40)))</f>
        <v>0</v>
      </c>
      <c r="AE153" s="105">
        <f>(G153-Q153*'Future Type Share'!$AU40)/(1-'Future Type Share'!$AU40)</f>
        <v>-3.0909090909090851E-2</v>
      </c>
      <c r="AF153" s="105">
        <f>(H153-R153*'Future Type Share'!$AU40)/(1-'Future Type Share'!$AU40)</f>
        <v>0.51454545454545464</v>
      </c>
      <c r="AG153" s="105">
        <f>(I153-S153*'Future Type Share'!$AU40)/(1-'Future Type Share'!$AU40)</f>
        <v>0.14727272727272772</v>
      </c>
      <c r="AH153" s="25">
        <f t="shared" si="36"/>
        <v>0.97090909090909161</v>
      </c>
      <c r="AI153" s="17"/>
      <c r="AJ153" s="17"/>
      <c r="AK153" s="17"/>
      <c r="AM153" s="134">
        <v>2039</v>
      </c>
      <c r="AN153" s="105">
        <v>0</v>
      </c>
      <c r="AO153" s="105">
        <f t="shared" si="37"/>
        <v>0.34000000000000014</v>
      </c>
      <c r="AP153" s="105">
        <v>0</v>
      </c>
      <c r="AQ153" s="105">
        <v>0</v>
      </c>
      <c r="AR153" s="105">
        <f t="shared" si="35"/>
        <v>0.65999999999999992</v>
      </c>
      <c r="AS153" s="105">
        <v>0</v>
      </c>
      <c r="AT153" s="25">
        <f t="shared" si="34"/>
        <v>1</v>
      </c>
    </row>
    <row r="154" spans="2:46">
      <c r="B154" s="23">
        <v>2040</v>
      </c>
      <c r="C154" s="668"/>
      <c r="D154" s="105">
        <v>0.25</v>
      </c>
      <c r="E154" s="17">
        <v>0.09</v>
      </c>
      <c r="F154" s="17">
        <v>0.11</v>
      </c>
      <c r="G154" s="17">
        <v>0.05</v>
      </c>
      <c r="H154" s="17">
        <v>0.11</v>
      </c>
      <c r="I154" s="17">
        <v>0.39</v>
      </c>
      <c r="J154" s="25">
        <v>1</v>
      </c>
      <c r="M154" s="23">
        <v>2040</v>
      </c>
      <c r="N154" s="105">
        <v>0.28000000000000003</v>
      </c>
      <c r="O154" s="105">
        <v>0.06</v>
      </c>
      <c r="P154" s="105">
        <v>0.12</v>
      </c>
      <c r="Q154" s="105">
        <v>0.06</v>
      </c>
      <c r="R154" s="669">
        <v>0.06</v>
      </c>
      <c r="S154" s="669">
        <v>0.42</v>
      </c>
      <c r="T154" s="25">
        <v>1</v>
      </c>
      <c r="V154" s="17"/>
      <c r="Z154" s="23">
        <v>2040</v>
      </c>
      <c r="AA154" s="668"/>
      <c r="AB154" s="105">
        <f>(('Future Type Share'!AV40*'Future EndUse Share'!D154)-(N154*'Future Type Share'!AT40))/('Future Type Share'!AR40+'Future Type Share'!AP40)</f>
        <v>7.2727272727268295E-3</v>
      </c>
      <c r="AC154" s="105">
        <f>((E154*'Future Type Share'!AV41)-('Future Type Share'!AT41*'Future EndUse Share'!O154))/('Future Type Share'!AV41-'Future Type Share'!AT41)</f>
        <v>0.3327272727272727</v>
      </c>
      <c r="AD154" s="105">
        <f>IF((((F153*'Future Type Share'!AV41)-('Future Type Share'!AT41*'Future EndUse Share'!P153))/('Future Type Share'!AV41-'Future Type Share'!AT41))&lt;10%,0,(((F153*'Future Type Share'!AV41)-('Future Type Share'!AT41*'Future EndUse Share'!P153))/('Future Type Share'!AV41-'Future Type Share'!AT41)))</f>
        <v>0</v>
      </c>
      <c r="AE154" s="105">
        <f>(G154-Q154*'Future Type Share'!$AU41)/(1-'Future Type Share'!$AU41)</f>
        <v>-3.0909090909090851E-2</v>
      </c>
      <c r="AF154" s="105">
        <f>(H154-R154*'Future Type Share'!$AU41)/(1-'Future Type Share'!$AU41)</f>
        <v>0.51454545454545464</v>
      </c>
      <c r="AG154" s="105">
        <f>(I154-S154*'Future Type Share'!$AU41)/(1-'Future Type Share'!$AU41)</f>
        <v>0.14727272727272772</v>
      </c>
      <c r="AH154" s="25">
        <f t="shared" si="36"/>
        <v>0.97090909090909094</v>
      </c>
      <c r="AI154" s="17"/>
      <c r="AJ154" s="17"/>
      <c r="AK154" s="17"/>
      <c r="AM154" s="134">
        <v>2040</v>
      </c>
      <c r="AN154" s="105">
        <v>0</v>
      </c>
      <c r="AO154" s="105">
        <f t="shared" si="37"/>
        <v>0.33999999999999952</v>
      </c>
      <c r="AP154" s="105">
        <v>0</v>
      </c>
      <c r="AQ154" s="105">
        <v>0</v>
      </c>
      <c r="AR154" s="105">
        <f t="shared" si="35"/>
        <v>0.66000000000000048</v>
      </c>
      <c r="AS154" s="105">
        <v>0</v>
      </c>
      <c r="AT154" s="25">
        <f t="shared" si="34"/>
        <v>1</v>
      </c>
    </row>
    <row r="155" spans="2:46">
      <c r="B155" s="23">
        <v>2041</v>
      </c>
      <c r="C155" s="668"/>
      <c r="D155" s="105">
        <v>0.25</v>
      </c>
      <c r="E155" s="17">
        <v>0.09</v>
      </c>
      <c r="F155" s="17">
        <v>0.11</v>
      </c>
      <c r="G155" s="17">
        <v>0.05</v>
      </c>
      <c r="H155" s="17">
        <v>0.11</v>
      </c>
      <c r="I155" s="17">
        <v>0.39</v>
      </c>
      <c r="J155" s="25">
        <v>1</v>
      </c>
      <c r="M155" s="23">
        <v>2041</v>
      </c>
      <c r="N155" s="105">
        <v>0.28000000000000003</v>
      </c>
      <c r="O155" s="105">
        <v>0.06</v>
      </c>
      <c r="P155" s="105">
        <v>0.12</v>
      </c>
      <c r="Q155" s="105">
        <v>0.06</v>
      </c>
      <c r="R155" s="669">
        <v>0.06</v>
      </c>
      <c r="S155" s="669">
        <v>0.42</v>
      </c>
      <c r="T155" s="25">
        <v>1</v>
      </c>
      <c r="V155" s="17"/>
      <c r="Z155" s="23">
        <v>2041</v>
      </c>
      <c r="AA155" s="668"/>
      <c r="AB155" s="105">
        <f>(('Future Type Share'!AV41*'Future EndUse Share'!D155)-(N155*'Future Type Share'!AT41))/('Future Type Share'!AR41+'Future Type Share'!AP41)</f>
        <v>7.2727272727267714E-3</v>
      </c>
      <c r="AC155" s="105">
        <f>((E155*'Future Type Share'!AV42)-('Future Type Share'!AT42*'Future EndUse Share'!O155))/('Future Type Share'!AV42-'Future Type Share'!AT42)</f>
        <v>0.33272727272727287</v>
      </c>
      <c r="AD155" s="105">
        <f>IF((((F154*'Future Type Share'!AV42)-('Future Type Share'!AT42*'Future EndUse Share'!P154))/('Future Type Share'!AV42-'Future Type Share'!AT42))&lt;10%,0,(((F154*'Future Type Share'!AV42)-('Future Type Share'!AT42*'Future EndUse Share'!P154))/('Future Type Share'!AV42-'Future Type Share'!AT42)))</f>
        <v>0</v>
      </c>
      <c r="AE155" s="105">
        <f>(G155-Q155*'Future Type Share'!$AU42)/(1-'Future Type Share'!$AU42)</f>
        <v>-3.0909090909090851E-2</v>
      </c>
      <c r="AF155" s="105">
        <f>(H155-R155*'Future Type Share'!$AU42)/(1-'Future Type Share'!$AU42)</f>
        <v>0.51454545454545464</v>
      </c>
      <c r="AG155" s="105">
        <f>(I155-S155*'Future Type Share'!$AU42)/(1-'Future Type Share'!$AU42)</f>
        <v>0.14727272727272772</v>
      </c>
      <c r="AH155" s="25">
        <f t="shared" si="36"/>
        <v>0.97090909090909117</v>
      </c>
      <c r="AI155" s="17"/>
      <c r="AJ155" s="17"/>
      <c r="AK155" s="17"/>
      <c r="AM155" s="134">
        <v>2041</v>
      </c>
      <c r="AN155" s="105">
        <v>0</v>
      </c>
      <c r="AO155" s="105">
        <f t="shared" si="37"/>
        <v>0.33999999999999964</v>
      </c>
      <c r="AP155" s="105">
        <v>0</v>
      </c>
      <c r="AQ155" s="105">
        <v>0</v>
      </c>
      <c r="AR155" s="105">
        <f t="shared" si="35"/>
        <v>0.66000000000000036</v>
      </c>
      <c r="AS155" s="105">
        <v>0</v>
      </c>
      <c r="AT155" s="25">
        <f t="shared" si="34"/>
        <v>1</v>
      </c>
    </row>
    <row r="156" spans="2:46">
      <c r="B156" s="23">
        <v>2042</v>
      </c>
      <c r="C156" s="668"/>
      <c r="D156" s="105">
        <v>0.25</v>
      </c>
      <c r="E156" s="17">
        <v>0.09</v>
      </c>
      <c r="F156" s="17">
        <v>0.11</v>
      </c>
      <c r="G156" s="17">
        <v>0.05</v>
      </c>
      <c r="H156" s="17">
        <v>0.11</v>
      </c>
      <c r="I156" s="17">
        <v>0.39</v>
      </c>
      <c r="J156" s="25">
        <v>1</v>
      </c>
      <c r="M156" s="23">
        <v>2042</v>
      </c>
      <c r="N156" s="105">
        <v>0.28000000000000003</v>
      </c>
      <c r="O156" s="105">
        <v>0.06</v>
      </c>
      <c r="P156" s="105">
        <v>0.12</v>
      </c>
      <c r="Q156" s="105">
        <v>0.06</v>
      </c>
      <c r="R156" s="669">
        <v>0.06</v>
      </c>
      <c r="S156" s="669">
        <v>0.42</v>
      </c>
      <c r="T156" s="25">
        <v>1</v>
      </c>
      <c r="V156" s="17"/>
      <c r="Z156" s="23">
        <v>2042</v>
      </c>
      <c r="AA156" s="668"/>
      <c r="AB156" s="105">
        <f>(('Future Type Share'!AV42*'Future EndUse Share'!D156)-(N156*'Future Type Share'!AT42))/('Future Type Share'!AR42+'Future Type Share'!AP42)</f>
        <v>7.2727272727271869E-3</v>
      </c>
      <c r="AC156" s="105">
        <f>((E156*'Future Type Share'!AV43)-('Future Type Share'!AT43*'Future EndUse Share'!O156))/('Future Type Share'!AV43-'Future Type Share'!AT43)</f>
        <v>0.33272727272727265</v>
      </c>
      <c r="AD156" s="105">
        <f>IF((((F155*'Future Type Share'!AV43)-('Future Type Share'!AT43*'Future EndUse Share'!P155))/('Future Type Share'!AV43-'Future Type Share'!AT43))&lt;10%,0,(((F155*'Future Type Share'!AV43)-('Future Type Share'!AT43*'Future EndUse Share'!P155))/('Future Type Share'!AV43-'Future Type Share'!AT43)))</f>
        <v>0</v>
      </c>
      <c r="AE156" s="105">
        <f>(G156-Q156*'Future Type Share'!$AU43)/(1-'Future Type Share'!$AU43)</f>
        <v>-3.0909090909090851E-2</v>
      </c>
      <c r="AF156" s="105">
        <f>(H156-R156*'Future Type Share'!$AU43)/(1-'Future Type Share'!$AU43)</f>
        <v>0.51454545454545464</v>
      </c>
      <c r="AG156" s="105">
        <f>(I156-S156*'Future Type Share'!$AU43)/(1-'Future Type Share'!$AU43)</f>
        <v>0.14727272727272772</v>
      </c>
      <c r="AH156" s="25">
        <f t="shared" si="36"/>
        <v>0.97090909090909139</v>
      </c>
      <c r="AI156" s="17"/>
      <c r="AJ156" s="17"/>
      <c r="AK156" s="17"/>
      <c r="AM156" s="134">
        <v>2042</v>
      </c>
      <c r="AN156" s="105">
        <v>0</v>
      </c>
      <c r="AO156" s="105">
        <f t="shared" si="37"/>
        <v>0.33999999999999986</v>
      </c>
      <c r="AP156" s="105">
        <v>0</v>
      </c>
      <c r="AQ156" s="105">
        <v>0</v>
      </c>
      <c r="AR156" s="105">
        <f t="shared" si="35"/>
        <v>0.66000000000000014</v>
      </c>
      <c r="AS156" s="105">
        <v>0</v>
      </c>
      <c r="AT156" s="25">
        <f t="shared" si="34"/>
        <v>1</v>
      </c>
    </row>
    <row r="157" spans="2:46">
      <c r="B157" s="23">
        <v>2043</v>
      </c>
      <c r="C157" s="668"/>
      <c r="D157" s="105">
        <v>0.25</v>
      </c>
      <c r="E157" s="17">
        <v>0.09</v>
      </c>
      <c r="F157" s="17">
        <v>0.11</v>
      </c>
      <c r="G157" s="17">
        <v>0.05</v>
      </c>
      <c r="H157" s="17">
        <v>0.11</v>
      </c>
      <c r="I157" s="17">
        <v>0.39</v>
      </c>
      <c r="J157" s="25">
        <v>1</v>
      </c>
      <c r="M157" s="23">
        <v>2043</v>
      </c>
      <c r="N157" s="105">
        <v>0.28000000000000003</v>
      </c>
      <c r="O157" s="105">
        <v>0.06</v>
      </c>
      <c r="P157" s="105">
        <v>0.12</v>
      </c>
      <c r="Q157" s="105">
        <v>0.06</v>
      </c>
      <c r="R157" s="669">
        <v>0.06</v>
      </c>
      <c r="S157" s="669">
        <v>0.42</v>
      </c>
      <c r="T157" s="25">
        <v>1</v>
      </c>
      <c r="V157" s="17"/>
      <c r="Z157" s="23">
        <v>2043</v>
      </c>
      <c r="AA157" s="668"/>
      <c r="AB157" s="105">
        <f>(('Future Type Share'!AV43*'Future EndUse Share'!D157)-(N157*'Future Type Share'!AT43))/('Future Type Share'!AR43+'Future Type Share'!AP43)</f>
        <v>7.272727272727127E-3</v>
      </c>
      <c r="AC157" s="105">
        <f>((E157*'Future Type Share'!AV44)-('Future Type Share'!AT44*'Future EndUse Share'!O157))/('Future Type Share'!AV44-'Future Type Share'!AT44)</f>
        <v>0.33272727272727259</v>
      </c>
      <c r="AD157" s="105">
        <f>IF((((F156*'Future Type Share'!AV44)-('Future Type Share'!AT44*'Future EndUse Share'!P156))/('Future Type Share'!AV44-'Future Type Share'!AT44))&lt;10%,0,(((F156*'Future Type Share'!AV44)-('Future Type Share'!AT44*'Future EndUse Share'!P156))/('Future Type Share'!AV44-'Future Type Share'!AT44)))</f>
        <v>0</v>
      </c>
      <c r="AE157" s="105">
        <f>(G157-Q157*'Future Type Share'!$AU44)/(1-'Future Type Share'!$AU44)</f>
        <v>-3.0909090909090851E-2</v>
      </c>
      <c r="AF157" s="105">
        <f>(H157-R157*'Future Type Share'!$AU44)/(1-'Future Type Share'!$AU44)</f>
        <v>0.51454545454545464</v>
      </c>
      <c r="AG157" s="105">
        <f>(I157-S157*'Future Type Share'!$AU44)/(1-'Future Type Share'!$AU44)</f>
        <v>0.14727272727272772</v>
      </c>
      <c r="AH157" s="25">
        <f t="shared" si="36"/>
        <v>0.97090909090909117</v>
      </c>
      <c r="AI157" s="17"/>
      <c r="AJ157" s="17"/>
      <c r="AK157" s="17"/>
      <c r="AM157" s="134">
        <v>2043</v>
      </c>
      <c r="AN157" s="105">
        <v>0</v>
      </c>
      <c r="AO157" s="105">
        <f t="shared" si="37"/>
        <v>0.33999999999999975</v>
      </c>
      <c r="AP157" s="105">
        <v>0</v>
      </c>
      <c r="AQ157" s="105">
        <v>0</v>
      </c>
      <c r="AR157" s="105">
        <f t="shared" si="35"/>
        <v>0.66000000000000025</v>
      </c>
      <c r="AS157" s="105">
        <v>0</v>
      </c>
      <c r="AT157" s="25">
        <f t="shared" si="34"/>
        <v>1</v>
      </c>
    </row>
    <row r="158" spans="2:46">
      <c r="B158" s="23">
        <v>2044</v>
      </c>
      <c r="C158" s="668"/>
      <c r="D158" s="105">
        <v>0.25</v>
      </c>
      <c r="E158" s="17">
        <v>0.09</v>
      </c>
      <c r="F158" s="17">
        <v>0.11</v>
      </c>
      <c r="G158" s="17">
        <v>0.05</v>
      </c>
      <c r="H158" s="17">
        <v>0.11</v>
      </c>
      <c r="I158" s="17">
        <v>0.39</v>
      </c>
      <c r="J158" s="25">
        <v>1</v>
      </c>
      <c r="M158" s="23">
        <v>2044</v>
      </c>
      <c r="N158" s="105">
        <v>0.28000000000000003</v>
      </c>
      <c r="O158" s="105">
        <v>0.06</v>
      </c>
      <c r="P158" s="105">
        <v>0.12</v>
      </c>
      <c r="Q158" s="105">
        <v>0.06</v>
      </c>
      <c r="R158" s="669">
        <v>0.06</v>
      </c>
      <c r="S158" s="669">
        <v>0.42</v>
      </c>
      <c r="T158" s="25">
        <v>1</v>
      </c>
      <c r="V158" s="17"/>
      <c r="Z158" s="23">
        <v>2044</v>
      </c>
      <c r="AA158" s="668"/>
      <c r="AB158" s="105">
        <f>(('Future Type Share'!AV44*'Future EndUse Share'!D158)-(N158*'Future Type Share'!AT44))/('Future Type Share'!AR44+'Future Type Share'!AP44)</f>
        <v>7.2727272727270706E-3</v>
      </c>
      <c r="AC158" s="105">
        <f>((E158*'Future Type Share'!AV45)-('Future Type Share'!AT45*'Future EndUse Share'!O158))/('Future Type Share'!AV45-'Future Type Share'!AT45)</f>
        <v>0.33272727272727265</v>
      </c>
      <c r="AD158" s="105">
        <f>IF((((F157*'Future Type Share'!AV45)-('Future Type Share'!AT45*'Future EndUse Share'!P157))/('Future Type Share'!AV45-'Future Type Share'!AT45))&lt;10%,0,(((F157*'Future Type Share'!AV45)-('Future Type Share'!AT45*'Future EndUse Share'!P157))/('Future Type Share'!AV45-'Future Type Share'!AT45)))</f>
        <v>0</v>
      </c>
      <c r="AE158" s="105">
        <f>(G158-Q158*'Future Type Share'!$AU45)/(1-'Future Type Share'!$AU45)</f>
        <v>-3.0909090909090851E-2</v>
      </c>
      <c r="AF158" s="105">
        <f>(H158-R158*'Future Type Share'!$AU45)/(1-'Future Type Share'!$AU45)</f>
        <v>0.51454545454545464</v>
      </c>
      <c r="AG158" s="105">
        <f>(I158-S158*'Future Type Share'!$AU45)/(1-'Future Type Share'!$AU45)</f>
        <v>0.14727272727272772</v>
      </c>
      <c r="AH158" s="25">
        <f t="shared" si="36"/>
        <v>0.97090909090909117</v>
      </c>
      <c r="AI158" s="17"/>
      <c r="AJ158" s="17"/>
      <c r="AK158" s="17"/>
      <c r="AM158" s="134">
        <v>2044</v>
      </c>
      <c r="AN158" s="105">
        <v>0</v>
      </c>
      <c r="AO158" s="105">
        <f t="shared" si="37"/>
        <v>0.33999999999999975</v>
      </c>
      <c r="AP158" s="105">
        <v>0</v>
      </c>
      <c r="AQ158" s="105">
        <v>0</v>
      </c>
      <c r="AR158" s="105">
        <f t="shared" si="35"/>
        <v>0.66000000000000025</v>
      </c>
      <c r="AS158" s="105">
        <v>0</v>
      </c>
      <c r="AT158" s="25">
        <f t="shared" si="34"/>
        <v>1</v>
      </c>
    </row>
    <row r="159" spans="2:46">
      <c r="B159" s="23">
        <v>2045</v>
      </c>
      <c r="C159" s="668"/>
      <c r="D159" s="105">
        <v>0.25</v>
      </c>
      <c r="E159" s="17">
        <v>0.09</v>
      </c>
      <c r="F159" s="17">
        <v>0.11</v>
      </c>
      <c r="G159" s="17">
        <v>0.05</v>
      </c>
      <c r="H159" s="17">
        <v>0.11</v>
      </c>
      <c r="I159" s="17">
        <v>0.39</v>
      </c>
      <c r="J159" s="25">
        <v>1</v>
      </c>
      <c r="M159" s="23">
        <v>2045</v>
      </c>
      <c r="N159" s="105">
        <v>0.28000000000000003</v>
      </c>
      <c r="O159" s="105">
        <v>0.06</v>
      </c>
      <c r="P159" s="105">
        <v>0.12</v>
      </c>
      <c r="Q159" s="105">
        <v>0.06</v>
      </c>
      <c r="R159" s="669">
        <v>0.06</v>
      </c>
      <c r="S159" s="669">
        <v>0.42</v>
      </c>
      <c r="T159" s="25">
        <v>1</v>
      </c>
      <c r="V159" s="17"/>
      <c r="Z159" s="23">
        <v>2045</v>
      </c>
      <c r="AA159" s="668"/>
      <c r="AB159" s="105">
        <f>(('Future Type Share'!AV45*'Future EndUse Share'!D159)-(N159*'Future Type Share'!AT45))/('Future Type Share'!AR45+'Future Type Share'!AP45)</f>
        <v>7.2727272727270142E-3</v>
      </c>
      <c r="AC159" s="105">
        <f>((E159*'Future Type Share'!AV46)-('Future Type Share'!AT46*'Future EndUse Share'!O159))/('Future Type Share'!AV46-'Future Type Share'!AT46)</f>
        <v>0.33272727272727276</v>
      </c>
      <c r="AD159" s="105">
        <f>IF((((F158*'Future Type Share'!AV46)-('Future Type Share'!AT46*'Future EndUse Share'!P158))/('Future Type Share'!AV46-'Future Type Share'!AT46))&lt;10%,0,(((F158*'Future Type Share'!AV46)-('Future Type Share'!AT46*'Future EndUse Share'!P158))/('Future Type Share'!AV46-'Future Type Share'!AT46)))</f>
        <v>0</v>
      </c>
      <c r="AE159" s="105">
        <f>(G159-Q159*'Future Type Share'!$AU46)/(1-'Future Type Share'!$AU46)</f>
        <v>-3.0909090909090851E-2</v>
      </c>
      <c r="AF159" s="105">
        <f>(H159-R159*'Future Type Share'!$AU46)/(1-'Future Type Share'!$AU46)</f>
        <v>0.51454545454545464</v>
      </c>
      <c r="AG159" s="105">
        <f>(I159-S159*'Future Type Share'!$AU46)/(1-'Future Type Share'!$AU46)</f>
        <v>0.14727272727272772</v>
      </c>
      <c r="AH159" s="25">
        <f t="shared" si="36"/>
        <v>0.97090909090909117</v>
      </c>
      <c r="AI159" s="17"/>
      <c r="AJ159" s="17"/>
      <c r="AK159" s="17"/>
      <c r="AM159" s="134">
        <v>2045</v>
      </c>
      <c r="AN159" s="105">
        <v>0</v>
      </c>
      <c r="AO159" s="105">
        <f t="shared" si="37"/>
        <v>0.33999999999999975</v>
      </c>
      <c r="AP159" s="105">
        <v>0</v>
      </c>
      <c r="AQ159" s="105">
        <v>0</v>
      </c>
      <c r="AR159" s="105">
        <f t="shared" si="35"/>
        <v>0.66000000000000025</v>
      </c>
      <c r="AS159" s="105">
        <v>0</v>
      </c>
      <c r="AT159" s="25">
        <f t="shared" si="34"/>
        <v>1</v>
      </c>
    </row>
    <row r="160" spans="2:46">
      <c r="B160" s="23">
        <v>2046</v>
      </c>
      <c r="C160" s="668"/>
      <c r="D160" s="105">
        <v>0.25</v>
      </c>
      <c r="E160" s="17">
        <v>0.09</v>
      </c>
      <c r="F160" s="17">
        <v>0.11</v>
      </c>
      <c r="G160" s="17">
        <v>0.05</v>
      </c>
      <c r="H160" s="17">
        <v>0.11</v>
      </c>
      <c r="I160" s="17">
        <v>0.39</v>
      </c>
      <c r="J160" s="25">
        <v>1</v>
      </c>
      <c r="M160" s="23">
        <v>2046</v>
      </c>
      <c r="N160" s="105">
        <v>0.28000000000000003</v>
      </c>
      <c r="O160" s="105">
        <v>0.06</v>
      </c>
      <c r="P160" s="105">
        <v>0.12</v>
      </c>
      <c r="Q160" s="105">
        <v>0.06</v>
      </c>
      <c r="R160" s="669">
        <v>0.06</v>
      </c>
      <c r="S160" s="669">
        <v>0.42</v>
      </c>
      <c r="T160" s="25">
        <v>1</v>
      </c>
      <c r="V160" s="17"/>
      <c r="Z160" s="23">
        <v>2046</v>
      </c>
      <c r="AA160" s="668"/>
      <c r="AB160" s="105">
        <f>(('Future Type Share'!AV46*'Future EndUse Share'!D160)-(N160*'Future Type Share'!AT46))/('Future Type Share'!AR46+'Future Type Share'!AP46)</f>
        <v>7.2727272727269561E-3</v>
      </c>
      <c r="AC160" s="105">
        <f>((E160*'Future Type Share'!AV47)-('Future Type Share'!AT47*'Future EndUse Share'!O160))/('Future Type Share'!AV47-'Future Type Share'!AT47)</f>
        <v>0.33272727272727287</v>
      </c>
      <c r="AD160" s="105">
        <f>IF((((F159*'Future Type Share'!AV47)-('Future Type Share'!AT47*'Future EndUse Share'!P159))/('Future Type Share'!AV47-'Future Type Share'!AT47))&lt;10%,0,(((F159*'Future Type Share'!AV47)-('Future Type Share'!AT47*'Future EndUse Share'!P159))/('Future Type Share'!AV47-'Future Type Share'!AT47)))</f>
        <v>0</v>
      </c>
      <c r="AE160" s="105">
        <f>(G160-Q160*'Future Type Share'!$AU47)/(1-'Future Type Share'!$AU47)</f>
        <v>-3.0909090909090851E-2</v>
      </c>
      <c r="AF160" s="105">
        <f>(H160-R160*'Future Type Share'!$AU47)/(1-'Future Type Share'!$AU47)</f>
        <v>0.51454545454545464</v>
      </c>
      <c r="AG160" s="105">
        <f>(I160-S160*'Future Type Share'!$AU47)/(1-'Future Type Share'!$AU47)</f>
        <v>0.14727272727272772</v>
      </c>
      <c r="AH160" s="25">
        <f t="shared" si="36"/>
        <v>0.97090909090909139</v>
      </c>
      <c r="AI160" s="17"/>
      <c r="AJ160" s="17"/>
      <c r="AK160" s="17"/>
      <c r="AM160" s="134">
        <v>2046</v>
      </c>
      <c r="AN160" s="105">
        <v>0</v>
      </c>
      <c r="AO160" s="105">
        <f t="shared" si="37"/>
        <v>0.3399999999999998</v>
      </c>
      <c r="AP160" s="105">
        <v>0</v>
      </c>
      <c r="AQ160" s="105">
        <v>0</v>
      </c>
      <c r="AR160" s="105">
        <f t="shared" si="35"/>
        <v>0.66000000000000014</v>
      </c>
      <c r="AS160" s="105">
        <v>0</v>
      </c>
      <c r="AT160" s="25">
        <f t="shared" si="34"/>
        <v>1</v>
      </c>
    </row>
    <row r="161" spans="2:46">
      <c r="B161" s="23">
        <v>2047</v>
      </c>
      <c r="C161" s="668"/>
      <c r="D161" s="105">
        <v>0.25</v>
      </c>
      <c r="E161" s="17">
        <v>0.09</v>
      </c>
      <c r="F161" s="17">
        <v>0.11</v>
      </c>
      <c r="G161" s="17">
        <v>0.05</v>
      </c>
      <c r="H161" s="17">
        <v>0.11</v>
      </c>
      <c r="I161" s="17">
        <v>0.39</v>
      </c>
      <c r="J161" s="25">
        <v>1</v>
      </c>
      <c r="M161" s="23">
        <v>2047</v>
      </c>
      <c r="N161" s="105">
        <v>0.28000000000000003</v>
      </c>
      <c r="O161" s="105">
        <v>0.06</v>
      </c>
      <c r="P161" s="105">
        <v>0.12</v>
      </c>
      <c r="Q161" s="105">
        <v>0.06</v>
      </c>
      <c r="R161" s="669">
        <v>0.06</v>
      </c>
      <c r="S161" s="669">
        <v>0.42</v>
      </c>
      <c r="T161" s="25">
        <v>1</v>
      </c>
      <c r="V161" s="17"/>
      <c r="Z161" s="23">
        <v>2047</v>
      </c>
      <c r="AA161" s="668"/>
      <c r="AB161" s="105">
        <f>(('Future Type Share'!AV47*'Future EndUse Share'!D161)-(N161*'Future Type Share'!AT47))/('Future Type Share'!AR47+'Future Type Share'!AP47)</f>
        <v>7.2727272727269006E-3</v>
      </c>
      <c r="AC161" s="105">
        <f>((E161*'Future Type Share'!AV48)-('Future Type Share'!AT48*'Future EndUse Share'!O161))/('Future Type Share'!AV48-'Future Type Share'!AT48)</f>
        <v>0.33272727272727287</v>
      </c>
      <c r="AD161" s="105">
        <f>IF((((F160*'Future Type Share'!AV48)-('Future Type Share'!AT48*'Future EndUse Share'!P160))/('Future Type Share'!AV48-'Future Type Share'!AT48))&lt;10%,0,(((F160*'Future Type Share'!AV48)-('Future Type Share'!AT48*'Future EndUse Share'!P160))/('Future Type Share'!AV48-'Future Type Share'!AT48)))</f>
        <v>0</v>
      </c>
      <c r="AE161" s="105">
        <f>(G161-Q161*'Future Type Share'!$AU48)/(1-'Future Type Share'!$AU48)</f>
        <v>-3.0909090909090851E-2</v>
      </c>
      <c r="AF161" s="105">
        <f>(H161-R161*'Future Type Share'!$AU48)/(1-'Future Type Share'!$AU48)</f>
        <v>0.51454545454545464</v>
      </c>
      <c r="AG161" s="105">
        <f>(I161-S161*'Future Type Share'!$AU48)/(1-'Future Type Share'!$AU48)</f>
        <v>0.14727272727272772</v>
      </c>
      <c r="AH161" s="25">
        <f t="shared" si="36"/>
        <v>0.97090909090909117</v>
      </c>
      <c r="AI161" s="17"/>
      <c r="AJ161" s="17"/>
      <c r="AK161" s="17"/>
      <c r="AM161" s="134">
        <v>2047</v>
      </c>
      <c r="AN161" s="105">
        <v>0</v>
      </c>
      <c r="AO161" s="105">
        <f t="shared" si="37"/>
        <v>0.33999999999999975</v>
      </c>
      <c r="AP161" s="105">
        <v>0</v>
      </c>
      <c r="AQ161" s="105">
        <v>0</v>
      </c>
      <c r="AR161" s="105">
        <f t="shared" si="35"/>
        <v>0.66000000000000025</v>
      </c>
      <c r="AS161" s="105">
        <v>0</v>
      </c>
      <c r="AT161" s="25">
        <f t="shared" si="34"/>
        <v>1</v>
      </c>
    </row>
    <row r="162" spans="2:46">
      <c r="B162" s="23">
        <v>2048</v>
      </c>
      <c r="C162" s="668"/>
      <c r="D162" s="105">
        <v>0.25</v>
      </c>
      <c r="E162" s="17">
        <v>0.09</v>
      </c>
      <c r="F162" s="17">
        <v>0.11</v>
      </c>
      <c r="G162" s="17">
        <v>0.05</v>
      </c>
      <c r="H162" s="17">
        <v>0.11</v>
      </c>
      <c r="I162" s="17">
        <v>0.39</v>
      </c>
      <c r="J162" s="25">
        <v>1</v>
      </c>
      <c r="M162" s="23">
        <v>2048</v>
      </c>
      <c r="N162" s="105">
        <v>0.28000000000000003</v>
      </c>
      <c r="O162" s="105">
        <v>0.06</v>
      </c>
      <c r="P162" s="105">
        <v>0.12</v>
      </c>
      <c r="Q162" s="105">
        <v>0.06</v>
      </c>
      <c r="R162" s="669">
        <v>0.06</v>
      </c>
      <c r="S162" s="669">
        <v>0.42</v>
      </c>
      <c r="T162" s="25">
        <v>1</v>
      </c>
      <c r="V162" s="17"/>
      <c r="Z162" s="23">
        <v>2048</v>
      </c>
      <c r="AA162" s="668"/>
      <c r="AB162" s="105">
        <f>(('Future Type Share'!AV48*'Future EndUse Share'!D162)-(N162*'Future Type Share'!AT48))/('Future Type Share'!AR48+'Future Type Share'!AP48)</f>
        <v>7.2727272727268468E-3</v>
      </c>
      <c r="AC162" s="105">
        <f>((E162*'Future Type Share'!AV49)-('Future Type Share'!AT49*'Future EndUse Share'!O162))/('Future Type Share'!AV49-'Future Type Share'!AT49)</f>
        <v>0.33272727272727276</v>
      </c>
      <c r="AD162" s="105">
        <f>IF((((F161*'Future Type Share'!AV49)-('Future Type Share'!AT49*'Future EndUse Share'!P161))/('Future Type Share'!AV49-'Future Type Share'!AT49))&lt;10%,0,(((F161*'Future Type Share'!AV49)-('Future Type Share'!AT49*'Future EndUse Share'!P161))/('Future Type Share'!AV49-'Future Type Share'!AT49)))</f>
        <v>0</v>
      </c>
      <c r="AE162" s="105">
        <f>(G162-Q162*'Future Type Share'!$AU49)/(1-'Future Type Share'!$AU49)</f>
        <v>-3.0909090909090851E-2</v>
      </c>
      <c r="AF162" s="105">
        <f>(H162-R162*'Future Type Share'!$AU49)/(1-'Future Type Share'!$AU49)</f>
        <v>0.51454545454545464</v>
      </c>
      <c r="AG162" s="105">
        <f>(I162-S162*'Future Type Share'!$AU49)/(1-'Future Type Share'!$AU49)</f>
        <v>0.14727272727272772</v>
      </c>
      <c r="AH162" s="25">
        <f t="shared" si="36"/>
        <v>0.97090909090909117</v>
      </c>
      <c r="AI162" s="17"/>
      <c r="AJ162" s="17"/>
      <c r="AK162" s="17"/>
      <c r="AM162" s="134">
        <v>2048</v>
      </c>
      <c r="AN162" s="105">
        <v>0</v>
      </c>
      <c r="AO162" s="105">
        <f t="shared" si="37"/>
        <v>0.33999999999999958</v>
      </c>
      <c r="AP162" s="105">
        <v>0</v>
      </c>
      <c r="AQ162" s="105">
        <v>0</v>
      </c>
      <c r="AR162" s="105">
        <f t="shared" si="35"/>
        <v>0.66000000000000036</v>
      </c>
      <c r="AS162" s="105">
        <v>0</v>
      </c>
      <c r="AT162" s="25">
        <f t="shared" si="34"/>
        <v>1</v>
      </c>
    </row>
    <row r="163" spans="2:46">
      <c r="B163" s="23">
        <v>2049</v>
      </c>
      <c r="C163" s="668"/>
      <c r="D163" s="105">
        <v>0.25</v>
      </c>
      <c r="E163" s="17">
        <v>0.09</v>
      </c>
      <c r="F163" s="17">
        <v>0.11</v>
      </c>
      <c r="G163" s="17">
        <v>0.05</v>
      </c>
      <c r="H163" s="17">
        <v>0.11</v>
      </c>
      <c r="I163" s="17">
        <v>0.39</v>
      </c>
      <c r="J163" s="25">
        <v>1</v>
      </c>
      <c r="M163" s="23">
        <v>2049</v>
      </c>
      <c r="N163" s="105">
        <v>0.28000000000000003</v>
      </c>
      <c r="O163" s="105">
        <v>0.06</v>
      </c>
      <c r="P163" s="105">
        <v>0.12</v>
      </c>
      <c r="Q163" s="105">
        <v>0.06</v>
      </c>
      <c r="R163" s="669">
        <v>0.06</v>
      </c>
      <c r="S163" s="669">
        <v>0.42</v>
      </c>
      <c r="T163" s="25">
        <v>1</v>
      </c>
      <c r="V163" s="17"/>
      <c r="Z163" s="23">
        <v>2049</v>
      </c>
      <c r="AA163" s="668"/>
      <c r="AB163" s="105">
        <f>(('Future Type Share'!AV49*'Future EndUse Share'!D163)-(N163*'Future Type Share'!AT49))/('Future Type Share'!AR49+'Future Type Share'!AP49)</f>
        <v>7.2727272727272406E-3</v>
      </c>
      <c r="AC163" s="105">
        <f>((E163*'Future Type Share'!AV50)-('Future Type Share'!AT50*'Future EndUse Share'!O163))/('Future Type Share'!AV50-'Future Type Share'!AT50)</f>
        <v>0.33272727272727248</v>
      </c>
      <c r="AD163" s="105">
        <f>IF((((F162*'Future Type Share'!AV50)-('Future Type Share'!AT50*'Future EndUse Share'!P162))/('Future Type Share'!AV50-'Future Type Share'!AT50))&lt;10%,0,(((F162*'Future Type Share'!AV50)-('Future Type Share'!AT50*'Future EndUse Share'!P162))/('Future Type Share'!AV50-'Future Type Share'!AT50)))</f>
        <v>0</v>
      </c>
      <c r="AE163" s="105">
        <f>(G163-Q163*'Future Type Share'!$AU50)/(1-'Future Type Share'!$AU50)</f>
        <v>-3.0909090909090851E-2</v>
      </c>
      <c r="AF163" s="105">
        <f>(H163-R163*'Future Type Share'!$AU50)/(1-'Future Type Share'!$AU50)</f>
        <v>0.51454545454545464</v>
      </c>
      <c r="AG163" s="105">
        <f>(I163-S163*'Future Type Share'!$AU50)/(1-'Future Type Share'!$AU50)</f>
        <v>0.14727272727272772</v>
      </c>
      <c r="AH163" s="25">
        <f t="shared" si="36"/>
        <v>0.97090909090909117</v>
      </c>
      <c r="AI163" s="17"/>
      <c r="AJ163" s="17"/>
      <c r="AK163" s="17"/>
      <c r="AM163" s="134">
        <v>2049</v>
      </c>
      <c r="AN163" s="105">
        <v>0</v>
      </c>
      <c r="AO163" s="105">
        <f t="shared" si="37"/>
        <v>0.33999999999999975</v>
      </c>
      <c r="AP163" s="105">
        <v>0</v>
      </c>
      <c r="AQ163" s="105">
        <v>0</v>
      </c>
      <c r="AR163" s="105">
        <f t="shared" si="35"/>
        <v>0.66000000000000025</v>
      </c>
      <c r="AS163" s="105">
        <v>0</v>
      </c>
      <c r="AT163" s="25">
        <f t="shared" si="34"/>
        <v>1</v>
      </c>
    </row>
    <row r="164" spans="2:46">
      <c r="B164" s="26">
        <v>2050</v>
      </c>
      <c r="C164" s="668"/>
      <c r="D164" s="105">
        <v>0.25</v>
      </c>
      <c r="E164" s="17">
        <v>0.09</v>
      </c>
      <c r="F164" s="17">
        <v>0.11</v>
      </c>
      <c r="G164" s="17">
        <v>0.05</v>
      </c>
      <c r="H164" s="17">
        <v>0.11</v>
      </c>
      <c r="I164" s="17">
        <v>0.39</v>
      </c>
      <c r="J164" s="25">
        <v>1</v>
      </c>
      <c r="M164" s="26">
        <v>2050</v>
      </c>
      <c r="N164" s="106">
        <v>0.28000000000000003</v>
      </c>
      <c r="O164" s="106">
        <v>0.06</v>
      </c>
      <c r="P164" s="106">
        <v>0.12</v>
      </c>
      <c r="Q164" s="106">
        <v>0.06</v>
      </c>
      <c r="R164" s="28">
        <v>0.06</v>
      </c>
      <c r="S164" s="28">
        <v>0.42</v>
      </c>
      <c r="T164" s="29">
        <v>1</v>
      </c>
      <c r="V164" s="17"/>
      <c r="Z164" s="26">
        <v>2050</v>
      </c>
      <c r="AA164" s="27"/>
      <c r="AB164" s="106">
        <f>(('Future Type Share'!AV50*'Future EndUse Share'!D164)-(N164*'Future Type Share'!AT50))/('Future Type Share'!AR50+'Future Type Share'!AP50)</f>
        <v>7.2727272727271851E-3</v>
      </c>
      <c r="AC164" s="106">
        <f>((E164*'Future Type Share'!AV51)-('Future Type Share'!AT51*'Future EndUse Share'!O164))/('Future Type Share'!AV51-'Future Type Share'!AT51)</f>
        <v>0.33272727272727287</v>
      </c>
      <c r="AD164" s="106">
        <f>IF((((F163*'Future Type Share'!AV51)-('Future Type Share'!AT51*'Future EndUse Share'!P163))/('Future Type Share'!AV51-'Future Type Share'!AT51))&lt;10%,0,(((F163*'Future Type Share'!AV51)-('Future Type Share'!AT51*'Future EndUse Share'!P163))/('Future Type Share'!AV51-'Future Type Share'!AT51)))</f>
        <v>0</v>
      </c>
      <c r="AE164" s="106">
        <f>(G164-Q164*'Future Type Share'!$AU51)/(1-'Future Type Share'!$AU51)</f>
        <v>-3.0909090909090851E-2</v>
      </c>
      <c r="AF164" s="106">
        <f>(H164-R164*'Future Type Share'!$AU51)/(1-'Future Type Share'!$AU51)</f>
        <v>0.51454545454545464</v>
      </c>
      <c r="AG164" s="106">
        <f>(I164-S164*'Future Type Share'!$AU51)/(1-'Future Type Share'!$AU51)</f>
        <v>0.14727272727272772</v>
      </c>
      <c r="AH164" s="29">
        <f t="shared" si="36"/>
        <v>0.97090909090909161</v>
      </c>
      <c r="AI164" s="17"/>
      <c r="AJ164" s="17"/>
      <c r="AK164" s="17"/>
      <c r="AM164" s="135">
        <v>2050</v>
      </c>
      <c r="AN164" s="106">
        <v>0</v>
      </c>
      <c r="AO164" s="105">
        <f t="shared" si="37"/>
        <v>0.34000000000000008</v>
      </c>
      <c r="AP164" s="106">
        <v>0</v>
      </c>
      <c r="AQ164" s="106">
        <v>0</v>
      </c>
      <c r="AR164" s="106">
        <f t="shared" si="35"/>
        <v>0.65999999999999992</v>
      </c>
      <c r="AS164" s="106">
        <v>0</v>
      </c>
      <c r="AT164" s="29">
        <f t="shared" si="34"/>
        <v>1</v>
      </c>
    </row>
    <row r="167" spans="2:46">
      <c r="D167" s="493" t="s">
        <v>927</v>
      </c>
      <c r="AC167" s="17" t="s">
        <v>928</v>
      </c>
    </row>
  </sheetData>
  <phoneticPr fontId="3" type="noConversion"/>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W56"/>
  <sheetViews>
    <sheetView topLeftCell="J1" zoomScaleNormal="55" workbookViewId="0">
      <selection activeCell="AY56" sqref="AY56"/>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9" max="10" width="6.796875" customWidth="1"/>
  </cols>
  <sheetData>
    <row r="1" spans="1:49" ht="22">
      <c r="A1" s="100" t="s">
        <v>929</v>
      </c>
      <c r="I1" s="56"/>
      <c r="S1" s="56"/>
      <c r="AC1" s="56"/>
      <c r="AM1" s="56"/>
    </row>
    <row r="2" spans="1:49">
      <c r="I2" s="56"/>
      <c r="S2" s="56"/>
      <c r="AC2" s="56"/>
      <c r="AM2" s="56"/>
    </row>
    <row r="3" spans="1:49">
      <c r="A3" t="s">
        <v>930</v>
      </c>
      <c r="I3" s="56"/>
      <c r="K3" t="s">
        <v>930</v>
      </c>
      <c r="S3" s="56"/>
      <c r="U3" t="s">
        <v>930</v>
      </c>
      <c r="AC3" s="56"/>
      <c r="AE3" t="s">
        <v>930</v>
      </c>
      <c r="AM3" s="56"/>
      <c r="AO3" t="s">
        <v>930</v>
      </c>
    </row>
    <row r="4" spans="1:49">
      <c r="A4">
        <f>A9</f>
        <v>2006</v>
      </c>
      <c r="B4" s="50">
        <f>B9</f>
        <v>15863.890000000001</v>
      </c>
      <c r="C4" s="50">
        <f>C9</f>
        <v>0</v>
      </c>
      <c r="D4" s="50">
        <f>D9</f>
        <v>0</v>
      </c>
      <c r="E4" s="50">
        <f>E9</f>
        <v>0</v>
      </c>
      <c r="I4" s="56"/>
      <c r="K4">
        <f>K9</f>
        <v>2006</v>
      </c>
      <c r="L4" s="50">
        <f>L9</f>
        <v>30794.61</v>
      </c>
      <c r="M4" s="50">
        <f>M9</f>
        <v>0</v>
      </c>
      <c r="N4" s="50">
        <f>N9</f>
        <v>0</v>
      </c>
      <c r="O4" s="50">
        <f>O9</f>
        <v>0</v>
      </c>
      <c r="S4" s="56"/>
      <c r="U4">
        <f>U9</f>
        <v>2006</v>
      </c>
      <c r="V4" s="50">
        <f>V9</f>
        <v>0</v>
      </c>
      <c r="W4" s="50">
        <f>W9</f>
        <v>0</v>
      </c>
      <c r="X4" s="50">
        <f>X9</f>
        <v>0</v>
      </c>
      <c r="Y4" s="50">
        <f>Y9</f>
        <v>0</v>
      </c>
      <c r="AC4" s="56"/>
      <c r="AE4">
        <f>AE9</f>
        <v>2006</v>
      </c>
      <c r="AF4" s="50">
        <f>AF9</f>
        <v>15863.89</v>
      </c>
      <c r="AG4" s="50">
        <f>AG9</f>
        <v>0</v>
      </c>
      <c r="AH4" s="50">
        <f>AH9</f>
        <v>13627.461387407766</v>
      </c>
      <c r="AI4" s="50">
        <f>AI9</f>
        <v>4934.7186125922335</v>
      </c>
      <c r="AM4" s="56"/>
      <c r="AO4">
        <f>AO9</f>
        <v>2006</v>
      </c>
      <c r="AP4" s="50">
        <f>AP9</f>
        <v>30794.61</v>
      </c>
      <c r="AQ4" s="50">
        <f>AQ9</f>
        <v>0</v>
      </c>
      <c r="AR4" s="50">
        <f>AR9</f>
        <v>0</v>
      </c>
      <c r="AS4" s="50">
        <f>AS9</f>
        <v>0</v>
      </c>
    </row>
    <row r="5" spans="1:49">
      <c r="A5">
        <f>A15</f>
        <v>2012</v>
      </c>
      <c r="B5" s="50">
        <f>B15</f>
        <v>13691.59869475165</v>
      </c>
      <c r="C5" s="50">
        <f>C15</f>
        <v>0</v>
      </c>
      <c r="D5" s="50">
        <f>D15</f>
        <v>0</v>
      </c>
      <c r="E5" s="50">
        <f>E15</f>
        <v>0</v>
      </c>
      <c r="I5" s="56"/>
      <c r="K5">
        <f>K15</f>
        <v>2012</v>
      </c>
      <c r="L5" s="50">
        <f>Commerical_EndUSE!B32</f>
        <v>28771</v>
      </c>
      <c r="M5" s="50">
        <f>M15</f>
        <v>0</v>
      </c>
      <c r="N5" s="50">
        <f>N15</f>
        <v>13</v>
      </c>
      <c r="O5" s="50">
        <f>O15</f>
        <v>0</v>
      </c>
      <c r="S5" s="56"/>
      <c r="U5">
        <f>U15</f>
        <v>2012</v>
      </c>
      <c r="V5" s="50">
        <f>V15</f>
        <v>0</v>
      </c>
      <c r="W5" s="50">
        <f>W15</f>
        <v>0</v>
      </c>
      <c r="X5" s="50">
        <f>X15</f>
        <v>0</v>
      </c>
      <c r="Y5" s="50">
        <f>Y15</f>
        <v>0</v>
      </c>
      <c r="AC5" s="56"/>
      <c r="AE5">
        <f>AE15</f>
        <v>2012</v>
      </c>
      <c r="AF5" s="50">
        <f>AF15</f>
        <v>25813.243405369496</v>
      </c>
      <c r="AG5" s="50">
        <f>AG15</f>
        <v>0</v>
      </c>
      <c r="AH5" s="50">
        <f>AH15</f>
        <v>11161.194366197184</v>
      </c>
      <c r="AI5" s="50">
        <f>AI15</f>
        <v>0</v>
      </c>
      <c r="AM5" s="56"/>
      <c r="AO5">
        <f>AO15</f>
        <v>2012</v>
      </c>
      <c r="AP5" s="50">
        <f>AP15</f>
        <v>47769.59985736059</v>
      </c>
      <c r="AQ5" s="50">
        <f>AQ15</f>
        <v>0</v>
      </c>
      <c r="AR5" s="50">
        <f>AR15</f>
        <v>3107.1849765258216</v>
      </c>
      <c r="AS5" s="50">
        <f>AS15</f>
        <v>0</v>
      </c>
    </row>
    <row r="6" spans="1:49">
      <c r="I6" s="56"/>
      <c r="S6" s="56"/>
      <c r="AC6" s="56"/>
      <c r="AM6" s="56"/>
    </row>
    <row r="7" spans="1:49">
      <c r="A7" s="18" t="s">
        <v>512</v>
      </c>
      <c r="I7" s="56"/>
      <c r="K7" s="48" t="s">
        <v>931</v>
      </c>
      <c r="S7" s="56"/>
      <c r="U7" s="48" t="s">
        <v>932</v>
      </c>
      <c r="AC7" s="56"/>
      <c r="AE7" s="48" t="s">
        <v>933</v>
      </c>
      <c r="AM7" s="56"/>
      <c r="AO7" s="48" t="s">
        <v>516</v>
      </c>
    </row>
    <row r="8" spans="1:49">
      <c r="A8" t="s">
        <v>554</v>
      </c>
      <c r="B8" t="s">
        <v>934</v>
      </c>
      <c r="C8" t="s">
        <v>935</v>
      </c>
      <c r="D8" t="s">
        <v>936</v>
      </c>
      <c r="E8" t="s">
        <v>937</v>
      </c>
      <c r="F8" t="s">
        <v>938</v>
      </c>
      <c r="G8" t="s">
        <v>939</v>
      </c>
      <c r="I8" s="56"/>
      <c r="K8" t="s">
        <v>554</v>
      </c>
      <c r="L8" t="s">
        <v>934</v>
      </c>
      <c r="M8" t="s">
        <v>935</v>
      </c>
      <c r="N8" t="s">
        <v>936</v>
      </c>
      <c r="O8" t="s">
        <v>937</v>
      </c>
      <c r="P8" t="s">
        <v>938</v>
      </c>
      <c r="Q8" t="s">
        <v>939</v>
      </c>
      <c r="S8" s="56"/>
      <c r="U8" t="s">
        <v>554</v>
      </c>
      <c r="V8" t="s">
        <v>934</v>
      </c>
      <c r="W8" t="s">
        <v>935</v>
      </c>
      <c r="X8" t="s">
        <v>936</v>
      </c>
      <c r="Y8" t="s">
        <v>937</v>
      </c>
      <c r="Z8" t="s">
        <v>938</v>
      </c>
      <c r="AA8" t="s">
        <v>939</v>
      </c>
      <c r="AC8" s="56"/>
      <c r="AE8" t="s">
        <v>554</v>
      </c>
      <c r="AF8" t="s">
        <v>934</v>
      </c>
      <c r="AG8" t="s">
        <v>935</v>
      </c>
      <c r="AH8" t="s">
        <v>936</v>
      </c>
      <c r="AI8" t="s">
        <v>937</v>
      </c>
      <c r="AJ8" t="s">
        <v>938</v>
      </c>
      <c r="AK8" t="s">
        <v>939</v>
      </c>
      <c r="AM8" s="56"/>
      <c r="AO8" t="s">
        <v>554</v>
      </c>
      <c r="AP8" t="s">
        <v>934</v>
      </c>
      <c r="AQ8" t="s">
        <v>935</v>
      </c>
      <c r="AR8" t="s">
        <v>936</v>
      </c>
      <c r="AS8" t="s">
        <v>937</v>
      </c>
      <c r="AT8" t="s">
        <v>938</v>
      </c>
      <c r="AU8" t="s">
        <v>939</v>
      </c>
    </row>
    <row r="9" spans="1:49">
      <c r="A9">
        <v>2006</v>
      </c>
      <c r="B9" s="50">
        <f>Commercial8Fuel!F5*Commercial8EndUse!J28</f>
        <v>15863.890000000001</v>
      </c>
      <c r="C9">
        <f>'Future Type Share'!AR7*0.5*'Future EndUse Share'!AP120</f>
        <v>0</v>
      </c>
      <c r="D9">
        <f>'Future Type Share'!AP7*'Future EndUse Share'!AP120</f>
        <v>0</v>
      </c>
      <c r="E9">
        <f>C9</f>
        <v>0</v>
      </c>
      <c r="F9">
        <v>0</v>
      </c>
      <c r="G9">
        <v>0</v>
      </c>
      <c r="I9" s="56"/>
      <c r="K9">
        <v>2006</v>
      </c>
      <c r="L9" s="50">
        <f>Commercial8Fuel!F5*Commercial8EndUse!H28</f>
        <v>30794.61</v>
      </c>
      <c r="M9" s="50">
        <f>Commercial8Fuel!D5*0.5*Residential8EndUse!S54</f>
        <v>0</v>
      </c>
      <c r="N9" s="50">
        <f>Commercial8Fuel!B5*Commercial8EndUse!S54</f>
        <v>0</v>
      </c>
      <c r="O9" s="50">
        <f>M9</f>
        <v>0</v>
      </c>
      <c r="P9">
        <v>0</v>
      </c>
      <c r="Q9">
        <v>0</v>
      </c>
      <c r="S9" s="56"/>
      <c r="U9">
        <v>2006</v>
      </c>
      <c r="V9">
        <v>0</v>
      </c>
      <c r="W9">
        <v>0</v>
      </c>
      <c r="X9">
        <v>0</v>
      </c>
      <c r="Y9">
        <v>0</v>
      </c>
      <c r="Z9">
        <v>0</v>
      </c>
      <c r="AA9">
        <v>0</v>
      </c>
      <c r="AC9" s="56"/>
      <c r="AE9">
        <v>2006</v>
      </c>
      <c r="AF9" s="50">
        <f>'Future Type Share'!AT7*('Future EndUse Share'!$O120+'Future EndUse Share'!$Q120+'Future EndUse Share'!$R120)</f>
        <v>15863.89</v>
      </c>
      <c r="AG9" s="50"/>
      <c r="AH9" s="50">
        <f>'Future Type Share'!AP7*('Future EndUse Share'!$AO120+'Future EndUse Share'!$AQ120+'Future EndUse Share'!$AR120)</f>
        <v>13627.461387407766</v>
      </c>
      <c r="AI9" s="50">
        <f>'Future Type Share'!AR7*('Future EndUse Share'!AO120+'Future EndUse Share'!AQ120+'Future EndUse Share'!AR120)</f>
        <v>4934.7186125922335</v>
      </c>
      <c r="AJ9">
        <v>0</v>
      </c>
      <c r="AK9">
        <v>0</v>
      </c>
      <c r="AM9" s="56"/>
      <c r="AO9">
        <v>2006</v>
      </c>
      <c r="AP9" s="50">
        <f>Commercial8Fuel!F5*(Commercial8EndUse!M28)</f>
        <v>30794.61</v>
      </c>
      <c r="AQ9" s="50">
        <f>'Future Type Share'!AR7*0.5*('Future EndUse Share'!AS120)</f>
        <v>0</v>
      </c>
      <c r="AR9" s="50">
        <f>'Future Type Share'!AP7*('Future EndUse Share'!AS120)</f>
        <v>0</v>
      </c>
      <c r="AS9" s="50">
        <f>AQ9</f>
        <v>0</v>
      </c>
      <c r="AT9">
        <v>0</v>
      </c>
      <c r="AU9">
        <v>0</v>
      </c>
    </row>
    <row r="10" spans="1:49">
      <c r="A10">
        <v>2007</v>
      </c>
      <c r="B10" s="51">
        <f>TREND(B$4:B$5,$A$4:$A$5,$A10)</f>
        <v>15501.841449125204</v>
      </c>
      <c r="C10" s="51">
        <f t="shared" ref="C10:G14" si="0">TREND(C$15:C$19,$A$15:$A$19,$A10)</f>
        <v>0</v>
      </c>
      <c r="D10" s="51">
        <f t="shared" si="0"/>
        <v>0</v>
      </c>
      <c r="E10" s="19">
        <f t="shared" si="0"/>
        <v>0</v>
      </c>
      <c r="F10" s="19">
        <f t="shared" si="0"/>
        <v>0</v>
      </c>
      <c r="G10" s="19">
        <f t="shared" si="0"/>
        <v>0</v>
      </c>
      <c r="I10" s="56"/>
      <c r="K10">
        <v>2007</v>
      </c>
      <c r="L10" s="51">
        <f>TREND(L$4:L$5,$K$4:$K$5,$K10)</f>
        <v>30457.341666666791</v>
      </c>
      <c r="M10" s="51">
        <f>TREND(M$4:M$5,$K$4:$K$5,$K10)</f>
        <v>0</v>
      </c>
      <c r="N10" s="51">
        <f>TREND(N$4:N$5,$K$4:$K$5,$K10)</f>
        <v>2.1666666666669698</v>
      </c>
      <c r="O10" s="51">
        <f>TREND(O$4:O$5,$K$4:$K$5,$K10)</f>
        <v>0</v>
      </c>
      <c r="P10" s="51">
        <f t="shared" ref="P10:Q14" si="1">TREND(P$15:P$19,$K$15:$K$19,$K10)</f>
        <v>0</v>
      </c>
      <c r="Q10" s="51">
        <f t="shared" si="1"/>
        <v>0</v>
      </c>
      <c r="S10" s="56"/>
      <c r="U10">
        <v>2007</v>
      </c>
      <c r="V10">
        <v>0</v>
      </c>
      <c r="W10">
        <v>0</v>
      </c>
      <c r="X10">
        <v>0</v>
      </c>
      <c r="Y10">
        <v>0</v>
      </c>
      <c r="Z10">
        <v>0</v>
      </c>
      <c r="AA10">
        <v>0</v>
      </c>
      <c r="AC10" s="56"/>
      <c r="AE10">
        <v>2007</v>
      </c>
      <c r="AF10" s="51">
        <f>TREND(AF$4:AF$5,$AE$4:$AE$5,$AE10)</f>
        <v>17522.115567561705</v>
      </c>
      <c r="AG10" s="51">
        <f>TREND(AG$4:AG$5,$AE$4:$AE$5,$AE10)</f>
        <v>0</v>
      </c>
      <c r="AH10" s="51">
        <f>TREND(AH$4:AH$5,$AE$4:$AE$5,$AE10)</f>
        <v>13216.416883872589</v>
      </c>
      <c r="AI10" s="51">
        <f>TREND(AI$4:AI$5,$AE$4:$AE$5,$AE10)</f>
        <v>4112.2655104934238</v>
      </c>
      <c r="AJ10" s="51">
        <f t="shared" ref="AJ10:AK14" si="2">TREND(AJ$15:AJ$19,$AE$15:$AE$19,$AE10)</f>
        <v>0</v>
      </c>
      <c r="AK10" s="51">
        <f t="shared" si="2"/>
        <v>0</v>
      </c>
      <c r="AM10" s="56"/>
      <c r="AO10">
        <v>2007</v>
      </c>
      <c r="AP10" s="51">
        <f>TREND(AP$4:AP$5,$AO$4:$AO$5,$AO10)</f>
        <v>33623.774976227432</v>
      </c>
      <c r="AQ10" s="51">
        <f t="shared" ref="AQ10:AS11" si="3">TREND(AQ$4:AQ$5,$AO$4:$AO$5,$AO10)</f>
        <v>0</v>
      </c>
      <c r="AR10" s="51">
        <f t="shared" si="3"/>
        <v>517.86416275426745</v>
      </c>
      <c r="AS10" s="51">
        <f t="shared" si="3"/>
        <v>0</v>
      </c>
      <c r="AT10" s="51">
        <f t="shared" ref="AT10:AU14" si="4">TREND(AT$15:AT$19,$AO$15:$AO$19,$AO10)</f>
        <v>0</v>
      </c>
      <c r="AU10" s="51">
        <f t="shared" si="4"/>
        <v>0</v>
      </c>
    </row>
    <row r="11" spans="1:49">
      <c r="A11">
        <v>2008</v>
      </c>
      <c r="B11" s="51">
        <f>TREND(B$4:B$5,$A$4:$A$5,$A11)</f>
        <v>15139.792898250511</v>
      </c>
      <c r="C11" s="51">
        <f t="shared" si="0"/>
        <v>0</v>
      </c>
      <c r="D11" s="51">
        <f t="shared" si="0"/>
        <v>0</v>
      </c>
      <c r="E11" s="19">
        <f t="shared" si="0"/>
        <v>0</v>
      </c>
      <c r="F11" s="19">
        <f t="shared" si="0"/>
        <v>0</v>
      </c>
      <c r="G11" s="19">
        <f t="shared" si="0"/>
        <v>0</v>
      </c>
      <c r="I11" s="56"/>
      <c r="K11">
        <v>2008</v>
      </c>
      <c r="L11" s="51">
        <f t="shared" ref="L11:O24" si="5">TREND(L$4:L$5,$K$4:$K$5,$K11)</f>
        <v>30120.073333333479</v>
      </c>
      <c r="M11" s="51">
        <f t="shared" si="5"/>
        <v>0</v>
      </c>
      <c r="N11" s="51">
        <f t="shared" si="5"/>
        <v>4.3333333333330302</v>
      </c>
      <c r="O11" s="51">
        <f t="shared" si="5"/>
        <v>0</v>
      </c>
      <c r="P11" s="51">
        <f t="shared" si="1"/>
        <v>0</v>
      </c>
      <c r="Q11" s="51">
        <f t="shared" si="1"/>
        <v>0</v>
      </c>
      <c r="S11" s="56"/>
      <c r="U11">
        <v>2008</v>
      </c>
      <c r="V11">
        <v>0</v>
      </c>
      <c r="W11">
        <v>0</v>
      </c>
      <c r="X11">
        <v>0</v>
      </c>
      <c r="Y11">
        <v>0</v>
      </c>
      <c r="Z11">
        <v>0</v>
      </c>
      <c r="AA11">
        <v>0</v>
      </c>
      <c r="AC11" s="56"/>
      <c r="AE11">
        <v>2008</v>
      </c>
      <c r="AF11" s="51">
        <f t="shared" ref="AF11:AI14" si="6">TREND(AF$4:AF$5,$AE$4:$AE$5,$AE11)</f>
        <v>19180.341135123279</v>
      </c>
      <c r="AG11" s="51">
        <f t="shared" si="6"/>
        <v>0</v>
      </c>
      <c r="AH11" s="51">
        <f t="shared" si="6"/>
        <v>12805.372380337561</v>
      </c>
      <c r="AI11" s="51">
        <f t="shared" si="6"/>
        <v>3289.8124083948787</v>
      </c>
      <c r="AJ11" s="51">
        <f t="shared" si="2"/>
        <v>0</v>
      </c>
      <c r="AK11" s="51">
        <f t="shared" si="2"/>
        <v>0</v>
      </c>
      <c r="AM11" s="56"/>
      <c r="AO11">
        <v>2008</v>
      </c>
      <c r="AP11" s="51">
        <f>TREND(AP$4:AP$5,$AO$4:$AO$5,$AO11)</f>
        <v>36452.939952453598</v>
      </c>
      <c r="AQ11" s="51">
        <f t="shared" si="3"/>
        <v>0</v>
      </c>
      <c r="AR11" s="51">
        <f t="shared" si="3"/>
        <v>1035.7283255086513</v>
      </c>
      <c r="AS11" s="51">
        <f t="shared" si="3"/>
        <v>0</v>
      </c>
      <c r="AT11" s="51">
        <f t="shared" si="4"/>
        <v>0</v>
      </c>
      <c r="AU11" s="51">
        <f t="shared" si="4"/>
        <v>0</v>
      </c>
    </row>
    <row r="12" spans="1:49">
      <c r="A12">
        <v>2009</v>
      </c>
      <c r="B12" s="51">
        <f>TREND(B$4:B$5,$A$4:$A$5,$A12)</f>
        <v>14777.744347375818</v>
      </c>
      <c r="C12" s="51">
        <f t="shared" si="0"/>
        <v>0</v>
      </c>
      <c r="D12" s="51">
        <f t="shared" si="0"/>
        <v>0</v>
      </c>
      <c r="E12" s="19">
        <f t="shared" si="0"/>
        <v>0</v>
      </c>
      <c r="F12" s="19">
        <f t="shared" si="0"/>
        <v>0</v>
      </c>
      <c r="G12" s="19">
        <f t="shared" si="0"/>
        <v>0</v>
      </c>
      <c r="I12" s="56"/>
      <c r="K12">
        <v>2009</v>
      </c>
      <c r="L12" s="51">
        <f t="shared" si="5"/>
        <v>29782.805000000051</v>
      </c>
      <c r="M12" s="51">
        <f t="shared" si="5"/>
        <v>0</v>
      </c>
      <c r="N12" s="51">
        <f t="shared" si="5"/>
        <v>6.5</v>
      </c>
      <c r="O12" s="51">
        <f t="shared" si="5"/>
        <v>0</v>
      </c>
      <c r="P12" s="51">
        <f t="shared" si="1"/>
        <v>0</v>
      </c>
      <c r="Q12" s="51">
        <f t="shared" si="1"/>
        <v>0</v>
      </c>
      <c r="S12" s="56"/>
      <c r="U12">
        <v>2009</v>
      </c>
      <c r="V12">
        <v>0</v>
      </c>
      <c r="W12">
        <v>0</v>
      </c>
      <c r="X12">
        <v>0</v>
      </c>
      <c r="Y12">
        <v>0</v>
      </c>
      <c r="Z12">
        <v>0</v>
      </c>
      <c r="AA12">
        <v>0</v>
      </c>
      <c r="AC12" s="56"/>
      <c r="AE12">
        <v>2009</v>
      </c>
      <c r="AF12" s="51">
        <f t="shared" si="6"/>
        <v>20838.566702684853</v>
      </c>
      <c r="AG12" s="51">
        <f t="shared" si="6"/>
        <v>0</v>
      </c>
      <c r="AH12" s="51">
        <f t="shared" si="6"/>
        <v>12394.327876802417</v>
      </c>
      <c r="AI12" s="51">
        <f t="shared" si="6"/>
        <v>2467.3593062961008</v>
      </c>
      <c r="AJ12" s="51">
        <f t="shared" si="2"/>
        <v>0</v>
      </c>
      <c r="AK12" s="51">
        <f t="shared" si="2"/>
        <v>0</v>
      </c>
      <c r="AM12" s="56"/>
      <c r="AO12">
        <v>2009</v>
      </c>
      <c r="AP12" s="51">
        <f t="shared" ref="AP12:AS14" si="7">TREND(AP$4:AP$5,$AO$4:$AO$5,$AO12)</f>
        <v>39282.104928680696</v>
      </c>
      <c r="AQ12" s="51">
        <f t="shared" si="7"/>
        <v>0</v>
      </c>
      <c r="AR12" s="51">
        <f t="shared" si="7"/>
        <v>1553.5924882629188</v>
      </c>
      <c r="AS12" s="51">
        <f t="shared" si="7"/>
        <v>0</v>
      </c>
      <c r="AT12" s="51">
        <f t="shared" si="4"/>
        <v>0</v>
      </c>
      <c r="AU12" s="51">
        <f t="shared" si="4"/>
        <v>0</v>
      </c>
    </row>
    <row r="13" spans="1:49">
      <c r="A13">
        <v>2010</v>
      </c>
      <c r="B13" s="51">
        <f>TREND(B$4:B$5,$A$4:$A$5,$A13)</f>
        <v>14415.695796501008</v>
      </c>
      <c r="C13" s="51">
        <f t="shared" si="0"/>
        <v>0</v>
      </c>
      <c r="D13" s="51">
        <f t="shared" si="0"/>
        <v>0</v>
      </c>
      <c r="E13" s="19">
        <f t="shared" si="0"/>
        <v>0</v>
      </c>
      <c r="F13" s="19">
        <f t="shared" si="0"/>
        <v>0</v>
      </c>
      <c r="G13" s="19">
        <f t="shared" si="0"/>
        <v>0</v>
      </c>
      <c r="I13" s="56"/>
      <c r="K13">
        <v>2010</v>
      </c>
      <c r="L13" s="51">
        <f t="shared" si="5"/>
        <v>29445.53666666674</v>
      </c>
      <c r="M13" s="51">
        <f t="shared" si="5"/>
        <v>0</v>
      </c>
      <c r="N13" s="51">
        <f t="shared" si="5"/>
        <v>8.6666666666669698</v>
      </c>
      <c r="O13" s="51">
        <f t="shared" si="5"/>
        <v>0</v>
      </c>
      <c r="P13" s="51">
        <f t="shared" si="1"/>
        <v>0</v>
      </c>
      <c r="Q13" s="51">
        <f t="shared" si="1"/>
        <v>0</v>
      </c>
      <c r="S13" s="56"/>
      <c r="U13">
        <v>2010</v>
      </c>
      <c r="V13">
        <v>0</v>
      </c>
      <c r="W13">
        <v>0</v>
      </c>
      <c r="X13">
        <v>0</v>
      </c>
      <c r="Y13">
        <v>0</v>
      </c>
      <c r="Z13">
        <v>0</v>
      </c>
      <c r="AA13">
        <v>0</v>
      </c>
      <c r="AC13" s="56"/>
      <c r="AE13">
        <v>2010</v>
      </c>
      <c r="AF13" s="51">
        <f t="shared" si="6"/>
        <v>22496.792270246428</v>
      </c>
      <c r="AG13" s="51">
        <f t="shared" si="6"/>
        <v>0</v>
      </c>
      <c r="AH13" s="51">
        <f t="shared" si="6"/>
        <v>11983.28337326739</v>
      </c>
      <c r="AI13" s="51">
        <f t="shared" si="6"/>
        <v>1644.9062041973229</v>
      </c>
      <c r="AJ13" s="51">
        <f t="shared" si="2"/>
        <v>0</v>
      </c>
      <c r="AK13" s="51">
        <f t="shared" si="2"/>
        <v>0</v>
      </c>
      <c r="AM13" s="56"/>
      <c r="AO13">
        <v>2010</v>
      </c>
      <c r="AP13" s="51">
        <f t="shared" si="7"/>
        <v>42111.269904907793</v>
      </c>
      <c r="AQ13" s="51">
        <f t="shared" si="7"/>
        <v>0</v>
      </c>
      <c r="AR13" s="51">
        <f t="shared" si="7"/>
        <v>2071.4566510171862</v>
      </c>
      <c r="AS13" s="51">
        <f t="shared" si="7"/>
        <v>0</v>
      </c>
      <c r="AT13" s="51">
        <f t="shared" si="4"/>
        <v>0</v>
      </c>
      <c r="AU13" s="51">
        <f t="shared" si="4"/>
        <v>0</v>
      </c>
    </row>
    <row r="14" spans="1:49">
      <c r="A14">
        <v>2011</v>
      </c>
      <c r="B14" s="51">
        <f>TREND(B$4:B$5,$A$4:$A$5,$A14)</f>
        <v>14053.647245626315</v>
      </c>
      <c r="C14" s="51">
        <f t="shared" si="0"/>
        <v>0</v>
      </c>
      <c r="D14" s="51">
        <f t="shared" si="0"/>
        <v>0</v>
      </c>
      <c r="E14" s="19">
        <f t="shared" si="0"/>
        <v>0</v>
      </c>
      <c r="F14" s="19">
        <f t="shared" si="0"/>
        <v>0</v>
      </c>
      <c r="G14" s="19">
        <f t="shared" si="0"/>
        <v>0</v>
      </c>
      <c r="I14" s="56"/>
      <c r="K14">
        <v>2011</v>
      </c>
      <c r="L14" s="744">
        <f>Commerical_EndUSE!B31</f>
        <v>28553</v>
      </c>
      <c r="M14" s="744">
        <f t="shared" si="5"/>
        <v>0</v>
      </c>
      <c r="N14" s="744">
        <f>Commerical_EndUSE!B59</f>
        <v>12</v>
      </c>
      <c r="O14" s="744">
        <f t="shared" si="5"/>
        <v>0</v>
      </c>
      <c r="P14" s="744">
        <f t="shared" si="1"/>
        <v>0</v>
      </c>
      <c r="Q14" s="744">
        <f t="shared" si="1"/>
        <v>0</v>
      </c>
      <c r="S14" s="56"/>
      <c r="U14">
        <v>2011</v>
      </c>
      <c r="V14">
        <v>0</v>
      </c>
      <c r="W14">
        <v>0</v>
      </c>
      <c r="X14">
        <v>0</v>
      </c>
      <c r="Y14">
        <v>0</v>
      </c>
      <c r="Z14">
        <v>0</v>
      </c>
      <c r="AA14">
        <v>0</v>
      </c>
      <c r="AC14" s="56"/>
      <c r="AE14">
        <v>2011</v>
      </c>
      <c r="AF14" s="51">
        <f t="shared" si="6"/>
        <v>24155.017837808002</v>
      </c>
      <c r="AG14" s="51">
        <f t="shared" si="6"/>
        <v>0</v>
      </c>
      <c r="AH14" s="51">
        <f t="shared" si="6"/>
        <v>11572.238869732246</v>
      </c>
      <c r="AI14" s="51">
        <f t="shared" si="6"/>
        <v>822.45310209877789</v>
      </c>
      <c r="AJ14" s="51">
        <f t="shared" si="2"/>
        <v>0</v>
      </c>
      <c r="AK14" s="51">
        <f t="shared" si="2"/>
        <v>0</v>
      </c>
      <c r="AM14" s="56"/>
      <c r="AO14">
        <v>2011</v>
      </c>
      <c r="AP14" s="51">
        <f t="shared" si="7"/>
        <v>44940.434881133959</v>
      </c>
      <c r="AQ14" s="51">
        <f t="shared" si="7"/>
        <v>0</v>
      </c>
      <c r="AR14" s="51">
        <f t="shared" si="7"/>
        <v>2589.3208137715701</v>
      </c>
      <c r="AS14" s="51">
        <f t="shared" si="7"/>
        <v>0</v>
      </c>
      <c r="AT14" s="51">
        <f t="shared" si="4"/>
        <v>0</v>
      </c>
      <c r="AU14" s="51">
        <f t="shared" si="4"/>
        <v>0</v>
      </c>
    </row>
    <row r="15" spans="1:49">
      <c r="A15">
        <v>2012</v>
      </c>
      <c r="B15" s="50">
        <f>Commercial8Fuel!F11*Commercial8EndUse!J34</f>
        <v>13691.59869475165</v>
      </c>
      <c r="C15">
        <f>'Future Type Share'!AR13*0.5*'Future EndUse Share'!AP126</f>
        <v>0</v>
      </c>
      <c r="D15">
        <f>'Future Type Share'!AP13*'Future EndUse Share'!AP126</f>
        <v>0</v>
      </c>
      <c r="E15">
        <f t="shared" ref="E15:E21" si="8">C15</f>
        <v>0</v>
      </c>
      <c r="F15">
        <v>0</v>
      </c>
      <c r="G15">
        <v>0</v>
      </c>
      <c r="I15" s="56"/>
      <c r="K15">
        <v>2012</v>
      </c>
      <c r="L15" s="744">
        <f>Commerical_EndUSE!B32</f>
        <v>28771</v>
      </c>
      <c r="M15" s="744">
        <f>Commercial8Fuel!D11*0.5*Residential8EndUse!S60</f>
        <v>0</v>
      </c>
      <c r="N15" s="744">
        <f>Commerical_EndUSE!B60</f>
        <v>13</v>
      </c>
      <c r="O15" s="744">
        <f t="shared" ref="O15:O20" si="9">M15</f>
        <v>0</v>
      </c>
      <c r="P15" s="705">
        <v>0</v>
      </c>
      <c r="Q15" s="705">
        <v>0</v>
      </c>
      <c r="S15" s="56"/>
      <c r="U15">
        <v>2012</v>
      </c>
      <c r="V15">
        <v>0</v>
      </c>
      <c r="W15">
        <v>0</v>
      </c>
      <c r="X15">
        <v>0</v>
      </c>
      <c r="Y15">
        <v>0</v>
      </c>
      <c r="Z15">
        <v>0</v>
      </c>
      <c r="AA15">
        <v>0</v>
      </c>
      <c r="AC15" s="56"/>
      <c r="AE15">
        <v>2012</v>
      </c>
      <c r="AF15" s="50">
        <f>'Future Type Share'!AT13*('Future EndUse Share'!$O126+'Future EndUse Share'!$Q126+'Future EndUse Share'!$R126+'Future EndUse Share'!$P126)</f>
        <v>25813.243405369496</v>
      </c>
      <c r="AG15" s="50"/>
      <c r="AH15" s="50">
        <f>'Future Type Share'!AP13*('Future EndUse Share'!$AO126+'Future EndUse Share'!$AQ126+'Future EndUse Share'!$AR126)</f>
        <v>11161.194366197184</v>
      </c>
      <c r="AI15" s="50">
        <f t="shared" ref="AI15:AI20" si="10">AG15</f>
        <v>0</v>
      </c>
      <c r="AJ15">
        <v>0</v>
      </c>
      <c r="AK15">
        <v>0</v>
      </c>
      <c r="AM15" s="56"/>
      <c r="AO15">
        <v>2012</v>
      </c>
      <c r="AP15" s="50">
        <f>Commercial8Fuel!F11*(Commercial8EndUse!M34)</f>
        <v>47769.59985736059</v>
      </c>
      <c r="AQ15" s="50"/>
      <c r="AR15" s="50">
        <f>'Future Type Share'!AP13*('Future EndUse Share'!AS126)</f>
        <v>3107.1849765258216</v>
      </c>
      <c r="AS15" s="50">
        <f t="shared" ref="AS15:AS20" si="11">AQ15</f>
        <v>0</v>
      </c>
      <c r="AT15">
        <v>0</v>
      </c>
      <c r="AU15">
        <v>0</v>
      </c>
    </row>
    <row r="16" spans="1:49">
      <c r="A16">
        <v>2013</v>
      </c>
      <c r="B16" s="50">
        <f>Commercial8Fuel!F12*Commercial8EndUse!J35</f>
        <v>13641.667263442123</v>
      </c>
      <c r="C16">
        <f>'Future Type Share'!AR14*0.5*'Future EndUse Share'!AP127</f>
        <v>0</v>
      </c>
      <c r="D16">
        <f>'Future Type Share'!AP14*'Future EndUse Share'!AP127</f>
        <v>0</v>
      </c>
      <c r="E16">
        <f t="shared" si="8"/>
        <v>0</v>
      </c>
      <c r="F16">
        <v>0</v>
      </c>
      <c r="G16">
        <v>0</v>
      </c>
      <c r="I16" s="56"/>
      <c r="K16">
        <v>2013</v>
      </c>
      <c r="L16" s="744">
        <f>Commerical_EndUSE!B33</f>
        <v>28507</v>
      </c>
      <c r="M16" s="744">
        <f>Commercial8Fuel!D12*0.5*Residential8EndUse!S61</f>
        <v>0</v>
      </c>
      <c r="N16" s="744">
        <f>Commerical_EndUSE!B61</f>
        <v>13</v>
      </c>
      <c r="O16" s="744">
        <f t="shared" si="9"/>
        <v>0</v>
      </c>
      <c r="P16" s="705">
        <v>0</v>
      </c>
      <c r="Q16" s="705">
        <v>0</v>
      </c>
      <c r="S16" s="56"/>
      <c r="U16">
        <v>2013</v>
      </c>
      <c r="V16">
        <v>0</v>
      </c>
      <c r="W16">
        <v>0</v>
      </c>
      <c r="X16">
        <v>0</v>
      </c>
      <c r="Y16">
        <v>0</v>
      </c>
      <c r="Z16">
        <v>0</v>
      </c>
      <c r="AA16">
        <v>0</v>
      </c>
      <c r="AC16" s="56"/>
      <c r="AE16">
        <v>2013</v>
      </c>
      <c r="AF16" s="50">
        <f>'Future Type Share'!AT14*('Future EndUse Share'!$O127+'Future EndUse Share'!$Q127+'Future EndUse Share'!$R127+'Future EndUse Share'!$P127)</f>
        <v>26426.292605854269</v>
      </c>
      <c r="AG16" s="50"/>
      <c r="AH16" s="50">
        <f>'Future Type Share'!AP14*('Future EndUse Share'!$AO127+'Future EndUse Share'!$AQ127+'Future EndUse Share'!$AR127)</f>
        <v>11300.320430242013</v>
      </c>
      <c r="AI16" s="50">
        <f t="shared" si="10"/>
        <v>0</v>
      </c>
      <c r="AJ16">
        <v>0</v>
      </c>
      <c r="AK16">
        <v>0</v>
      </c>
      <c r="AM16" s="56"/>
      <c r="AO16">
        <v>2013</v>
      </c>
      <c r="AP16" s="50">
        <f>Commercial8Fuel!F12*(Commercial8EndUse!M35)</f>
        <v>47286.312945135789</v>
      </c>
      <c r="AQ16" s="50"/>
      <c r="AR16" s="50">
        <f>'Future Type Share'!AP14*('Future EndUse Share'!AS127)</f>
        <v>3199.8819335876428</v>
      </c>
      <c r="AS16" s="50">
        <f t="shared" si="11"/>
        <v>0</v>
      </c>
      <c r="AT16">
        <v>0</v>
      </c>
      <c r="AU16">
        <v>0</v>
      </c>
      <c r="AW16" s="50"/>
    </row>
    <row r="17" spans="1:49">
      <c r="A17">
        <v>2014</v>
      </c>
      <c r="B17" s="50">
        <f>Commercial8Fuel!F13*Commercial8EndUse!J36</f>
        <v>13512</v>
      </c>
      <c r="C17">
        <f>'Future Type Share'!AR15*0.5*'Future EndUse Share'!AP128</f>
        <v>0</v>
      </c>
      <c r="D17">
        <f>'Future Type Share'!AP15*'Future EndUse Share'!AP128</f>
        <v>0</v>
      </c>
      <c r="E17">
        <f t="shared" si="8"/>
        <v>0</v>
      </c>
      <c r="F17">
        <v>0</v>
      </c>
      <c r="G17">
        <v>0</v>
      </c>
      <c r="I17" s="56"/>
      <c r="K17">
        <v>2014</v>
      </c>
      <c r="L17" s="744">
        <f>Commerical_EndUSE!B34</f>
        <v>29374</v>
      </c>
      <c r="M17" s="744">
        <f>Commercial8Fuel!D13*0.5*Residential8EndUse!S62</f>
        <v>0</v>
      </c>
      <c r="N17" s="744">
        <f>Commerical_EndUSE!B62</f>
        <v>12</v>
      </c>
      <c r="O17" s="744">
        <f t="shared" si="9"/>
        <v>0</v>
      </c>
      <c r="P17" s="705">
        <v>0</v>
      </c>
      <c r="Q17" s="705">
        <v>0</v>
      </c>
      <c r="S17" s="56"/>
      <c r="U17">
        <v>2014</v>
      </c>
      <c r="V17">
        <v>0</v>
      </c>
      <c r="W17">
        <v>0</v>
      </c>
      <c r="X17">
        <v>0</v>
      </c>
      <c r="Y17">
        <v>0</v>
      </c>
      <c r="Z17">
        <v>0</v>
      </c>
      <c r="AA17">
        <v>0</v>
      </c>
      <c r="AC17" s="56"/>
      <c r="AE17">
        <v>2014</v>
      </c>
      <c r="AF17" s="50">
        <f>'Future Type Share'!AT15*('Future EndUse Share'!$O128+'Future EndUse Share'!$Q128+'Future EndUse Share'!$R128+'Future EndUse Share'!$P128)</f>
        <v>26845.999999999996</v>
      </c>
      <c r="AG17" s="50"/>
      <c r="AH17" s="50">
        <f>'Future Type Share'!AP15*('Future EndUse Share'!$AO128+'Future EndUse Share'!$AQ128+'Future EndUse Share'!$AR128)</f>
        <v>11349.872328563464</v>
      </c>
      <c r="AI17" s="50">
        <f t="shared" si="10"/>
        <v>0</v>
      </c>
      <c r="AJ17">
        <v>0</v>
      </c>
      <c r="AK17">
        <v>0</v>
      </c>
      <c r="AM17" s="56"/>
      <c r="AO17">
        <v>2014</v>
      </c>
      <c r="AP17" s="50">
        <f>Commercial8Fuel!F13*(Commercial8EndUse!M36)</f>
        <v>47251</v>
      </c>
      <c r="AQ17" s="50"/>
      <c r="AR17" s="50">
        <f>'Future Type Share'!AP15*('Future EndUse Share'!AS128)</f>
        <v>3352.1906708790189</v>
      </c>
      <c r="AS17" s="50">
        <f t="shared" si="11"/>
        <v>0</v>
      </c>
      <c r="AT17">
        <v>0</v>
      </c>
      <c r="AU17">
        <v>0</v>
      </c>
      <c r="AW17" s="50"/>
    </row>
    <row r="18" spans="1:49">
      <c r="A18">
        <v>2015</v>
      </c>
      <c r="B18" s="50">
        <f>Commercial8Fuel!F14*Commercial8EndUse!J37</f>
        <v>13479.128805687747</v>
      </c>
      <c r="C18">
        <f>'Future Type Share'!AR16*0.5*'Future EndUse Share'!AP129</f>
        <v>0</v>
      </c>
      <c r="D18">
        <f>'Future Type Share'!AP16*'Future EndUse Share'!AP129</f>
        <v>0</v>
      </c>
      <c r="E18">
        <f t="shared" si="8"/>
        <v>0</v>
      </c>
      <c r="F18">
        <v>0</v>
      </c>
      <c r="G18">
        <v>0</v>
      </c>
      <c r="I18" s="56"/>
      <c r="K18">
        <v>2015</v>
      </c>
      <c r="L18" s="744">
        <f>Commerical_EndUSE!B35</f>
        <v>29221</v>
      </c>
      <c r="M18" s="744">
        <f>Commercial8Fuel!D14*0.5*Residential8EndUse!S63</f>
        <v>0</v>
      </c>
      <c r="N18" s="744">
        <f>Commerical_EndUSE!B63</f>
        <v>12</v>
      </c>
      <c r="O18" s="744">
        <f t="shared" si="9"/>
        <v>0</v>
      </c>
      <c r="P18" s="705">
        <v>0</v>
      </c>
      <c r="Q18" s="705">
        <v>0</v>
      </c>
      <c r="S18" s="56"/>
      <c r="U18">
        <v>2015</v>
      </c>
      <c r="V18">
        <v>0</v>
      </c>
      <c r="W18">
        <v>0</v>
      </c>
      <c r="X18">
        <v>0</v>
      </c>
      <c r="Y18">
        <v>0</v>
      </c>
      <c r="Z18">
        <v>0</v>
      </c>
      <c r="AA18">
        <v>0</v>
      </c>
      <c r="AC18" s="56"/>
      <c r="AE18">
        <v>2015</v>
      </c>
      <c r="AF18" s="50">
        <f>'Future Type Share'!AT16*('Future EndUse Share'!$O129+'Future EndUse Share'!$Q129+'Future EndUse Share'!$R129+'Future EndUse Share'!$P129)</f>
        <v>27410.261930699693</v>
      </c>
      <c r="AG18" s="50"/>
      <c r="AH18" s="50">
        <f>'Future Type Share'!AP16*('Future EndUse Share'!$AO129+'Future EndUse Share'!$AQ129+'Future EndUse Share'!$AR129)</f>
        <v>11312.374429223744</v>
      </c>
      <c r="AI18" s="50">
        <f t="shared" si="10"/>
        <v>0</v>
      </c>
      <c r="AJ18">
        <v>0</v>
      </c>
      <c r="AK18">
        <v>0</v>
      </c>
      <c r="AM18" s="56"/>
      <c r="AO18">
        <v>2015</v>
      </c>
      <c r="AP18" s="50">
        <f>Commercial8Fuel!F14*(Commercial8EndUse!M37)</f>
        <v>48015.458832635748</v>
      </c>
      <c r="AQ18" s="50"/>
      <c r="AR18" s="50">
        <f>'Future Type Share'!AP16*('Future EndUse Share'!AS129)</f>
        <v>3211.5639269406392</v>
      </c>
      <c r="AS18" s="50">
        <f t="shared" si="11"/>
        <v>0</v>
      </c>
      <c r="AT18">
        <v>0</v>
      </c>
      <c r="AU18">
        <v>0</v>
      </c>
      <c r="AW18" s="50"/>
    </row>
    <row r="19" spans="1:49">
      <c r="A19">
        <v>2016</v>
      </c>
      <c r="B19" s="50">
        <f>Commercial8Fuel!$F15*Commercial8EndUse!$J38</f>
        <v>13246.126347316811</v>
      </c>
      <c r="C19">
        <f>'Future Type Share'!AR17*0.5*'Future EndUse Share'!AP130</f>
        <v>0</v>
      </c>
      <c r="D19">
        <f>'Future Type Share'!AP17*'Future EndUse Share'!AP130</f>
        <v>0</v>
      </c>
      <c r="E19">
        <f t="shared" si="8"/>
        <v>0</v>
      </c>
      <c r="F19">
        <v>0</v>
      </c>
      <c r="G19">
        <v>0</v>
      </c>
      <c r="I19" s="56"/>
      <c r="K19">
        <v>2016</v>
      </c>
      <c r="L19" s="744">
        <f>Commerical_EndUSE!B36</f>
        <v>28523</v>
      </c>
      <c r="M19" s="744">
        <f>Commercial8Fuel!D15*0.5*Residential8EndUse!S64</f>
        <v>0</v>
      </c>
      <c r="N19" s="744">
        <f>Commerical_EndUSE!B64</f>
        <v>13</v>
      </c>
      <c r="O19" s="744">
        <f t="shared" si="9"/>
        <v>0</v>
      </c>
      <c r="P19" s="705">
        <v>0</v>
      </c>
      <c r="Q19" s="705">
        <v>0</v>
      </c>
      <c r="S19" s="56"/>
      <c r="U19">
        <v>2016</v>
      </c>
      <c r="V19">
        <v>0</v>
      </c>
      <c r="W19">
        <v>0</v>
      </c>
      <c r="X19">
        <v>0</v>
      </c>
      <c r="Y19">
        <v>0</v>
      </c>
      <c r="Z19">
        <v>0</v>
      </c>
      <c r="AA19">
        <v>0</v>
      </c>
      <c r="AC19" s="56"/>
      <c r="AE19">
        <v>2016</v>
      </c>
      <c r="AF19" s="50">
        <f>'Future Type Share'!AT17*('Future EndUse Share'!$O130+'Future EndUse Share'!$Q130+'Future EndUse Share'!$R130+'Future EndUse Share'!$P130)</f>
        <v>27861.265752875865</v>
      </c>
      <c r="AG19" s="50"/>
      <c r="AH19" s="50">
        <f>'Future Type Share'!AP17*('Future EndUse Share'!$AO130+'Future EndUse Share'!$AQ130+'Future EndUse Share'!$AR130)</f>
        <v>11399.436299615878</v>
      </c>
      <c r="AI19" s="50">
        <f t="shared" si="10"/>
        <v>0</v>
      </c>
      <c r="AJ19">
        <v>0</v>
      </c>
      <c r="AK19">
        <v>0</v>
      </c>
      <c r="AM19" s="56"/>
      <c r="AO19">
        <v>2016</v>
      </c>
      <c r="AP19" s="50">
        <f>Commercial8Fuel!F15*(Commercial8EndUse!M38)</f>
        <v>48454.462179743983</v>
      </c>
      <c r="AQ19" s="50"/>
      <c r="AR19" s="50">
        <f>'Future Type Share'!AP17*('Future EndUse Share'!AS130)</f>
        <v>3189.4117797695262</v>
      </c>
      <c r="AS19" s="50">
        <f t="shared" si="11"/>
        <v>0</v>
      </c>
      <c r="AT19">
        <v>0</v>
      </c>
      <c r="AU19">
        <v>0</v>
      </c>
      <c r="AW19" s="50"/>
    </row>
    <row r="20" spans="1:49">
      <c r="A20">
        <v>2017</v>
      </c>
      <c r="B20" s="50">
        <f>Commercial8Fuel!$F16*Commercial8EndUse!$J39</f>
        <v>13131.749080452082</v>
      </c>
      <c r="C20">
        <f>'Future Type Share'!AR18*0.5*'Future EndUse Share'!AP131</f>
        <v>0</v>
      </c>
      <c r="D20">
        <f>'Future Type Share'!AP18*'Future EndUse Share'!AP131</f>
        <v>0</v>
      </c>
      <c r="E20">
        <f t="shared" si="8"/>
        <v>0</v>
      </c>
      <c r="F20">
        <v>0</v>
      </c>
      <c r="G20">
        <v>0</v>
      </c>
      <c r="I20" s="56"/>
      <c r="K20">
        <v>2017</v>
      </c>
      <c r="L20" s="744">
        <f>Commerical_EndUSE!B37</f>
        <v>28706</v>
      </c>
      <c r="M20" s="744">
        <f>Commercial8Fuel!D16*0.5*Residential8EndUse!S65</f>
        <v>0</v>
      </c>
      <c r="N20" s="744">
        <f>Commerical_EndUSE!B65</f>
        <v>13</v>
      </c>
      <c r="O20" s="744">
        <f t="shared" si="9"/>
        <v>0</v>
      </c>
      <c r="P20" s="705">
        <f>P19</f>
        <v>0</v>
      </c>
      <c r="Q20" s="705">
        <f>P20</f>
        <v>0</v>
      </c>
      <c r="S20" s="56"/>
      <c r="U20">
        <v>2017</v>
      </c>
      <c r="V20">
        <f t="shared" ref="V20:AA20" si="12">V19</f>
        <v>0</v>
      </c>
      <c r="W20">
        <f t="shared" si="12"/>
        <v>0</v>
      </c>
      <c r="X20">
        <f t="shared" si="12"/>
        <v>0</v>
      </c>
      <c r="Y20">
        <f t="shared" si="12"/>
        <v>0</v>
      </c>
      <c r="Z20">
        <f t="shared" si="12"/>
        <v>0</v>
      </c>
      <c r="AA20">
        <f t="shared" si="12"/>
        <v>0</v>
      </c>
      <c r="AC20" s="56"/>
      <c r="AE20">
        <v>2017</v>
      </c>
      <c r="AF20" s="50">
        <f>'Future Type Share'!AT18*('Future EndUse Share'!$O131+'Future EndUse Share'!$Q131+'Future EndUse Share'!$R131+'Future EndUse Share'!$P131)</f>
        <v>28343.458417326667</v>
      </c>
      <c r="AG20" s="50"/>
      <c r="AH20" s="50">
        <f>'Future Type Share'!AP18*('Future EndUse Share'!$AO131+'Future EndUse Share'!$AQ131+'Future EndUse Share'!$AR131)</f>
        <v>11641.8426737832</v>
      </c>
      <c r="AI20" s="50">
        <f t="shared" si="10"/>
        <v>0</v>
      </c>
      <c r="AJ20">
        <f>AJ19</f>
        <v>0</v>
      </c>
      <c r="AK20">
        <f>AK19</f>
        <v>0</v>
      </c>
      <c r="AM20" s="56"/>
      <c r="AO20">
        <v>2017</v>
      </c>
      <c r="AP20" s="50">
        <f>'Future Type Share'!AT18*('Future EndUse Share'!S131)</f>
        <v>47620.090082257746</v>
      </c>
      <c r="AQ20" s="50"/>
      <c r="AR20" s="50">
        <f>'Future Type Share'!AP18*('Future EndUse Share'!AS131)</f>
        <v>3253.8429279451011</v>
      </c>
      <c r="AS20" s="50">
        <f t="shared" si="11"/>
        <v>0</v>
      </c>
      <c r="AT20">
        <f>AT19</f>
        <v>0</v>
      </c>
      <c r="AU20">
        <f>AU19</f>
        <v>0</v>
      </c>
      <c r="AW20" s="50"/>
    </row>
    <row r="21" spans="1:49">
      <c r="A21">
        <v>2018</v>
      </c>
      <c r="B21" s="50">
        <f>Commercial8Fuel!$F17*Commercial8EndUse!$J40</f>
        <v>13353.74873227776</v>
      </c>
      <c r="C21">
        <f>'Future Type Share'!AR19*0.5*'Future EndUse Share'!AP132</f>
        <v>0</v>
      </c>
      <c r="D21">
        <f>'Future Type Share'!AP19*'Future EndUse Share'!AP132</f>
        <v>0</v>
      </c>
      <c r="E21">
        <f t="shared" si="8"/>
        <v>0</v>
      </c>
      <c r="F21">
        <v>0</v>
      </c>
      <c r="G21">
        <v>0</v>
      </c>
      <c r="I21" s="56"/>
      <c r="K21">
        <v>2018</v>
      </c>
      <c r="L21" s="744">
        <f>Commerical_EndUSE!B38</f>
        <v>30528</v>
      </c>
      <c r="M21" s="744">
        <f>Commercial8Fuel!D17*0.5*Residential8EndUse!S66</f>
        <v>0</v>
      </c>
      <c r="N21" s="744">
        <f>Commerical_EndUSE!B66</f>
        <v>13</v>
      </c>
      <c r="O21" s="744">
        <f t="shared" ref="O21:O53" si="13">M21</f>
        <v>0</v>
      </c>
      <c r="P21" s="705">
        <f t="shared" ref="P21:P53" si="14">P20</f>
        <v>0</v>
      </c>
      <c r="Q21" s="705">
        <f t="shared" ref="Q21:Q53" si="15">P21</f>
        <v>0</v>
      </c>
      <c r="S21" s="56"/>
      <c r="U21">
        <v>2018</v>
      </c>
      <c r="V21">
        <f t="shared" ref="V21:V53" si="16">V20</f>
        <v>0</v>
      </c>
      <c r="W21">
        <f t="shared" ref="W21:W53" si="17">W20</f>
        <v>0</v>
      </c>
      <c r="X21">
        <f t="shared" ref="X21:X53" si="18">X20</f>
        <v>0</v>
      </c>
      <c r="Y21">
        <f t="shared" ref="Y21:Y53" si="19">Y20</f>
        <v>0</v>
      </c>
      <c r="Z21">
        <f t="shared" ref="Z21:Z53" si="20">Z20</f>
        <v>0</v>
      </c>
      <c r="AA21">
        <f t="shared" ref="AA21:AA53" si="21">AA20</f>
        <v>0</v>
      </c>
      <c r="AC21" s="56"/>
      <c r="AE21">
        <v>2018</v>
      </c>
      <c r="AF21" s="50">
        <f>'Future Type Share'!AT19*('Future EndUse Share'!$O132+'Future EndUse Share'!$Q132+'Future EndUse Share'!$R132+'Future EndUse Share'!$P132)</f>
        <v>29487.445156313213</v>
      </c>
      <c r="AG21" s="50"/>
      <c r="AH21" s="50">
        <f>'Future Type Share'!AP19*('Future EndUse Share'!$AO132+'Future EndUse Share'!$AQ132+'Future EndUse Share'!$AR132)</f>
        <v>11791.012556504269</v>
      </c>
      <c r="AI21" s="50">
        <f t="shared" ref="AI21:AI53" si="22">AG21</f>
        <v>0</v>
      </c>
      <c r="AJ21">
        <f t="shared" ref="AJ21:AJ53" si="23">AJ20</f>
        <v>0</v>
      </c>
      <c r="AK21">
        <f t="shared" ref="AK21:AK53" si="24">AK20</f>
        <v>0</v>
      </c>
      <c r="AM21" s="56"/>
      <c r="AO21">
        <v>2018</v>
      </c>
      <c r="AP21" s="50">
        <f>'Future Type Share'!AT19*('Future EndUse Share'!S132)</f>
        <v>46276.129255924665</v>
      </c>
      <c r="AQ21" s="50"/>
      <c r="AR21" s="50">
        <f>'Future Type Share'!AP19*('Future EndUse Share'!AS132)</f>
        <v>3450.5375439477648</v>
      </c>
      <c r="AS21" s="50">
        <f t="shared" ref="AS21:AS53" si="25">AQ21</f>
        <v>0</v>
      </c>
      <c r="AT21">
        <f t="shared" ref="AT21:AT53" si="26">AT20</f>
        <v>0</v>
      </c>
      <c r="AU21">
        <f t="shared" ref="AU21:AU53" si="27">AU20</f>
        <v>0</v>
      </c>
      <c r="AW21" s="50"/>
    </row>
    <row r="22" spans="1:49">
      <c r="A22">
        <v>2019</v>
      </c>
      <c r="B22" s="50">
        <f>Commercial8Fuel!$F18*Commercial8EndUse!$J41</f>
        <v>13182.122070249197</v>
      </c>
      <c r="C22">
        <f>'Future Type Share'!AR20*0.5*'Future EndUse Share'!AP133</f>
        <v>0</v>
      </c>
      <c r="D22">
        <f>'Future Type Share'!AP20*'Future EndUse Share'!AP133</f>
        <v>0</v>
      </c>
      <c r="E22">
        <f t="shared" ref="E22:E53" si="28">C22</f>
        <v>0</v>
      </c>
      <c r="F22">
        <v>0</v>
      </c>
      <c r="G22">
        <v>0</v>
      </c>
      <c r="I22" s="56"/>
      <c r="K22">
        <v>2019</v>
      </c>
      <c r="L22" s="744">
        <f>Commerical_EndUSE!B39</f>
        <v>30170</v>
      </c>
      <c r="M22" s="744">
        <f>Commercial8Fuel!D18*0.5*Residential8EndUse!S67</f>
        <v>0</v>
      </c>
      <c r="N22" s="744">
        <f>Commerical_EndUSE!B67</f>
        <v>13</v>
      </c>
      <c r="O22" s="744">
        <f t="shared" si="13"/>
        <v>0</v>
      </c>
      <c r="P22" s="705">
        <f t="shared" si="14"/>
        <v>0</v>
      </c>
      <c r="Q22" s="705">
        <f t="shared" si="15"/>
        <v>0</v>
      </c>
      <c r="S22" s="56"/>
      <c r="U22">
        <v>2019</v>
      </c>
      <c r="V22">
        <f t="shared" si="16"/>
        <v>0</v>
      </c>
      <c r="W22">
        <f t="shared" si="17"/>
        <v>0</v>
      </c>
      <c r="X22">
        <f t="shared" si="18"/>
        <v>0</v>
      </c>
      <c r="Y22">
        <f t="shared" si="19"/>
        <v>0</v>
      </c>
      <c r="Z22">
        <f t="shared" si="20"/>
        <v>0</v>
      </c>
      <c r="AA22">
        <f t="shared" si="21"/>
        <v>0</v>
      </c>
      <c r="AC22" s="56"/>
      <c r="AE22">
        <v>2019</v>
      </c>
      <c r="AF22" s="50">
        <f>'Future Type Share'!AT20*('Future EndUse Share'!$O133+'Future EndUse Share'!$Q133+'Future EndUse Share'!$R133+'Future EndUse Share'!$P133)</f>
        <v>28250.261605563635</v>
      </c>
      <c r="AG22" s="50"/>
      <c r="AH22" s="50">
        <f>'Future Type Share'!AP20*('Future EndUse Share'!$AO133+'Future EndUse Share'!$AQ133+'Future EndUse Share'!$AR133)</f>
        <v>11511.803409696324</v>
      </c>
      <c r="AI22" s="50">
        <f t="shared" si="22"/>
        <v>0</v>
      </c>
      <c r="AJ22">
        <f t="shared" si="23"/>
        <v>0</v>
      </c>
      <c r="AK22">
        <f t="shared" si="24"/>
        <v>0</v>
      </c>
      <c r="AM22" s="56"/>
      <c r="AO22">
        <v>2019</v>
      </c>
      <c r="AP22" s="50">
        <f>'Future Type Share'!AT20*('Future EndUse Share'!S133)</f>
        <v>49567.459008954786</v>
      </c>
      <c r="AQ22" s="50"/>
      <c r="AR22" s="50">
        <f>'Future Type Share'!AP20*('Future EndUse Share'!AS133)</f>
        <v>2915.6952583910497</v>
      </c>
      <c r="AS22" s="50">
        <f t="shared" si="25"/>
        <v>0</v>
      </c>
      <c r="AT22">
        <f t="shared" si="26"/>
        <v>0</v>
      </c>
      <c r="AU22">
        <f t="shared" si="27"/>
        <v>0</v>
      </c>
      <c r="AW22" s="50"/>
    </row>
    <row r="23" spans="1:49">
      <c r="A23">
        <v>2020</v>
      </c>
      <c r="B23" s="50">
        <f>Commercial8Fuel!$F19*Commercial8EndUse!$J42</f>
        <v>12719.12449347141</v>
      </c>
      <c r="C23">
        <f>'Future Type Share'!AR21*0.5*'Future EndUse Share'!AP134</f>
        <v>0</v>
      </c>
      <c r="D23">
        <f>'Future Type Share'!AP21*'Future EndUse Share'!AP134</f>
        <v>0</v>
      </c>
      <c r="E23">
        <f t="shared" si="28"/>
        <v>0</v>
      </c>
      <c r="F23">
        <v>0</v>
      </c>
      <c r="G23">
        <v>0</v>
      </c>
      <c r="I23" s="56"/>
      <c r="K23">
        <v>2020</v>
      </c>
      <c r="L23" s="744">
        <f>Commerical_EndUSE!B40</f>
        <v>28847</v>
      </c>
      <c r="M23" s="744">
        <f>Commercial8Fuel!D19*0.5*Residential8EndUse!S68</f>
        <v>0</v>
      </c>
      <c r="N23" s="744">
        <f>Commerical_EndUSE!B68</f>
        <v>10</v>
      </c>
      <c r="O23" s="744">
        <f t="shared" si="13"/>
        <v>0</v>
      </c>
      <c r="P23" s="705">
        <f t="shared" si="14"/>
        <v>0</v>
      </c>
      <c r="Q23" s="705">
        <f t="shared" si="15"/>
        <v>0</v>
      </c>
      <c r="S23" s="56"/>
      <c r="U23">
        <v>2020</v>
      </c>
      <c r="V23">
        <f t="shared" si="16"/>
        <v>0</v>
      </c>
      <c r="W23">
        <f t="shared" si="17"/>
        <v>0</v>
      </c>
      <c r="X23">
        <f t="shared" si="18"/>
        <v>0</v>
      </c>
      <c r="Y23">
        <f t="shared" si="19"/>
        <v>0</v>
      </c>
      <c r="Z23">
        <f t="shared" si="20"/>
        <v>0</v>
      </c>
      <c r="AA23">
        <f t="shared" si="21"/>
        <v>0</v>
      </c>
      <c r="AC23" s="56"/>
      <c r="AE23">
        <v>2020</v>
      </c>
      <c r="AF23" s="50">
        <f>'Future Type Share'!AT21*('Future EndUse Share'!$O134+'Future EndUse Share'!$Q134+'Future EndUse Share'!$R134+'Future EndUse Share'!$P134)</f>
        <v>24518.239981990097</v>
      </c>
      <c r="AG23" s="50"/>
      <c r="AH23" s="50">
        <f>'Future Type Share'!AP21*('Future EndUse Share'!$AO134+'Future EndUse Share'!$AQ134+'Future EndUse Share'!$AR134)</f>
        <v>9486.0422706292011</v>
      </c>
      <c r="AI23" s="50">
        <f t="shared" si="22"/>
        <v>0</v>
      </c>
      <c r="AJ23">
        <f t="shared" si="23"/>
        <v>0</v>
      </c>
      <c r="AK23">
        <f t="shared" si="24"/>
        <v>0</v>
      </c>
      <c r="AM23" s="56"/>
      <c r="AO23">
        <v>2020</v>
      </c>
      <c r="AP23" s="50">
        <f>'Future Type Share'!AT21*('Future EndUse Share'!S134)</f>
        <v>48801.477663802048</v>
      </c>
      <c r="AQ23" s="50"/>
      <c r="AR23" s="50">
        <f>'Future Type Share'!AP21*('Future EndUse Share'!AS134)</f>
        <v>2351.3642400194349</v>
      </c>
      <c r="AS23" s="50">
        <f t="shared" si="25"/>
        <v>0</v>
      </c>
      <c r="AT23">
        <f t="shared" si="26"/>
        <v>0</v>
      </c>
      <c r="AU23">
        <f t="shared" si="27"/>
        <v>0</v>
      </c>
      <c r="AW23" s="50"/>
    </row>
    <row r="24" spans="1:49">
      <c r="A24">
        <v>2021</v>
      </c>
      <c r="B24" s="50">
        <f>Commercial8Fuel!$F20*Commercial8EndUse!$J43</f>
        <v>12846.76041103299</v>
      </c>
      <c r="C24">
        <f>'Future Type Share'!AR22*0.5*'Future EndUse Share'!AP135</f>
        <v>0</v>
      </c>
      <c r="D24">
        <f>'Future Type Share'!AP22*'Future EndUse Share'!AP135</f>
        <v>0</v>
      </c>
      <c r="E24">
        <f t="shared" si="28"/>
        <v>0</v>
      </c>
      <c r="F24">
        <v>0</v>
      </c>
      <c r="G24">
        <v>0</v>
      </c>
      <c r="I24" s="56"/>
      <c r="K24">
        <v>2021</v>
      </c>
      <c r="L24" s="744">
        <f>Commerical_EndUSE!B41</f>
        <v>29701</v>
      </c>
      <c r="M24" s="744">
        <f>Commercial8Fuel!D20*0.5*Residential8EndUse!S69</f>
        <v>0</v>
      </c>
      <c r="N24" s="744">
        <f>Commerical_EndUSE!B69</f>
        <v>11</v>
      </c>
      <c r="O24" s="744">
        <f t="shared" si="13"/>
        <v>0</v>
      </c>
      <c r="P24" s="705">
        <f t="shared" si="14"/>
        <v>0</v>
      </c>
      <c r="Q24" s="705">
        <f t="shared" si="15"/>
        <v>0</v>
      </c>
      <c r="S24" s="56"/>
      <c r="U24">
        <v>2021</v>
      </c>
      <c r="V24">
        <f t="shared" si="16"/>
        <v>0</v>
      </c>
      <c r="W24">
        <f t="shared" si="17"/>
        <v>0</v>
      </c>
      <c r="X24">
        <f t="shared" si="18"/>
        <v>0</v>
      </c>
      <c r="Y24">
        <f t="shared" si="19"/>
        <v>0</v>
      </c>
      <c r="Z24">
        <f t="shared" si="20"/>
        <v>0</v>
      </c>
      <c r="AA24">
        <f t="shared" si="21"/>
        <v>0</v>
      </c>
      <c r="AC24" s="56"/>
      <c r="AE24">
        <v>2021</v>
      </c>
      <c r="AF24" s="50">
        <f>'Future Type Share'!AT22*('Future EndUse Share'!$O135+'Future EndUse Share'!$Q135+'Future EndUse Share'!$R135+'Future EndUse Share'!$P135)</f>
        <v>26074.513716640871</v>
      </c>
      <c r="AG24" s="50"/>
      <c r="AH24" s="50">
        <f>'Future Type Share'!AP22*('Future EndUse Share'!$AO135+'Future EndUse Share'!$AQ135+'Future EndUse Share'!$AR135)</f>
        <v>9932.8047033172388</v>
      </c>
      <c r="AI24" s="50">
        <f t="shared" si="22"/>
        <v>0</v>
      </c>
      <c r="AJ24">
        <f t="shared" si="23"/>
        <v>0</v>
      </c>
      <c r="AK24">
        <f t="shared" si="24"/>
        <v>0</v>
      </c>
      <c r="AM24" s="56"/>
      <c r="AO24">
        <v>2021</v>
      </c>
      <c r="AP24" s="50">
        <f>'Future Type Share'!AT22*('Future EndUse Share'!S135)</f>
        <v>51465.040189478001</v>
      </c>
      <c r="AQ24" s="50"/>
      <c r="AR24" s="50">
        <f>'Future Type Share'!AP22*('Future EndUse Share'!AS135)</f>
        <v>2409.614156673415</v>
      </c>
      <c r="AS24" s="50">
        <f t="shared" si="25"/>
        <v>0</v>
      </c>
      <c r="AT24">
        <f t="shared" si="26"/>
        <v>0</v>
      </c>
      <c r="AU24">
        <f t="shared" si="27"/>
        <v>0</v>
      </c>
      <c r="AW24" s="50"/>
    </row>
    <row r="25" spans="1:49">
      <c r="A25">
        <v>2022</v>
      </c>
      <c r="B25" s="50">
        <f>'Future Type Share'!AT23*'Future EndUse Share'!P136</f>
        <v>13079.961592973828</v>
      </c>
      <c r="C25">
        <f>'Future Type Share'!AR23*0.5*'Future EndUse Share'!AP136</f>
        <v>0</v>
      </c>
      <c r="D25">
        <f>'Future Type Share'!AP23*'Future EndUse Share'!AP136</f>
        <v>0</v>
      </c>
      <c r="E25">
        <f t="shared" si="28"/>
        <v>0</v>
      </c>
      <c r="F25">
        <v>0</v>
      </c>
      <c r="G25">
        <v>0</v>
      </c>
      <c r="I25" s="56"/>
      <c r="K25">
        <v>2022</v>
      </c>
      <c r="L25" s="50">
        <f>'Future Type Share'!AT23*'Future EndUse Share'!$N136</f>
        <v>30519.910383605602</v>
      </c>
      <c r="M25">
        <f>'Future Type Share'!AR23*0.5*'Future EndUse Share'!$AN$131</f>
        <v>0</v>
      </c>
      <c r="N25">
        <f>'Future Type Share'!AP23*'Future EndUse Share'!$AN$131</f>
        <v>11.432143920148604</v>
      </c>
      <c r="O25" s="50">
        <f t="shared" si="13"/>
        <v>0</v>
      </c>
      <c r="P25">
        <f t="shared" si="14"/>
        <v>0</v>
      </c>
      <c r="Q25">
        <f t="shared" si="15"/>
        <v>0</v>
      </c>
      <c r="S25" s="56"/>
      <c r="U25">
        <v>2022</v>
      </c>
      <c r="V25">
        <f t="shared" si="16"/>
        <v>0</v>
      </c>
      <c r="W25">
        <f t="shared" si="17"/>
        <v>0</v>
      </c>
      <c r="X25">
        <f t="shared" si="18"/>
        <v>0</v>
      </c>
      <c r="Y25">
        <f t="shared" si="19"/>
        <v>0</v>
      </c>
      <c r="Z25">
        <f t="shared" si="20"/>
        <v>0</v>
      </c>
      <c r="AA25">
        <f t="shared" si="21"/>
        <v>0</v>
      </c>
      <c r="AC25" s="56"/>
      <c r="AE25">
        <v>2022</v>
      </c>
      <c r="AF25" s="50">
        <f>'Future Type Share'!AT23*('Future EndUse Share'!$O136+'Future EndUse Share'!$Q136+'Future EndUse Share'!$R136+'Future EndUse Share'!$P136)</f>
        <v>32699.903982434571</v>
      </c>
      <c r="AG25" s="50">
        <f>'Future Type Share'!AR23*0.5*('Future EndUse Share'!AO136+'Future EndUse Share'!AQ136+'Future EndUse Share'!AR136)</f>
        <v>0</v>
      </c>
      <c r="AH25" s="50">
        <f>'Future Type Share'!AP23*('Future EndUse Share'!$AO136+'Future EndUse Share'!$AQ136+'Future EndUse Share'!$AR136)</f>
        <v>13839.929308869132</v>
      </c>
      <c r="AI25" s="50">
        <f t="shared" si="22"/>
        <v>0</v>
      </c>
      <c r="AJ25">
        <f t="shared" si="23"/>
        <v>0</v>
      </c>
      <c r="AK25">
        <f t="shared" si="24"/>
        <v>0</v>
      </c>
      <c r="AM25" s="56"/>
      <c r="AO25">
        <v>2022</v>
      </c>
      <c r="AP25" s="50">
        <f>'Future Type Share'!AT23*('Future EndUse Share'!S136)</f>
        <v>45779.865575408396</v>
      </c>
      <c r="AQ25" s="50">
        <f>'Future Type Share'!AR23*0.5*('Future EndUse Share'!AS136)</f>
        <v>0</v>
      </c>
      <c r="AR25" s="50">
        <f>'Future Type Share'!AP23*('Future EndUse Share'!AS136)</f>
        <v>0</v>
      </c>
      <c r="AS25" s="50">
        <f t="shared" si="25"/>
        <v>0</v>
      </c>
      <c r="AT25">
        <f t="shared" si="26"/>
        <v>0</v>
      </c>
      <c r="AU25">
        <f t="shared" si="27"/>
        <v>0</v>
      </c>
      <c r="AW25" s="50"/>
    </row>
    <row r="26" spans="1:49">
      <c r="A26">
        <v>2023</v>
      </c>
      <c r="B26" s="50">
        <f>'Future Type Share'!AT24*'Future EndUse Share'!P137</f>
        <v>13212.766124712598</v>
      </c>
      <c r="C26">
        <f>'Future Type Share'!AR24*0.5*'Future EndUse Share'!AP137</f>
        <v>0</v>
      </c>
      <c r="D26">
        <f>'Future Type Share'!AP24*'Future EndUse Share'!AP137</f>
        <v>0</v>
      </c>
      <c r="E26">
        <f t="shared" si="28"/>
        <v>0</v>
      </c>
      <c r="F26">
        <v>0</v>
      </c>
      <c r="G26">
        <v>0</v>
      </c>
      <c r="I26" s="56"/>
      <c r="K26">
        <v>2023</v>
      </c>
      <c r="L26" s="50">
        <f>'Future Type Share'!AT24*'Future EndUse Share'!$N137</f>
        <v>30829.787624329398</v>
      </c>
      <c r="M26">
        <f>'Future Type Share'!AR24*0.5*'Future EndUse Share'!$AN$131</f>
        <v>0</v>
      </c>
      <c r="N26">
        <f>'Future Type Share'!AP24*'Future EndUse Share'!$AN$131</f>
        <v>11.289840394228611</v>
      </c>
      <c r="O26" s="50">
        <f t="shared" si="13"/>
        <v>0</v>
      </c>
      <c r="P26">
        <f t="shared" si="14"/>
        <v>0</v>
      </c>
      <c r="Q26">
        <f t="shared" si="15"/>
        <v>0</v>
      </c>
      <c r="S26" s="56"/>
      <c r="U26">
        <v>2023</v>
      </c>
      <c r="V26">
        <f t="shared" si="16"/>
        <v>0</v>
      </c>
      <c r="W26">
        <f t="shared" si="17"/>
        <v>0</v>
      </c>
      <c r="X26">
        <f t="shared" si="18"/>
        <v>0</v>
      </c>
      <c r="Y26">
        <f t="shared" si="19"/>
        <v>0</v>
      </c>
      <c r="Z26">
        <f t="shared" si="20"/>
        <v>0</v>
      </c>
      <c r="AA26">
        <f t="shared" si="21"/>
        <v>0</v>
      </c>
      <c r="AC26" s="56"/>
      <c r="AE26">
        <v>2023</v>
      </c>
      <c r="AF26" s="50">
        <f>'Future Type Share'!AT24*('Future EndUse Share'!$O137+'Future EndUse Share'!$Q137+'Future EndUse Share'!$R137+'Future EndUse Share'!$P137)</f>
        <v>33031.915311781493</v>
      </c>
      <c r="AG26" s="50">
        <f>'Future Type Share'!AR24*0.5*('Future EndUse Share'!AO137+'Future EndUse Share'!AQ137+'Future EndUse Share'!AR137)</f>
        <v>0</v>
      </c>
      <c r="AH26" s="50">
        <f>'Future Type Share'!AP24*('Future EndUse Share'!$AO137+'Future EndUse Share'!$AQ137+'Future EndUse Share'!$AR137)</f>
        <v>13667.654471105374</v>
      </c>
      <c r="AI26" s="50">
        <f t="shared" si="22"/>
        <v>0</v>
      </c>
      <c r="AJ26">
        <f t="shared" si="23"/>
        <v>0</v>
      </c>
      <c r="AK26">
        <f t="shared" si="24"/>
        <v>0</v>
      </c>
      <c r="AM26" s="56"/>
      <c r="AO26">
        <v>2023</v>
      </c>
      <c r="AP26" s="50">
        <f>'Future Type Share'!AT24*('Future EndUse Share'!S137)</f>
        <v>46244.681436494087</v>
      </c>
      <c r="AQ26" s="50">
        <f>'Future Type Share'!AR24*0.5*('Future EndUse Share'!AS137)</f>
        <v>0</v>
      </c>
      <c r="AR26" s="50">
        <f>'Future Type Share'!AP24*('Future EndUse Share'!AS137)</f>
        <v>0</v>
      </c>
      <c r="AS26" s="50">
        <f t="shared" si="25"/>
        <v>0</v>
      </c>
      <c r="AT26">
        <f t="shared" si="26"/>
        <v>0</v>
      </c>
      <c r="AU26">
        <f t="shared" si="27"/>
        <v>0</v>
      </c>
      <c r="AW26" s="50"/>
    </row>
    <row r="27" spans="1:49">
      <c r="A27">
        <v>2024</v>
      </c>
      <c r="B27" s="50">
        <f>'Future Type Share'!AT25*'Future EndUse Share'!P138</f>
        <v>13346.073549468885</v>
      </c>
      <c r="C27">
        <f>'Future Type Share'!AR25*0.5*'Future EndUse Share'!AP138</f>
        <v>0</v>
      </c>
      <c r="D27">
        <f>'Future Type Share'!AP25*'Future EndUse Share'!AP138</f>
        <v>0</v>
      </c>
      <c r="E27">
        <f t="shared" si="28"/>
        <v>0</v>
      </c>
      <c r="F27">
        <v>0</v>
      </c>
      <c r="G27">
        <v>0</v>
      </c>
      <c r="I27" s="56"/>
      <c r="K27">
        <v>2024</v>
      </c>
      <c r="L27" s="50">
        <f>'Future Type Share'!AT25*'Future EndUse Share'!$N138</f>
        <v>31140.838282094071</v>
      </c>
      <c r="M27">
        <f>'Future Type Share'!AR25*0.5*'Future EndUse Share'!$AN$131</f>
        <v>0</v>
      </c>
      <c r="N27">
        <f>'Future Type Share'!AP25*'Future EndUse Share'!$AN$131</f>
        <v>11.144075178329064</v>
      </c>
      <c r="O27" s="50">
        <f t="shared" si="13"/>
        <v>0</v>
      </c>
      <c r="P27">
        <f t="shared" si="14"/>
        <v>0</v>
      </c>
      <c r="Q27">
        <f t="shared" si="15"/>
        <v>0</v>
      </c>
      <c r="S27" s="56"/>
      <c r="U27">
        <v>2024</v>
      </c>
      <c r="V27">
        <f t="shared" si="16"/>
        <v>0</v>
      </c>
      <c r="W27">
        <f t="shared" si="17"/>
        <v>0</v>
      </c>
      <c r="X27">
        <f t="shared" si="18"/>
        <v>0</v>
      </c>
      <c r="Y27">
        <f t="shared" si="19"/>
        <v>0</v>
      </c>
      <c r="Z27">
        <f t="shared" si="20"/>
        <v>0</v>
      </c>
      <c r="AA27">
        <f t="shared" si="21"/>
        <v>0</v>
      </c>
      <c r="AC27" s="56"/>
      <c r="AE27">
        <v>2024</v>
      </c>
      <c r="AF27" s="50">
        <f>'Future Type Share'!AT25*('Future EndUse Share'!$O138+'Future EndUse Share'!$Q138+'Future EndUse Share'!$R138+'Future EndUse Share'!$P138)</f>
        <v>33365.183873672213</v>
      </c>
      <c r="AG27" s="50">
        <f>'Future Type Share'!AR25*0.5*('Future EndUse Share'!AO138+'Future EndUse Share'!AQ138+'Future EndUse Share'!AR138)</f>
        <v>0</v>
      </c>
      <c r="AH27" s="50">
        <f>'Future Type Share'!AP25*('Future EndUse Share'!$AO138+'Future EndUse Share'!$AQ138+'Future EndUse Share'!$AR138)</f>
        <v>13491.188858195601</v>
      </c>
      <c r="AI27" s="50">
        <f t="shared" si="22"/>
        <v>0</v>
      </c>
      <c r="AJ27">
        <f t="shared" si="23"/>
        <v>0</v>
      </c>
      <c r="AK27">
        <f t="shared" si="24"/>
        <v>0</v>
      </c>
      <c r="AM27" s="56"/>
      <c r="AO27">
        <v>2024</v>
      </c>
      <c r="AP27" s="50">
        <f>'Future Type Share'!AT25*('Future EndUse Share'!S138)</f>
        <v>46711.257423141098</v>
      </c>
      <c r="AQ27" s="50">
        <f>'Future Type Share'!AR25*0.5*('Future EndUse Share'!AS138)</f>
        <v>0</v>
      </c>
      <c r="AR27" s="50">
        <f>'Future Type Share'!AP25*('Future EndUse Share'!AS138)</f>
        <v>0</v>
      </c>
      <c r="AS27" s="50">
        <f t="shared" si="25"/>
        <v>0</v>
      </c>
      <c r="AT27">
        <f t="shared" si="26"/>
        <v>0</v>
      </c>
      <c r="AU27">
        <f t="shared" si="27"/>
        <v>0</v>
      </c>
      <c r="AW27" s="50"/>
    </row>
    <row r="28" spans="1:49">
      <c r="A28">
        <v>2025</v>
      </c>
      <c r="B28" s="50">
        <f>'Future Type Share'!AT26*'Future EndUse Share'!P139</f>
        <v>13418.661509656933</v>
      </c>
      <c r="C28">
        <f>'Future Type Share'!AR26*0.5*'Future EndUse Share'!AP139</f>
        <v>0</v>
      </c>
      <c r="D28">
        <f>'Future Type Share'!AP26*'Future EndUse Share'!AP139</f>
        <v>0</v>
      </c>
      <c r="E28">
        <f t="shared" si="28"/>
        <v>0</v>
      </c>
      <c r="F28">
        <v>0</v>
      </c>
      <c r="G28">
        <v>0</v>
      </c>
      <c r="I28" s="56"/>
      <c r="K28">
        <v>2025</v>
      </c>
      <c r="L28" s="50">
        <f>'Future Type Share'!AT26*'Future EndUse Share'!$N139</f>
        <v>31310.210189199515</v>
      </c>
      <c r="M28">
        <f>'Future Type Share'!AR26*0.5*'Future EndUse Share'!$AN$131</f>
        <v>0</v>
      </c>
      <c r="N28">
        <f>'Future Type Share'!AP26*'Future EndUse Share'!$AN$131</f>
        <v>11.416275523167412</v>
      </c>
      <c r="O28" s="50">
        <f t="shared" si="13"/>
        <v>0</v>
      </c>
      <c r="P28">
        <f t="shared" si="14"/>
        <v>0</v>
      </c>
      <c r="Q28">
        <f t="shared" si="15"/>
        <v>0</v>
      </c>
      <c r="S28" s="56"/>
      <c r="U28">
        <v>2025</v>
      </c>
      <c r="V28">
        <f t="shared" si="16"/>
        <v>0</v>
      </c>
      <c r="W28">
        <f t="shared" si="17"/>
        <v>0</v>
      </c>
      <c r="X28">
        <f t="shared" si="18"/>
        <v>0</v>
      </c>
      <c r="Y28">
        <f t="shared" si="19"/>
        <v>0</v>
      </c>
      <c r="Z28">
        <f t="shared" si="20"/>
        <v>0</v>
      </c>
      <c r="AA28">
        <f t="shared" si="21"/>
        <v>0</v>
      </c>
      <c r="AC28" s="56"/>
      <c r="AE28">
        <v>2025</v>
      </c>
      <c r="AF28" s="50">
        <f>'Future Type Share'!AT26*('Future EndUse Share'!$O139+'Future EndUse Share'!$Q139+'Future EndUse Share'!$R139+'Future EndUse Share'!$P139)</f>
        <v>33546.653774142331</v>
      </c>
      <c r="AG28" s="50">
        <f>'Future Type Share'!AR26*0.5*('Future EndUse Share'!AO139+'Future EndUse Share'!AQ139+'Future EndUse Share'!AR139)</f>
        <v>0</v>
      </c>
      <c r="AH28" s="50">
        <f>'Future Type Share'!AP26*('Future EndUse Share'!$AO139+'Future EndUse Share'!$AQ139+'Future EndUse Share'!$AR139)</f>
        <v>13820.718783354518</v>
      </c>
      <c r="AI28" s="50">
        <f t="shared" si="22"/>
        <v>0</v>
      </c>
      <c r="AJ28">
        <f t="shared" si="23"/>
        <v>0</v>
      </c>
      <c r="AK28">
        <f t="shared" si="24"/>
        <v>0</v>
      </c>
      <c r="AM28" s="56"/>
      <c r="AO28">
        <v>2025</v>
      </c>
      <c r="AP28" s="50">
        <f>'Future Type Share'!AT26*('Future EndUse Share'!S139)</f>
        <v>46965.315283799267</v>
      </c>
      <c r="AQ28" s="50">
        <f>'Future Type Share'!AR26*0.5*('Future EndUse Share'!AS139)</f>
        <v>0</v>
      </c>
      <c r="AR28" s="50">
        <f>'Future Type Share'!AP26*('Future EndUse Share'!AS139)</f>
        <v>0</v>
      </c>
      <c r="AS28" s="50">
        <f t="shared" si="25"/>
        <v>0</v>
      </c>
      <c r="AT28">
        <f t="shared" si="26"/>
        <v>0</v>
      </c>
      <c r="AU28">
        <f t="shared" si="27"/>
        <v>0</v>
      </c>
      <c r="AW28" s="50"/>
    </row>
    <row r="29" spans="1:49">
      <c r="A29">
        <v>2026</v>
      </c>
      <c r="B29" s="50">
        <f>'Future Type Share'!AT27*'Future EndUse Share'!P140</f>
        <v>13518.458590231268</v>
      </c>
      <c r="C29">
        <f>'Future Type Share'!AR27*0.5*'Future EndUse Share'!AP140</f>
        <v>0</v>
      </c>
      <c r="D29">
        <f>'Future Type Share'!AP27*'Future EndUse Share'!AP140</f>
        <v>0</v>
      </c>
      <c r="E29">
        <f t="shared" si="28"/>
        <v>0</v>
      </c>
      <c r="F29">
        <v>0</v>
      </c>
      <c r="G29">
        <v>0</v>
      </c>
      <c r="I29" s="56"/>
      <c r="K29">
        <v>2026</v>
      </c>
      <c r="L29" s="50">
        <f>'Future Type Share'!AT27*'Future EndUse Share'!$N140</f>
        <v>31543.070043872965</v>
      </c>
      <c r="M29">
        <f>'Future Type Share'!AR27*0.5*'Future EndUse Share'!$AN$131</f>
        <v>0</v>
      </c>
      <c r="N29">
        <f>'Future Type Share'!AP27*'Future EndUse Share'!$AN$131</f>
        <v>11.501180486857303</v>
      </c>
      <c r="O29" s="50">
        <f t="shared" si="13"/>
        <v>0</v>
      </c>
      <c r="P29">
        <f t="shared" si="14"/>
        <v>0</v>
      </c>
      <c r="Q29">
        <f t="shared" si="15"/>
        <v>0</v>
      </c>
      <c r="S29" s="56"/>
      <c r="U29">
        <v>2026</v>
      </c>
      <c r="V29">
        <f t="shared" si="16"/>
        <v>0</v>
      </c>
      <c r="W29">
        <f t="shared" si="17"/>
        <v>0</v>
      </c>
      <c r="X29">
        <f t="shared" si="18"/>
        <v>0</v>
      </c>
      <c r="Y29">
        <f t="shared" si="19"/>
        <v>0</v>
      </c>
      <c r="Z29">
        <f t="shared" si="20"/>
        <v>0</v>
      </c>
      <c r="AA29">
        <f t="shared" si="21"/>
        <v>0</v>
      </c>
      <c r="AC29" s="56"/>
      <c r="AE29">
        <v>2026</v>
      </c>
      <c r="AF29" s="50">
        <f>'Future Type Share'!AT27*('Future EndUse Share'!$O140+'Future EndUse Share'!$Q140+'Future EndUse Share'!$R140+'Future EndUse Share'!$P140)</f>
        <v>33796.146475578171</v>
      </c>
      <c r="AG29" s="50">
        <f>'Future Type Share'!AR27*0.5*('Future EndUse Share'!AO140+'Future EndUse Share'!AQ140+'Future EndUse Share'!AR140)</f>
        <v>0</v>
      </c>
      <c r="AH29" s="50">
        <f>'Future Type Share'!AP27*('Future EndUse Share'!$AO140+'Future EndUse Share'!$AQ140+'Future EndUse Share'!$AR140)</f>
        <v>13923.506038627709</v>
      </c>
      <c r="AI29" s="50">
        <f t="shared" si="22"/>
        <v>0</v>
      </c>
      <c r="AJ29">
        <f t="shared" si="23"/>
        <v>0</v>
      </c>
      <c r="AK29">
        <f t="shared" si="24"/>
        <v>0</v>
      </c>
      <c r="AM29" s="56"/>
      <c r="AO29">
        <v>2026</v>
      </c>
      <c r="AP29" s="50">
        <f>'Future Type Share'!AT27*('Future EndUse Share'!S140)</f>
        <v>47314.605065809439</v>
      </c>
      <c r="AQ29" s="50">
        <f>'Future Type Share'!AR27*0.5*('Future EndUse Share'!AS140)</f>
        <v>0</v>
      </c>
      <c r="AR29" s="50">
        <f>'Future Type Share'!AP27*('Future EndUse Share'!AS140)</f>
        <v>0</v>
      </c>
      <c r="AS29" s="50">
        <f t="shared" si="25"/>
        <v>0</v>
      </c>
      <c r="AT29">
        <f t="shared" si="26"/>
        <v>0</v>
      </c>
      <c r="AU29">
        <f t="shared" si="27"/>
        <v>0</v>
      </c>
      <c r="AW29" s="50"/>
    </row>
    <row r="30" spans="1:49">
      <c r="A30">
        <v>2027</v>
      </c>
      <c r="B30" s="50">
        <f>'Future Type Share'!AT28*'Future EndUse Share'!P141</f>
        <v>13618.255670805602</v>
      </c>
      <c r="C30">
        <f>'Future Type Share'!AR28*0.5*'Future EndUse Share'!AP141</f>
        <v>0</v>
      </c>
      <c r="D30">
        <f>'Future Type Share'!AP28*'Future EndUse Share'!AP141</f>
        <v>0</v>
      </c>
      <c r="E30">
        <f t="shared" si="28"/>
        <v>0</v>
      </c>
      <c r="F30">
        <v>0</v>
      </c>
      <c r="G30">
        <v>0</v>
      </c>
      <c r="I30" s="56"/>
      <c r="K30">
        <v>2027</v>
      </c>
      <c r="L30" s="50">
        <f>'Future Type Share'!AT28*'Future EndUse Share'!$N141</f>
        <v>31775.929898546405</v>
      </c>
      <c r="M30">
        <f>'Future Type Share'!AR28*0.5*'Future EndUse Share'!$AN$131</f>
        <v>0</v>
      </c>
      <c r="N30">
        <f>'Future Type Share'!AP28*'Future EndUse Share'!$AN$131</f>
        <v>11.586085450547191</v>
      </c>
      <c r="O30" s="50">
        <f t="shared" si="13"/>
        <v>0</v>
      </c>
      <c r="P30">
        <f t="shared" si="14"/>
        <v>0</v>
      </c>
      <c r="Q30">
        <f t="shared" si="15"/>
        <v>0</v>
      </c>
      <c r="S30" s="56"/>
      <c r="U30">
        <v>2027</v>
      </c>
      <c r="V30">
        <f t="shared" si="16"/>
        <v>0</v>
      </c>
      <c r="W30">
        <f t="shared" si="17"/>
        <v>0</v>
      </c>
      <c r="X30">
        <f t="shared" si="18"/>
        <v>0</v>
      </c>
      <c r="Y30">
        <f t="shared" si="19"/>
        <v>0</v>
      </c>
      <c r="Z30">
        <f t="shared" si="20"/>
        <v>0</v>
      </c>
      <c r="AA30">
        <f t="shared" si="21"/>
        <v>0</v>
      </c>
      <c r="AC30" s="56"/>
      <c r="AE30">
        <v>2027</v>
      </c>
      <c r="AF30" s="50">
        <f>'Future Type Share'!AT28*('Future EndUse Share'!$O141+'Future EndUse Share'!$Q141+'Future EndUse Share'!$R141+'Future EndUse Share'!$P141)</f>
        <v>34045.639177014004</v>
      </c>
      <c r="AG30" s="50">
        <f>'Future Type Share'!AR28*0.5*('Future EndUse Share'!AO141+'Future EndUse Share'!AQ141+'Future EndUse Share'!AR141)</f>
        <v>0</v>
      </c>
      <c r="AH30" s="50">
        <f>'Future Type Share'!AP28*('Future EndUse Share'!$AO141+'Future EndUse Share'!$AQ141+'Future EndUse Share'!$AR141)</f>
        <v>14026.293293900899</v>
      </c>
      <c r="AI30" s="50">
        <f t="shared" si="22"/>
        <v>0</v>
      </c>
      <c r="AJ30">
        <f t="shared" si="23"/>
        <v>0</v>
      </c>
      <c r="AK30">
        <f t="shared" si="24"/>
        <v>0</v>
      </c>
      <c r="AM30" s="56"/>
      <c r="AO30">
        <v>2027</v>
      </c>
      <c r="AP30" s="50">
        <f>'Future Type Share'!AT28*('Future EndUse Share'!S141)</f>
        <v>47663.894847819603</v>
      </c>
      <c r="AQ30" s="50">
        <f>'Future Type Share'!AR28*0.5*('Future EndUse Share'!AS141)</f>
        <v>0</v>
      </c>
      <c r="AR30" s="50">
        <f>'Future Type Share'!AP28*('Future EndUse Share'!AS141)</f>
        <v>0</v>
      </c>
      <c r="AS30" s="50">
        <f t="shared" si="25"/>
        <v>0</v>
      </c>
      <c r="AT30">
        <f t="shared" si="26"/>
        <v>0</v>
      </c>
      <c r="AU30">
        <f t="shared" si="27"/>
        <v>0</v>
      </c>
      <c r="AW30" s="50"/>
    </row>
    <row r="31" spans="1:49">
      <c r="A31">
        <v>2028</v>
      </c>
      <c r="B31" s="50">
        <f>'Future Type Share'!AT29*'Future EndUse Share'!P142</f>
        <v>13718.052751379937</v>
      </c>
      <c r="C31">
        <f>'Future Type Share'!AR29*0.5*'Future EndUse Share'!AP142</f>
        <v>0</v>
      </c>
      <c r="D31">
        <f>'Future Type Share'!AP29*'Future EndUse Share'!AP142</f>
        <v>0</v>
      </c>
      <c r="E31">
        <f t="shared" si="28"/>
        <v>0</v>
      </c>
      <c r="F31">
        <v>0</v>
      </c>
      <c r="G31">
        <v>0</v>
      </c>
      <c r="I31" s="56"/>
      <c r="K31">
        <v>2028</v>
      </c>
      <c r="L31" s="50">
        <f>'Future Type Share'!AT29*'Future EndUse Share'!$N142</f>
        <v>32008.789753219855</v>
      </c>
      <c r="M31">
        <f>'Future Type Share'!AR29*0.5*'Future EndUse Share'!$AN$131</f>
        <v>0</v>
      </c>
      <c r="N31">
        <f>'Future Type Share'!AP29*'Future EndUse Share'!$AN$131</f>
        <v>11.670990414237082</v>
      </c>
      <c r="O31" s="50">
        <f t="shared" si="13"/>
        <v>0</v>
      </c>
      <c r="P31">
        <f t="shared" si="14"/>
        <v>0</v>
      </c>
      <c r="Q31">
        <f t="shared" si="15"/>
        <v>0</v>
      </c>
      <c r="S31" s="56"/>
      <c r="U31">
        <v>2028</v>
      </c>
      <c r="V31">
        <f t="shared" si="16"/>
        <v>0</v>
      </c>
      <c r="W31">
        <f t="shared" si="17"/>
        <v>0</v>
      </c>
      <c r="X31">
        <f t="shared" si="18"/>
        <v>0</v>
      </c>
      <c r="Y31">
        <f t="shared" si="19"/>
        <v>0</v>
      </c>
      <c r="Z31">
        <f t="shared" si="20"/>
        <v>0</v>
      </c>
      <c r="AA31">
        <f t="shared" si="21"/>
        <v>0</v>
      </c>
      <c r="AC31" s="56"/>
      <c r="AE31">
        <v>2028</v>
      </c>
      <c r="AF31" s="50">
        <f>'Future Type Share'!AT29*('Future EndUse Share'!$O142+'Future EndUse Share'!$Q142+'Future EndUse Share'!$R142+'Future EndUse Share'!$P142)</f>
        <v>34295.131878449843</v>
      </c>
      <c r="AG31" s="50">
        <f>'Future Type Share'!AR29*0.5*('Future EndUse Share'!AO142+'Future EndUse Share'!AQ142+'Future EndUse Share'!AR142)</f>
        <v>0</v>
      </c>
      <c r="AH31" s="50">
        <f>'Future Type Share'!AP29*('Future EndUse Share'!$AO142+'Future EndUse Share'!$AQ142+'Future EndUse Share'!$AR142)</f>
        <v>14129.08054917409</v>
      </c>
      <c r="AI31" s="50">
        <f t="shared" si="22"/>
        <v>0</v>
      </c>
      <c r="AJ31">
        <f t="shared" si="23"/>
        <v>0</v>
      </c>
      <c r="AK31">
        <f t="shared" si="24"/>
        <v>0</v>
      </c>
      <c r="AM31" s="56"/>
      <c r="AO31">
        <v>2028</v>
      </c>
      <c r="AP31" s="50">
        <f>'Future Type Share'!AT29*('Future EndUse Share'!S142)</f>
        <v>48013.184629829775</v>
      </c>
      <c r="AQ31" s="50">
        <f>'Future Type Share'!AR29*0.5*('Future EndUse Share'!AS142)</f>
        <v>0</v>
      </c>
      <c r="AR31" s="50">
        <f>'Future Type Share'!AP29*('Future EndUse Share'!AS142)</f>
        <v>0</v>
      </c>
      <c r="AS31" s="50">
        <f t="shared" si="25"/>
        <v>0</v>
      </c>
      <c r="AT31">
        <f t="shared" si="26"/>
        <v>0</v>
      </c>
      <c r="AU31">
        <f t="shared" si="27"/>
        <v>0</v>
      </c>
      <c r="AW31" s="50"/>
    </row>
    <row r="32" spans="1:49">
      <c r="A32">
        <v>2029</v>
      </c>
      <c r="B32" s="50">
        <f>'Future Type Share'!AT30*'Future EndUse Share'!P143</f>
        <v>13817.849831954272</v>
      </c>
      <c r="C32">
        <f>'Future Type Share'!AR30*0.5*'Future EndUse Share'!AP143</f>
        <v>0</v>
      </c>
      <c r="D32">
        <f>'Future Type Share'!AP30*'Future EndUse Share'!AP143</f>
        <v>0</v>
      </c>
      <c r="E32">
        <f t="shared" si="28"/>
        <v>0</v>
      </c>
      <c r="F32">
        <v>0</v>
      </c>
      <c r="G32">
        <v>0</v>
      </c>
      <c r="I32" s="56"/>
      <c r="K32">
        <v>2029</v>
      </c>
      <c r="L32" s="50">
        <f>'Future Type Share'!AT30*'Future EndUse Share'!$N143</f>
        <v>32241.649607893305</v>
      </c>
      <c r="M32">
        <f>'Future Type Share'!AR30*0.5*'Future EndUse Share'!$AN$131</f>
        <v>0</v>
      </c>
      <c r="N32">
        <f>'Future Type Share'!AP30*'Future EndUse Share'!$AN$131</f>
        <v>11.75589537792697</v>
      </c>
      <c r="O32" s="50">
        <f t="shared" si="13"/>
        <v>0</v>
      </c>
      <c r="P32">
        <f t="shared" si="14"/>
        <v>0</v>
      </c>
      <c r="Q32">
        <f t="shared" si="15"/>
        <v>0</v>
      </c>
      <c r="S32" s="56"/>
      <c r="U32">
        <v>2029</v>
      </c>
      <c r="V32">
        <f t="shared" si="16"/>
        <v>0</v>
      </c>
      <c r="W32">
        <f t="shared" si="17"/>
        <v>0</v>
      </c>
      <c r="X32">
        <f t="shared" si="18"/>
        <v>0</v>
      </c>
      <c r="Y32">
        <f t="shared" si="19"/>
        <v>0</v>
      </c>
      <c r="Z32">
        <f t="shared" si="20"/>
        <v>0</v>
      </c>
      <c r="AA32">
        <f t="shared" si="21"/>
        <v>0</v>
      </c>
      <c r="AC32" s="56"/>
      <c r="AE32">
        <v>2029</v>
      </c>
      <c r="AF32" s="50">
        <f>'Future Type Share'!AT30*('Future EndUse Share'!$O143+'Future EndUse Share'!$Q143+'Future EndUse Share'!$R143+'Future EndUse Share'!$P143)</f>
        <v>34544.624579885676</v>
      </c>
      <c r="AG32" s="50">
        <f>'Future Type Share'!AR30*0.5*('Future EndUse Share'!AO143+'Future EndUse Share'!AQ143+'Future EndUse Share'!AR143)</f>
        <v>0</v>
      </c>
      <c r="AH32" s="50">
        <f>'Future Type Share'!AP30*('Future EndUse Share'!$AO143+'Future EndUse Share'!$AQ143+'Future EndUse Share'!$AR143)</f>
        <v>14231.867804447282</v>
      </c>
      <c r="AI32" s="50">
        <f t="shared" si="22"/>
        <v>0</v>
      </c>
      <c r="AJ32">
        <f t="shared" si="23"/>
        <v>0</v>
      </c>
      <c r="AK32">
        <f t="shared" si="24"/>
        <v>0</v>
      </c>
      <c r="AM32" s="56"/>
      <c r="AO32">
        <v>2029</v>
      </c>
      <c r="AP32" s="50">
        <f>'Future Type Share'!AT30*('Future EndUse Share'!S143)</f>
        <v>48362.474411839954</v>
      </c>
      <c r="AQ32" s="50">
        <f>'Future Type Share'!AR30*0.5*('Future EndUse Share'!AS143)</f>
        <v>0</v>
      </c>
      <c r="AR32" s="50">
        <f>'Future Type Share'!AP30*('Future EndUse Share'!AS143)</f>
        <v>0</v>
      </c>
      <c r="AS32" s="50">
        <f t="shared" si="25"/>
        <v>0</v>
      </c>
      <c r="AT32">
        <f t="shared" si="26"/>
        <v>0</v>
      </c>
      <c r="AU32">
        <f t="shared" si="27"/>
        <v>0</v>
      </c>
      <c r="AW32" s="50"/>
    </row>
    <row r="33" spans="1:49">
      <c r="A33">
        <v>2030</v>
      </c>
      <c r="B33" s="50">
        <f>'Future Type Share'!AT31*'Future EndUse Share'!P144</f>
        <v>13917.646912528606</v>
      </c>
      <c r="C33">
        <f>'Future Type Share'!AR31*0.5*'Future EndUse Share'!AP144</f>
        <v>0</v>
      </c>
      <c r="D33">
        <f>'Future Type Share'!AP31*'Future EndUse Share'!AP144</f>
        <v>0</v>
      </c>
      <c r="E33">
        <f t="shared" si="28"/>
        <v>0</v>
      </c>
      <c r="F33">
        <v>0</v>
      </c>
      <c r="G33">
        <v>0</v>
      </c>
      <c r="I33" s="56"/>
      <c r="K33">
        <v>2030</v>
      </c>
      <c r="L33" s="50">
        <f>'Future Type Share'!AT31*'Future EndUse Share'!$N144</f>
        <v>32474.509462566752</v>
      </c>
      <c r="M33">
        <f>'Future Type Share'!AR31*0.5*'Future EndUse Share'!$AN$131</f>
        <v>0</v>
      </c>
      <c r="N33">
        <f>'Future Type Share'!AP31*'Future EndUse Share'!$AN$131</f>
        <v>11.840800341616861</v>
      </c>
      <c r="O33" s="50">
        <f t="shared" si="13"/>
        <v>0</v>
      </c>
      <c r="P33">
        <f t="shared" si="14"/>
        <v>0</v>
      </c>
      <c r="Q33">
        <f t="shared" si="15"/>
        <v>0</v>
      </c>
      <c r="S33" s="56"/>
      <c r="U33">
        <v>2030</v>
      </c>
      <c r="V33">
        <f t="shared" si="16"/>
        <v>0</v>
      </c>
      <c r="W33">
        <f t="shared" si="17"/>
        <v>0</v>
      </c>
      <c r="X33">
        <f t="shared" si="18"/>
        <v>0</v>
      </c>
      <c r="Y33">
        <f t="shared" si="19"/>
        <v>0</v>
      </c>
      <c r="Z33">
        <f t="shared" si="20"/>
        <v>0</v>
      </c>
      <c r="AA33">
        <f t="shared" si="21"/>
        <v>0</v>
      </c>
      <c r="AC33" s="56"/>
      <c r="AE33">
        <v>2030</v>
      </c>
      <c r="AF33" s="50">
        <f>'Future Type Share'!AT31*('Future EndUse Share'!$O144+'Future EndUse Share'!$Q144+'Future EndUse Share'!$R144+'Future EndUse Share'!$P144)</f>
        <v>34794.117281321516</v>
      </c>
      <c r="AG33" s="50">
        <f>'Future Type Share'!AR31*0.5*('Future EndUse Share'!AO144+'Future EndUse Share'!AQ144+'Future EndUse Share'!AR144)</f>
        <v>0</v>
      </c>
      <c r="AH33" s="50">
        <f>'Future Type Share'!AP31*('Future EndUse Share'!$AO144+'Future EndUse Share'!$AQ144+'Future EndUse Share'!$AR144)</f>
        <v>14334.655059720473</v>
      </c>
      <c r="AI33" s="50">
        <f t="shared" si="22"/>
        <v>0</v>
      </c>
      <c r="AJ33">
        <f t="shared" si="23"/>
        <v>0</v>
      </c>
      <c r="AK33">
        <f t="shared" si="24"/>
        <v>0</v>
      </c>
      <c r="AM33" s="56"/>
      <c r="AO33">
        <v>2030</v>
      </c>
      <c r="AP33" s="50">
        <f>'Future Type Share'!AT31*('Future EndUse Share'!S144)</f>
        <v>48711.764193850118</v>
      </c>
      <c r="AQ33" s="50">
        <f>'Future Type Share'!AR31*0.5*('Future EndUse Share'!AS144)</f>
        <v>0</v>
      </c>
      <c r="AR33" s="50">
        <f>'Future Type Share'!AP31*('Future EndUse Share'!AS144)</f>
        <v>0</v>
      </c>
      <c r="AS33" s="50">
        <f t="shared" si="25"/>
        <v>0</v>
      </c>
      <c r="AT33">
        <f t="shared" si="26"/>
        <v>0</v>
      </c>
      <c r="AU33">
        <f t="shared" si="27"/>
        <v>0</v>
      </c>
      <c r="AW33" s="50"/>
    </row>
    <row r="34" spans="1:49">
      <c r="A34">
        <v>2031</v>
      </c>
      <c r="B34" s="50">
        <f>'Future Type Share'!AT32*'Future EndUse Share'!P145</f>
        <v>14017.443993102937</v>
      </c>
      <c r="C34">
        <f>'Future Type Share'!AR32*0.5*'Future EndUse Share'!AP145</f>
        <v>0</v>
      </c>
      <c r="D34">
        <f>'Future Type Share'!AP32*'Future EndUse Share'!AP145</f>
        <v>0</v>
      </c>
      <c r="E34">
        <f t="shared" si="28"/>
        <v>0</v>
      </c>
      <c r="F34">
        <v>0</v>
      </c>
      <c r="G34">
        <v>0</v>
      </c>
      <c r="I34" s="56"/>
      <c r="K34">
        <v>2031</v>
      </c>
      <c r="L34" s="50">
        <f>'Future Type Share'!AT32*'Future EndUse Share'!$N145</f>
        <v>32707.369317240191</v>
      </c>
      <c r="M34">
        <f>'Future Type Share'!AR32*0.5*'Future EndUse Share'!$AN$131</f>
        <v>0</v>
      </c>
      <c r="N34">
        <f>'Future Type Share'!AP32*'Future EndUse Share'!$AN$131</f>
        <v>11.925705305306748</v>
      </c>
      <c r="O34" s="50">
        <f t="shared" si="13"/>
        <v>0</v>
      </c>
      <c r="P34">
        <f t="shared" si="14"/>
        <v>0</v>
      </c>
      <c r="Q34">
        <f t="shared" si="15"/>
        <v>0</v>
      </c>
      <c r="S34" s="56"/>
      <c r="U34">
        <v>2031</v>
      </c>
      <c r="V34">
        <f t="shared" si="16"/>
        <v>0</v>
      </c>
      <c r="W34">
        <f t="shared" si="17"/>
        <v>0</v>
      </c>
      <c r="X34">
        <f t="shared" si="18"/>
        <v>0</v>
      </c>
      <c r="Y34">
        <f t="shared" si="19"/>
        <v>0</v>
      </c>
      <c r="Z34">
        <f t="shared" si="20"/>
        <v>0</v>
      </c>
      <c r="AA34">
        <f t="shared" si="21"/>
        <v>0</v>
      </c>
      <c r="AC34" s="56"/>
      <c r="AE34">
        <v>2031</v>
      </c>
      <c r="AF34" s="50">
        <f>'Future Type Share'!AT32*('Future EndUse Share'!$O145+'Future EndUse Share'!$Q145+'Future EndUse Share'!$R145+'Future EndUse Share'!$P145)</f>
        <v>35043.609982757342</v>
      </c>
      <c r="AG34" s="50">
        <f>'Future Type Share'!AR32*0.5*('Future EndUse Share'!AO145+'Future EndUse Share'!AQ145+'Future EndUse Share'!AR145)</f>
        <v>0</v>
      </c>
      <c r="AH34" s="50">
        <f>'Future Type Share'!AP32*('Future EndUse Share'!$AO145+'Future EndUse Share'!$AQ145+'Future EndUse Share'!$AR145)</f>
        <v>14437.442314993661</v>
      </c>
      <c r="AI34" s="50">
        <f t="shared" si="22"/>
        <v>0</v>
      </c>
      <c r="AJ34">
        <f t="shared" si="23"/>
        <v>0</v>
      </c>
      <c r="AK34">
        <f t="shared" si="24"/>
        <v>0</v>
      </c>
      <c r="AM34" s="56"/>
      <c r="AO34">
        <v>2031</v>
      </c>
      <c r="AP34" s="50">
        <f>'Future Type Share'!AT32*('Future EndUse Share'!S145)</f>
        <v>49061.053975860283</v>
      </c>
      <c r="AQ34" s="50">
        <f>'Future Type Share'!AR32*0.5*('Future EndUse Share'!AS145)</f>
        <v>0</v>
      </c>
      <c r="AR34" s="50">
        <f>'Future Type Share'!AP32*('Future EndUse Share'!AS145)</f>
        <v>0</v>
      </c>
      <c r="AS34" s="50">
        <f t="shared" si="25"/>
        <v>0</v>
      </c>
      <c r="AT34">
        <f t="shared" si="26"/>
        <v>0</v>
      </c>
      <c r="AU34">
        <f t="shared" si="27"/>
        <v>0</v>
      </c>
      <c r="AW34" s="50"/>
    </row>
    <row r="35" spans="1:49">
      <c r="A35">
        <v>2032</v>
      </c>
      <c r="B35" s="50">
        <f>'Future Type Share'!AT33*'Future EndUse Share'!P146</f>
        <v>14117.241073677276</v>
      </c>
      <c r="C35">
        <f>'Future Type Share'!AR33*0.5*'Future EndUse Share'!AP146</f>
        <v>0</v>
      </c>
      <c r="D35">
        <f>'Future Type Share'!AP33*'Future EndUse Share'!AP146</f>
        <v>0</v>
      </c>
      <c r="E35">
        <f t="shared" si="28"/>
        <v>0</v>
      </c>
      <c r="F35">
        <v>0</v>
      </c>
      <c r="G35">
        <v>0</v>
      </c>
      <c r="I35" s="56"/>
      <c r="K35">
        <v>2032</v>
      </c>
      <c r="L35" s="50">
        <f>'Future Type Share'!AT33*'Future EndUse Share'!$N146</f>
        <v>32940.229171913648</v>
      </c>
      <c r="M35">
        <f>'Future Type Share'!AR33*0.5*'Future EndUse Share'!$AN$131</f>
        <v>0</v>
      </c>
      <c r="N35">
        <f>'Future Type Share'!AP33*'Future EndUse Share'!$AN$131</f>
        <v>12.010610268996642</v>
      </c>
      <c r="O35" s="50">
        <f t="shared" si="13"/>
        <v>0</v>
      </c>
      <c r="P35">
        <f t="shared" si="14"/>
        <v>0</v>
      </c>
      <c r="Q35">
        <f t="shared" si="15"/>
        <v>0</v>
      </c>
      <c r="S35" s="56"/>
      <c r="U35">
        <v>2032</v>
      </c>
      <c r="V35">
        <f t="shared" si="16"/>
        <v>0</v>
      </c>
      <c r="W35">
        <f t="shared" si="17"/>
        <v>0</v>
      </c>
      <c r="X35">
        <f t="shared" si="18"/>
        <v>0</v>
      </c>
      <c r="Y35">
        <f t="shared" si="19"/>
        <v>0</v>
      </c>
      <c r="Z35">
        <f t="shared" si="20"/>
        <v>0</v>
      </c>
      <c r="AA35">
        <f t="shared" si="21"/>
        <v>0</v>
      </c>
      <c r="AC35" s="56"/>
      <c r="AE35">
        <v>2032</v>
      </c>
      <c r="AF35" s="50">
        <f>'Future Type Share'!AT33*('Future EndUse Share'!$O146+'Future EndUse Share'!$Q146+'Future EndUse Share'!$R146+'Future EndUse Share'!$P146)</f>
        <v>35293.102684193189</v>
      </c>
      <c r="AG35" s="50">
        <f>'Future Type Share'!AR33*0.5*('Future EndUse Share'!AO146+'Future EndUse Share'!AQ146+'Future EndUse Share'!AR146)</f>
        <v>0</v>
      </c>
      <c r="AH35" s="50">
        <f>'Future Type Share'!AP33*('Future EndUse Share'!$AO146+'Future EndUse Share'!$AQ146+'Future EndUse Share'!$AR146)</f>
        <v>14540.229570266856</v>
      </c>
      <c r="AI35" s="50">
        <f t="shared" si="22"/>
        <v>0</v>
      </c>
      <c r="AJ35">
        <f t="shared" si="23"/>
        <v>0</v>
      </c>
      <c r="AK35">
        <f t="shared" si="24"/>
        <v>0</v>
      </c>
      <c r="AM35" s="56"/>
      <c r="AO35">
        <v>2032</v>
      </c>
      <c r="AP35" s="50">
        <f>'Future Type Share'!AT33*('Future EndUse Share'!S146)</f>
        <v>49410.343757870469</v>
      </c>
      <c r="AQ35" s="50">
        <f>'Future Type Share'!AR33*0.5*('Future EndUse Share'!AS146)</f>
        <v>0</v>
      </c>
      <c r="AR35" s="50">
        <f>'Future Type Share'!AP33*('Future EndUse Share'!AS146)</f>
        <v>0</v>
      </c>
      <c r="AS35" s="50">
        <f t="shared" si="25"/>
        <v>0</v>
      </c>
      <c r="AT35">
        <f t="shared" si="26"/>
        <v>0</v>
      </c>
      <c r="AU35">
        <f t="shared" si="27"/>
        <v>0</v>
      </c>
      <c r="AW35" s="50"/>
    </row>
    <row r="36" spans="1:49">
      <c r="A36">
        <v>2033</v>
      </c>
      <c r="B36" s="50">
        <f>'Future Type Share'!AT34*'Future EndUse Share'!P147</f>
        <v>14217.03815425161</v>
      </c>
      <c r="C36">
        <f>'Future Type Share'!AR34*0.5*'Future EndUse Share'!AP147</f>
        <v>0</v>
      </c>
      <c r="D36">
        <f>'Future Type Share'!AP34*'Future EndUse Share'!AP147</f>
        <v>0</v>
      </c>
      <c r="E36">
        <f t="shared" si="28"/>
        <v>0</v>
      </c>
      <c r="F36">
        <v>0</v>
      </c>
      <c r="G36">
        <v>0</v>
      </c>
      <c r="I36" s="56"/>
      <c r="K36">
        <v>2033</v>
      </c>
      <c r="L36" s="50">
        <f>'Future Type Share'!AT34*'Future EndUse Share'!$N147</f>
        <v>33173.089026587091</v>
      </c>
      <c r="M36">
        <f>'Future Type Share'!AR34*0.5*'Future EndUse Share'!$AN$131</f>
        <v>0</v>
      </c>
      <c r="N36">
        <f>'Future Type Share'!AP34*'Future EndUse Share'!$AN$131</f>
        <v>12.09551523268653</v>
      </c>
      <c r="O36" s="50">
        <f t="shared" si="13"/>
        <v>0</v>
      </c>
      <c r="P36">
        <f t="shared" si="14"/>
        <v>0</v>
      </c>
      <c r="Q36">
        <f t="shared" si="15"/>
        <v>0</v>
      </c>
      <c r="S36" s="56"/>
      <c r="U36">
        <v>2033</v>
      </c>
      <c r="V36">
        <f t="shared" si="16"/>
        <v>0</v>
      </c>
      <c r="W36">
        <f t="shared" si="17"/>
        <v>0</v>
      </c>
      <c r="X36">
        <f t="shared" si="18"/>
        <v>0</v>
      </c>
      <c r="Y36">
        <f t="shared" si="19"/>
        <v>0</v>
      </c>
      <c r="Z36">
        <f t="shared" si="20"/>
        <v>0</v>
      </c>
      <c r="AA36">
        <f t="shared" si="21"/>
        <v>0</v>
      </c>
      <c r="AC36" s="56"/>
      <c r="AE36">
        <v>2033</v>
      </c>
      <c r="AF36" s="50">
        <f>'Future Type Share'!AT34*('Future EndUse Share'!$O147+'Future EndUse Share'!$Q147+'Future EndUse Share'!$R147+'Future EndUse Share'!$P147)</f>
        <v>35542.595385629022</v>
      </c>
      <c r="AG36" s="50">
        <f>'Future Type Share'!AR34*0.5*('Future EndUse Share'!AO147+'Future EndUse Share'!AQ147+'Future EndUse Share'!AR147)</f>
        <v>0</v>
      </c>
      <c r="AH36" s="50">
        <f>'Future Type Share'!AP34*('Future EndUse Share'!$AO147+'Future EndUse Share'!$AQ147+'Future EndUse Share'!$AR147)</f>
        <v>14643.016825540046</v>
      </c>
      <c r="AI36" s="50">
        <f t="shared" si="22"/>
        <v>0</v>
      </c>
      <c r="AJ36">
        <f t="shared" si="23"/>
        <v>0</v>
      </c>
      <c r="AK36">
        <f t="shared" si="24"/>
        <v>0</v>
      </c>
      <c r="AM36" s="56"/>
      <c r="AO36">
        <v>2033</v>
      </c>
      <c r="AP36" s="50">
        <f>'Future Type Share'!AT34*('Future EndUse Share'!S147)</f>
        <v>49759.633539880633</v>
      </c>
      <c r="AQ36" s="50">
        <f>'Future Type Share'!AR34*0.5*('Future EndUse Share'!AS147)</f>
        <v>0</v>
      </c>
      <c r="AR36" s="50">
        <f>'Future Type Share'!AP34*('Future EndUse Share'!AS147)</f>
        <v>0</v>
      </c>
      <c r="AS36" s="50">
        <f t="shared" si="25"/>
        <v>0</v>
      </c>
      <c r="AT36">
        <f t="shared" si="26"/>
        <v>0</v>
      </c>
      <c r="AU36">
        <f t="shared" si="27"/>
        <v>0</v>
      </c>
      <c r="AW36" s="50"/>
    </row>
    <row r="37" spans="1:49">
      <c r="A37">
        <v>2034</v>
      </c>
      <c r="B37" s="50">
        <f>'Future Type Share'!AT35*'Future EndUse Share'!P148</f>
        <v>14316.835234825938</v>
      </c>
      <c r="C37">
        <f>'Future Type Share'!AR35*0.5*'Future EndUse Share'!AP148</f>
        <v>0</v>
      </c>
      <c r="D37">
        <f>'Future Type Share'!AP35*'Future EndUse Share'!AP148</f>
        <v>0</v>
      </c>
      <c r="E37">
        <f t="shared" si="28"/>
        <v>0</v>
      </c>
      <c r="F37">
        <v>0</v>
      </c>
      <c r="G37">
        <v>0</v>
      </c>
      <c r="I37" s="56"/>
      <c r="K37">
        <v>2034</v>
      </c>
      <c r="L37" s="50">
        <f>'Future Type Share'!AT35*'Future EndUse Share'!$N148</f>
        <v>33405.948881260527</v>
      </c>
      <c r="M37">
        <f>'Future Type Share'!AR35*0.5*'Future EndUse Share'!$AN$131</f>
        <v>0</v>
      </c>
      <c r="N37">
        <f>'Future Type Share'!AP35*'Future EndUse Share'!$AN$131</f>
        <v>12.180420196376415</v>
      </c>
      <c r="O37" s="50">
        <f t="shared" si="13"/>
        <v>0</v>
      </c>
      <c r="P37">
        <f t="shared" si="14"/>
        <v>0</v>
      </c>
      <c r="Q37">
        <f t="shared" si="15"/>
        <v>0</v>
      </c>
      <c r="S37" s="56"/>
      <c r="U37">
        <v>2034</v>
      </c>
      <c r="V37">
        <f t="shared" si="16"/>
        <v>0</v>
      </c>
      <c r="W37">
        <f t="shared" si="17"/>
        <v>0</v>
      </c>
      <c r="X37">
        <f t="shared" si="18"/>
        <v>0</v>
      </c>
      <c r="Y37">
        <f t="shared" si="19"/>
        <v>0</v>
      </c>
      <c r="Z37">
        <f t="shared" si="20"/>
        <v>0</v>
      </c>
      <c r="AA37">
        <f t="shared" si="21"/>
        <v>0</v>
      </c>
      <c r="AC37" s="56"/>
      <c r="AE37">
        <v>2034</v>
      </c>
      <c r="AF37" s="50">
        <f>'Future Type Share'!AT35*('Future EndUse Share'!$O148+'Future EndUse Share'!$Q148+'Future EndUse Share'!$R148+'Future EndUse Share'!$P148)</f>
        <v>35792.088087064847</v>
      </c>
      <c r="AG37" s="50">
        <f>'Future Type Share'!AR35*0.5*('Future EndUse Share'!AO148+'Future EndUse Share'!AQ148+'Future EndUse Share'!AR148)</f>
        <v>0</v>
      </c>
      <c r="AH37" s="50">
        <f>'Future Type Share'!AP35*('Future EndUse Share'!$AO148+'Future EndUse Share'!$AQ148+'Future EndUse Share'!$AR148)</f>
        <v>14745.804080813232</v>
      </c>
      <c r="AI37" s="50">
        <f t="shared" si="22"/>
        <v>0</v>
      </c>
      <c r="AJ37">
        <f t="shared" si="23"/>
        <v>0</v>
      </c>
      <c r="AK37">
        <f t="shared" si="24"/>
        <v>0</v>
      </c>
      <c r="AM37" s="56"/>
      <c r="AO37">
        <v>2034</v>
      </c>
      <c r="AP37" s="50">
        <f>'Future Type Share'!AT35*('Future EndUse Share'!S148)</f>
        <v>50108.923321890783</v>
      </c>
      <c r="AQ37" s="50">
        <f>'Future Type Share'!AR35*0.5*('Future EndUse Share'!AS148)</f>
        <v>0</v>
      </c>
      <c r="AR37" s="50">
        <f>'Future Type Share'!AP35*('Future EndUse Share'!AS148)</f>
        <v>0</v>
      </c>
      <c r="AS37" s="50">
        <f t="shared" si="25"/>
        <v>0</v>
      </c>
      <c r="AT37">
        <f t="shared" si="26"/>
        <v>0</v>
      </c>
      <c r="AU37">
        <f t="shared" si="27"/>
        <v>0</v>
      </c>
      <c r="AW37" s="50"/>
    </row>
    <row r="38" spans="1:49">
      <c r="A38">
        <v>2035</v>
      </c>
      <c r="B38" s="50">
        <f>'Future Type Share'!AT36*'Future EndUse Share'!P149</f>
        <v>14416.632315400273</v>
      </c>
      <c r="C38">
        <f>'Future Type Share'!AR36*0.5*'Future EndUse Share'!AP149</f>
        <v>0</v>
      </c>
      <c r="D38">
        <f>'Future Type Share'!AP36*'Future EndUse Share'!AP149</f>
        <v>0</v>
      </c>
      <c r="E38">
        <f t="shared" si="28"/>
        <v>0</v>
      </c>
      <c r="F38">
        <v>0</v>
      </c>
      <c r="G38">
        <v>0</v>
      </c>
      <c r="I38" s="56"/>
      <c r="K38">
        <v>2035</v>
      </c>
      <c r="L38" s="50">
        <f>'Future Type Share'!AT36*'Future EndUse Share'!$N149</f>
        <v>33638.808735933977</v>
      </c>
      <c r="M38">
        <f>'Future Type Share'!AR36*0.5*'Future EndUse Share'!$AN$131</f>
        <v>0</v>
      </c>
      <c r="N38">
        <f>'Future Type Share'!AP36*'Future EndUse Share'!$AN$131</f>
        <v>12.265325160066306</v>
      </c>
      <c r="O38" s="50">
        <f t="shared" si="13"/>
        <v>0</v>
      </c>
      <c r="P38">
        <f t="shared" si="14"/>
        <v>0</v>
      </c>
      <c r="Q38">
        <f t="shared" si="15"/>
        <v>0</v>
      </c>
      <c r="S38" s="56"/>
      <c r="U38">
        <v>2035</v>
      </c>
      <c r="V38">
        <f t="shared" si="16"/>
        <v>0</v>
      </c>
      <c r="W38">
        <f t="shared" si="17"/>
        <v>0</v>
      </c>
      <c r="X38">
        <f t="shared" si="18"/>
        <v>0</v>
      </c>
      <c r="Y38">
        <f t="shared" si="19"/>
        <v>0</v>
      </c>
      <c r="Z38">
        <f t="shared" si="20"/>
        <v>0</v>
      </c>
      <c r="AA38">
        <f t="shared" si="21"/>
        <v>0</v>
      </c>
      <c r="AC38" s="56"/>
      <c r="AE38">
        <v>2035</v>
      </c>
      <c r="AF38" s="50">
        <f>'Future Type Share'!AT36*('Future EndUse Share'!$O149+'Future EndUse Share'!$Q149+'Future EndUse Share'!$R149+'Future EndUse Share'!$P149)</f>
        <v>36041.580788500687</v>
      </c>
      <c r="AG38" s="50">
        <f>'Future Type Share'!AR36*0.5*('Future EndUse Share'!AO149+'Future EndUse Share'!AQ149+'Future EndUse Share'!AR149)</f>
        <v>0</v>
      </c>
      <c r="AH38" s="50">
        <f>'Future Type Share'!AP36*('Future EndUse Share'!$AO149+'Future EndUse Share'!$AQ149+'Future EndUse Share'!$AR149)</f>
        <v>14848.591336086423</v>
      </c>
      <c r="AI38" s="50">
        <f t="shared" si="22"/>
        <v>0</v>
      </c>
      <c r="AJ38">
        <f t="shared" si="23"/>
        <v>0</v>
      </c>
      <c r="AK38">
        <f t="shared" si="24"/>
        <v>0</v>
      </c>
      <c r="AM38" s="56"/>
      <c r="AO38">
        <v>2035</v>
      </c>
      <c r="AP38" s="50">
        <f>'Future Type Share'!AT36*('Future EndUse Share'!S149)</f>
        <v>50458.213103900955</v>
      </c>
      <c r="AQ38" s="50">
        <f>'Future Type Share'!AR36*0.5*('Future EndUse Share'!AS149)</f>
        <v>0</v>
      </c>
      <c r="AR38" s="50">
        <f>'Future Type Share'!AP36*('Future EndUse Share'!AS149)</f>
        <v>0</v>
      </c>
      <c r="AS38" s="50">
        <f t="shared" si="25"/>
        <v>0</v>
      </c>
      <c r="AT38">
        <f t="shared" si="26"/>
        <v>0</v>
      </c>
      <c r="AU38">
        <f t="shared" si="27"/>
        <v>0</v>
      </c>
      <c r="AW38" s="50"/>
    </row>
    <row r="39" spans="1:49">
      <c r="A39">
        <v>2036</v>
      </c>
      <c r="B39" s="50">
        <f>'Future Type Share'!AT37*'Future EndUse Share'!P150</f>
        <v>14505.95578169177</v>
      </c>
      <c r="C39">
        <f>'Future Type Share'!AR37*0.5*'Future EndUse Share'!AP150</f>
        <v>0</v>
      </c>
      <c r="D39">
        <f>'Future Type Share'!AP37*'Future EndUse Share'!AP150</f>
        <v>0</v>
      </c>
      <c r="E39">
        <f t="shared" si="28"/>
        <v>0</v>
      </c>
      <c r="F39">
        <v>0</v>
      </c>
      <c r="G39">
        <v>0</v>
      </c>
      <c r="I39" s="56"/>
      <c r="K39">
        <v>2036</v>
      </c>
      <c r="L39" s="50">
        <f>'Future Type Share'!AT37*'Future EndUse Share'!$N150</f>
        <v>33847.230157280799</v>
      </c>
      <c r="M39">
        <f>'Future Type Share'!AR37*0.5*'Future EndUse Share'!$AN$131</f>
        <v>0</v>
      </c>
      <c r="N39">
        <f>'Future Type Share'!AP37*'Future EndUse Share'!$AN$131</f>
        <v>12.34131942381118</v>
      </c>
      <c r="O39" s="50">
        <f t="shared" si="13"/>
        <v>0</v>
      </c>
      <c r="P39">
        <f t="shared" si="14"/>
        <v>0</v>
      </c>
      <c r="Q39">
        <f t="shared" si="15"/>
        <v>0</v>
      </c>
      <c r="S39" s="56"/>
      <c r="U39">
        <v>2036</v>
      </c>
      <c r="V39">
        <f t="shared" si="16"/>
        <v>0</v>
      </c>
      <c r="W39">
        <f t="shared" si="17"/>
        <v>0</v>
      </c>
      <c r="X39">
        <f t="shared" si="18"/>
        <v>0</v>
      </c>
      <c r="Y39">
        <f t="shared" si="19"/>
        <v>0</v>
      </c>
      <c r="Z39">
        <f t="shared" si="20"/>
        <v>0</v>
      </c>
      <c r="AA39">
        <f t="shared" si="21"/>
        <v>0</v>
      </c>
      <c r="AC39" s="56"/>
      <c r="AE39">
        <v>2036</v>
      </c>
      <c r="AF39" s="50">
        <f>'Future Type Share'!AT37*('Future EndUse Share'!$O150+'Future EndUse Share'!$Q150+'Future EndUse Share'!$R150+'Future EndUse Share'!$P150)</f>
        <v>36264.889454229422</v>
      </c>
      <c r="AG39" s="50">
        <f>'Future Type Share'!AR37*0.5*('Future EndUse Share'!AO150+'Future EndUse Share'!AQ150+'Future EndUse Share'!AR150)</f>
        <v>0</v>
      </c>
      <c r="AH39" s="50">
        <f>'Future Type Share'!AP37*('Future EndUse Share'!$AO150+'Future EndUse Share'!$AQ150+'Future EndUse Share'!$AR150)</f>
        <v>14940.591160918488</v>
      </c>
      <c r="AI39" s="50">
        <f t="shared" si="22"/>
        <v>0</v>
      </c>
      <c r="AJ39">
        <f t="shared" si="23"/>
        <v>0</v>
      </c>
      <c r="AK39">
        <f t="shared" si="24"/>
        <v>0</v>
      </c>
      <c r="AM39" s="56"/>
      <c r="AO39">
        <v>2036</v>
      </c>
      <c r="AP39" s="50">
        <f>'Future Type Share'!AT37*('Future EndUse Share'!S150)</f>
        <v>50770.845235921195</v>
      </c>
      <c r="AQ39" s="50">
        <f>'Future Type Share'!AR37*0.5*('Future EndUse Share'!AS150)</f>
        <v>0</v>
      </c>
      <c r="AR39" s="50">
        <f>'Future Type Share'!AP37*('Future EndUse Share'!AS150)</f>
        <v>0</v>
      </c>
      <c r="AS39" s="50">
        <f t="shared" si="25"/>
        <v>0</v>
      </c>
      <c r="AT39">
        <f t="shared" si="26"/>
        <v>0</v>
      </c>
      <c r="AU39">
        <f t="shared" si="27"/>
        <v>0</v>
      </c>
      <c r="AW39" s="50"/>
    </row>
    <row r="40" spans="1:49">
      <c r="A40">
        <v>2037</v>
      </c>
      <c r="B40" s="50">
        <f>'Future Type Share'!AT38*'Future EndUse Share'!P151</f>
        <v>14605.68085860047</v>
      </c>
      <c r="C40">
        <f>'Future Type Share'!AR38*0.5*'Future EndUse Share'!AP151</f>
        <v>0</v>
      </c>
      <c r="D40">
        <f>'Future Type Share'!AP38*'Future EndUse Share'!AP151</f>
        <v>0</v>
      </c>
      <c r="E40">
        <f t="shared" si="28"/>
        <v>0</v>
      </c>
      <c r="F40">
        <v>0</v>
      </c>
      <c r="G40">
        <v>0</v>
      </c>
      <c r="I40" s="56"/>
      <c r="K40">
        <v>2037</v>
      </c>
      <c r="L40" s="50">
        <f>'Future Type Share'!AT38*'Future EndUse Share'!$N151</f>
        <v>34079.922003401101</v>
      </c>
      <c r="M40">
        <f>'Future Type Share'!AR38*0.5*'Future EndUse Share'!$AN$131</f>
        <v>0</v>
      </c>
      <c r="N40">
        <f>'Future Type Share'!AP38*'Future EndUse Share'!$AN$131</f>
        <v>12.426163128508511</v>
      </c>
      <c r="O40" s="50">
        <f t="shared" si="13"/>
        <v>0</v>
      </c>
      <c r="P40">
        <f t="shared" si="14"/>
        <v>0</v>
      </c>
      <c r="Q40">
        <f t="shared" si="15"/>
        <v>0</v>
      </c>
      <c r="S40" s="56"/>
      <c r="U40">
        <v>2037</v>
      </c>
      <c r="V40">
        <f t="shared" si="16"/>
        <v>0</v>
      </c>
      <c r="W40">
        <f t="shared" si="17"/>
        <v>0</v>
      </c>
      <c r="X40">
        <f t="shared" si="18"/>
        <v>0</v>
      </c>
      <c r="Y40">
        <f t="shared" si="19"/>
        <v>0</v>
      </c>
      <c r="Z40">
        <f t="shared" si="20"/>
        <v>0</v>
      </c>
      <c r="AA40">
        <f t="shared" si="21"/>
        <v>0</v>
      </c>
      <c r="AC40" s="56"/>
      <c r="AE40">
        <v>2037</v>
      </c>
      <c r="AF40" s="50">
        <f>'Future Type Share'!AT38*('Future EndUse Share'!$O151+'Future EndUse Share'!$Q151+'Future EndUse Share'!$R151+'Future EndUse Share'!$P151)</f>
        <v>36514.202146501171</v>
      </c>
      <c r="AG40" s="50">
        <f>'Future Type Share'!AR38*0.5*('Future EndUse Share'!AO151+'Future EndUse Share'!AQ151+'Future EndUse Share'!AR151)</f>
        <v>0</v>
      </c>
      <c r="AH40" s="50">
        <f>'Future Type Share'!AP38*('Future EndUse Share'!$AO151+'Future EndUse Share'!$AQ151+'Future EndUse Share'!$AR151)</f>
        <v>15043.304255112842</v>
      </c>
      <c r="AI40" s="50">
        <f t="shared" si="22"/>
        <v>0</v>
      </c>
      <c r="AJ40">
        <f t="shared" si="23"/>
        <v>0</v>
      </c>
      <c r="AK40">
        <f t="shared" si="24"/>
        <v>0</v>
      </c>
      <c r="AM40" s="56"/>
      <c r="AO40">
        <v>2037</v>
      </c>
      <c r="AP40" s="50">
        <f>'Future Type Share'!AT38*('Future EndUse Share'!S151)</f>
        <v>51119.883005101641</v>
      </c>
      <c r="AQ40" s="50">
        <f>'Future Type Share'!AR38*0.5*('Future EndUse Share'!AS151)</f>
        <v>0</v>
      </c>
      <c r="AR40" s="50">
        <f>'Future Type Share'!AP38*('Future EndUse Share'!AS151)</f>
        <v>0</v>
      </c>
      <c r="AS40" s="50">
        <f t="shared" si="25"/>
        <v>0</v>
      </c>
      <c r="AT40">
        <f t="shared" si="26"/>
        <v>0</v>
      </c>
      <c r="AU40">
        <f t="shared" si="27"/>
        <v>0</v>
      </c>
      <c r="AW40" s="50"/>
    </row>
    <row r="41" spans="1:49">
      <c r="A41">
        <v>2038</v>
      </c>
      <c r="B41" s="50">
        <f>'Future Type Share'!AT39*'Future EndUse Share'!P152</f>
        <v>14705.405935509159</v>
      </c>
      <c r="C41">
        <f>'Future Type Share'!AR39*0.5*'Future EndUse Share'!AP152</f>
        <v>0</v>
      </c>
      <c r="D41">
        <f>'Future Type Share'!AP39*'Future EndUse Share'!AP152</f>
        <v>0</v>
      </c>
      <c r="E41">
        <f t="shared" si="28"/>
        <v>0</v>
      </c>
      <c r="F41">
        <v>0</v>
      </c>
      <c r="G41">
        <v>0</v>
      </c>
      <c r="I41" s="56"/>
      <c r="K41">
        <v>2038</v>
      </c>
      <c r="L41" s="50">
        <f>'Future Type Share'!AT39*'Future EndUse Share'!$N152</f>
        <v>34312.613849521375</v>
      </c>
      <c r="M41">
        <f>'Future Type Share'!AR39*0.5*'Future EndUse Share'!$AN$131</f>
        <v>0</v>
      </c>
      <c r="N41">
        <f>'Future Type Share'!AP39*'Future EndUse Share'!$AN$131</f>
        <v>12.511006833205835</v>
      </c>
      <c r="O41" s="50">
        <f t="shared" si="13"/>
        <v>0</v>
      </c>
      <c r="P41">
        <f t="shared" si="14"/>
        <v>0</v>
      </c>
      <c r="Q41">
        <f t="shared" si="15"/>
        <v>0</v>
      </c>
      <c r="S41" s="56"/>
      <c r="U41">
        <v>2038</v>
      </c>
      <c r="V41">
        <f t="shared" si="16"/>
        <v>0</v>
      </c>
      <c r="W41">
        <f t="shared" si="17"/>
        <v>0</v>
      </c>
      <c r="X41">
        <f t="shared" si="18"/>
        <v>0</v>
      </c>
      <c r="Y41">
        <f t="shared" si="19"/>
        <v>0</v>
      </c>
      <c r="Z41">
        <f t="shared" si="20"/>
        <v>0</v>
      </c>
      <c r="AA41">
        <f t="shared" si="21"/>
        <v>0</v>
      </c>
      <c r="AC41" s="56"/>
      <c r="AE41">
        <v>2038</v>
      </c>
      <c r="AF41" s="50">
        <f>'Future Type Share'!AT39*('Future EndUse Share'!$O152+'Future EndUse Share'!$Q152+'Future EndUse Share'!$R152+'Future EndUse Share'!$P152)</f>
        <v>36763.514838772899</v>
      </c>
      <c r="AG41" s="50">
        <f>'Future Type Share'!AR39*0.5*('Future EndUse Share'!AO152+'Future EndUse Share'!AQ152+'Future EndUse Share'!AR152)</f>
        <v>0</v>
      </c>
      <c r="AH41" s="50">
        <f>'Future Type Share'!AP39*('Future EndUse Share'!$AO152+'Future EndUse Share'!$AQ152+'Future EndUse Share'!$AR152)</f>
        <v>15146.017349307187</v>
      </c>
      <c r="AI41" s="50">
        <f t="shared" si="22"/>
        <v>0</v>
      </c>
      <c r="AJ41">
        <f t="shared" si="23"/>
        <v>0</v>
      </c>
      <c r="AK41">
        <f t="shared" si="24"/>
        <v>0</v>
      </c>
      <c r="AM41" s="56"/>
      <c r="AO41">
        <v>2038</v>
      </c>
      <c r="AP41" s="50">
        <f>'Future Type Share'!AT39*('Future EndUse Share'!S152)</f>
        <v>51468.920774282058</v>
      </c>
      <c r="AQ41" s="50">
        <f>'Future Type Share'!AR39*0.5*('Future EndUse Share'!AS152)</f>
        <v>0</v>
      </c>
      <c r="AR41" s="50">
        <f>'Future Type Share'!AP39*('Future EndUse Share'!AS152)</f>
        <v>0</v>
      </c>
      <c r="AS41" s="50">
        <f t="shared" si="25"/>
        <v>0</v>
      </c>
      <c r="AT41">
        <f t="shared" si="26"/>
        <v>0</v>
      </c>
      <c r="AU41">
        <f t="shared" si="27"/>
        <v>0</v>
      </c>
      <c r="AW41" s="50"/>
    </row>
    <row r="42" spans="1:49">
      <c r="A42">
        <v>2039</v>
      </c>
      <c r="B42" s="50">
        <f>'Future Type Share'!AT40*'Future EndUse Share'!P153</f>
        <v>14805.131012417858</v>
      </c>
      <c r="C42">
        <f>'Future Type Share'!AR40*0.5*'Future EndUse Share'!AP153</f>
        <v>0</v>
      </c>
      <c r="D42">
        <f>'Future Type Share'!AP40*'Future EndUse Share'!AP153</f>
        <v>0</v>
      </c>
      <c r="E42">
        <f t="shared" si="28"/>
        <v>0</v>
      </c>
      <c r="F42">
        <v>0</v>
      </c>
      <c r="G42">
        <v>0</v>
      </c>
      <c r="I42" s="56"/>
      <c r="K42">
        <v>2039</v>
      </c>
      <c r="L42" s="50">
        <f>'Future Type Share'!AT40*'Future EndUse Share'!$N153</f>
        <v>34545.305695641677</v>
      </c>
      <c r="M42">
        <f>'Future Type Share'!AR40*0.5*'Future EndUse Share'!$AN$131</f>
        <v>0</v>
      </c>
      <c r="N42">
        <f>'Future Type Share'!AP40*'Future EndUse Share'!$AN$131</f>
        <v>12.595850537903164</v>
      </c>
      <c r="O42" s="50">
        <f t="shared" si="13"/>
        <v>0</v>
      </c>
      <c r="P42">
        <f t="shared" si="14"/>
        <v>0</v>
      </c>
      <c r="Q42">
        <f t="shared" si="15"/>
        <v>0</v>
      </c>
      <c r="S42" s="56"/>
      <c r="U42">
        <v>2039</v>
      </c>
      <c r="V42">
        <f t="shared" si="16"/>
        <v>0</v>
      </c>
      <c r="W42">
        <f t="shared" si="17"/>
        <v>0</v>
      </c>
      <c r="X42">
        <f t="shared" si="18"/>
        <v>0</v>
      </c>
      <c r="Y42">
        <f t="shared" si="19"/>
        <v>0</v>
      </c>
      <c r="Z42">
        <f t="shared" si="20"/>
        <v>0</v>
      </c>
      <c r="AA42">
        <f t="shared" si="21"/>
        <v>0</v>
      </c>
      <c r="AC42" s="56"/>
      <c r="AE42">
        <v>2039</v>
      </c>
      <c r="AF42" s="50">
        <f>'Future Type Share'!AT40*('Future EndUse Share'!$O153+'Future EndUse Share'!$Q153+'Future EndUse Share'!$R153+'Future EndUse Share'!$P153)</f>
        <v>37012.827531044648</v>
      </c>
      <c r="AG42" s="50">
        <f>'Future Type Share'!AR40*0.5*('Future EndUse Share'!AO153+'Future EndUse Share'!AQ153+'Future EndUse Share'!AR153)</f>
        <v>0</v>
      </c>
      <c r="AH42" s="50">
        <f>'Future Type Share'!AP40*('Future EndUse Share'!$AO153+'Future EndUse Share'!$AQ153+'Future EndUse Share'!$AR153)</f>
        <v>15248.730443501538</v>
      </c>
      <c r="AI42" s="50">
        <f t="shared" si="22"/>
        <v>0</v>
      </c>
      <c r="AJ42">
        <f t="shared" si="23"/>
        <v>0</v>
      </c>
      <c r="AK42">
        <f t="shared" si="24"/>
        <v>0</v>
      </c>
      <c r="AM42" s="56"/>
      <c r="AO42">
        <v>2039</v>
      </c>
      <c r="AP42" s="50">
        <f>'Future Type Share'!AT40*('Future EndUse Share'!S153)</f>
        <v>51817.958543462504</v>
      </c>
      <c r="AQ42" s="50">
        <f>'Future Type Share'!AR40*0.5*('Future EndUse Share'!AS153)</f>
        <v>0</v>
      </c>
      <c r="AR42" s="50">
        <f>'Future Type Share'!AP40*('Future EndUse Share'!AS153)</f>
        <v>0</v>
      </c>
      <c r="AS42" s="50">
        <f t="shared" si="25"/>
        <v>0</v>
      </c>
      <c r="AT42">
        <f t="shared" si="26"/>
        <v>0</v>
      </c>
      <c r="AU42">
        <f t="shared" si="27"/>
        <v>0</v>
      </c>
      <c r="AW42" s="50"/>
    </row>
    <row r="43" spans="1:49">
      <c r="A43">
        <v>2040</v>
      </c>
      <c r="B43" s="50">
        <f>'Future Type Share'!AT41*'Future EndUse Share'!P154</f>
        <v>14904.856089326557</v>
      </c>
      <c r="C43">
        <f>'Future Type Share'!AR41*0.5*'Future EndUse Share'!AP154</f>
        <v>0</v>
      </c>
      <c r="D43">
        <f>'Future Type Share'!AP41*'Future EndUse Share'!AP154</f>
        <v>0</v>
      </c>
      <c r="E43">
        <f t="shared" si="28"/>
        <v>0</v>
      </c>
      <c r="F43">
        <v>0</v>
      </c>
      <c r="G43">
        <v>0</v>
      </c>
      <c r="I43" s="56"/>
      <c r="K43">
        <v>2040</v>
      </c>
      <c r="L43" s="50">
        <f>'Future Type Share'!AT41*'Future EndUse Share'!$N154</f>
        <v>34777.997541761972</v>
      </c>
      <c r="M43">
        <f>'Future Type Share'!AR41*0.5*'Future EndUse Share'!$AN$131</f>
        <v>0</v>
      </c>
      <c r="N43">
        <f>'Future Type Share'!AP41*'Future EndUse Share'!$AN$131</f>
        <v>12.680694242600495</v>
      </c>
      <c r="O43" s="50">
        <f t="shared" si="13"/>
        <v>0</v>
      </c>
      <c r="P43">
        <f t="shared" si="14"/>
        <v>0</v>
      </c>
      <c r="Q43">
        <f t="shared" si="15"/>
        <v>0</v>
      </c>
      <c r="S43" s="56"/>
      <c r="U43">
        <v>2040</v>
      </c>
      <c r="V43">
        <f t="shared" si="16"/>
        <v>0</v>
      </c>
      <c r="W43">
        <f t="shared" si="17"/>
        <v>0</v>
      </c>
      <c r="X43">
        <f t="shared" si="18"/>
        <v>0</v>
      </c>
      <c r="Y43">
        <f t="shared" si="19"/>
        <v>0</v>
      </c>
      <c r="Z43">
        <f t="shared" si="20"/>
        <v>0</v>
      </c>
      <c r="AA43">
        <f t="shared" si="21"/>
        <v>0</v>
      </c>
      <c r="AC43" s="56"/>
      <c r="AE43">
        <v>2040</v>
      </c>
      <c r="AF43" s="50">
        <f>'Future Type Share'!AT41*('Future EndUse Share'!$O154+'Future EndUse Share'!$Q154+'Future EndUse Share'!$R154+'Future EndUse Share'!$P154)</f>
        <v>37262.14022331639</v>
      </c>
      <c r="AG43" s="50">
        <f>'Future Type Share'!AR41*0.5*('Future EndUse Share'!AO154+'Future EndUse Share'!AQ154+'Future EndUse Share'!AR154)</f>
        <v>0</v>
      </c>
      <c r="AH43" s="50">
        <f>'Future Type Share'!AP41*('Future EndUse Share'!$AO154+'Future EndUse Share'!$AQ154+'Future EndUse Share'!$AR154)</f>
        <v>15351.44353769589</v>
      </c>
      <c r="AI43" s="50">
        <f t="shared" si="22"/>
        <v>0</v>
      </c>
      <c r="AJ43">
        <f t="shared" si="23"/>
        <v>0</v>
      </c>
      <c r="AK43">
        <f t="shared" si="24"/>
        <v>0</v>
      </c>
      <c r="AM43" s="56"/>
      <c r="AO43">
        <v>2040</v>
      </c>
      <c r="AP43" s="50">
        <f>'Future Type Share'!AT41*('Future EndUse Share'!S154)</f>
        <v>52166.996312642943</v>
      </c>
      <c r="AQ43" s="50">
        <f>'Future Type Share'!AR41*0.5*('Future EndUse Share'!AS154)</f>
        <v>0</v>
      </c>
      <c r="AR43" s="50">
        <f>'Future Type Share'!AP41*('Future EndUse Share'!AS154)</f>
        <v>0</v>
      </c>
      <c r="AS43" s="50">
        <f t="shared" si="25"/>
        <v>0</v>
      </c>
      <c r="AT43">
        <f t="shared" si="26"/>
        <v>0</v>
      </c>
      <c r="AU43">
        <f t="shared" si="27"/>
        <v>0</v>
      </c>
      <c r="AW43" s="50"/>
    </row>
    <row r="44" spans="1:49">
      <c r="A44">
        <v>2041</v>
      </c>
      <c r="B44" s="50">
        <f>'Future Type Share'!AT42*'Future EndUse Share'!P155</f>
        <v>15004.58116623525</v>
      </c>
      <c r="C44">
        <f>'Future Type Share'!AR42*0.5*'Future EndUse Share'!AP155</f>
        <v>0</v>
      </c>
      <c r="D44">
        <f>'Future Type Share'!AP42*'Future EndUse Share'!AP155</f>
        <v>0</v>
      </c>
      <c r="E44">
        <f t="shared" si="28"/>
        <v>0</v>
      </c>
      <c r="F44">
        <v>0</v>
      </c>
      <c r="G44">
        <v>0</v>
      </c>
      <c r="I44" s="56"/>
      <c r="K44">
        <v>2041</v>
      </c>
      <c r="L44" s="50">
        <f>'Future Type Share'!AT42*'Future EndUse Share'!$N155</f>
        <v>35010.689387882252</v>
      </c>
      <c r="M44">
        <f>'Future Type Share'!AR42*0.5*'Future EndUse Share'!$AN$131</f>
        <v>0</v>
      </c>
      <c r="N44">
        <f>'Future Type Share'!AP42*'Future EndUse Share'!$AN$131</f>
        <v>12.765537947297821</v>
      </c>
      <c r="O44" s="50">
        <f t="shared" si="13"/>
        <v>0</v>
      </c>
      <c r="P44">
        <f t="shared" si="14"/>
        <v>0</v>
      </c>
      <c r="Q44">
        <f t="shared" si="15"/>
        <v>0</v>
      </c>
      <c r="S44" s="56"/>
      <c r="U44">
        <v>2041</v>
      </c>
      <c r="V44">
        <f t="shared" si="16"/>
        <v>0</v>
      </c>
      <c r="W44">
        <f t="shared" si="17"/>
        <v>0</v>
      </c>
      <c r="X44">
        <f t="shared" si="18"/>
        <v>0</v>
      </c>
      <c r="Y44">
        <f t="shared" si="19"/>
        <v>0</v>
      </c>
      <c r="Z44">
        <f t="shared" si="20"/>
        <v>0</v>
      </c>
      <c r="AA44">
        <f t="shared" si="21"/>
        <v>0</v>
      </c>
      <c r="AC44" s="56"/>
      <c r="AE44">
        <v>2041</v>
      </c>
      <c r="AF44" s="50">
        <f>'Future Type Share'!AT42*('Future EndUse Share'!$O155+'Future EndUse Share'!$Q155+'Future EndUse Share'!$R155+'Future EndUse Share'!$P155)</f>
        <v>37511.452915588125</v>
      </c>
      <c r="AG44" s="50">
        <f>'Future Type Share'!AR42*0.5*('Future EndUse Share'!AO155+'Future EndUse Share'!AQ155+'Future EndUse Share'!AR155)</f>
        <v>0</v>
      </c>
      <c r="AH44" s="50">
        <f>'Future Type Share'!AP42*('Future EndUse Share'!$AO155+'Future EndUse Share'!$AQ155+'Future EndUse Share'!$AR155)</f>
        <v>15454.156631890237</v>
      </c>
      <c r="AI44" s="50">
        <f t="shared" si="22"/>
        <v>0</v>
      </c>
      <c r="AJ44">
        <f t="shared" si="23"/>
        <v>0</v>
      </c>
      <c r="AK44">
        <f t="shared" si="24"/>
        <v>0</v>
      </c>
      <c r="AM44" s="56"/>
      <c r="AO44">
        <v>2041</v>
      </c>
      <c r="AP44" s="50">
        <f>'Future Type Share'!AT42*('Future EndUse Share'!S155)</f>
        <v>52516.034081823374</v>
      </c>
      <c r="AQ44" s="50">
        <f>'Future Type Share'!AR42*0.5*('Future EndUse Share'!AS155)</f>
        <v>0</v>
      </c>
      <c r="AR44" s="50">
        <f>'Future Type Share'!AP42*('Future EndUse Share'!AS155)</f>
        <v>0</v>
      </c>
      <c r="AS44" s="50">
        <f t="shared" si="25"/>
        <v>0</v>
      </c>
      <c r="AT44">
        <f t="shared" si="26"/>
        <v>0</v>
      </c>
      <c r="AU44">
        <f t="shared" si="27"/>
        <v>0</v>
      </c>
      <c r="AW44" s="50"/>
    </row>
    <row r="45" spans="1:49">
      <c r="A45">
        <v>2042</v>
      </c>
      <c r="B45" s="50">
        <f>'Future Type Share'!AT43*'Future EndUse Share'!P156</f>
        <v>15104.306243143947</v>
      </c>
      <c r="C45">
        <f>'Future Type Share'!AR43*0.5*'Future EndUse Share'!AP156</f>
        <v>0</v>
      </c>
      <c r="D45">
        <f>'Future Type Share'!AP43*'Future EndUse Share'!AP156</f>
        <v>0</v>
      </c>
      <c r="E45">
        <f t="shared" si="28"/>
        <v>0</v>
      </c>
      <c r="F45">
        <v>0</v>
      </c>
      <c r="G45">
        <v>0</v>
      </c>
      <c r="I45" s="56"/>
      <c r="K45">
        <v>2042</v>
      </c>
      <c r="L45" s="50">
        <f>'Future Type Share'!AT43*'Future EndUse Share'!$N156</f>
        <v>35243.381234002547</v>
      </c>
      <c r="M45">
        <f>'Future Type Share'!AR43*0.5*'Future EndUse Share'!$AN$131</f>
        <v>0</v>
      </c>
      <c r="N45">
        <f>'Future Type Share'!AP43*'Future EndUse Share'!$AN$131</f>
        <v>12.85038165199515</v>
      </c>
      <c r="O45" s="50">
        <f t="shared" si="13"/>
        <v>0</v>
      </c>
      <c r="P45">
        <f t="shared" si="14"/>
        <v>0</v>
      </c>
      <c r="Q45">
        <f t="shared" si="15"/>
        <v>0</v>
      </c>
      <c r="S45" s="56"/>
      <c r="U45">
        <v>2042</v>
      </c>
      <c r="V45">
        <f t="shared" si="16"/>
        <v>0</v>
      </c>
      <c r="W45">
        <f t="shared" si="17"/>
        <v>0</v>
      </c>
      <c r="X45">
        <f t="shared" si="18"/>
        <v>0</v>
      </c>
      <c r="Y45">
        <f t="shared" si="19"/>
        <v>0</v>
      </c>
      <c r="Z45">
        <f t="shared" si="20"/>
        <v>0</v>
      </c>
      <c r="AA45">
        <f t="shared" si="21"/>
        <v>0</v>
      </c>
      <c r="AC45" s="56"/>
      <c r="AE45">
        <v>2042</v>
      </c>
      <c r="AF45" s="50">
        <f>'Future Type Share'!AT43*('Future EndUse Share'!$O156+'Future EndUse Share'!$Q156+'Future EndUse Share'!$R156+'Future EndUse Share'!$P156)</f>
        <v>37760.765607859867</v>
      </c>
      <c r="AG45" s="50">
        <f>'Future Type Share'!AR43*0.5*('Future EndUse Share'!AO156+'Future EndUse Share'!AQ156+'Future EndUse Share'!AR156)</f>
        <v>0</v>
      </c>
      <c r="AH45" s="50">
        <f>'Future Type Share'!AP43*('Future EndUse Share'!$AO156+'Future EndUse Share'!$AQ156+'Future EndUse Share'!$AR156)</f>
        <v>15556.869726084589</v>
      </c>
      <c r="AI45" s="50">
        <f t="shared" si="22"/>
        <v>0</v>
      </c>
      <c r="AJ45">
        <f t="shared" si="23"/>
        <v>0</v>
      </c>
      <c r="AK45">
        <f t="shared" si="24"/>
        <v>0</v>
      </c>
      <c r="AM45" s="56"/>
      <c r="AO45">
        <v>2042</v>
      </c>
      <c r="AP45" s="50">
        <f>'Future Type Share'!AT43*('Future EndUse Share'!S156)</f>
        <v>52865.071851003813</v>
      </c>
      <c r="AQ45" s="50">
        <f>'Future Type Share'!AR43*0.5*('Future EndUse Share'!AS156)</f>
        <v>0</v>
      </c>
      <c r="AR45" s="50">
        <f>'Future Type Share'!AP43*('Future EndUse Share'!AS156)</f>
        <v>0</v>
      </c>
      <c r="AS45" s="50">
        <f t="shared" si="25"/>
        <v>0</v>
      </c>
      <c r="AT45">
        <f t="shared" si="26"/>
        <v>0</v>
      </c>
      <c r="AU45">
        <f t="shared" si="27"/>
        <v>0</v>
      </c>
      <c r="AW45" s="50"/>
    </row>
    <row r="46" spans="1:49">
      <c r="A46">
        <v>2043</v>
      </c>
      <c r="B46" s="50">
        <f>'Future Type Share'!AT44*'Future EndUse Share'!P157</f>
        <v>15204.031320052642</v>
      </c>
      <c r="C46">
        <f>'Future Type Share'!AR44*0.5*'Future EndUse Share'!AP157</f>
        <v>0</v>
      </c>
      <c r="D46">
        <f>'Future Type Share'!AP44*'Future EndUse Share'!AP157</f>
        <v>0</v>
      </c>
      <c r="E46">
        <f t="shared" si="28"/>
        <v>0</v>
      </c>
      <c r="F46">
        <v>0</v>
      </c>
      <c r="G46">
        <v>0</v>
      </c>
      <c r="I46" s="56"/>
      <c r="K46">
        <v>2043</v>
      </c>
      <c r="L46" s="50">
        <f>'Future Type Share'!AT44*'Future EndUse Share'!$N157</f>
        <v>35476.073080122835</v>
      </c>
      <c r="M46">
        <f>'Future Type Share'!AR44*0.5*'Future EndUse Share'!$AN$131</f>
        <v>0</v>
      </c>
      <c r="N46">
        <f>'Future Type Share'!AP44*'Future EndUse Share'!$AN$131</f>
        <v>12.935225356692476</v>
      </c>
      <c r="O46" s="50">
        <f t="shared" si="13"/>
        <v>0</v>
      </c>
      <c r="P46">
        <f t="shared" si="14"/>
        <v>0</v>
      </c>
      <c r="Q46">
        <f t="shared" si="15"/>
        <v>0</v>
      </c>
      <c r="S46" s="56"/>
      <c r="U46">
        <v>2043</v>
      </c>
      <c r="V46">
        <f t="shared" si="16"/>
        <v>0</v>
      </c>
      <c r="W46">
        <f t="shared" si="17"/>
        <v>0</v>
      </c>
      <c r="X46">
        <f t="shared" si="18"/>
        <v>0</v>
      </c>
      <c r="Y46">
        <f t="shared" si="19"/>
        <v>0</v>
      </c>
      <c r="Z46">
        <f t="shared" si="20"/>
        <v>0</v>
      </c>
      <c r="AA46">
        <f t="shared" si="21"/>
        <v>0</v>
      </c>
      <c r="AC46" s="56"/>
      <c r="AE46">
        <v>2043</v>
      </c>
      <c r="AF46" s="50">
        <f>'Future Type Share'!AT44*('Future EndUse Share'!$O157+'Future EndUse Share'!$Q157+'Future EndUse Share'!$R157+'Future EndUse Share'!$P157)</f>
        <v>38010.078300131601</v>
      </c>
      <c r="AG46" s="50">
        <f>'Future Type Share'!AR44*0.5*('Future EndUse Share'!AO157+'Future EndUse Share'!AQ157+'Future EndUse Share'!AR157)</f>
        <v>0</v>
      </c>
      <c r="AH46" s="50">
        <f>'Future Type Share'!AP44*('Future EndUse Share'!$AO157+'Future EndUse Share'!$AQ157+'Future EndUse Share'!$AR157)</f>
        <v>15659.582820278936</v>
      </c>
      <c r="AI46" s="50">
        <f t="shared" si="22"/>
        <v>0</v>
      </c>
      <c r="AJ46">
        <f t="shared" si="23"/>
        <v>0</v>
      </c>
      <c r="AK46">
        <f t="shared" si="24"/>
        <v>0</v>
      </c>
      <c r="AM46" s="56"/>
      <c r="AO46">
        <v>2043</v>
      </c>
      <c r="AP46" s="50">
        <f>'Future Type Share'!AT44*('Future EndUse Share'!S157)</f>
        <v>53214.109620184245</v>
      </c>
      <c r="AQ46" s="50">
        <f>'Future Type Share'!AR44*0.5*('Future EndUse Share'!AS157)</f>
        <v>0</v>
      </c>
      <c r="AR46" s="50">
        <f>'Future Type Share'!AP44*('Future EndUse Share'!AS157)</f>
        <v>0</v>
      </c>
      <c r="AS46" s="50">
        <f t="shared" si="25"/>
        <v>0</v>
      </c>
      <c r="AT46">
        <f t="shared" si="26"/>
        <v>0</v>
      </c>
      <c r="AU46">
        <f t="shared" si="27"/>
        <v>0</v>
      </c>
      <c r="AW46" s="50"/>
    </row>
    <row r="47" spans="1:49">
      <c r="A47">
        <v>2044</v>
      </c>
      <c r="B47" s="50">
        <f>'Future Type Share'!AT45*'Future EndUse Share'!P158</f>
        <v>15303.756396961335</v>
      </c>
      <c r="C47">
        <f>'Future Type Share'!AR45*0.5*'Future EndUse Share'!AP158</f>
        <v>0</v>
      </c>
      <c r="D47">
        <f>'Future Type Share'!AP45*'Future EndUse Share'!AP158</f>
        <v>0</v>
      </c>
      <c r="E47">
        <f t="shared" si="28"/>
        <v>0</v>
      </c>
      <c r="F47">
        <v>0</v>
      </c>
      <c r="G47">
        <v>0</v>
      </c>
      <c r="I47" s="56"/>
      <c r="K47">
        <v>2044</v>
      </c>
      <c r="L47" s="50">
        <f>'Future Type Share'!AT45*'Future EndUse Share'!$N158</f>
        <v>35708.764926243122</v>
      </c>
      <c r="M47">
        <f>'Future Type Share'!AR45*0.5*'Future EndUse Share'!$AN$131</f>
        <v>0</v>
      </c>
      <c r="N47">
        <f>'Future Type Share'!AP45*'Future EndUse Share'!$AN$131</f>
        <v>13.020069061389803</v>
      </c>
      <c r="O47" s="50">
        <f t="shared" si="13"/>
        <v>0</v>
      </c>
      <c r="P47">
        <f t="shared" si="14"/>
        <v>0</v>
      </c>
      <c r="Q47">
        <f t="shared" si="15"/>
        <v>0</v>
      </c>
      <c r="S47" s="56"/>
      <c r="U47">
        <v>2044</v>
      </c>
      <c r="V47">
        <f t="shared" si="16"/>
        <v>0</v>
      </c>
      <c r="W47">
        <f t="shared" si="17"/>
        <v>0</v>
      </c>
      <c r="X47">
        <f t="shared" si="18"/>
        <v>0</v>
      </c>
      <c r="Y47">
        <f t="shared" si="19"/>
        <v>0</v>
      </c>
      <c r="Z47">
        <f t="shared" si="20"/>
        <v>0</v>
      </c>
      <c r="AA47">
        <f t="shared" si="21"/>
        <v>0</v>
      </c>
      <c r="AC47" s="56"/>
      <c r="AE47">
        <v>2044</v>
      </c>
      <c r="AF47" s="50">
        <f>'Future Type Share'!AT45*('Future EndUse Share'!$O158+'Future EndUse Share'!$Q158+'Future EndUse Share'!$R158+'Future EndUse Share'!$P158)</f>
        <v>38259.390992403336</v>
      </c>
      <c r="AG47" s="50">
        <f>'Future Type Share'!AR45*0.5*('Future EndUse Share'!AO158+'Future EndUse Share'!AQ158+'Future EndUse Share'!AR158)</f>
        <v>0</v>
      </c>
      <c r="AH47" s="50">
        <f>'Future Type Share'!AP45*('Future EndUse Share'!$AO158+'Future EndUse Share'!$AQ158+'Future EndUse Share'!$AR158)</f>
        <v>15762.295914473285</v>
      </c>
      <c r="AI47" s="50">
        <f t="shared" si="22"/>
        <v>0</v>
      </c>
      <c r="AJ47">
        <f t="shared" si="23"/>
        <v>0</v>
      </c>
      <c r="AK47">
        <f t="shared" si="24"/>
        <v>0</v>
      </c>
      <c r="AM47" s="56"/>
      <c r="AO47">
        <v>2044</v>
      </c>
      <c r="AP47" s="50">
        <f>'Future Type Share'!AT45*('Future EndUse Share'!S158)</f>
        <v>53563.147389364676</v>
      </c>
      <c r="AQ47" s="50">
        <f>'Future Type Share'!AR45*0.5*('Future EndUse Share'!AS158)</f>
        <v>0</v>
      </c>
      <c r="AR47" s="50">
        <f>'Future Type Share'!AP45*('Future EndUse Share'!AS158)</f>
        <v>0</v>
      </c>
      <c r="AS47" s="50">
        <f t="shared" si="25"/>
        <v>0</v>
      </c>
      <c r="AT47">
        <f t="shared" si="26"/>
        <v>0</v>
      </c>
      <c r="AU47">
        <f t="shared" si="27"/>
        <v>0</v>
      </c>
      <c r="AW47" s="50"/>
    </row>
    <row r="48" spans="1:49">
      <c r="A48">
        <v>2045</v>
      </c>
      <c r="B48" s="50">
        <f>'Future Type Share'!AT46*'Future EndUse Share'!P159</f>
        <v>15403.481473870037</v>
      </c>
      <c r="C48">
        <f>'Future Type Share'!AR46*0.5*'Future EndUse Share'!AP159</f>
        <v>0</v>
      </c>
      <c r="D48">
        <f>'Future Type Share'!AP46*'Future EndUse Share'!AP159</f>
        <v>0</v>
      </c>
      <c r="E48">
        <f t="shared" si="28"/>
        <v>0</v>
      </c>
      <c r="F48">
        <v>0</v>
      </c>
      <c r="G48">
        <v>0</v>
      </c>
      <c r="I48" s="56"/>
      <c r="K48">
        <v>2045</v>
      </c>
      <c r="L48" s="50">
        <f>'Future Type Share'!AT46*'Future EndUse Share'!$N159</f>
        <v>35941.456772363425</v>
      </c>
      <c r="M48">
        <f>'Future Type Share'!AR46*0.5*'Future EndUse Share'!$AN$131</f>
        <v>0</v>
      </c>
      <c r="N48">
        <f>'Future Type Share'!AP46*'Future EndUse Share'!$AN$131</f>
        <v>13.104912766087134</v>
      </c>
      <c r="O48" s="50">
        <f t="shared" si="13"/>
        <v>0</v>
      </c>
      <c r="P48">
        <f t="shared" si="14"/>
        <v>0</v>
      </c>
      <c r="Q48">
        <f t="shared" si="15"/>
        <v>0</v>
      </c>
      <c r="S48" s="56"/>
      <c r="U48">
        <v>2045</v>
      </c>
      <c r="V48">
        <f t="shared" si="16"/>
        <v>0</v>
      </c>
      <c r="W48">
        <f t="shared" si="17"/>
        <v>0</v>
      </c>
      <c r="X48">
        <f t="shared" si="18"/>
        <v>0</v>
      </c>
      <c r="Y48">
        <f t="shared" si="19"/>
        <v>0</v>
      </c>
      <c r="Z48">
        <f t="shared" si="20"/>
        <v>0</v>
      </c>
      <c r="AA48">
        <f t="shared" si="21"/>
        <v>0</v>
      </c>
      <c r="AC48" s="56"/>
      <c r="AE48">
        <v>2045</v>
      </c>
      <c r="AF48" s="50">
        <f>'Future Type Share'!AT46*('Future EndUse Share'!$O159+'Future EndUse Share'!$Q159+'Future EndUse Share'!$R159+'Future EndUse Share'!$P159)</f>
        <v>38508.703684675093</v>
      </c>
      <c r="AG48" s="50">
        <f>'Future Type Share'!AR46*0.5*('Future EndUse Share'!AO159+'Future EndUse Share'!AQ159+'Future EndUse Share'!AR159)</f>
        <v>0</v>
      </c>
      <c r="AH48" s="50">
        <f>'Future Type Share'!AP46*('Future EndUse Share'!$AO159+'Future EndUse Share'!$AQ159+'Future EndUse Share'!$AR159)</f>
        <v>15865.009008667639</v>
      </c>
      <c r="AI48" s="50">
        <f t="shared" si="22"/>
        <v>0</v>
      </c>
      <c r="AJ48">
        <f t="shared" si="23"/>
        <v>0</v>
      </c>
      <c r="AK48">
        <f t="shared" si="24"/>
        <v>0</v>
      </c>
      <c r="AM48" s="56"/>
      <c r="AO48">
        <v>2045</v>
      </c>
      <c r="AP48" s="50">
        <f>'Future Type Share'!AT46*('Future EndUse Share'!S159)</f>
        <v>53912.18515854513</v>
      </c>
      <c r="AQ48" s="50">
        <f>'Future Type Share'!AR46*0.5*('Future EndUse Share'!AS159)</f>
        <v>0</v>
      </c>
      <c r="AR48" s="50">
        <f>'Future Type Share'!AP46*('Future EndUse Share'!AS159)</f>
        <v>0</v>
      </c>
      <c r="AS48" s="50">
        <f t="shared" si="25"/>
        <v>0</v>
      </c>
      <c r="AT48">
        <f t="shared" si="26"/>
        <v>0</v>
      </c>
      <c r="AU48">
        <f t="shared" si="27"/>
        <v>0</v>
      </c>
      <c r="AW48" s="50"/>
    </row>
    <row r="49" spans="1:49">
      <c r="A49">
        <v>2046</v>
      </c>
      <c r="B49" s="50">
        <f>'Future Type Share'!AT47*'Future EndUse Share'!P160</f>
        <v>15503.206550778732</v>
      </c>
      <c r="C49">
        <f>'Future Type Share'!AR47*0.5*'Future EndUse Share'!AP160</f>
        <v>0</v>
      </c>
      <c r="D49">
        <f>'Future Type Share'!AP47*'Future EndUse Share'!AP160</f>
        <v>0</v>
      </c>
      <c r="E49">
        <f t="shared" si="28"/>
        <v>0</v>
      </c>
      <c r="F49">
        <v>0</v>
      </c>
      <c r="G49">
        <v>0</v>
      </c>
      <c r="I49" s="56"/>
      <c r="K49">
        <v>2046</v>
      </c>
      <c r="L49" s="50">
        <f>'Future Type Share'!AT47*'Future EndUse Share'!$N160</f>
        <v>36174.148618483712</v>
      </c>
      <c r="M49">
        <f>'Future Type Share'!AR47*0.5*'Future EndUse Share'!$AN$131</f>
        <v>0</v>
      </c>
      <c r="N49">
        <f>'Future Type Share'!AP47*'Future EndUse Share'!$AN$131</f>
        <v>13.189756470784461</v>
      </c>
      <c r="O49" s="50">
        <f t="shared" si="13"/>
        <v>0</v>
      </c>
      <c r="P49">
        <f t="shared" si="14"/>
        <v>0</v>
      </c>
      <c r="Q49">
        <f t="shared" si="15"/>
        <v>0</v>
      </c>
      <c r="S49" s="56"/>
      <c r="U49">
        <v>2046</v>
      </c>
      <c r="V49">
        <f t="shared" si="16"/>
        <v>0</v>
      </c>
      <c r="W49">
        <f t="shared" si="17"/>
        <v>0</v>
      </c>
      <c r="X49">
        <f t="shared" si="18"/>
        <v>0</v>
      </c>
      <c r="Y49">
        <f t="shared" si="19"/>
        <v>0</v>
      </c>
      <c r="Z49">
        <f t="shared" si="20"/>
        <v>0</v>
      </c>
      <c r="AA49">
        <f t="shared" si="21"/>
        <v>0</v>
      </c>
      <c r="AC49" s="56"/>
      <c r="AE49">
        <v>2046</v>
      </c>
      <c r="AF49" s="50">
        <f>'Future Type Share'!AT47*('Future EndUse Share'!$O160+'Future EndUse Share'!$Q160+'Future EndUse Share'!$R160+'Future EndUse Share'!$P160)</f>
        <v>38758.016376946827</v>
      </c>
      <c r="AG49" s="50">
        <f>'Future Type Share'!AR47*0.5*('Future EndUse Share'!AO160+'Future EndUse Share'!AQ160+'Future EndUse Share'!AR160)</f>
        <v>0</v>
      </c>
      <c r="AH49" s="50">
        <f>'Future Type Share'!AP47*('Future EndUse Share'!$AO160+'Future EndUse Share'!$AQ160+'Future EndUse Share'!$AR160)</f>
        <v>15967.722102861988</v>
      </c>
      <c r="AI49" s="50">
        <f t="shared" si="22"/>
        <v>0</v>
      </c>
      <c r="AJ49">
        <f t="shared" si="23"/>
        <v>0</v>
      </c>
      <c r="AK49">
        <f t="shared" si="24"/>
        <v>0</v>
      </c>
      <c r="AM49" s="56"/>
      <c r="AO49">
        <v>2046</v>
      </c>
      <c r="AP49" s="50">
        <f>'Future Type Share'!AT47*('Future EndUse Share'!S160)</f>
        <v>54261.222927725561</v>
      </c>
      <c r="AQ49" s="50">
        <f>'Future Type Share'!AR47*0.5*('Future EndUse Share'!AS160)</f>
        <v>0</v>
      </c>
      <c r="AR49" s="50">
        <f>'Future Type Share'!AP47*('Future EndUse Share'!AS160)</f>
        <v>0</v>
      </c>
      <c r="AS49" s="50">
        <f t="shared" si="25"/>
        <v>0</v>
      </c>
      <c r="AT49">
        <f t="shared" si="26"/>
        <v>0</v>
      </c>
      <c r="AU49">
        <f t="shared" si="27"/>
        <v>0</v>
      </c>
      <c r="AW49" s="50"/>
    </row>
    <row r="50" spans="1:49">
      <c r="A50">
        <v>2047</v>
      </c>
      <c r="B50" s="50">
        <f>'Future Type Share'!AT48*'Future EndUse Share'!P161</f>
        <v>15602.931627687425</v>
      </c>
      <c r="C50">
        <f>'Future Type Share'!AR48*0.5*'Future EndUse Share'!AP161</f>
        <v>0</v>
      </c>
      <c r="D50">
        <f>'Future Type Share'!AP48*'Future EndUse Share'!AP161</f>
        <v>0</v>
      </c>
      <c r="E50">
        <f t="shared" si="28"/>
        <v>0</v>
      </c>
      <c r="F50">
        <v>0</v>
      </c>
      <c r="G50">
        <v>0</v>
      </c>
      <c r="I50" s="56"/>
      <c r="K50">
        <v>2047</v>
      </c>
      <c r="L50" s="50">
        <f>'Future Type Share'!AT48*'Future EndUse Share'!$N161</f>
        <v>36406.840464604</v>
      </c>
      <c r="M50">
        <f>'Future Type Share'!AR48*0.5*'Future EndUse Share'!$AN$131</f>
        <v>0</v>
      </c>
      <c r="N50">
        <f>'Future Type Share'!AP48*'Future EndUse Share'!$AN$131</f>
        <v>13.274600175481787</v>
      </c>
      <c r="O50" s="50">
        <f t="shared" si="13"/>
        <v>0</v>
      </c>
      <c r="P50">
        <f t="shared" si="14"/>
        <v>0</v>
      </c>
      <c r="Q50">
        <f t="shared" si="15"/>
        <v>0</v>
      </c>
      <c r="S50" s="56"/>
      <c r="U50">
        <v>2047</v>
      </c>
      <c r="V50">
        <f t="shared" si="16"/>
        <v>0</v>
      </c>
      <c r="W50">
        <f t="shared" si="17"/>
        <v>0</v>
      </c>
      <c r="X50">
        <f t="shared" si="18"/>
        <v>0</v>
      </c>
      <c r="Y50">
        <f t="shared" si="19"/>
        <v>0</v>
      </c>
      <c r="Z50">
        <f t="shared" si="20"/>
        <v>0</v>
      </c>
      <c r="AA50">
        <f t="shared" si="21"/>
        <v>0</v>
      </c>
      <c r="AC50" s="56"/>
      <c r="AE50">
        <v>2047</v>
      </c>
      <c r="AF50" s="50">
        <f>'Future Type Share'!AT48*('Future EndUse Share'!$O161+'Future EndUse Share'!$Q161+'Future EndUse Share'!$R161+'Future EndUse Share'!$P161)</f>
        <v>39007.329069218562</v>
      </c>
      <c r="AG50" s="50">
        <f>'Future Type Share'!AR48*0.5*('Future EndUse Share'!AO161+'Future EndUse Share'!AQ161+'Future EndUse Share'!AR161)</f>
        <v>0</v>
      </c>
      <c r="AH50" s="50">
        <f>'Future Type Share'!AP48*('Future EndUse Share'!$AO161+'Future EndUse Share'!$AQ161+'Future EndUse Share'!$AR161)</f>
        <v>16070.435197056335</v>
      </c>
      <c r="AI50" s="50">
        <f t="shared" si="22"/>
        <v>0</v>
      </c>
      <c r="AJ50">
        <f t="shared" si="23"/>
        <v>0</v>
      </c>
      <c r="AK50">
        <f t="shared" si="24"/>
        <v>0</v>
      </c>
      <c r="AM50" s="56"/>
      <c r="AO50">
        <v>2047</v>
      </c>
      <c r="AP50" s="50">
        <f>'Future Type Share'!AT48*('Future EndUse Share'!S161)</f>
        <v>54610.260696905993</v>
      </c>
      <c r="AQ50" s="50">
        <f>'Future Type Share'!AR48*0.5*('Future EndUse Share'!AS161)</f>
        <v>0</v>
      </c>
      <c r="AR50" s="50">
        <f>'Future Type Share'!AP48*('Future EndUse Share'!AS161)</f>
        <v>0</v>
      </c>
      <c r="AS50" s="50">
        <f t="shared" si="25"/>
        <v>0</v>
      </c>
      <c r="AT50">
        <f t="shared" si="26"/>
        <v>0</v>
      </c>
      <c r="AU50">
        <f t="shared" si="27"/>
        <v>0</v>
      </c>
      <c r="AW50" s="50"/>
    </row>
    <row r="51" spans="1:49">
      <c r="A51">
        <v>2048</v>
      </c>
      <c r="B51" s="50">
        <f>'Future Type Share'!AT49*'Future EndUse Share'!P162</f>
        <v>15702.656704596126</v>
      </c>
      <c r="C51">
        <f>'Future Type Share'!AR49*0.5*'Future EndUse Share'!AP162</f>
        <v>0</v>
      </c>
      <c r="D51">
        <f>'Future Type Share'!AP49*'Future EndUse Share'!AP162</f>
        <v>0</v>
      </c>
      <c r="E51">
        <f t="shared" si="28"/>
        <v>0</v>
      </c>
      <c r="F51">
        <v>0</v>
      </c>
      <c r="G51">
        <v>0</v>
      </c>
      <c r="I51" s="56"/>
      <c r="K51">
        <v>2048</v>
      </c>
      <c r="L51" s="50">
        <f>'Future Type Share'!AT49*'Future EndUse Share'!$N162</f>
        <v>36639.532310724295</v>
      </c>
      <c r="M51">
        <f>'Future Type Share'!AR49*0.5*'Future EndUse Share'!$AN$131</f>
        <v>0</v>
      </c>
      <c r="N51">
        <f>'Future Type Share'!AP49*'Future EndUse Share'!$AN$131</f>
        <v>13.359443880179118</v>
      </c>
      <c r="O51" s="50">
        <f t="shared" si="13"/>
        <v>0</v>
      </c>
      <c r="P51">
        <f t="shared" si="14"/>
        <v>0</v>
      </c>
      <c r="Q51">
        <f t="shared" si="15"/>
        <v>0</v>
      </c>
      <c r="S51" s="56"/>
      <c r="U51">
        <v>2048</v>
      </c>
      <c r="V51">
        <f t="shared" si="16"/>
        <v>0</v>
      </c>
      <c r="W51">
        <f t="shared" si="17"/>
        <v>0</v>
      </c>
      <c r="X51">
        <f t="shared" si="18"/>
        <v>0</v>
      </c>
      <c r="Y51">
        <f t="shared" si="19"/>
        <v>0</v>
      </c>
      <c r="Z51">
        <f t="shared" si="20"/>
        <v>0</v>
      </c>
      <c r="AA51">
        <f t="shared" si="21"/>
        <v>0</v>
      </c>
      <c r="AC51" s="56"/>
      <c r="AE51">
        <v>2048</v>
      </c>
      <c r="AF51" s="50">
        <f>'Future Type Share'!AT49*('Future EndUse Share'!$O162+'Future EndUse Share'!$Q162+'Future EndUse Share'!$R162+'Future EndUse Share'!$P162)</f>
        <v>39256.641761490311</v>
      </c>
      <c r="AG51" s="50">
        <f>'Future Type Share'!AR49*0.5*('Future EndUse Share'!AO162+'Future EndUse Share'!AQ162+'Future EndUse Share'!AR162)</f>
        <v>0</v>
      </c>
      <c r="AH51" s="50">
        <f>'Future Type Share'!AP49*('Future EndUse Share'!$AO162+'Future EndUse Share'!$AQ162+'Future EndUse Share'!$AR162)</f>
        <v>16173.148291250689</v>
      </c>
      <c r="AI51" s="50">
        <f t="shared" si="22"/>
        <v>0</v>
      </c>
      <c r="AJ51">
        <f t="shared" si="23"/>
        <v>0</v>
      </c>
      <c r="AK51">
        <f t="shared" si="24"/>
        <v>0</v>
      </c>
      <c r="AM51" s="56"/>
      <c r="AO51">
        <v>2048</v>
      </c>
      <c r="AP51" s="50">
        <f>'Future Type Share'!AT49*('Future EndUse Share'!S162)</f>
        <v>54959.298466086439</v>
      </c>
      <c r="AQ51" s="50">
        <f>'Future Type Share'!AR49*0.5*('Future EndUse Share'!AS162)</f>
        <v>0</v>
      </c>
      <c r="AR51" s="50">
        <f>'Future Type Share'!AP49*('Future EndUse Share'!AS162)</f>
        <v>0</v>
      </c>
      <c r="AS51" s="50">
        <f t="shared" si="25"/>
        <v>0</v>
      </c>
      <c r="AT51">
        <f t="shared" si="26"/>
        <v>0</v>
      </c>
      <c r="AU51">
        <f t="shared" si="27"/>
        <v>0</v>
      </c>
      <c r="AW51" s="50"/>
    </row>
    <row r="52" spans="1:49">
      <c r="A52">
        <v>2049</v>
      </c>
      <c r="B52" s="50">
        <f>'Future Type Share'!AT50*'Future EndUse Share'!P163</f>
        <v>15802.381781504819</v>
      </c>
      <c r="C52">
        <f>'Future Type Share'!AR50*0.5*'Future EndUse Share'!AP163</f>
        <v>0</v>
      </c>
      <c r="D52">
        <f>'Future Type Share'!AP50*'Future EndUse Share'!AP163</f>
        <v>0</v>
      </c>
      <c r="E52">
        <f t="shared" si="28"/>
        <v>0</v>
      </c>
      <c r="F52">
        <v>0</v>
      </c>
      <c r="G52">
        <v>0</v>
      </c>
      <c r="I52" s="56"/>
      <c r="K52">
        <v>2049</v>
      </c>
      <c r="L52" s="50">
        <f>'Future Type Share'!AT50*'Future EndUse Share'!$N163</f>
        <v>36872.224156844582</v>
      </c>
      <c r="M52">
        <f>'Future Type Share'!AR50*0.5*'Future EndUse Share'!$AN$131</f>
        <v>0</v>
      </c>
      <c r="N52">
        <f>'Future Type Share'!AP50*'Future EndUse Share'!$AN$131</f>
        <v>13.444287584876445</v>
      </c>
      <c r="O52" s="50">
        <f t="shared" si="13"/>
        <v>0</v>
      </c>
      <c r="P52">
        <f t="shared" si="14"/>
        <v>0</v>
      </c>
      <c r="Q52">
        <f t="shared" si="15"/>
        <v>0</v>
      </c>
      <c r="S52" s="56"/>
      <c r="U52">
        <v>2049</v>
      </c>
      <c r="V52">
        <f t="shared" si="16"/>
        <v>0</v>
      </c>
      <c r="W52">
        <f t="shared" si="17"/>
        <v>0</v>
      </c>
      <c r="X52">
        <f t="shared" si="18"/>
        <v>0</v>
      </c>
      <c r="Y52">
        <f t="shared" si="19"/>
        <v>0</v>
      </c>
      <c r="Z52">
        <f t="shared" si="20"/>
        <v>0</v>
      </c>
      <c r="AA52">
        <f t="shared" si="21"/>
        <v>0</v>
      </c>
      <c r="AC52" s="56"/>
      <c r="AE52">
        <v>2049</v>
      </c>
      <c r="AF52" s="50">
        <f>'Future Type Share'!AT50*('Future EndUse Share'!$O163+'Future EndUse Share'!$Q163+'Future EndUse Share'!$R163+'Future EndUse Share'!$P163)</f>
        <v>39505.954453762046</v>
      </c>
      <c r="AG52" s="50">
        <f>'Future Type Share'!AR50*0.5*('Future EndUse Share'!AO163+'Future EndUse Share'!AQ163+'Future EndUse Share'!AR163)</f>
        <v>0</v>
      </c>
      <c r="AH52" s="50">
        <f>'Future Type Share'!AP50*('Future EndUse Share'!$AO163+'Future EndUse Share'!$AQ163+'Future EndUse Share'!$AR163)</f>
        <v>16275.861385445038</v>
      </c>
      <c r="AI52" s="50">
        <f t="shared" si="22"/>
        <v>0</v>
      </c>
      <c r="AJ52">
        <f t="shared" si="23"/>
        <v>0</v>
      </c>
      <c r="AK52">
        <f t="shared" si="24"/>
        <v>0</v>
      </c>
      <c r="AM52" s="56"/>
      <c r="AO52">
        <v>2049</v>
      </c>
      <c r="AP52" s="50">
        <f>'Future Type Share'!AT50*('Future EndUse Share'!S163)</f>
        <v>55308.336235266863</v>
      </c>
      <c r="AQ52" s="50">
        <f>'Future Type Share'!AR50*0.5*('Future EndUse Share'!AS163)</f>
        <v>0</v>
      </c>
      <c r="AR52" s="50">
        <f>'Future Type Share'!AP50*('Future EndUse Share'!AS163)</f>
        <v>0</v>
      </c>
      <c r="AS52" s="50">
        <f t="shared" si="25"/>
        <v>0</v>
      </c>
      <c r="AT52">
        <f t="shared" si="26"/>
        <v>0</v>
      </c>
      <c r="AU52">
        <f t="shared" si="27"/>
        <v>0</v>
      </c>
      <c r="AW52" s="50"/>
    </row>
    <row r="53" spans="1:49">
      <c r="A53">
        <v>2050</v>
      </c>
      <c r="B53" s="50">
        <f>'Future Type Share'!AT51*'Future EndUse Share'!P164</f>
        <v>15902.106858413517</v>
      </c>
      <c r="C53">
        <f>'Future Type Share'!AR51*0.5*'Future EndUse Share'!AP164</f>
        <v>0</v>
      </c>
      <c r="D53">
        <f>'Future Type Share'!AP51*'Future EndUse Share'!AP164</f>
        <v>0</v>
      </c>
      <c r="E53">
        <f t="shared" si="28"/>
        <v>0</v>
      </c>
      <c r="F53">
        <v>0</v>
      </c>
      <c r="G53">
        <v>0</v>
      </c>
      <c r="I53" s="56"/>
      <c r="K53">
        <v>2050</v>
      </c>
      <c r="L53" s="50">
        <f>'Future Type Share'!AT51*'Future EndUse Share'!$N164</f>
        <v>37104.916002964877</v>
      </c>
      <c r="M53">
        <f>'Future Type Share'!AR51*0.5*'Future EndUse Share'!$AN$131</f>
        <v>0</v>
      </c>
      <c r="N53">
        <f>'Future Type Share'!AP51*'Future EndUse Share'!$AN$131</f>
        <v>13.529131289573774</v>
      </c>
      <c r="O53" s="50">
        <f t="shared" si="13"/>
        <v>0</v>
      </c>
      <c r="P53">
        <f t="shared" si="14"/>
        <v>0</v>
      </c>
      <c r="Q53">
        <f t="shared" si="15"/>
        <v>0</v>
      </c>
      <c r="S53" s="56"/>
      <c r="U53">
        <v>2050</v>
      </c>
      <c r="V53">
        <f t="shared" si="16"/>
        <v>0</v>
      </c>
      <c r="W53">
        <f t="shared" si="17"/>
        <v>0</v>
      </c>
      <c r="X53">
        <f t="shared" si="18"/>
        <v>0</v>
      </c>
      <c r="Y53">
        <f t="shared" si="19"/>
        <v>0</v>
      </c>
      <c r="Z53">
        <f t="shared" si="20"/>
        <v>0</v>
      </c>
      <c r="AA53">
        <f t="shared" si="21"/>
        <v>0</v>
      </c>
      <c r="AC53" s="56"/>
      <c r="AE53">
        <v>2050</v>
      </c>
      <c r="AF53" s="50">
        <f>'Future Type Share'!AT51*('Future EndUse Share'!$O164+'Future EndUse Share'!$Q164+'Future EndUse Share'!$R164+'Future EndUse Share'!$P164)</f>
        <v>39755.267146033795</v>
      </c>
      <c r="AG53" s="50">
        <f>'Future Type Share'!AR51*0.5*('Future EndUse Share'!AO164+'Future EndUse Share'!AQ164+'Future EndUse Share'!AR164)</f>
        <v>0</v>
      </c>
      <c r="AH53" s="50">
        <f>'Future Type Share'!AP51*('Future EndUse Share'!$AO164+'Future EndUse Share'!$AQ164+'Future EndUse Share'!$AR164)</f>
        <v>16378.574479639388</v>
      </c>
      <c r="AI53" s="50">
        <f t="shared" si="22"/>
        <v>0</v>
      </c>
      <c r="AJ53">
        <f t="shared" si="23"/>
        <v>0</v>
      </c>
      <c r="AK53">
        <f t="shared" si="24"/>
        <v>0</v>
      </c>
      <c r="AM53" s="56"/>
      <c r="AO53">
        <v>2050</v>
      </c>
      <c r="AP53" s="50">
        <f>'Future Type Share'!AT51*('Future EndUse Share'!S164)</f>
        <v>55657.374004447316</v>
      </c>
      <c r="AQ53" s="50">
        <f>'Future Type Share'!AR51*0.5*('Future EndUse Share'!AS164)</f>
        <v>0</v>
      </c>
      <c r="AR53" s="50">
        <f>'Future Type Share'!AP51*('Future EndUse Share'!AS164)</f>
        <v>0</v>
      </c>
      <c r="AS53" s="50">
        <f t="shared" si="25"/>
        <v>0</v>
      </c>
      <c r="AT53">
        <f t="shared" si="26"/>
        <v>0</v>
      </c>
      <c r="AU53">
        <f t="shared" si="27"/>
        <v>0</v>
      </c>
      <c r="AW53" s="50"/>
    </row>
    <row r="55" spans="1:49">
      <c r="L55" t="s">
        <v>940</v>
      </c>
    </row>
    <row r="56" spans="1:49">
      <c r="L56" t="s">
        <v>941</v>
      </c>
    </row>
  </sheetData>
  <phoneticPr fontId="3"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55"/>
  <sheetViews>
    <sheetView zoomScale="85" workbookViewId="0">
      <selection activeCell="K14" sqref="K14"/>
    </sheetView>
  </sheetViews>
  <sheetFormatPr baseColWidth="10" defaultColWidth="8.796875" defaultRowHeight="14"/>
  <cols>
    <col min="1" max="1" width="5.796875" customWidth="1"/>
    <col min="2" max="2" width="17.796875" customWidth="1"/>
    <col min="11" max="11" width="7.3984375" customWidth="1"/>
  </cols>
  <sheetData>
    <row r="1" spans="1:47" ht="22">
      <c r="A1" s="100" t="s">
        <v>942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TRANSPOSE(Commercial_1!B9:G53)</f>
        <v>15863.890000000001</v>
      </c>
      <c r="D5">
        <v>15501.841449125204</v>
      </c>
      <c r="E5">
        <v>15139.792898250511</v>
      </c>
      <c r="F5">
        <v>14777.744347375818</v>
      </c>
      <c r="G5">
        <v>14415.695796501008</v>
      </c>
      <c r="H5">
        <v>14053.647245626315</v>
      </c>
      <c r="I5">
        <v>13691.59869475165</v>
      </c>
      <c r="J5">
        <v>13641.667263442123</v>
      </c>
      <c r="K5">
        <v>13512</v>
      </c>
      <c r="L5">
        <v>13479.128805687747</v>
      </c>
      <c r="M5">
        <v>13246.126347316811</v>
      </c>
      <c r="N5">
        <v>13131.749080452082</v>
      </c>
      <c r="O5">
        <v>13353.74873227776</v>
      </c>
      <c r="P5">
        <v>13182.122070249197</v>
      </c>
      <c r="Q5">
        <v>12719.12449347141</v>
      </c>
      <c r="R5">
        <v>12846.76041103299</v>
      </c>
      <c r="S5">
        <v>13079.961592973828</v>
      </c>
      <c r="T5">
        <v>13212.766124712598</v>
      </c>
      <c r="U5">
        <v>13346.073549468885</v>
      </c>
      <c r="V5">
        <v>13418.661509656933</v>
      </c>
      <c r="W5">
        <v>13518.458590231268</v>
      </c>
      <c r="X5">
        <v>13618.255670805602</v>
      </c>
      <c r="Y5">
        <v>13718.052751379937</v>
      </c>
      <c r="Z5">
        <v>13817.849831954272</v>
      </c>
      <c r="AA5">
        <v>13917.646912528606</v>
      </c>
      <c r="AB5">
        <v>14017.443993102937</v>
      </c>
      <c r="AC5">
        <v>14117.241073677276</v>
      </c>
      <c r="AD5">
        <v>14217.03815425161</v>
      </c>
      <c r="AE5">
        <v>14316.835234825938</v>
      </c>
      <c r="AF5">
        <v>14416.632315400273</v>
      </c>
      <c r="AG5">
        <v>14505.95578169177</v>
      </c>
      <c r="AH5">
        <v>14605.68085860047</v>
      </c>
      <c r="AI5">
        <v>14705.405935509159</v>
      </c>
      <c r="AJ5">
        <v>14805.131012417858</v>
      </c>
      <c r="AK5">
        <v>14904.856089326557</v>
      </c>
      <c r="AL5">
        <v>15004.58116623525</v>
      </c>
      <c r="AM5">
        <v>15104.306243143947</v>
      </c>
      <c r="AN5">
        <v>15204.031320052642</v>
      </c>
      <c r="AO5">
        <v>15303.756396961335</v>
      </c>
      <c r="AP5">
        <v>15403.481473870037</v>
      </c>
      <c r="AQ5">
        <v>15503.206550778732</v>
      </c>
      <c r="AR5">
        <v>15602.931627687425</v>
      </c>
      <c r="AS5">
        <v>15702.656704596126</v>
      </c>
      <c r="AT5">
        <v>15802.381781504819</v>
      </c>
      <c r="AU5">
        <v>15902.106858413517</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TRANSPOSE(Commercial_1!L9:Q53)</f>
        <v>30794.61</v>
      </c>
      <c r="D14">
        <v>30457.341666666791</v>
      </c>
      <c r="E14">
        <v>30120.073333333479</v>
      </c>
      <c r="F14">
        <v>29782.805000000051</v>
      </c>
      <c r="G14">
        <v>29445.53666666674</v>
      </c>
      <c r="H14">
        <v>28553</v>
      </c>
      <c r="I14">
        <v>28771</v>
      </c>
      <c r="J14">
        <v>28507</v>
      </c>
      <c r="K14">
        <v>29374</v>
      </c>
      <c r="L14">
        <v>29221</v>
      </c>
      <c r="M14">
        <v>28523</v>
      </c>
      <c r="N14">
        <v>28706</v>
      </c>
      <c r="O14">
        <v>30528</v>
      </c>
      <c r="P14">
        <v>30170</v>
      </c>
      <c r="Q14">
        <v>28847</v>
      </c>
      <c r="R14">
        <v>29701</v>
      </c>
      <c r="S14">
        <v>30519.910383605602</v>
      </c>
      <c r="T14">
        <v>30829.787624329398</v>
      </c>
      <c r="U14">
        <v>31140.838282094071</v>
      </c>
      <c r="V14">
        <v>31310.210189199515</v>
      </c>
      <c r="W14">
        <v>31543.070043872965</v>
      </c>
      <c r="X14">
        <v>31775.929898546405</v>
      </c>
      <c r="Y14">
        <v>32008.789753219855</v>
      </c>
      <c r="Z14">
        <v>32241.649607893305</v>
      </c>
      <c r="AA14">
        <v>32474.509462566752</v>
      </c>
      <c r="AB14">
        <v>32707.369317240191</v>
      </c>
      <c r="AC14">
        <v>32940.229171913648</v>
      </c>
      <c r="AD14">
        <v>33173.089026587091</v>
      </c>
      <c r="AE14">
        <v>33405.948881260527</v>
      </c>
      <c r="AF14">
        <v>33638.808735933977</v>
      </c>
      <c r="AG14">
        <v>33847.230157280799</v>
      </c>
      <c r="AH14">
        <v>34079.922003401101</v>
      </c>
      <c r="AI14">
        <v>34312.613849521375</v>
      </c>
      <c r="AJ14">
        <v>34545.305695641677</v>
      </c>
      <c r="AK14">
        <v>34777.997541761972</v>
      </c>
      <c r="AL14">
        <v>35010.689387882252</v>
      </c>
      <c r="AM14">
        <v>35243.381234002547</v>
      </c>
      <c r="AN14">
        <v>35476.073080122835</v>
      </c>
      <c r="AO14">
        <v>35708.764926243122</v>
      </c>
      <c r="AP14">
        <v>35941.456772363425</v>
      </c>
      <c r="AQ14">
        <v>36174.148618483712</v>
      </c>
      <c r="AR14">
        <v>36406.840464604</v>
      </c>
      <c r="AS14">
        <v>36639.532310724295</v>
      </c>
      <c r="AT14">
        <v>36872.224156844582</v>
      </c>
      <c r="AU14">
        <v>37104.916002964877</v>
      </c>
    </row>
    <row r="15" spans="1:47">
      <c r="B15" t="s">
        <v>945</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v>0</v>
      </c>
      <c r="D16">
        <v>2.1666666666669698</v>
      </c>
      <c r="E16">
        <v>4.3333333333330302</v>
      </c>
      <c r="F16">
        <v>6.5</v>
      </c>
      <c r="G16">
        <v>8.6666666666669698</v>
      </c>
      <c r="H16">
        <v>12</v>
      </c>
      <c r="I16">
        <v>13</v>
      </c>
      <c r="J16">
        <v>13</v>
      </c>
      <c r="K16">
        <v>12</v>
      </c>
      <c r="L16">
        <v>12</v>
      </c>
      <c r="M16">
        <v>13</v>
      </c>
      <c r="N16">
        <v>13</v>
      </c>
      <c r="O16">
        <v>13</v>
      </c>
      <c r="P16">
        <v>13</v>
      </c>
      <c r="Q16">
        <v>10</v>
      </c>
      <c r="R16">
        <v>11</v>
      </c>
      <c r="S16">
        <v>11.432143920148604</v>
      </c>
      <c r="T16">
        <v>11.289840394228611</v>
      </c>
      <c r="U16">
        <v>11.144075178329064</v>
      </c>
      <c r="V16">
        <v>11.416275523167412</v>
      </c>
      <c r="W16">
        <v>11.501180486857303</v>
      </c>
      <c r="X16">
        <v>11.586085450547191</v>
      </c>
      <c r="Y16">
        <v>11.670990414237082</v>
      </c>
      <c r="Z16">
        <v>11.75589537792697</v>
      </c>
      <c r="AA16">
        <v>11.840800341616861</v>
      </c>
      <c r="AB16">
        <v>11.925705305306748</v>
      </c>
      <c r="AC16">
        <v>12.010610268996642</v>
      </c>
      <c r="AD16">
        <v>12.09551523268653</v>
      </c>
      <c r="AE16">
        <v>12.180420196376415</v>
      </c>
      <c r="AF16">
        <v>12.265325160066306</v>
      </c>
      <c r="AG16">
        <v>12.34131942381118</v>
      </c>
      <c r="AH16">
        <v>12.426163128508511</v>
      </c>
      <c r="AI16">
        <v>12.511006833205835</v>
      </c>
      <c r="AJ16">
        <v>12.595850537903164</v>
      </c>
      <c r="AK16">
        <v>12.680694242600495</v>
      </c>
      <c r="AL16">
        <v>12.765537947297821</v>
      </c>
      <c r="AM16">
        <v>12.85038165199515</v>
      </c>
      <c r="AN16">
        <v>12.935225356692476</v>
      </c>
      <c r="AO16">
        <v>13.020069061389803</v>
      </c>
      <c r="AP16">
        <v>13.104912766087134</v>
      </c>
      <c r="AQ16">
        <v>13.189756470784461</v>
      </c>
      <c r="AR16">
        <v>13.274600175481787</v>
      </c>
      <c r="AS16">
        <v>13.359443880179118</v>
      </c>
      <c r="AT16">
        <v>13.444287584876445</v>
      </c>
      <c r="AU16">
        <v>13.529131289573774</v>
      </c>
    </row>
    <row r="17" spans="1:47">
      <c r="B17" t="s">
        <v>947</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TRANSPOSE(Commercial_1!V9:AA53)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TRANSPOSE(Commercial_1!AF9:AK53)</f>
        <v>15863.89</v>
      </c>
      <c r="D32">
        <v>17522.115567561705</v>
      </c>
      <c r="E32">
        <v>19180.341135123279</v>
      </c>
      <c r="F32">
        <v>20838.566702684853</v>
      </c>
      <c r="G32">
        <v>22496.792270246428</v>
      </c>
      <c r="H32">
        <v>24155.017837808002</v>
      </c>
      <c r="I32">
        <v>25813.243405369496</v>
      </c>
      <c r="J32">
        <v>26426.292605854269</v>
      </c>
      <c r="K32">
        <v>26845.999999999996</v>
      </c>
      <c r="L32">
        <v>27410.261930699693</v>
      </c>
      <c r="M32">
        <v>27861.265752875865</v>
      </c>
      <c r="N32">
        <v>28343.458417326667</v>
      </c>
      <c r="O32">
        <v>29487.445156313213</v>
      </c>
      <c r="P32">
        <v>28250.261605563635</v>
      </c>
      <c r="Q32">
        <v>24518.239981990097</v>
      </c>
      <c r="R32">
        <v>26074.513716640871</v>
      </c>
      <c r="S32">
        <v>32699.903982434571</v>
      </c>
      <c r="T32">
        <v>33031.915311781493</v>
      </c>
      <c r="U32">
        <v>33365.183873672213</v>
      </c>
      <c r="V32">
        <v>33546.653774142331</v>
      </c>
      <c r="W32">
        <v>33796.146475578171</v>
      </c>
      <c r="X32">
        <v>34045.639177014004</v>
      </c>
      <c r="Y32">
        <v>34295.131878449843</v>
      </c>
      <c r="Z32">
        <v>34544.624579885676</v>
      </c>
      <c r="AA32">
        <v>34794.117281321516</v>
      </c>
      <c r="AB32">
        <v>35043.609982757342</v>
      </c>
      <c r="AC32">
        <v>35293.102684193189</v>
      </c>
      <c r="AD32">
        <v>35542.595385629022</v>
      </c>
      <c r="AE32">
        <v>35792.088087064847</v>
      </c>
      <c r="AF32">
        <v>36041.580788500687</v>
      </c>
      <c r="AG32">
        <v>36264.889454229422</v>
      </c>
      <c r="AH32">
        <v>36514.202146501171</v>
      </c>
      <c r="AI32">
        <v>36763.514838772899</v>
      </c>
      <c r="AJ32">
        <v>37012.827531044648</v>
      </c>
      <c r="AK32">
        <v>37262.14022331639</v>
      </c>
      <c r="AL32">
        <v>37511.452915588125</v>
      </c>
      <c r="AM32">
        <v>37760.765607859867</v>
      </c>
      <c r="AN32">
        <v>38010.078300131601</v>
      </c>
      <c r="AO32">
        <v>38259.390992403336</v>
      </c>
      <c r="AP32">
        <v>38508.703684675093</v>
      </c>
      <c r="AQ32">
        <v>38758.016376946827</v>
      </c>
      <c r="AR32">
        <v>39007.329069218562</v>
      </c>
      <c r="AS32">
        <v>39256.641761490311</v>
      </c>
      <c r="AT32">
        <v>39505.954453762046</v>
      </c>
      <c r="AU32">
        <v>39755.267146033795</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13627.461387407766</v>
      </c>
      <c r="D34">
        <v>13216.416883872589</v>
      </c>
      <c r="E34">
        <v>12805.372380337561</v>
      </c>
      <c r="F34">
        <v>12394.327876802417</v>
      </c>
      <c r="G34">
        <v>11983.28337326739</v>
      </c>
      <c r="H34">
        <v>11572.238869732246</v>
      </c>
      <c r="I34">
        <v>11161.194366197184</v>
      </c>
      <c r="J34">
        <v>11300.320430242013</v>
      </c>
      <c r="K34">
        <v>11349.872328563464</v>
      </c>
      <c r="L34">
        <v>11312.374429223744</v>
      </c>
      <c r="M34">
        <v>11399.436299615878</v>
      </c>
      <c r="N34">
        <v>11641.8426737832</v>
      </c>
      <c r="O34">
        <v>11791.012556504269</v>
      </c>
      <c r="P34">
        <v>11511.803409696324</v>
      </c>
      <c r="Q34">
        <v>9486.0422706292011</v>
      </c>
      <c r="R34">
        <v>9932.8047033172388</v>
      </c>
      <c r="S34">
        <v>13839.929308869132</v>
      </c>
      <c r="T34">
        <v>13667.654471105374</v>
      </c>
      <c r="U34">
        <v>13491.188858195601</v>
      </c>
      <c r="V34">
        <v>13820.718783354518</v>
      </c>
      <c r="W34">
        <v>13923.506038627709</v>
      </c>
      <c r="X34">
        <v>14026.293293900899</v>
      </c>
      <c r="Y34">
        <v>14129.08054917409</v>
      </c>
      <c r="Z34">
        <v>14231.867804447282</v>
      </c>
      <c r="AA34">
        <v>14334.655059720473</v>
      </c>
      <c r="AB34">
        <v>14437.442314993661</v>
      </c>
      <c r="AC34">
        <v>14540.229570266856</v>
      </c>
      <c r="AD34">
        <v>14643.016825540046</v>
      </c>
      <c r="AE34">
        <v>14745.804080813232</v>
      </c>
      <c r="AF34">
        <v>14848.591336086423</v>
      </c>
      <c r="AG34">
        <v>14940.591160918488</v>
      </c>
      <c r="AH34">
        <v>15043.304255112842</v>
      </c>
      <c r="AI34">
        <v>15146.017349307187</v>
      </c>
      <c r="AJ34">
        <v>15248.730443501538</v>
      </c>
      <c r="AK34">
        <v>15351.44353769589</v>
      </c>
      <c r="AL34">
        <v>15454.156631890237</v>
      </c>
      <c r="AM34">
        <v>15556.869726084589</v>
      </c>
      <c r="AN34">
        <v>15659.582820278936</v>
      </c>
      <c r="AO34">
        <v>15762.295914473285</v>
      </c>
      <c r="AP34">
        <v>15865.009008667639</v>
      </c>
      <c r="AQ34">
        <v>15967.722102861988</v>
      </c>
      <c r="AR34">
        <v>16070.435197056335</v>
      </c>
      <c r="AS34">
        <v>16173.148291250689</v>
      </c>
      <c r="AT34">
        <v>16275.861385445038</v>
      </c>
      <c r="AU34">
        <v>16378.574479639388</v>
      </c>
    </row>
    <row r="35" spans="1:47">
      <c r="B35" t="s">
        <v>947</v>
      </c>
      <c r="C35">
        <v>4934.7186125922335</v>
      </c>
      <c r="D35">
        <v>4112.2655104934238</v>
      </c>
      <c r="E35">
        <v>3289.8124083948787</v>
      </c>
      <c r="F35">
        <v>2467.3593062961008</v>
      </c>
      <c r="G35">
        <v>1644.9062041973229</v>
      </c>
      <c r="H35">
        <v>822.45310209877789</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f t="array" ref="C41:AU46">TRANSPOSE(Commercial_1!AP9:AU53)</f>
        <v>30794.61</v>
      </c>
      <c r="D41">
        <v>33623.774976227432</v>
      </c>
      <c r="E41">
        <v>36452.939952453598</v>
      </c>
      <c r="F41">
        <v>39282.104928680696</v>
      </c>
      <c r="G41">
        <v>42111.269904907793</v>
      </c>
      <c r="H41">
        <v>44940.434881133959</v>
      </c>
      <c r="I41">
        <v>47769.59985736059</v>
      </c>
      <c r="J41">
        <v>47286.312945135789</v>
      </c>
      <c r="K41">
        <v>47251</v>
      </c>
      <c r="L41">
        <v>48015.458832635748</v>
      </c>
      <c r="M41">
        <v>48454.462179743983</v>
      </c>
      <c r="N41">
        <v>47620.090082257746</v>
      </c>
      <c r="O41">
        <v>46276.129255924665</v>
      </c>
      <c r="P41">
        <v>49567.459008954786</v>
      </c>
      <c r="Q41">
        <v>48801.477663802048</v>
      </c>
      <c r="R41">
        <v>51465.040189478001</v>
      </c>
      <c r="S41">
        <v>45779.865575408396</v>
      </c>
      <c r="T41">
        <v>46244.681436494087</v>
      </c>
      <c r="U41">
        <v>46711.257423141098</v>
      </c>
      <c r="V41">
        <v>46965.315283799267</v>
      </c>
      <c r="W41">
        <v>47314.605065809439</v>
      </c>
      <c r="X41">
        <v>47663.894847819603</v>
      </c>
      <c r="Y41">
        <v>48013.184629829775</v>
      </c>
      <c r="Z41">
        <v>48362.474411839954</v>
      </c>
      <c r="AA41">
        <v>48711.764193850118</v>
      </c>
      <c r="AB41">
        <v>49061.053975860283</v>
      </c>
      <c r="AC41">
        <v>49410.343757870469</v>
      </c>
      <c r="AD41">
        <v>49759.633539880633</v>
      </c>
      <c r="AE41">
        <v>50108.923321890783</v>
      </c>
      <c r="AF41">
        <v>50458.213103900955</v>
      </c>
      <c r="AG41">
        <v>50770.845235921195</v>
      </c>
      <c r="AH41">
        <v>51119.883005101641</v>
      </c>
      <c r="AI41">
        <v>51468.920774282058</v>
      </c>
      <c r="AJ41">
        <v>51817.958543462504</v>
      </c>
      <c r="AK41">
        <v>52166.996312642943</v>
      </c>
      <c r="AL41">
        <v>52516.034081823374</v>
      </c>
      <c r="AM41">
        <v>52865.071851003813</v>
      </c>
      <c r="AN41">
        <v>53214.109620184245</v>
      </c>
      <c r="AO41">
        <v>53563.147389364676</v>
      </c>
      <c r="AP41">
        <v>53912.18515854513</v>
      </c>
      <c r="AQ41">
        <v>54261.222927725561</v>
      </c>
      <c r="AR41">
        <v>54610.260696905993</v>
      </c>
      <c r="AS41">
        <v>54959.298466086439</v>
      </c>
      <c r="AT41">
        <v>55308.336235266863</v>
      </c>
      <c r="AU41">
        <v>55657.374004447316</v>
      </c>
    </row>
    <row r="42" spans="1:47">
      <c r="B42" t="s">
        <v>945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v>0</v>
      </c>
      <c r="D43">
        <v>517.86416275426745</v>
      </c>
      <c r="E43">
        <v>1035.7283255086513</v>
      </c>
      <c r="F43">
        <v>1553.5924882629188</v>
      </c>
      <c r="G43">
        <v>2071.4566510171862</v>
      </c>
      <c r="H43">
        <v>2589.3208137715701</v>
      </c>
      <c r="I43">
        <v>3107.1849765258216</v>
      </c>
      <c r="J43">
        <v>3199.8819335876428</v>
      </c>
      <c r="K43">
        <v>3352.1906708790189</v>
      </c>
      <c r="L43">
        <v>3211.5639269406392</v>
      </c>
      <c r="M43">
        <v>3189.4117797695262</v>
      </c>
      <c r="N43">
        <v>3253.8429279451011</v>
      </c>
      <c r="O43">
        <v>3450.5375439477648</v>
      </c>
      <c r="P43">
        <v>2915.6952583910497</v>
      </c>
      <c r="Q43">
        <v>2351.3642400194349</v>
      </c>
      <c r="R43">
        <v>2409.614156673415</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row>
    <row r="44" spans="1:47">
      <c r="B44" t="s">
        <v>947</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 t="shared" ref="C50:C55" si="0">SUM(C5,C14,C23,C32,C41)</f>
        <v>93317</v>
      </c>
      <c r="D50" s="50">
        <f t="shared" ref="D50:AU55" si="1">SUM(D5,D14,D23,D32,D41)</f>
        <v>97105.073659581132</v>
      </c>
      <c r="E50" s="50">
        <f t="shared" si="1"/>
        <v>100893.14731916087</v>
      </c>
      <c r="F50" s="50">
        <f t="shared" si="1"/>
        <v>104681.22097874142</v>
      </c>
      <c r="G50" s="50">
        <f t="shared" si="1"/>
        <v>108469.29463832197</v>
      </c>
      <c r="H50" s="50">
        <f t="shared" si="1"/>
        <v>111702.09996456828</v>
      </c>
      <c r="I50" s="50">
        <f t="shared" si="1"/>
        <v>116045.44195748173</v>
      </c>
      <c r="J50" s="50">
        <f t="shared" si="1"/>
        <v>115861.27281443219</v>
      </c>
      <c r="K50" s="50">
        <f t="shared" si="1"/>
        <v>116983</v>
      </c>
      <c r="L50" s="50">
        <f t="shared" si="1"/>
        <v>118125.84956902318</v>
      </c>
      <c r="M50" s="50">
        <f t="shared" si="1"/>
        <v>118084.85427993664</v>
      </c>
      <c r="N50" s="50">
        <f t="shared" si="1"/>
        <v>117801.29758003648</v>
      </c>
      <c r="O50" s="50">
        <f t="shared" si="1"/>
        <v>119645.32314451564</v>
      </c>
      <c r="P50" s="50">
        <f t="shared" si="1"/>
        <v>121169.84268476762</v>
      </c>
      <c r="Q50" s="50">
        <f t="shared" si="1"/>
        <v>114885.84213926355</v>
      </c>
      <c r="R50" s="50">
        <f t="shared" si="1"/>
        <v>120087.31431715188</v>
      </c>
      <c r="S50" s="50">
        <f t="shared" si="1"/>
        <v>122079.64153442241</v>
      </c>
      <c r="T50" s="50">
        <f t="shared" si="1"/>
        <v>123319.15049731758</v>
      </c>
      <c r="U50" s="50">
        <f t="shared" si="1"/>
        <v>124563.35312837627</v>
      </c>
      <c r="V50" s="50">
        <f t="shared" si="1"/>
        <v>125240.84075679805</v>
      </c>
      <c r="W50" s="50">
        <f t="shared" si="1"/>
        <v>126172.28017549185</v>
      </c>
      <c r="X50" s="50">
        <f t="shared" si="1"/>
        <v>127103.71959418562</v>
      </c>
      <c r="Y50" s="50">
        <f t="shared" si="1"/>
        <v>128035.15901287942</v>
      </c>
      <c r="Z50" s="50">
        <f t="shared" si="1"/>
        <v>128966.59843157321</v>
      </c>
      <c r="AA50" s="50">
        <f t="shared" si="1"/>
        <v>129898.03785026699</v>
      </c>
      <c r="AB50" s="50">
        <f t="shared" si="1"/>
        <v>130829.47726896075</v>
      </c>
      <c r="AC50" s="50">
        <f t="shared" si="1"/>
        <v>131760.91668765459</v>
      </c>
      <c r="AD50" s="50">
        <f t="shared" si="1"/>
        <v>132692.35610634836</v>
      </c>
      <c r="AE50" s="50">
        <f t="shared" si="1"/>
        <v>133623.79552504211</v>
      </c>
      <c r="AF50" s="50">
        <f t="shared" si="1"/>
        <v>134555.23494373588</v>
      </c>
      <c r="AG50" s="50">
        <f t="shared" si="1"/>
        <v>135388.92062912317</v>
      </c>
      <c r="AH50" s="50">
        <f t="shared" si="1"/>
        <v>136319.68801360438</v>
      </c>
      <c r="AI50" s="50">
        <f t="shared" si="1"/>
        <v>137250.45539808547</v>
      </c>
      <c r="AJ50" s="50">
        <f t="shared" si="1"/>
        <v>138181.22278256668</v>
      </c>
      <c r="AK50" s="50">
        <f t="shared" si="1"/>
        <v>139111.99016704786</v>
      </c>
      <c r="AL50" s="50">
        <f t="shared" si="1"/>
        <v>140042.75755152901</v>
      </c>
      <c r="AM50" s="50">
        <f t="shared" si="1"/>
        <v>140973.52493601019</v>
      </c>
      <c r="AN50" s="50">
        <f t="shared" si="1"/>
        <v>141904.29232049134</v>
      </c>
      <c r="AO50" s="50">
        <f t="shared" si="1"/>
        <v>142835.05970497249</v>
      </c>
      <c r="AP50" s="50">
        <f t="shared" si="1"/>
        <v>143765.82708945367</v>
      </c>
      <c r="AQ50" s="50">
        <f t="shared" si="1"/>
        <v>144696.59447393482</v>
      </c>
      <c r="AR50" s="50">
        <f t="shared" si="1"/>
        <v>145627.36185841597</v>
      </c>
      <c r="AS50" s="50">
        <f t="shared" si="1"/>
        <v>146558.12924289718</v>
      </c>
      <c r="AT50" s="50">
        <f t="shared" si="1"/>
        <v>147488.8966273783</v>
      </c>
      <c r="AU50" s="50">
        <f t="shared" si="1"/>
        <v>148419.66401185951</v>
      </c>
    </row>
    <row r="51" spans="2:47">
      <c r="B51" t="s">
        <v>945</v>
      </c>
      <c r="C51" s="50">
        <f t="shared" si="0"/>
        <v>0</v>
      </c>
      <c r="D51" s="50">
        <f t="shared" ref="D51:R51" si="2">SUM(D6,D15,D24,D33,D42)</f>
        <v>0</v>
      </c>
      <c r="E51" s="50">
        <f t="shared" si="2"/>
        <v>0</v>
      </c>
      <c r="F51" s="50">
        <f t="shared" si="2"/>
        <v>0</v>
      </c>
      <c r="G51" s="50">
        <f t="shared" si="2"/>
        <v>0</v>
      </c>
      <c r="H51" s="50">
        <f t="shared" si="2"/>
        <v>0</v>
      </c>
      <c r="I51" s="50">
        <f t="shared" si="2"/>
        <v>0</v>
      </c>
      <c r="J51" s="50">
        <f t="shared" si="2"/>
        <v>0</v>
      </c>
      <c r="K51" s="50">
        <f t="shared" si="2"/>
        <v>0</v>
      </c>
      <c r="L51" s="50">
        <f t="shared" si="2"/>
        <v>0</v>
      </c>
      <c r="M51" s="50">
        <f t="shared" si="2"/>
        <v>0</v>
      </c>
      <c r="N51" s="50">
        <f t="shared" si="2"/>
        <v>0</v>
      </c>
      <c r="O51" s="50">
        <f t="shared" si="2"/>
        <v>0</v>
      </c>
      <c r="P51" s="50">
        <f t="shared" si="2"/>
        <v>0</v>
      </c>
      <c r="Q51" s="50">
        <f t="shared" si="2"/>
        <v>0</v>
      </c>
      <c r="R51" s="50">
        <f t="shared" si="2"/>
        <v>0</v>
      </c>
      <c r="S51" s="50">
        <f t="shared" si="1"/>
        <v>0</v>
      </c>
      <c r="T51" s="50">
        <f t="shared" si="1"/>
        <v>0</v>
      </c>
      <c r="U51" s="50">
        <f t="shared" si="1"/>
        <v>0</v>
      </c>
      <c r="V51" s="50">
        <f t="shared" si="1"/>
        <v>0</v>
      </c>
      <c r="W51" s="50">
        <f t="shared" si="1"/>
        <v>0</v>
      </c>
      <c r="X51" s="50">
        <f t="shared" si="1"/>
        <v>0</v>
      </c>
      <c r="Y51" s="50">
        <f t="shared" si="1"/>
        <v>0</v>
      </c>
      <c r="Z51" s="50">
        <f t="shared" si="1"/>
        <v>0</v>
      </c>
      <c r="AA51" s="50">
        <f t="shared" si="1"/>
        <v>0</v>
      </c>
      <c r="AB51" s="50">
        <f t="shared" si="1"/>
        <v>0</v>
      </c>
      <c r="AC51" s="50">
        <f t="shared" si="1"/>
        <v>0</v>
      </c>
      <c r="AD51" s="50">
        <f t="shared" si="1"/>
        <v>0</v>
      </c>
      <c r="AE51" s="50">
        <f t="shared" si="1"/>
        <v>0</v>
      </c>
      <c r="AF51" s="50">
        <f t="shared" si="1"/>
        <v>0</v>
      </c>
      <c r="AG51" s="50">
        <f t="shared" si="1"/>
        <v>0</v>
      </c>
      <c r="AH51" s="50">
        <f t="shared" si="1"/>
        <v>0</v>
      </c>
      <c r="AI51" s="50">
        <f t="shared" si="1"/>
        <v>0</v>
      </c>
      <c r="AJ51" s="50">
        <f t="shared" si="1"/>
        <v>0</v>
      </c>
      <c r="AK51" s="50">
        <f t="shared" si="1"/>
        <v>0</v>
      </c>
      <c r="AL51" s="50">
        <f t="shared" si="1"/>
        <v>0</v>
      </c>
      <c r="AM51" s="50">
        <f t="shared" si="1"/>
        <v>0</v>
      </c>
      <c r="AN51" s="50">
        <f t="shared" si="1"/>
        <v>0</v>
      </c>
      <c r="AO51" s="50">
        <f t="shared" si="1"/>
        <v>0</v>
      </c>
      <c r="AP51" s="50">
        <f t="shared" si="1"/>
        <v>0</v>
      </c>
      <c r="AQ51" s="50">
        <f t="shared" si="1"/>
        <v>0</v>
      </c>
      <c r="AR51" s="50">
        <f t="shared" si="1"/>
        <v>0</v>
      </c>
      <c r="AS51" s="50">
        <f t="shared" si="1"/>
        <v>0</v>
      </c>
      <c r="AT51" s="50">
        <f t="shared" si="1"/>
        <v>0</v>
      </c>
      <c r="AU51" s="50">
        <f t="shared" si="1"/>
        <v>0</v>
      </c>
    </row>
    <row r="52" spans="2:47">
      <c r="B52" t="s">
        <v>946</v>
      </c>
      <c r="C52" s="50">
        <f t="shared" si="0"/>
        <v>13627.461387407766</v>
      </c>
      <c r="D52" s="50">
        <f t="shared" si="1"/>
        <v>13736.447713293524</v>
      </c>
      <c r="E52" s="50">
        <f t="shared" si="1"/>
        <v>13845.434039179545</v>
      </c>
      <c r="F52" s="50">
        <f t="shared" si="1"/>
        <v>13954.420365065336</v>
      </c>
      <c r="G52" s="50">
        <f t="shared" si="1"/>
        <v>14063.406690951244</v>
      </c>
      <c r="H52" s="50">
        <f t="shared" si="1"/>
        <v>14173.559683503816</v>
      </c>
      <c r="I52" s="50">
        <f t="shared" si="1"/>
        <v>14281.379342723005</v>
      </c>
      <c r="J52" s="50">
        <f t="shared" si="1"/>
        <v>14513.202363829656</v>
      </c>
      <c r="K52" s="50">
        <f t="shared" si="1"/>
        <v>14714.062999442483</v>
      </c>
      <c r="L52" s="50">
        <f t="shared" si="1"/>
        <v>14535.938356164384</v>
      </c>
      <c r="M52" s="50">
        <f t="shared" si="1"/>
        <v>14601.848079385403</v>
      </c>
      <c r="N52" s="50">
        <f t="shared" si="1"/>
        <v>14908.685601728301</v>
      </c>
      <c r="O52" s="50">
        <f t="shared" si="1"/>
        <v>15254.550100452034</v>
      </c>
      <c r="P52" s="50">
        <f t="shared" si="1"/>
        <v>14440.498668087374</v>
      </c>
      <c r="Q52" s="50">
        <f t="shared" si="1"/>
        <v>11847.406510648636</v>
      </c>
      <c r="R52" s="50">
        <f t="shared" si="1"/>
        <v>12353.418859990654</v>
      </c>
      <c r="S52" s="50">
        <f t="shared" si="1"/>
        <v>13851.361452789281</v>
      </c>
      <c r="T52" s="50">
        <f t="shared" si="1"/>
        <v>13678.944311499603</v>
      </c>
      <c r="U52" s="50">
        <f t="shared" si="1"/>
        <v>13502.332933373929</v>
      </c>
      <c r="V52" s="50">
        <f t="shared" si="1"/>
        <v>13832.135058877686</v>
      </c>
      <c r="W52" s="50">
        <f t="shared" si="1"/>
        <v>13935.007219114566</v>
      </c>
      <c r="X52" s="50">
        <f t="shared" si="1"/>
        <v>14037.879379351445</v>
      </c>
      <c r="Y52" s="50">
        <f t="shared" si="1"/>
        <v>14140.751539588327</v>
      </c>
      <c r="Z52" s="50">
        <f t="shared" si="1"/>
        <v>14243.623699825208</v>
      </c>
      <c r="AA52" s="50">
        <f t="shared" si="1"/>
        <v>14346.49586006209</v>
      </c>
      <c r="AB52" s="50">
        <f t="shared" si="1"/>
        <v>14449.368020298967</v>
      </c>
      <c r="AC52" s="50">
        <f t="shared" si="1"/>
        <v>14552.240180535853</v>
      </c>
      <c r="AD52" s="50">
        <f t="shared" si="1"/>
        <v>14655.112340772732</v>
      </c>
      <c r="AE52" s="50">
        <f t="shared" si="1"/>
        <v>14757.984501009609</v>
      </c>
      <c r="AF52" s="50">
        <f t="shared" si="1"/>
        <v>14860.856661246489</v>
      </c>
      <c r="AG52" s="50">
        <f t="shared" si="1"/>
        <v>14952.932480342299</v>
      </c>
      <c r="AH52" s="50">
        <f t="shared" si="1"/>
        <v>15055.73041824135</v>
      </c>
      <c r="AI52" s="50">
        <f t="shared" si="1"/>
        <v>15158.528356140392</v>
      </c>
      <c r="AJ52" s="50">
        <f t="shared" si="1"/>
        <v>15261.326294039442</v>
      </c>
      <c r="AK52" s="50">
        <f t="shared" si="1"/>
        <v>15364.124231938491</v>
      </c>
      <c r="AL52" s="50">
        <f t="shared" si="1"/>
        <v>15466.922169837535</v>
      </c>
      <c r="AM52" s="50">
        <f t="shared" si="1"/>
        <v>15569.720107736584</v>
      </c>
      <c r="AN52" s="50">
        <f t="shared" si="1"/>
        <v>15672.518045635628</v>
      </c>
      <c r="AO52" s="50">
        <f t="shared" si="1"/>
        <v>15775.315983534674</v>
      </c>
      <c r="AP52" s="50">
        <f t="shared" si="1"/>
        <v>15878.113921433725</v>
      </c>
      <c r="AQ52" s="50">
        <f t="shared" si="1"/>
        <v>15980.911859332773</v>
      </c>
      <c r="AR52" s="50">
        <f t="shared" si="1"/>
        <v>16083.709797231817</v>
      </c>
      <c r="AS52" s="50">
        <f t="shared" si="1"/>
        <v>16186.507735130868</v>
      </c>
      <c r="AT52" s="50">
        <f t="shared" si="1"/>
        <v>16289.305673029914</v>
      </c>
      <c r="AU52" s="50">
        <f t="shared" si="1"/>
        <v>16392.103610928963</v>
      </c>
    </row>
    <row r="53" spans="2:47">
      <c r="B53" t="s">
        <v>947</v>
      </c>
      <c r="C53" s="50">
        <f t="shared" si="0"/>
        <v>4934.7186125922335</v>
      </c>
      <c r="D53" s="50">
        <f t="shared" si="1"/>
        <v>4112.2655104934238</v>
      </c>
      <c r="E53" s="50">
        <f t="shared" si="1"/>
        <v>3289.8124083948787</v>
      </c>
      <c r="F53" s="50">
        <f t="shared" si="1"/>
        <v>2467.3593062961008</v>
      </c>
      <c r="G53" s="50">
        <f t="shared" si="1"/>
        <v>1644.9062041973229</v>
      </c>
      <c r="H53" s="50">
        <f t="shared" si="1"/>
        <v>822.45310209877789</v>
      </c>
      <c r="I53" s="50">
        <f t="shared" si="1"/>
        <v>0</v>
      </c>
      <c r="J53" s="50">
        <f t="shared" si="1"/>
        <v>0</v>
      </c>
      <c r="K53" s="50">
        <f t="shared" si="1"/>
        <v>0</v>
      </c>
      <c r="L53" s="50">
        <f t="shared" si="1"/>
        <v>0</v>
      </c>
      <c r="M53" s="50">
        <f t="shared" si="1"/>
        <v>0</v>
      </c>
      <c r="N53" s="50">
        <f t="shared" si="1"/>
        <v>0</v>
      </c>
      <c r="O53" s="50">
        <f t="shared" si="1"/>
        <v>0</v>
      </c>
      <c r="P53" s="50">
        <f t="shared" si="1"/>
        <v>0</v>
      </c>
      <c r="Q53" s="50">
        <f t="shared" si="1"/>
        <v>0</v>
      </c>
      <c r="R53" s="50">
        <f t="shared" si="1"/>
        <v>0</v>
      </c>
      <c r="S53" s="50">
        <f t="shared" si="1"/>
        <v>0</v>
      </c>
      <c r="T53" s="50">
        <f t="shared" si="1"/>
        <v>0</v>
      </c>
      <c r="U53" s="50">
        <f t="shared" si="1"/>
        <v>0</v>
      </c>
      <c r="V53" s="50">
        <f t="shared" si="1"/>
        <v>0</v>
      </c>
      <c r="W53" s="50">
        <f t="shared" si="1"/>
        <v>0</v>
      </c>
      <c r="X53" s="50">
        <f t="shared" si="1"/>
        <v>0</v>
      </c>
      <c r="Y53" s="50">
        <f t="shared" si="1"/>
        <v>0</v>
      </c>
      <c r="Z53" s="50">
        <f t="shared" si="1"/>
        <v>0</v>
      </c>
      <c r="AA53" s="50">
        <f t="shared" si="1"/>
        <v>0</v>
      </c>
      <c r="AB53" s="50">
        <f t="shared" si="1"/>
        <v>0</v>
      </c>
      <c r="AC53" s="50">
        <f t="shared" si="1"/>
        <v>0</v>
      </c>
      <c r="AD53" s="50">
        <f t="shared" si="1"/>
        <v>0</v>
      </c>
      <c r="AE53" s="50">
        <f t="shared" si="1"/>
        <v>0</v>
      </c>
      <c r="AF53" s="50">
        <f t="shared" si="1"/>
        <v>0</v>
      </c>
      <c r="AG53" s="50">
        <f t="shared" si="1"/>
        <v>0</v>
      </c>
      <c r="AH53" s="50">
        <f t="shared" si="1"/>
        <v>0</v>
      </c>
      <c r="AI53" s="50">
        <f t="shared" si="1"/>
        <v>0</v>
      </c>
      <c r="AJ53" s="50">
        <f t="shared" si="1"/>
        <v>0</v>
      </c>
      <c r="AK53" s="50">
        <f t="shared" si="1"/>
        <v>0</v>
      </c>
      <c r="AL53" s="50">
        <f t="shared" si="1"/>
        <v>0</v>
      </c>
      <c r="AM53" s="50">
        <f t="shared" si="1"/>
        <v>0</v>
      </c>
      <c r="AN53" s="50">
        <f t="shared" si="1"/>
        <v>0</v>
      </c>
      <c r="AO53" s="50">
        <f t="shared" si="1"/>
        <v>0</v>
      </c>
      <c r="AP53" s="50">
        <f t="shared" si="1"/>
        <v>0</v>
      </c>
      <c r="AQ53" s="50">
        <f t="shared" si="1"/>
        <v>0</v>
      </c>
      <c r="AR53" s="50">
        <f t="shared" si="1"/>
        <v>0</v>
      </c>
      <c r="AS53" s="50">
        <f t="shared" si="1"/>
        <v>0</v>
      </c>
      <c r="AT53" s="50">
        <f t="shared" si="1"/>
        <v>0</v>
      </c>
      <c r="AU53" s="50">
        <f t="shared" si="1"/>
        <v>0</v>
      </c>
    </row>
    <row r="54" spans="2:47">
      <c r="B54" t="s">
        <v>948</v>
      </c>
      <c r="C54" s="50">
        <f t="shared" si="0"/>
        <v>0</v>
      </c>
      <c r="D54" s="50">
        <f t="shared" si="1"/>
        <v>0</v>
      </c>
      <c r="E54" s="50">
        <f t="shared" si="1"/>
        <v>0</v>
      </c>
      <c r="F54" s="50">
        <f t="shared" si="1"/>
        <v>0</v>
      </c>
      <c r="G54" s="50">
        <f t="shared" si="1"/>
        <v>0</v>
      </c>
      <c r="H54" s="50">
        <f t="shared" si="1"/>
        <v>0</v>
      </c>
      <c r="I54" s="50">
        <f t="shared" si="1"/>
        <v>0</v>
      </c>
      <c r="J54" s="50">
        <f t="shared" si="1"/>
        <v>0</v>
      </c>
      <c r="K54" s="50">
        <f t="shared" si="1"/>
        <v>0</v>
      </c>
      <c r="L54" s="50">
        <f t="shared" si="1"/>
        <v>0</v>
      </c>
      <c r="M54" s="50">
        <f t="shared" si="1"/>
        <v>0</v>
      </c>
      <c r="N54" s="50">
        <f t="shared" si="1"/>
        <v>0</v>
      </c>
      <c r="O54" s="50">
        <f t="shared" si="1"/>
        <v>0</v>
      </c>
      <c r="P54" s="50">
        <f t="shared" si="1"/>
        <v>0</v>
      </c>
      <c r="Q54" s="50">
        <f t="shared" si="1"/>
        <v>0</v>
      </c>
      <c r="R54" s="50">
        <f t="shared" si="1"/>
        <v>0</v>
      </c>
      <c r="S54" s="50">
        <f t="shared" si="1"/>
        <v>0</v>
      </c>
      <c r="T54" s="50">
        <f t="shared" si="1"/>
        <v>0</v>
      </c>
      <c r="U54" s="50">
        <f t="shared" si="1"/>
        <v>0</v>
      </c>
      <c r="V54" s="50">
        <f t="shared" si="1"/>
        <v>0</v>
      </c>
      <c r="W54" s="50">
        <f t="shared" si="1"/>
        <v>0</v>
      </c>
      <c r="X54" s="50">
        <f t="shared" si="1"/>
        <v>0</v>
      </c>
      <c r="Y54" s="50">
        <f t="shared" si="1"/>
        <v>0</v>
      </c>
      <c r="Z54" s="50">
        <f t="shared" si="1"/>
        <v>0</v>
      </c>
      <c r="AA54" s="50">
        <f t="shared" si="1"/>
        <v>0</v>
      </c>
      <c r="AB54" s="50">
        <f t="shared" si="1"/>
        <v>0</v>
      </c>
      <c r="AC54" s="50">
        <f t="shared" si="1"/>
        <v>0</v>
      </c>
      <c r="AD54" s="50">
        <f t="shared" si="1"/>
        <v>0</v>
      </c>
      <c r="AE54" s="50">
        <f t="shared" si="1"/>
        <v>0</v>
      </c>
      <c r="AF54" s="50">
        <f t="shared" si="1"/>
        <v>0</v>
      </c>
      <c r="AG54" s="50">
        <f t="shared" si="1"/>
        <v>0</v>
      </c>
      <c r="AH54" s="50">
        <f t="shared" si="1"/>
        <v>0</v>
      </c>
      <c r="AI54" s="50">
        <f t="shared" si="1"/>
        <v>0</v>
      </c>
      <c r="AJ54" s="50">
        <f t="shared" si="1"/>
        <v>0</v>
      </c>
      <c r="AK54" s="50">
        <f t="shared" si="1"/>
        <v>0</v>
      </c>
      <c r="AL54" s="50">
        <f t="shared" si="1"/>
        <v>0</v>
      </c>
      <c r="AM54" s="50">
        <f t="shared" si="1"/>
        <v>0</v>
      </c>
      <c r="AN54" s="50">
        <f t="shared" si="1"/>
        <v>0</v>
      </c>
      <c r="AO54" s="50">
        <f t="shared" si="1"/>
        <v>0</v>
      </c>
      <c r="AP54" s="50">
        <f t="shared" si="1"/>
        <v>0</v>
      </c>
      <c r="AQ54" s="50">
        <f t="shared" si="1"/>
        <v>0</v>
      </c>
      <c r="AR54" s="50">
        <f t="shared" si="1"/>
        <v>0</v>
      </c>
      <c r="AS54" s="50">
        <f t="shared" si="1"/>
        <v>0</v>
      </c>
      <c r="AT54" s="50">
        <f t="shared" si="1"/>
        <v>0</v>
      </c>
      <c r="AU54" s="50">
        <f t="shared" si="1"/>
        <v>0</v>
      </c>
    </row>
    <row r="55" spans="2:47">
      <c r="B55" t="s">
        <v>949</v>
      </c>
      <c r="C55" s="50">
        <f t="shared" si="0"/>
        <v>0</v>
      </c>
      <c r="D55" s="50">
        <f t="shared" si="1"/>
        <v>0</v>
      </c>
      <c r="E55" s="50">
        <f t="shared" si="1"/>
        <v>0</v>
      </c>
      <c r="F55" s="50">
        <f t="shared" si="1"/>
        <v>0</v>
      </c>
      <c r="G55" s="50">
        <f t="shared" si="1"/>
        <v>0</v>
      </c>
      <c r="H55" s="50">
        <f t="shared" si="1"/>
        <v>0</v>
      </c>
      <c r="I55" s="50">
        <f t="shared" si="1"/>
        <v>0</v>
      </c>
      <c r="J55" s="50">
        <f t="shared" si="1"/>
        <v>0</v>
      </c>
      <c r="K55" s="50">
        <f t="shared" si="1"/>
        <v>0</v>
      </c>
      <c r="L55" s="50">
        <f t="shared" si="1"/>
        <v>0</v>
      </c>
      <c r="M55" s="50">
        <f t="shared" si="1"/>
        <v>0</v>
      </c>
      <c r="N55" s="50">
        <f t="shared" si="1"/>
        <v>0</v>
      </c>
      <c r="O55" s="50">
        <f t="shared" si="1"/>
        <v>0</v>
      </c>
      <c r="P55" s="50">
        <f t="shared" si="1"/>
        <v>0</v>
      </c>
      <c r="Q55" s="50">
        <f t="shared" si="1"/>
        <v>0</v>
      </c>
      <c r="R55" s="50">
        <f t="shared" si="1"/>
        <v>0</v>
      </c>
      <c r="S55" s="50">
        <f t="shared" si="1"/>
        <v>0</v>
      </c>
      <c r="T55" s="50">
        <f t="shared" si="1"/>
        <v>0</v>
      </c>
      <c r="U55" s="50">
        <f t="shared" si="1"/>
        <v>0</v>
      </c>
      <c r="V55" s="50">
        <f t="shared" si="1"/>
        <v>0</v>
      </c>
      <c r="W55" s="50">
        <f t="shared" si="1"/>
        <v>0</v>
      </c>
      <c r="X55" s="50">
        <f t="shared" si="1"/>
        <v>0</v>
      </c>
      <c r="Y55" s="50">
        <f t="shared" si="1"/>
        <v>0</v>
      </c>
      <c r="Z55" s="50">
        <f t="shared" si="1"/>
        <v>0</v>
      </c>
      <c r="AA55" s="50">
        <f t="shared" si="1"/>
        <v>0</v>
      </c>
      <c r="AB55" s="50">
        <f t="shared" si="1"/>
        <v>0</v>
      </c>
      <c r="AC55" s="50">
        <f t="shared" si="1"/>
        <v>0</v>
      </c>
      <c r="AD55" s="50">
        <f t="shared" si="1"/>
        <v>0</v>
      </c>
      <c r="AE55" s="50">
        <f t="shared" si="1"/>
        <v>0</v>
      </c>
      <c r="AF55" s="50">
        <f t="shared" si="1"/>
        <v>0</v>
      </c>
      <c r="AG55" s="50">
        <f t="shared" si="1"/>
        <v>0</v>
      </c>
      <c r="AH55" s="50">
        <f t="shared" si="1"/>
        <v>0</v>
      </c>
      <c r="AI55" s="50">
        <f t="shared" si="1"/>
        <v>0</v>
      </c>
      <c r="AJ55" s="50">
        <f t="shared" si="1"/>
        <v>0</v>
      </c>
      <c r="AK55" s="50">
        <f t="shared" si="1"/>
        <v>0</v>
      </c>
      <c r="AL55" s="50">
        <f t="shared" si="1"/>
        <v>0</v>
      </c>
      <c r="AM55" s="50">
        <f t="shared" si="1"/>
        <v>0</v>
      </c>
      <c r="AN55" s="50">
        <f t="shared" si="1"/>
        <v>0</v>
      </c>
      <c r="AO55" s="50">
        <f t="shared" si="1"/>
        <v>0</v>
      </c>
      <c r="AP55" s="50">
        <f t="shared" si="1"/>
        <v>0</v>
      </c>
      <c r="AQ55" s="50">
        <f t="shared" si="1"/>
        <v>0</v>
      </c>
      <c r="AR55" s="50">
        <f t="shared" si="1"/>
        <v>0</v>
      </c>
      <c r="AS55" s="50">
        <f t="shared" si="1"/>
        <v>0</v>
      </c>
      <c r="AT55" s="50">
        <f t="shared" si="1"/>
        <v>0</v>
      </c>
      <c r="AU55" s="50">
        <f t="shared" si="1"/>
        <v>0</v>
      </c>
    </row>
  </sheetData>
  <phoneticPr fontId="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79998168889431442"/>
  </sheetPr>
  <dimension ref="A1:AU49"/>
  <sheetViews>
    <sheetView zoomScale="85" workbookViewId="0">
      <selection activeCell="K14" sqref="K14"/>
    </sheetView>
  </sheetViews>
  <sheetFormatPr baseColWidth="10" defaultColWidth="8.796875" defaultRowHeight="14"/>
  <cols>
    <col min="1" max="1" width="5.796875" customWidth="1"/>
    <col min="2" max="2" width="21.19921875" bestFit="1" customWidth="1"/>
    <col min="3" max="3" width="12.796875" bestFit="1" customWidth="1"/>
    <col min="4" max="10" width="11" bestFit="1" customWidth="1"/>
    <col min="11" max="11" width="8.796875" bestFit="1" customWidth="1"/>
    <col min="12" max="47" width="11" bestFit="1" customWidth="1"/>
  </cols>
  <sheetData>
    <row r="1" spans="1:47" ht="22">
      <c r="A1" s="100" t="s">
        <v>951</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Commercial_2!C5*'BTU Conversion Factor'!$F$4</f>
        <v>15035794942000.002</v>
      </c>
      <c r="D5" s="137">
        <f>Commercial_2!D5*'BTU Conversion Factor'!$F$4</f>
        <v>14692645325480.869</v>
      </c>
      <c r="E5" s="137">
        <f>Commercial_2!E5*'BTU Conversion Factor'!$F$4</f>
        <v>14349495708961.834</v>
      </c>
      <c r="F5" s="137">
        <f>Commercial_2!F5*'BTU Conversion Factor'!$F$4</f>
        <v>14006346092442.801</v>
      </c>
      <c r="G5" s="137">
        <f>Commercial_2!G5*'BTU Conversion Factor'!$F$4</f>
        <v>13663196475923.654</v>
      </c>
      <c r="H5" s="137">
        <f>Commercial_2!H5*'BTU Conversion Factor'!$F$4</f>
        <v>13320046859404.621</v>
      </c>
      <c r="I5" s="137">
        <f>Commercial_2!I5*'BTU Conversion Factor'!$F$4</f>
        <v>12976897242885.613</v>
      </c>
      <c r="J5" s="137">
        <f>Commercial_2!J5*'BTU Conversion Factor'!$F$4</f>
        <v>12929572232290.443</v>
      </c>
      <c r="K5" s="137">
        <f>Commercial_2!K5*'BTU Conversion Factor'!$F$4</f>
        <v>12806673600000</v>
      </c>
      <c r="L5" s="137">
        <f>Commercial_2!L5*'BTU Conversion Factor'!$F$4</f>
        <v>12775518282030.848</v>
      </c>
      <c r="M5" s="137">
        <f>Commercial_2!M5*'BTU Conversion Factor'!$F$4</f>
        <v>12554678551986.873</v>
      </c>
      <c r="N5" s="137">
        <f>Commercial_2!N5*'BTU Conversion Factor'!$F$4</f>
        <v>12446271778452.484</v>
      </c>
      <c r="O5" s="137">
        <f>Commercial_2!O5*'BTU Conversion Factor'!$F$4</f>
        <v>12656683048452.861</v>
      </c>
      <c r="P5" s="137">
        <f>Commercial_2!P5*'BTU Conversion Factor'!$F$4</f>
        <v>12494015298182.189</v>
      </c>
      <c r="Q5" s="137">
        <f>Commercial_2!Q5*'BTU Conversion Factor'!$F$4</f>
        <v>12055186194912.203</v>
      </c>
      <c r="R5" s="137">
        <f>Commercial_2!R5*'BTU Conversion Factor'!$F$4</f>
        <v>12176159517577.068</v>
      </c>
      <c r="S5" s="137">
        <f>Commercial_2!S5*'BTU Conversion Factor'!$F$4</f>
        <v>12397187597820.594</v>
      </c>
      <c r="T5" s="137">
        <f>Commercial_2!T5*'BTU Conversion Factor'!$F$4</f>
        <v>12523059733002.6</v>
      </c>
      <c r="U5" s="137">
        <f>Commercial_2!U5*'BTU Conversion Factor'!$F$4</f>
        <v>12649408510186.609</v>
      </c>
      <c r="V5" s="137">
        <f>Commercial_2!V5*'BTU Conversion Factor'!$F$4</f>
        <v>12718207378852.842</v>
      </c>
      <c r="W5" s="137">
        <f>Commercial_2!W5*'BTU Conversion Factor'!$F$4</f>
        <v>12812795051821.195</v>
      </c>
      <c r="X5" s="137">
        <f>Commercial_2!X5*'BTU Conversion Factor'!$F$4</f>
        <v>12907382724789.549</v>
      </c>
      <c r="Y5" s="137">
        <f>Commercial_2!Y5*'BTU Conversion Factor'!$F$4</f>
        <v>13001970397757.904</v>
      </c>
      <c r="Z5" s="137">
        <f>Commercial_2!Z5*'BTU Conversion Factor'!$F$4</f>
        <v>13096558070726.26</v>
      </c>
      <c r="AA5" s="137">
        <f>Commercial_2!AA5*'BTU Conversion Factor'!$F$4</f>
        <v>13191145743694.613</v>
      </c>
      <c r="AB5" s="137">
        <f>Commercial_2!AB5*'BTU Conversion Factor'!$F$4</f>
        <v>13285733416662.965</v>
      </c>
      <c r="AC5" s="137">
        <f>Commercial_2!AC5*'BTU Conversion Factor'!$F$4</f>
        <v>13380321089631.322</v>
      </c>
      <c r="AD5" s="137">
        <f>Commercial_2!AD5*'BTU Conversion Factor'!$F$4</f>
        <v>13474908762599.676</v>
      </c>
      <c r="AE5" s="137">
        <f>Commercial_2!AE5*'BTU Conversion Factor'!$F$4</f>
        <v>13569496435568.023</v>
      </c>
      <c r="AF5" s="137">
        <f>Commercial_2!AF5*'BTU Conversion Factor'!$F$4</f>
        <v>13664084108536.379</v>
      </c>
      <c r="AG5" s="137">
        <f>Commercial_2!AG5*'BTU Conversion Factor'!$F$4</f>
        <v>13748744889887.459</v>
      </c>
      <c r="AH5" s="137">
        <f>Commercial_2!AH5*'BTU Conversion Factor'!$F$4</f>
        <v>13843264317781.525</v>
      </c>
      <c r="AI5" s="137">
        <f>Commercial_2!AI5*'BTU Conversion Factor'!$F$4</f>
        <v>13937783745675.582</v>
      </c>
      <c r="AJ5" s="137">
        <f>Commercial_2!AJ5*'BTU Conversion Factor'!$F$4</f>
        <v>14032303173569.646</v>
      </c>
      <c r="AK5" s="137">
        <f>Commercial_2!AK5*'BTU Conversion Factor'!$F$4</f>
        <v>14126822601463.711</v>
      </c>
      <c r="AL5" s="137">
        <f>Commercial_2!AL5*'BTU Conversion Factor'!$F$4</f>
        <v>14221342029357.77</v>
      </c>
      <c r="AM5" s="137">
        <f>Commercial_2!AM5*'BTU Conversion Factor'!$F$4</f>
        <v>14315861457251.832</v>
      </c>
      <c r="AN5" s="137">
        <f>Commercial_2!AN5*'BTU Conversion Factor'!$F$4</f>
        <v>14410380885145.895</v>
      </c>
      <c r="AO5" s="137">
        <f>Commercial_2!AO5*'BTU Conversion Factor'!$F$4</f>
        <v>14504900313039.953</v>
      </c>
      <c r="AP5" s="137">
        <f>Commercial_2!AP5*'BTU Conversion Factor'!$F$4</f>
        <v>14599419740934.021</v>
      </c>
      <c r="AQ5" s="137">
        <f>Commercial_2!AQ5*'BTU Conversion Factor'!$F$4</f>
        <v>14693939168828.082</v>
      </c>
      <c r="AR5" s="137">
        <f>Commercial_2!AR5*'BTU Conversion Factor'!$F$4</f>
        <v>14788458596722.141</v>
      </c>
      <c r="AS5" s="137">
        <f>Commercial_2!AS5*'BTU Conversion Factor'!$F$4</f>
        <v>14882978024616.207</v>
      </c>
      <c r="AT5" s="137">
        <f>Commercial_2!AT5*'BTU Conversion Factor'!$F$4</f>
        <v>14977497452510.268</v>
      </c>
      <c r="AU5" s="137">
        <f>Commercial_2!AU5*'BTU Conversion Factor'!$F$4</f>
        <v>15072016880404.332</v>
      </c>
    </row>
    <row r="6" spans="1:47">
      <c r="B6" s="48" t="s">
        <v>953</v>
      </c>
      <c r="C6" s="137">
        <f>Commercial_2!C6*'BTU Conversion Factor'!$F$4</f>
        <v>0</v>
      </c>
      <c r="D6" s="137">
        <f>Commercial_2!D6*'BTU Conversion Factor'!$F$4</f>
        <v>0</v>
      </c>
      <c r="E6" s="137">
        <f>Commercial_2!E6*'BTU Conversion Factor'!$F$4</f>
        <v>0</v>
      </c>
      <c r="F6" s="137">
        <f>Commercial_2!F6*'BTU Conversion Factor'!$F$4</f>
        <v>0</v>
      </c>
      <c r="G6" s="137">
        <f>Commercial_2!G6*'BTU Conversion Factor'!$F$4</f>
        <v>0</v>
      </c>
      <c r="H6" s="137">
        <f>Commercial_2!H6*'BTU Conversion Factor'!$F$4</f>
        <v>0</v>
      </c>
      <c r="I6" s="137">
        <f>Commercial_2!I6*'BTU Conversion Factor'!$F$4</f>
        <v>0</v>
      </c>
      <c r="J6" s="137">
        <f>Commercial_2!J6*'BTU Conversion Factor'!$F$4</f>
        <v>0</v>
      </c>
      <c r="K6" s="137">
        <f>Commercial_2!K6*'BTU Conversion Factor'!$F$4</f>
        <v>0</v>
      </c>
      <c r="L6" s="137">
        <f>Commercial_2!L6*'BTU Conversion Factor'!$F$4</f>
        <v>0</v>
      </c>
      <c r="M6" s="137">
        <f>Commercial_2!M6*'BTU Conversion Factor'!$F$4</f>
        <v>0</v>
      </c>
      <c r="N6" s="137">
        <f>Commercial_2!N6*'BTU Conversion Factor'!$F$4</f>
        <v>0</v>
      </c>
      <c r="O6" s="137">
        <f>Commercial_2!O6*'BTU Conversion Factor'!$F$4</f>
        <v>0</v>
      </c>
      <c r="P6" s="137">
        <f>Commercial_2!P6*'BTU Conversion Factor'!$F$4</f>
        <v>0</v>
      </c>
      <c r="Q6" s="137">
        <f>Commercial_2!Q6*'BTU Conversion Factor'!$F$4</f>
        <v>0</v>
      </c>
      <c r="R6" s="137">
        <f>Commercial_2!R6*'BTU Conversion Factor'!$F$4</f>
        <v>0</v>
      </c>
      <c r="S6" s="137">
        <f>Commercial_2!S6*'BTU Conversion Factor'!$F$4</f>
        <v>0</v>
      </c>
      <c r="T6" s="137">
        <f>Commercial_2!T6*'BTU Conversion Factor'!$F$4</f>
        <v>0</v>
      </c>
      <c r="U6" s="137">
        <f>Commercial_2!U6*'BTU Conversion Factor'!$F$4</f>
        <v>0</v>
      </c>
      <c r="V6" s="137">
        <f>Commercial_2!V6*'BTU Conversion Factor'!$F$4</f>
        <v>0</v>
      </c>
      <c r="W6" s="137">
        <f>Commercial_2!W6*'BTU Conversion Factor'!$F$4</f>
        <v>0</v>
      </c>
      <c r="X6" s="137">
        <f>Commercial_2!X6*'BTU Conversion Factor'!$F$4</f>
        <v>0</v>
      </c>
      <c r="Y6" s="137">
        <f>Commercial_2!Y6*'BTU Conversion Factor'!$F$4</f>
        <v>0</v>
      </c>
      <c r="Z6" s="137">
        <f>Commercial_2!Z6*'BTU Conversion Factor'!$F$4</f>
        <v>0</v>
      </c>
      <c r="AA6" s="137">
        <f>Commercial_2!AA6*'BTU Conversion Factor'!$F$4</f>
        <v>0</v>
      </c>
      <c r="AB6" s="137">
        <f>Commercial_2!AB6*'BTU Conversion Factor'!$F$4</f>
        <v>0</v>
      </c>
      <c r="AC6" s="137">
        <f>Commercial_2!AC6*'BTU Conversion Factor'!$F$4</f>
        <v>0</v>
      </c>
      <c r="AD6" s="137">
        <f>Commercial_2!AD6*'BTU Conversion Factor'!$F$4</f>
        <v>0</v>
      </c>
      <c r="AE6" s="137">
        <f>Commercial_2!AE6*'BTU Conversion Factor'!$F$4</f>
        <v>0</v>
      </c>
      <c r="AF6" s="137">
        <f>Commercial_2!AF6*'BTU Conversion Factor'!$F$4</f>
        <v>0</v>
      </c>
      <c r="AG6" s="137">
        <f>Commercial_2!AG6*'BTU Conversion Factor'!$F$4</f>
        <v>0</v>
      </c>
      <c r="AH6" s="137">
        <f>Commercial_2!AH6*'BTU Conversion Factor'!$F$4</f>
        <v>0</v>
      </c>
      <c r="AI6" s="137">
        <f>Commercial_2!AI6*'BTU Conversion Factor'!$F$4</f>
        <v>0</v>
      </c>
      <c r="AJ6" s="137">
        <f>Commercial_2!AJ6*'BTU Conversion Factor'!$F$4</f>
        <v>0</v>
      </c>
      <c r="AK6" s="137">
        <f>Commercial_2!AK6*'BTU Conversion Factor'!$F$4</f>
        <v>0</v>
      </c>
      <c r="AL6" s="137">
        <f>Commercial_2!AL6*'BTU Conversion Factor'!$F$4</f>
        <v>0</v>
      </c>
      <c r="AM6" s="137">
        <f>Commercial_2!AM6*'BTU Conversion Factor'!$F$4</f>
        <v>0</v>
      </c>
      <c r="AN6" s="137">
        <f>Commercial_2!AN6*'BTU Conversion Factor'!$F$4</f>
        <v>0</v>
      </c>
      <c r="AO6" s="137">
        <f>Commercial_2!AO6*'BTU Conversion Factor'!$F$4</f>
        <v>0</v>
      </c>
      <c r="AP6" s="137">
        <f>Commercial_2!AP6*'BTU Conversion Factor'!$F$4</f>
        <v>0</v>
      </c>
      <c r="AQ6" s="137">
        <f>Commercial_2!AQ6*'BTU Conversion Factor'!$F$4</f>
        <v>0</v>
      </c>
      <c r="AR6" s="137">
        <f>Commercial_2!AR6*'BTU Conversion Factor'!$F$4</f>
        <v>0</v>
      </c>
      <c r="AS6" s="137">
        <f>Commercial_2!AS6*'BTU Conversion Factor'!$F$4</f>
        <v>0</v>
      </c>
      <c r="AT6" s="137">
        <f>Commercial_2!AT6*'BTU Conversion Factor'!$F$4</f>
        <v>0</v>
      </c>
      <c r="AU6" s="137">
        <f>Commercial_2!AU6*'BTU Conversion Factor'!$F$4</f>
        <v>0</v>
      </c>
    </row>
    <row r="7" spans="1:47">
      <c r="B7" s="48" t="s">
        <v>954</v>
      </c>
      <c r="C7" s="137">
        <f>Commercial_2!C7*'BTU Conversion Factor'!$F$4</f>
        <v>0</v>
      </c>
      <c r="D7" s="137">
        <f>Commercial_2!D7*'BTU Conversion Factor'!$F$4</f>
        <v>0</v>
      </c>
      <c r="E7" s="137">
        <f>Commercial_2!E7*'BTU Conversion Factor'!$F$4</f>
        <v>0</v>
      </c>
      <c r="F7" s="137">
        <f>Commercial_2!F7*'BTU Conversion Factor'!$F$4</f>
        <v>0</v>
      </c>
      <c r="G7" s="137">
        <f>Commercial_2!G7*'BTU Conversion Factor'!$F$4</f>
        <v>0</v>
      </c>
      <c r="H7" s="137">
        <f>Commercial_2!H7*'BTU Conversion Factor'!$F$4</f>
        <v>0</v>
      </c>
      <c r="I7" s="137">
        <f>Commercial_2!I7*'BTU Conversion Factor'!$F$4</f>
        <v>0</v>
      </c>
      <c r="J7" s="137">
        <f>Commercial_2!J7*'BTU Conversion Factor'!$F$4</f>
        <v>0</v>
      </c>
      <c r="K7" s="137">
        <f>Commercial_2!K7*'BTU Conversion Factor'!$F$4</f>
        <v>0</v>
      </c>
      <c r="L7" s="137">
        <f>Commercial_2!L7*'BTU Conversion Factor'!$F$4</f>
        <v>0</v>
      </c>
      <c r="M7" s="137">
        <f>Commercial_2!M7*'BTU Conversion Factor'!$F$4</f>
        <v>0</v>
      </c>
      <c r="N7" s="137">
        <f>Commercial_2!N7*'BTU Conversion Factor'!$F$4</f>
        <v>0</v>
      </c>
      <c r="O7" s="137">
        <f>Commercial_2!O7*'BTU Conversion Factor'!$F$4</f>
        <v>0</v>
      </c>
      <c r="P7" s="137">
        <f>Commercial_2!P7*'BTU Conversion Factor'!$F$4</f>
        <v>0</v>
      </c>
      <c r="Q7" s="137">
        <f>Commercial_2!Q7*'BTU Conversion Factor'!$F$4</f>
        <v>0</v>
      </c>
      <c r="R7" s="137">
        <f>Commercial_2!R7*'BTU Conversion Factor'!$F$4</f>
        <v>0</v>
      </c>
      <c r="S7" s="137">
        <f>Commercial_2!S7*'BTU Conversion Factor'!$F$4</f>
        <v>0</v>
      </c>
      <c r="T7" s="137">
        <f>Commercial_2!T7*'BTU Conversion Factor'!$F$4</f>
        <v>0</v>
      </c>
      <c r="U7" s="137">
        <f>Commercial_2!U7*'BTU Conversion Factor'!$F$4</f>
        <v>0</v>
      </c>
      <c r="V7" s="137">
        <f>Commercial_2!V7*'BTU Conversion Factor'!$F$4</f>
        <v>0</v>
      </c>
      <c r="W7" s="137">
        <f>Commercial_2!W7*'BTU Conversion Factor'!$F$4</f>
        <v>0</v>
      </c>
      <c r="X7" s="137">
        <f>Commercial_2!X7*'BTU Conversion Factor'!$F$4</f>
        <v>0</v>
      </c>
      <c r="Y7" s="137">
        <f>Commercial_2!Y7*'BTU Conversion Factor'!$F$4</f>
        <v>0</v>
      </c>
      <c r="Z7" s="137">
        <f>Commercial_2!Z7*'BTU Conversion Factor'!$F$4</f>
        <v>0</v>
      </c>
      <c r="AA7" s="137">
        <f>Commercial_2!AA7*'BTU Conversion Factor'!$F$4</f>
        <v>0</v>
      </c>
      <c r="AB7" s="137">
        <f>Commercial_2!AB7*'BTU Conversion Factor'!$F$4</f>
        <v>0</v>
      </c>
      <c r="AC7" s="137">
        <f>Commercial_2!AC7*'BTU Conversion Factor'!$F$4</f>
        <v>0</v>
      </c>
      <c r="AD7" s="137">
        <f>Commercial_2!AD7*'BTU Conversion Factor'!$F$4</f>
        <v>0</v>
      </c>
      <c r="AE7" s="137">
        <f>Commercial_2!AE7*'BTU Conversion Factor'!$F$4</f>
        <v>0</v>
      </c>
      <c r="AF7" s="137">
        <f>Commercial_2!AF7*'BTU Conversion Factor'!$F$4</f>
        <v>0</v>
      </c>
      <c r="AG7" s="137">
        <f>Commercial_2!AG7*'BTU Conversion Factor'!$F$4</f>
        <v>0</v>
      </c>
      <c r="AH7" s="137">
        <f>Commercial_2!AH7*'BTU Conversion Factor'!$F$4</f>
        <v>0</v>
      </c>
      <c r="AI7" s="137">
        <f>Commercial_2!AI7*'BTU Conversion Factor'!$F$4</f>
        <v>0</v>
      </c>
      <c r="AJ7" s="137">
        <f>Commercial_2!AJ7*'BTU Conversion Factor'!$F$4</f>
        <v>0</v>
      </c>
      <c r="AK7" s="137">
        <f>Commercial_2!AK7*'BTU Conversion Factor'!$F$4</f>
        <v>0</v>
      </c>
      <c r="AL7" s="137">
        <f>Commercial_2!AL7*'BTU Conversion Factor'!$F$4</f>
        <v>0</v>
      </c>
      <c r="AM7" s="137">
        <f>Commercial_2!AM7*'BTU Conversion Factor'!$F$4</f>
        <v>0</v>
      </c>
      <c r="AN7" s="137">
        <f>Commercial_2!AN7*'BTU Conversion Factor'!$F$4</f>
        <v>0</v>
      </c>
      <c r="AO7" s="137">
        <f>Commercial_2!AO7*'BTU Conversion Factor'!$F$4</f>
        <v>0</v>
      </c>
      <c r="AP7" s="137">
        <f>Commercial_2!AP7*'BTU Conversion Factor'!$F$4</f>
        <v>0</v>
      </c>
      <c r="AQ7" s="137">
        <f>Commercial_2!AQ7*'BTU Conversion Factor'!$F$4</f>
        <v>0</v>
      </c>
      <c r="AR7" s="137">
        <f>Commercial_2!AR7*'BTU Conversion Factor'!$F$4</f>
        <v>0</v>
      </c>
      <c r="AS7" s="137">
        <f>Commercial_2!AS7*'BTU Conversion Factor'!$F$4</f>
        <v>0</v>
      </c>
      <c r="AT7" s="137">
        <f>Commercial_2!AT7*'BTU Conversion Factor'!$F$4</f>
        <v>0</v>
      </c>
      <c r="AU7" s="137">
        <f>Commercial_2!AU7*'BTU Conversion Factor'!$F$4</f>
        <v>0</v>
      </c>
    </row>
    <row r="8" spans="1:47">
      <c r="B8" s="48" t="s">
        <v>955</v>
      </c>
      <c r="C8" s="137">
        <f>Commercial_2!C8*'BTU Conversion Factor'!$F$4</f>
        <v>0</v>
      </c>
      <c r="D8" s="137">
        <f>Commercial_2!D8*'BTU Conversion Factor'!$F$4</f>
        <v>0</v>
      </c>
      <c r="E8" s="137">
        <f>Commercial_2!E8*'BTU Conversion Factor'!$F$4</f>
        <v>0</v>
      </c>
      <c r="F8" s="137">
        <f>Commercial_2!F8*'BTU Conversion Factor'!$F$4</f>
        <v>0</v>
      </c>
      <c r="G8" s="137">
        <f>Commercial_2!G8*'BTU Conversion Factor'!$F$4</f>
        <v>0</v>
      </c>
      <c r="H8" s="137">
        <f>Commercial_2!H8*'BTU Conversion Factor'!$F$4</f>
        <v>0</v>
      </c>
      <c r="I8" s="137">
        <f>Commercial_2!I8*'BTU Conversion Factor'!$F$4</f>
        <v>0</v>
      </c>
      <c r="J8" s="137">
        <f>Commercial_2!J8*'BTU Conversion Factor'!$F$4</f>
        <v>0</v>
      </c>
      <c r="K8" s="137">
        <f>Commercial_2!K8*'BTU Conversion Factor'!$F$4</f>
        <v>0</v>
      </c>
      <c r="L8" s="137">
        <f>Commercial_2!L8*'BTU Conversion Factor'!$F$4</f>
        <v>0</v>
      </c>
      <c r="M8" s="137">
        <f>Commercial_2!M8*'BTU Conversion Factor'!$F$4</f>
        <v>0</v>
      </c>
      <c r="N8" s="137">
        <f>Commercial_2!N8*'BTU Conversion Factor'!$F$4</f>
        <v>0</v>
      </c>
      <c r="O8" s="137">
        <f>Commercial_2!O8*'BTU Conversion Factor'!$F$4</f>
        <v>0</v>
      </c>
      <c r="P8" s="137">
        <f>Commercial_2!P8*'BTU Conversion Factor'!$F$4</f>
        <v>0</v>
      </c>
      <c r="Q8" s="137">
        <f>Commercial_2!Q8*'BTU Conversion Factor'!$F$4</f>
        <v>0</v>
      </c>
      <c r="R8" s="137">
        <f>Commercial_2!R8*'BTU Conversion Factor'!$F$4</f>
        <v>0</v>
      </c>
      <c r="S8" s="137">
        <f>Commercial_2!S8*'BTU Conversion Factor'!$F$4</f>
        <v>0</v>
      </c>
      <c r="T8" s="137">
        <f>Commercial_2!T8*'BTU Conversion Factor'!$F$4</f>
        <v>0</v>
      </c>
      <c r="U8" s="137">
        <f>Commercial_2!U8*'BTU Conversion Factor'!$F$4</f>
        <v>0</v>
      </c>
      <c r="V8" s="137">
        <f>Commercial_2!V8*'BTU Conversion Factor'!$F$4</f>
        <v>0</v>
      </c>
      <c r="W8" s="137">
        <f>Commercial_2!W8*'BTU Conversion Factor'!$F$4</f>
        <v>0</v>
      </c>
      <c r="X8" s="137">
        <f>Commercial_2!X8*'BTU Conversion Factor'!$F$4</f>
        <v>0</v>
      </c>
      <c r="Y8" s="137">
        <f>Commercial_2!Y8*'BTU Conversion Factor'!$F$4</f>
        <v>0</v>
      </c>
      <c r="Z8" s="137">
        <f>Commercial_2!Z8*'BTU Conversion Factor'!$F$4</f>
        <v>0</v>
      </c>
      <c r="AA8" s="137">
        <f>Commercial_2!AA8*'BTU Conversion Factor'!$F$4</f>
        <v>0</v>
      </c>
      <c r="AB8" s="137">
        <f>Commercial_2!AB8*'BTU Conversion Factor'!$F$4</f>
        <v>0</v>
      </c>
      <c r="AC8" s="137">
        <f>Commercial_2!AC8*'BTU Conversion Factor'!$F$4</f>
        <v>0</v>
      </c>
      <c r="AD8" s="137">
        <f>Commercial_2!AD8*'BTU Conversion Factor'!$F$4</f>
        <v>0</v>
      </c>
      <c r="AE8" s="137">
        <f>Commercial_2!AE8*'BTU Conversion Factor'!$F$4</f>
        <v>0</v>
      </c>
      <c r="AF8" s="137">
        <f>Commercial_2!AF8*'BTU Conversion Factor'!$F$4</f>
        <v>0</v>
      </c>
      <c r="AG8" s="137">
        <f>Commercial_2!AG8*'BTU Conversion Factor'!$F$4</f>
        <v>0</v>
      </c>
      <c r="AH8" s="137">
        <f>Commercial_2!AH8*'BTU Conversion Factor'!$F$4</f>
        <v>0</v>
      </c>
      <c r="AI8" s="137">
        <f>Commercial_2!AI8*'BTU Conversion Factor'!$F$4</f>
        <v>0</v>
      </c>
      <c r="AJ8" s="137">
        <f>Commercial_2!AJ8*'BTU Conversion Factor'!$F$4</f>
        <v>0</v>
      </c>
      <c r="AK8" s="137">
        <f>Commercial_2!AK8*'BTU Conversion Factor'!$F$4</f>
        <v>0</v>
      </c>
      <c r="AL8" s="137">
        <f>Commercial_2!AL8*'BTU Conversion Factor'!$F$4</f>
        <v>0</v>
      </c>
      <c r="AM8" s="137">
        <f>Commercial_2!AM8*'BTU Conversion Factor'!$F$4</f>
        <v>0</v>
      </c>
      <c r="AN8" s="137">
        <f>Commercial_2!AN8*'BTU Conversion Factor'!$F$4</f>
        <v>0</v>
      </c>
      <c r="AO8" s="137">
        <f>Commercial_2!AO8*'BTU Conversion Factor'!$F$4</f>
        <v>0</v>
      </c>
      <c r="AP8" s="137">
        <f>Commercial_2!AP8*'BTU Conversion Factor'!$F$4</f>
        <v>0</v>
      </c>
      <c r="AQ8" s="137">
        <f>Commercial_2!AQ8*'BTU Conversion Factor'!$F$4</f>
        <v>0</v>
      </c>
      <c r="AR8" s="137">
        <f>Commercial_2!AR8*'BTU Conversion Factor'!$F$4</f>
        <v>0</v>
      </c>
      <c r="AS8" s="137">
        <f>Commercial_2!AS8*'BTU Conversion Factor'!$F$4</f>
        <v>0</v>
      </c>
      <c r="AT8" s="137">
        <f>Commercial_2!AT8*'BTU Conversion Factor'!$F$4</f>
        <v>0</v>
      </c>
      <c r="AU8" s="137">
        <f>Commercial_2!AU8*'BTU Conversion Factor'!$F$4</f>
        <v>0</v>
      </c>
    </row>
    <row r="9" spans="1:47">
      <c r="B9" s="48" t="s">
        <v>956</v>
      </c>
      <c r="C9" s="137">
        <f>Commercial_2!C9*'BTU Conversion Factor'!$F$4</f>
        <v>0</v>
      </c>
      <c r="D9" s="137">
        <f>Commercial_2!D9*'BTU Conversion Factor'!$F$4</f>
        <v>0</v>
      </c>
      <c r="E9" s="137">
        <f>Commercial_2!E9*'BTU Conversion Factor'!$F$4</f>
        <v>0</v>
      </c>
      <c r="F9" s="137">
        <f>Commercial_2!F9*'BTU Conversion Factor'!$F$4</f>
        <v>0</v>
      </c>
      <c r="G9" s="137">
        <f>Commercial_2!G9*'BTU Conversion Factor'!$F$4</f>
        <v>0</v>
      </c>
      <c r="H9" s="137">
        <f>Commercial_2!H9*'BTU Conversion Factor'!$F$4</f>
        <v>0</v>
      </c>
      <c r="I9" s="137">
        <f>Commercial_2!I9*'BTU Conversion Factor'!$F$4</f>
        <v>0</v>
      </c>
      <c r="J9" s="137">
        <f>Commercial_2!J9*'BTU Conversion Factor'!$F$4</f>
        <v>0</v>
      </c>
      <c r="K9" s="137">
        <f>Commercial_2!K9*'BTU Conversion Factor'!$F$4</f>
        <v>0</v>
      </c>
      <c r="L9" s="137">
        <f>Commercial_2!L9*'BTU Conversion Factor'!$F$4</f>
        <v>0</v>
      </c>
      <c r="M9" s="137">
        <f>Commercial_2!M9*'BTU Conversion Factor'!$F$4</f>
        <v>0</v>
      </c>
      <c r="N9" s="137">
        <f>Commercial_2!N9*'BTU Conversion Factor'!$F$4</f>
        <v>0</v>
      </c>
      <c r="O9" s="137">
        <f>Commercial_2!O9*'BTU Conversion Factor'!$F$4</f>
        <v>0</v>
      </c>
      <c r="P9" s="137">
        <f>Commercial_2!P9*'BTU Conversion Factor'!$F$4</f>
        <v>0</v>
      </c>
      <c r="Q9" s="137">
        <f>Commercial_2!Q9*'BTU Conversion Factor'!$F$4</f>
        <v>0</v>
      </c>
      <c r="R9" s="137">
        <f>Commercial_2!R9*'BTU Conversion Factor'!$F$4</f>
        <v>0</v>
      </c>
      <c r="S9" s="137">
        <f>Commercial_2!S9*'BTU Conversion Factor'!$F$4</f>
        <v>0</v>
      </c>
      <c r="T9" s="137">
        <f>Commercial_2!T9*'BTU Conversion Factor'!$F$4</f>
        <v>0</v>
      </c>
      <c r="U9" s="137">
        <f>Commercial_2!U9*'BTU Conversion Factor'!$F$4</f>
        <v>0</v>
      </c>
      <c r="V9" s="137">
        <f>Commercial_2!V9*'BTU Conversion Factor'!$F$4</f>
        <v>0</v>
      </c>
      <c r="W9" s="137">
        <f>Commercial_2!W9*'BTU Conversion Factor'!$F$4</f>
        <v>0</v>
      </c>
      <c r="X9" s="137">
        <f>Commercial_2!X9*'BTU Conversion Factor'!$F$4</f>
        <v>0</v>
      </c>
      <c r="Y9" s="137">
        <f>Commercial_2!Y9*'BTU Conversion Factor'!$F$4</f>
        <v>0</v>
      </c>
      <c r="Z9" s="137">
        <f>Commercial_2!Z9*'BTU Conversion Factor'!$F$4</f>
        <v>0</v>
      </c>
      <c r="AA9" s="137">
        <f>Commercial_2!AA9*'BTU Conversion Factor'!$F$4</f>
        <v>0</v>
      </c>
      <c r="AB9" s="137">
        <f>Commercial_2!AB9*'BTU Conversion Factor'!$F$4</f>
        <v>0</v>
      </c>
      <c r="AC9" s="137">
        <f>Commercial_2!AC9*'BTU Conversion Factor'!$F$4</f>
        <v>0</v>
      </c>
      <c r="AD9" s="137">
        <f>Commercial_2!AD9*'BTU Conversion Factor'!$F$4</f>
        <v>0</v>
      </c>
      <c r="AE9" s="137">
        <f>Commercial_2!AE9*'BTU Conversion Factor'!$F$4</f>
        <v>0</v>
      </c>
      <c r="AF9" s="137">
        <f>Commercial_2!AF9*'BTU Conversion Factor'!$F$4</f>
        <v>0</v>
      </c>
      <c r="AG9" s="137">
        <f>Commercial_2!AG9*'BTU Conversion Factor'!$F$4</f>
        <v>0</v>
      </c>
      <c r="AH9" s="137">
        <f>Commercial_2!AH9*'BTU Conversion Factor'!$F$4</f>
        <v>0</v>
      </c>
      <c r="AI9" s="137">
        <f>Commercial_2!AI9*'BTU Conversion Factor'!$F$4</f>
        <v>0</v>
      </c>
      <c r="AJ9" s="137">
        <f>Commercial_2!AJ9*'BTU Conversion Factor'!$F$4</f>
        <v>0</v>
      </c>
      <c r="AK9" s="137">
        <f>Commercial_2!AK9*'BTU Conversion Factor'!$F$4</f>
        <v>0</v>
      </c>
      <c r="AL9" s="137">
        <f>Commercial_2!AL9*'BTU Conversion Factor'!$F$4</f>
        <v>0</v>
      </c>
      <c r="AM9" s="137">
        <f>Commercial_2!AM9*'BTU Conversion Factor'!$F$4</f>
        <v>0</v>
      </c>
      <c r="AN9" s="137">
        <f>Commercial_2!AN9*'BTU Conversion Factor'!$F$4</f>
        <v>0</v>
      </c>
      <c r="AO9" s="137">
        <f>Commercial_2!AO9*'BTU Conversion Factor'!$F$4</f>
        <v>0</v>
      </c>
      <c r="AP9" s="137">
        <f>Commercial_2!AP9*'BTU Conversion Factor'!$F$4</f>
        <v>0</v>
      </c>
      <c r="AQ9" s="137">
        <f>Commercial_2!AQ9*'BTU Conversion Factor'!$F$4</f>
        <v>0</v>
      </c>
      <c r="AR9" s="137">
        <f>Commercial_2!AR9*'BTU Conversion Factor'!$F$4</f>
        <v>0</v>
      </c>
      <c r="AS9" s="137">
        <f>Commercial_2!AS9*'BTU Conversion Factor'!$F$4</f>
        <v>0</v>
      </c>
      <c r="AT9" s="137">
        <f>Commercial_2!AT9*'BTU Conversion Factor'!$F$4</f>
        <v>0</v>
      </c>
      <c r="AU9" s="137">
        <f>Commercial_2!AU9*'BTU Conversion Factor'!$F$4</f>
        <v>0</v>
      </c>
    </row>
    <row r="10" spans="1:47">
      <c r="B10" s="48" t="s">
        <v>957</v>
      </c>
      <c r="C10" s="137">
        <f>Commercial_2!C10*'BTU Conversion Factor'!$F$4</f>
        <v>0</v>
      </c>
      <c r="D10" s="137">
        <f>Commercial_2!D10*'BTU Conversion Factor'!$F$4</f>
        <v>0</v>
      </c>
      <c r="E10" s="137">
        <f>Commercial_2!E10*'BTU Conversion Factor'!$F$4</f>
        <v>0</v>
      </c>
      <c r="F10" s="137">
        <f>Commercial_2!F10*'BTU Conversion Factor'!$F$4</f>
        <v>0</v>
      </c>
      <c r="G10" s="137">
        <f>Commercial_2!G10*'BTU Conversion Factor'!$F$4</f>
        <v>0</v>
      </c>
      <c r="H10" s="137">
        <f>Commercial_2!H10*'BTU Conversion Factor'!$F$4</f>
        <v>0</v>
      </c>
      <c r="I10" s="137">
        <f>Commercial_2!I10*'BTU Conversion Factor'!$F$4</f>
        <v>0</v>
      </c>
      <c r="J10" s="137">
        <f>Commercial_2!J10*'BTU Conversion Factor'!$F$4</f>
        <v>0</v>
      </c>
      <c r="K10" s="137">
        <f>Commercial_2!K10*'BTU Conversion Factor'!$F$4</f>
        <v>0</v>
      </c>
      <c r="L10" s="137">
        <f>Commercial_2!L10*'BTU Conversion Factor'!$F$4</f>
        <v>0</v>
      </c>
      <c r="M10" s="137">
        <f>Commercial_2!M10*'BTU Conversion Factor'!$F$4</f>
        <v>0</v>
      </c>
      <c r="N10" s="137">
        <f>Commercial_2!N10*'BTU Conversion Factor'!$F$4</f>
        <v>0</v>
      </c>
      <c r="O10" s="137">
        <f>Commercial_2!O10*'BTU Conversion Factor'!$F$4</f>
        <v>0</v>
      </c>
      <c r="P10" s="137">
        <f>Commercial_2!P10*'BTU Conversion Factor'!$F$4</f>
        <v>0</v>
      </c>
      <c r="Q10" s="137">
        <f>Commercial_2!Q10*'BTU Conversion Factor'!$F$4</f>
        <v>0</v>
      </c>
      <c r="R10" s="137">
        <f>Commercial_2!R10*'BTU Conversion Factor'!$F$4</f>
        <v>0</v>
      </c>
      <c r="S10" s="137">
        <f>Commercial_2!S10*'BTU Conversion Factor'!$F$4</f>
        <v>0</v>
      </c>
      <c r="T10" s="137">
        <f>Commercial_2!T10*'BTU Conversion Factor'!$F$4</f>
        <v>0</v>
      </c>
      <c r="U10" s="137">
        <f>Commercial_2!U10*'BTU Conversion Factor'!$F$4</f>
        <v>0</v>
      </c>
      <c r="V10" s="137">
        <f>Commercial_2!V10*'BTU Conversion Factor'!$F$4</f>
        <v>0</v>
      </c>
      <c r="W10" s="137">
        <f>Commercial_2!W10*'BTU Conversion Factor'!$F$4</f>
        <v>0</v>
      </c>
      <c r="X10" s="137">
        <f>Commercial_2!X10*'BTU Conversion Factor'!$F$4</f>
        <v>0</v>
      </c>
      <c r="Y10" s="137">
        <f>Commercial_2!Y10*'BTU Conversion Factor'!$F$4</f>
        <v>0</v>
      </c>
      <c r="Z10" s="137">
        <f>Commercial_2!Z10*'BTU Conversion Factor'!$F$4</f>
        <v>0</v>
      </c>
      <c r="AA10" s="137">
        <f>Commercial_2!AA10*'BTU Conversion Factor'!$F$4</f>
        <v>0</v>
      </c>
      <c r="AB10" s="137">
        <f>Commercial_2!AB10*'BTU Conversion Factor'!$F$4</f>
        <v>0</v>
      </c>
      <c r="AC10" s="137">
        <f>Commercial_2!AC10*'BTU Conversion Factor'!$F$4</f>
        <v>0</v>
      </c>
      <c r="AD10" s="137">
        <f>Commercial_2!AD10*'BTU Conversion Factor'!$F$4</f>
        <v>0</v>
      </c>
      <c r="AE10" s="137">
        <f>Commercial_2!AE10*'BTU Conversion Factor'!$F$4</f>
        <v>0</v>
      </c>
      <c r="AF10" s="137">
        <f>Commercial_2!AF10*'BTU Conversion Factor'!$F$4</f>
        <v>0</v>
      </c>
      <c r="AG10" s="137">
        <f>Commercial_2!AG10*'BTU Conversion Factor'!$F$4</f>
        <v>0</v>
      </c>
      <c r="AH10" s="137">
        <f>Commercial_2!AH10*'BTU Conversion Factor'!$F$4</f>
        <v>0</v>
      </c>
      <c r="AI10" s="137">
        <f>Commercial_2!AI10*'BTU Conversion Factor'!$F$4</f>
        <v>0</v>
      </c>
      <c r="AJ10" s="137">
        <f>Commercial_2!AJ10*'BTU Conversion Factor'!$F$4</f>
        <v>0</v>
      </c>
      <c r="AK10" s="137">
        <f>Commercial_2!AK10*'BTU Conversion Factor'!$F$4</f>
        <v>0</v>
      </c>
      <c r="AL10" s="137">
        <f>Commercial_2!AL10*'BTU Conversion Factor'!$F$4</f>
        <v>0</v>
      </c>
      <c r="AM10" s="137">
        <f>Commercial_2!AM10*'BTU Conversion Factor'!$F$4</f>
        <v>0</v>
      </c>
      <c r="AN10" s="137">
        <f>Commercial_2!AN10*'BTU Conversion Factor'!$F$4</f>
        <v>0</v>
      </c>
      <c r="AO10" s="137">
        <f>Commercial_2!AO10*'BTU Conversion Factor'!$F$4</f>
        <v>0</v>
      </c>
      <c r="AP10" s="137">
        <f>Commercial_2!AP10*'BTU Conversion Factor'!$F$4</f>
        <v>0</v>
      </c>
      <c r="AQ10" s="137">
        <f>Commercial_2!AQ10*'BTU Conversion Factor'!$F$4</f>
        <v>0</v>
      </c>
      <c r="AR10" s="137">
        <f>Commercial_2!AR10*'BTU Conversion Factor'!$F$4</f>
        <v>0</v>
      </c>
      <c r="AS10" s="137">
        <f>Commercial_2!AS10*'BTU Conversion Factor'!$F$4</f>
        <v>0</v>
      </c>
      <c r="AT10" s="137">
        <f>Commercial_2!AT10*'BTU Conversion Factor'!$F$4</f>
        <v>0</v>
      </c>
      <c r="AU10" s="137">
        <f>Commercial_2!AU10*'BTU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Commercial_2!C14*'BTU Conversion Factor'!$F$4</f>
        <v>29187131358000</v>
      </c>
      <c r="D14" s="137">
        <f>Commercial_2!D14*'BTU Conversion Factor'!$F$4</f>
        <v>28867468431666.785</v>
      </c>
      <c r="E14" s="137">
        <f>Commercial_2!E14*'BTU Conversion Factor'!$F$4</f>
        <v>28547805505333.473</v>
      </c>
      <c r="F14" s="137">
        <f>Commercial_2!F14*'BTU Conversion Factor'!$F$4</f>
        <v>28228142579000.047</v>
      </c>
      <c r="G14" s="137">
        <f>Commercial_2!G14*'BTU Conversion Factor'!$F$4</f>
        <v>27908479652666.734</v>
      </c>
      <c r="H14" s="137">
        <f>Commercial_2!H14*'BTU Conversion Factor'!$F$4</f>
        <v>27062533400000</v>
      </c>
      <c r="I14" s="137">
        <f>Commercial_2!I14*'BTU Conversion Factor'!$F$4</f>
        <v>27269153800000</v>
      </c>
      <c r="J14" s="137">
        <f>Commercial_2!J14*'BTU Conversion Factor'!$F$4</f>
        <v>27018934600000</v>
      </c>
      <c r="K14" s="137">
        <f>Commercial_2!K14*'BTU Conversion Factor'!$F$4</f>
        <v>27840677200000</v>
      </c>
      <c r="L14" s="137">
        <f>Commercial_2!L14*'BTU Conversion Factor'!$F$4</f>
        <v>27695663800000</v>
      </c>
      <c r="M14" s="137">
        <f>Commercial_2!M14*'BTU Conversion Factor'!$F$4</f>
        <v>27034099400000</v>
      </c>
      <c r="N14" s="137">
        <f>Commercial_2!N14*'BTU Conversion Factor'!$F$4</f>
        <v>27207546800000</v>
      </c>
      <c r="O14" s="137">
        <f>Commercial_2!O14*'BTU Conversion Factor'!$F$4</f>
        <v>28934438400000</v>
      </c>
      <c r="P14" s="137">
        <f>Commercial_2!P14*'BTU Conversion Factor'!$F$4</f>
        <v>28595126000000</v>
      </c>
      <c r="Q14" s="137">
        <f>Commercial_2!Q14*'BTU Conversion Factor'!$F$4</f>
        <v>27341186600000</v>
      </c>
      <c r="R14" s="137">
        <f>Commercial_2!R14*'BTU Conversion Factor'!$F$4</f>
        <v>28150607800000</v>
      </c>
      <c r="S14" s="137">
        <f>Commercial_2!S14*'BTU Conversion Factor'!$F$4</f>
        <v>28926771061581.391</v>
      </c>
      <c r="T14" s="137">
        <f>Commercial_2!T14*'BTU Conversion Factor'!$F$4</f>
        <v>29220472710339.402</v>
      </c>
      <c r="U14" s="137">
        <f>Commercial_2!U14*'BTU Conversion Factor'!$F$4</f>
        <v>29515286523768.762</v>
      </c>
      <c r="V14" s="137">
        <f>Commercial_2!V14*'BTU Conversion Factor'!$F$4</f>
        <v>29675817217323.301</v>
      </c>
      <c r="W14" s="137">
        <f>Commercial_2!W14*'BTU Conversion Factor'!$F$4</f>
        <v>29896521787582.797</v>
      </c>
      <c r="X14" s="137">
        <f>Commercial_2!X14*'BTU Conversion Factor'!$F$4</f>
        <v>30117226357842.281</v>
      </c>
      <c r="Y14" s="137">
        <f>Commercial_2!Y14*'BTU Conversion Factor'!$F$4</f>
        <v>30337930928101.777</v>
      </c>
      <c r="Z14" s="137">
        <f>Commercial_2!Z14*'BTU Conversion Factor'!$F$4</f>
        <v>30558635498361.273</v>
      </c>
      <c r="AA14" s="137">
        <f>Commercial_2!AA14*'BTU Conversion Factor'!$F$4</f>
        <v>30779340068620.766</v>
      </c>
      <c r="AB14" s="137">
        <f>Commercial_2!AB14*'BTU Conversion Factor'!$F$4</f>
        <v>31000044638880.254</v>
      </c>
      <c r="AC14" s="137">
        <f>Commercial_2!AC14*'BTU Conversion Factor'!$F$4</f>
        <v>31220749209139.758</v>
      </c>
      <c r="AD14" s="137">
        <f>Commercial_2!AD14*'BTU Conversion Factor'!$F$4</f>
        <v>31441453779399.246</v>
      </c>
      <c r="AE14" s="137">
        <f>Commercial_2!AE14*'BTU Conversion Factor'!$F$4</f>
        <v>31662158349658.727</v>
      </c>
      <c r="AF14" s="137">
        <f>Commercial_2!AF14*'BTU Conversion Factor'!$F$4</f>
        <v>31882862919918.223</v>
      </c>
      <c r="AG14" s="137">
        <f>Commercial_2!AG14*'BTU Conversion Factor'!$F$4</f>
        <v>32080404743070.742</v>
      </c>
      <c r="AH14" s="137">
        <f>Commercial_2!AH14*'BTU Conversion Factor'!$F$4</f>
        <v>32300950074823.562</v>
      </c>
      <c r="AI14" s="137">
        <f>Commercial_2!AI14*'BTU Conversion Factor'!$F$4</f>
        <v>32521495406576.359</v>
      </c>
      <c r="AJ14" s="137">
        <f>Commercial_2!AJ14*'BTU Conversion Factor'!$F$4</f>
        <v>32742040738329.18</v>
      </c>
      <c r="AK14" s="137">
        <f>Commercial_2!AK14*'BTU Conversion Factor'!$F$4</f>
        <v>32962586070081.996</v>
      </c>
      <c r="AL14" s="137">
        <f>Commercial_2!AL14*'BTU Conversion Factor'!$F$4</f>
        <v>33183131401834.797</v>
      </c>
      <c r="AM14" s="137">
        <f>Commercial_2!AM14*'BTU Conversion Factor'!$F$4</f>
        <v>33403676733587.613</v>
      </c>
      <c r="AN14" s="137">
        <f>Commercial_2!AN14*'BTU Conversion Factor'!$F$4</f>
        <v>33624222065340.422</v>
      </c>
      <c r="AO14" s="137">
        <f>Commercial_2!AO14*'BTU Conversion Factor'!$F$4</f>
        <v>33844767397093.23</v>
      </c>
      <c r="AP14" s="137">
        <f>Commercial_2!AP14*'BTU Conversion Factor'!$F$4</f>
        <v>34065312728846.055</v>
      </c>
      <c r="AQ14" s="137">
        <f>Commercial_2!AQ14*'BTU Conversion Factor'!$F$4</f>
        <v>34285858060598.863</v>
      </c>
      <c r="AR14" s="137">
        <f>Commercial_2!AR14*'BTU Conversion Factor'!$F$4</f>
        <v>34506403392351.672</v>
      </c>
      <c r="AS14" s="137">
        <f>Commercial_2!AS14*'BTU Conversion Factor'!$F$4</f>
        <v>34726948724104.488</v>
      </c>
      <c r="AT14" s="137">
        <f>Commercial_2!AT14*'BTU Conversion Factor'!$F$4</f>
        <v>34947494055857.297</v>
      </c>
      <c r="AU14" s="137">
        <f>Commercial_2!AU14*'BTU Conversion Factor'!$F$4</f>
        <v>35168039387610.109</v>
      </c>
    </row>
    <row r="15" spans="1:47">
      <c r="B15" s="48" t="s">
        <v>953</v>
      </c>
      <c r="C15" s="137">
        <f>Commercial_2!C15*'BTU Conversion Factor'!$F$4</f>
        <v>0</v>
      </c>
      <c r="D15" s="137">
        <f>Commercial_2!D15*'BTU Conversion Factor'!$F$4</f>
        <v>0</v>
      </c>
      <c r="E15" s="137">
        <f>Commercial_2!E15*'BTU Conversion Factor'!$F$4</f>
        <v>0</v>
      </c>
      <c r="F15" s="137">
        <f>Commercial_2!F15*'BTU Conversion Factor'!$F$4</f>
        <v>0</v>
      </c>
      <c r="G15" s="137">
        <f>Commercial_2!G15*'BTU Conversion Factor'!$F$4</f>
        <v>0</v>
      </c>
      <c r="H15" s="137">
        <f>Commercial_2!H15*'BTU Conversion Factor'!$F$4</f>
        <v>0</v>
      </c>
      <c r="I15" s="137">
        <f>Commercial_2!I15*'BTU Conversion Factor'!$F$4</f>
        <v>0</v>
      </c>
      <c r="J15" s="137">
        <f>Commercial_2!J15*'BTU Conversion Factor'!$F$4</f>
        <v>0</v>
      </c>
      <c r="K15" s="137">
        <f>Commercial_2!K15*'BTU Conversion Factor'!$F$4</f>
        <v>0</v>
      </c>
      <c r="L15" s="137">
        <f>Commercial_2!L15*'BTU Conversion Factor'!$F$4</f>
        <v>0</v>
      </c>
      <c r="M15" s="137">
        <f>Commercial_2!M15*'BTU Conversion Factor'!$F$4</f>
        <v>0</v>
      </c>
      <c r="N15" s="137">
        <f>Commercial_2!N15*'BTU Conversion Factor'!$F$4</f>
        <v>0</v>
      </c>
      <c r="O15" s="137">
        <f>Commercial_2!O15*'BTU Conversion Factor'!$F$4</f>
        <v>0</v>
      </c>
      <c r="P15" s="137">
        <f>Commercial_2!P15*'BTU Conversion Factor'!$F$4</f>
        <v>0</v>
      </c>
      <c r="Q15" s="137">
        <f>Commercial_2!Q15*'BTU Conversion Factor'!$F$4</f>
        <v>0</v>
      </c>
      <c r="R15" s="137">
        <f>Commercial_2!R15*'BTU Conversion Factor'!$F$4</f>
        <v>0</v>
      </c>
      <c r="S15" s="137">
        <f>Commercial_2!S15*'BTU Conversion Factor'!$F$4</f>
        <v>0</v>
      </c>
      <c r="T15" s="137">
        <f>Commercial_2!T15*'BTU Conversion Factor'!$F$4</f>
        <v>0</v>
      </c>
      <c r="U15" s="137">
        <f>Commercial_2!U15*'BTU Conversion Factor'!$F$4</f>
        <v>0</v>
      </c>
      <c r="V15" s="137">
        <f>Commercial_2!V15*'BTU Conversion Factor'!$F$4</f>
        <v>0</v>
      </c>
      <c r="W15" s="137">
        <f>Commercial_2!W15*'BTU Conversion Factor'!$F$4</f>
        <v>0</v>
      </c>
      <c r="X15" s="137">
        <f>Commercial_2!X15*'BTU Conversion Factor'!$F$4</f>
        <v>0</v>
      </c>
      <c r="Y15" s="137">
        <f>Commercial_2!Y15*'BTU Conversion Factor'!$F$4</f>
        <v>0</v>
      </c>
      <c r="Z15" s="137">
        <f>Commercial_2!Z15*'BTU Conversion Factor'!$F$4</f>
        <v>0</v>
      </c>
      <c r="AA15" s="137">
        <f>Commercial_2!AA15*'BTU Conversion Factor'!$F$4</f>
        <v>0</v>
      </c>
      <c r="AB15" s="137">
        <f>Commercial_2!AB15*'BTU Conversion Factor'!$F$4</f>
        <v>0</v>
      </c>
      <c r="AC15" s="137">
        <f>Commercial_2!AC15*'BTU Conversion Factor'!$F$4</f>
        <v>0</v>
      </c>
      <c r="AD15" s="137">
        <f>Commercial_2!AD15*'BTU Conversion Factor'!$F$4</f>
        <v>0</v>
      </c>
      <c r="AE15" s="137">
        <f>Commercial_2!AE15*'BTU Conversion Factor'!$F$4</f>
        <v>0</v>
      </c>
      <c r="AF15" s="137">
        <f>Commercial_2!AF15*'BTU Conversion Factor'!$F$4</f>
        <v>0</v>
      </c>
      <c r="AG15" s="137">
        <f>Commercial_2!AG15*'BTU Conversion Factor'!$F$4</f>
        <v>0</v>
      </c>
      <c r="AH15" s="137">
        <f>Commercial_2!AH15*'BTU Conversion Factor'!$F$4</f>
        <v>0</v>
      </c>
      <c r="AI15" s="137">
        <f>Commercial_2!AI15*'BTU Conversion Factor'!$F$4</f>
        <v>0</v>
      </c>
      <c r="AJ15" s="137">
        <f>Commercial_2!AJ15*'BTU Conversion Factor'!$F$4</f>
        <v>0</v>
      </c>
      <c r="AK15" s="137">
        <f>Commercial_2!AK15*'BTU Conversion Factor'!$F$4</f>
        <v>0</v>
      </c>
      <c r="AL15" s="137">
        <f>Commercial_2!AL15*'BTU Conversion Factor'!$F$4</f>
        <v>0</v>
      </c>
      <c r="AM15" s="137">
        <f>Commercial_2!AM15*'BTU Conversion Factor'!$F$4</f>
        <v>0</v>
      </c>
      <c r="AN15" s="137">
        <f>Commercial_2!AN15*'BTU Conversion Factor'!$F$4</f>
        <v>0</v>
      </c>
      <c r="AO15" s="137">
        <f>Commercial_2!AO15*'BTU Conversion Factor'!$F$4</f>
        <v>0</v>
      </c>
      <c r="AP15" s="137">
        <f>Commercial_2!AP15*'BTU Conversion Factor'!$F$4</f>
        <v>0</v>
      </c>
      <c r="AQ15" s="137">
        <f>Commercial_2!AQ15*'BTU Conversion Factor'!$F$4</f>
        <v>0</v>
      </c>
      <c r="AR15" s="137">
        <f>Commercial_2!AR15*'BTU Conversion Factor'!$F$4</f>
        <v>0</v>
      </c>
      <c r="AS15" s="137">
        <f>Commercial_2!AS15*'BTU Conversion Factor'!$F$4</f>
        <v>0</v>
      </c>
      <c r="AT15" s="137">
        <f>Commercial_2!AT15*'BTU Conversion Factor'!$F$4</f>
        <v>0</v>
      </c>
      <c r="AU15" s="137">
        <f>Commercial_2!AU15*'BTU Conversion Factor'!$F$4</f>
        <v>0</v>
      </c>
    </row>
    <row r="16" spans="1:47">
      <c r="B16" s="48" t="s">
        <v>954</v>
      </c>
      <c r="C16" s="137">
        <f>Commercial_2!C16*'BTU Conversion Factor'!$F$4</f>
        <v>0</v>
      </c>
      <c r="D16" s="137">
        <f>Commercial_2!D16*'BTU Conversion Factor'!$F$4</f>
        <v>2053566666.666954</v>
      </c>
      <c r="E16" s="137">
        <f>Commercial_2!E16*'BTU Conversion Factor'!$F$4</f>
        <v>4107133333.333046</v>
      </c>
      <c r="F16" s="137">
        <f>Commercial_2!F16*'BTU Conversion Factor'!$F$4</f>
        <v>6160700000</v>
      </c>
      <c r="G16" s="137">
        <f>Commercial_2!G16*'BTU Conversion Factor'!$F$4</f>
        <v>8214266666.666954</v>
      </c>
      <c r="H16" s="137">
        <f>Commercial_2!H16*'BTU Conversion Factor'!$F$4</f>
        <v>11373600000</v>
      </c>
      <c r="I16" s="137">
        <f>Commercial_2!I16*'BTU Conversion Factor'!$F$4</f>
        <v>12321400000</v>
      </c>
      <c r="J16" s="137">
        <f>Commercial_2!J16*'BTU Conversion Factor'!$F$4</f>
        <v>12321400000</v>
      </c>
      <c r="K16" s="137">
        <f>Commercial_2!K16*'BTU Conversion Factor'!$F$4</f>
        <v>11373600000</v>
      </c>
      <c r="L16" s="137">
        <f>Commercial_2!L16*'BTU Conversion Factor'!$F$4</f>
        <v>11373600000</v>
      </c>
      <c r="M16" s="137">
        <f>Commercial_2!M16*'BTU Conversion Factor'!$F$4</f>
        <v>12321400000</v>
      </c>
      <c r="N16" s="137">
        <f>Commercial_2!N16*'BTU Conversion Factor'!$F$4</f>
        <v>12321400000</v>
      </c>
      <c r="O16" s="137">
        <f>Commercial_2!O16*'BTU Conversion Factor'!$F$4</f>
        <v>12321400000</v>
      </c>
      <c r="P16" s="137">
        <f>Commercial_2!P16*'BTU Conversion Factor'!$F$4</f>
        <v>12321400000</v>
      </c>
      <c r="Q16" s="137">
        <f>Commercial_2!Q16*'BTU Conversion Factor'!$F$4</f>
        <v>9478000000</v>
      </c>
      <c r="R16" s="137">
        <f>Commercial_2!R16*'BTU Conversion Factor'!$F$4</f>
        <v>10425800000</v>
      </c>
      <c r="S16" s="137">
        <f>Commercial_2!S16*'BTU Conversion Factor'!$F$4</f>
        <v>10835386007.516848</v>
      </c>
      <c r="T16" s="137">
        <f>Commercial_2!T16*'BTU Conversion Factor'!$F$4</f>
        <v>10700510725.649878</v>
      </c>
      <c r="U16" s="137">
        <f>Commercial_2!U16*'BTU Conversion Factor'!$F$4</f>
        <v>10562354454.020287</v>
      </c>
      <c r="V16" s="137">
        <f>Commercial_2!V16*'BTU Conversion Factor'!$F$4</f>
        <v>10820345940.858074</v>
      </c>
      <c r="W16" s="137">
        <f>Commercial_2!W16*'BTU Conversion Factor'!$F$4</f>
        <v>10900818865.443352</v>
      </c>
      <c r="X16" s="137">
        <f>Commercial_2!X16*'BTU Conversion Factor'!$F$4</f>
        <v>10981291790.028627</v>
      </c>
      <c r="Y16" s="137">
        <f>Commercial_2!Y16*'BTU Conversion Factor'!$F$4</f>
        <v>11061764714.613907</v>
      </c>
      <c r="Z16" s="137">
        <f>Commercial_2!Z16*'BTU Conversion Factor'!$F$4</f>
        <v>11142237639.199183</v>
      </c>
      <c r="AA16" s="137">
        <f>Commercial_2!AA16*'BTU Conversion Factor'!$F$4</f>
        <v>11222710563.78446</v>
      </c>
      <c r="AB16" s="137">
        <f>Commercial_2!AB16*'BTU Conversion Factor'!$F$4</f>
        <v>11303183488.369736</v>
      </c>
      <c r="AC16" s="137">
        <f>Commercial_2!AC16*'BTU Conversion Factor'!$F$4</f>
        <v>11383656412.955017</v>
      </c>
      <c r="AD16" s="137">
        <f>Commercial_2!AD16*'BTU Conversion Factor'!$F$4</f>
        <v>11464129337.540293</v>
      </c>
      <c r="AE16" s="137">
        <f>Commercial_2!AE16*'BTU Conversion Factor'!$F$4</f>
        <v>11544602262.125566</v>
      </c>
      <c r="AF16" s="137">
        <f>Commercial_2!AF16*'BTU Conversion Factor'!$F$4</f>
        <v>11625075186.710844</v>
      </c>
      <c r="AG16" s="137">
        <f>Commercial_2!AG16*'BTU Conversion Factor'!$F$4</f>
        <v>11697102549.888237</v>
      </c>
      <c r="AH16" s="137">
        <f>Commercial_2!AH16*'BTU Conversion Factor'!$F$4</f>
        <v>11777517413.200367</v>
      </c>
      <c r="AI16" s="137">
        <f>Commercial_2!AI16*'BTU Conversion Factor'!$F$4</f>
        <v>11857932276.512491</v>
      </c>
      <c r="AJ16" s="137">
        <f>Commercial_2!AJ16*'BTU Conversion Factor'!$F$4</f>
        <v>11938347139.824619</v>
      </c>
      <c r="AK16" s="137">
        <f>Commercial_2!AK16*'BTU Conversion Factor'!$F$4</f>
        <v>12018762003.136749</v>
      </c>
      <c r="AL16" s="137">
        <f>Commercial_2!AL16*'BTU Conversion Factor'!$F$4</f>
        <v>12099176866.448875</v>
      </c>
      <c r="AM16" s="137">
        <f>Commercial_2!AM16*'BTU Conversion Factor'!$F$4</f>
        <v>12179591729.761003</v>
      </c>
      <c r="AN16" s="137">
        <f>Commercial_2!AN16*'BTU Conversion Factor'!$F$4</f>
        <v>12260006593.073128</v>
      </c>
      <c r="AO16" s="137">
        <f>Commercial_2!AO16*'BTU Conversion Factor'!$F$4</f>
        <v>12340421456.385256</v>
      </c>
      <c r="AP16" s="137">
        <f>Commercial_2!AP16*'BTU Conversion Factor'!$F$4</f>
        <v>12420836319.697386</v>
      </c>
      <c r="AQ16" s="137">
        <f>Commercial_2!AQ16*'BTU Conversion Factor'!$F$4</f>
        <v>12501251183.009512</v>
      </c>
      <c r="AR16" s="137">
        <f>Commercial_2!AR16*'BTU Conversion Factor'!$F$4</f>
        <v>12581666046.321638</v>
      </c>
      <c r="AS16" s="137">
        <f>Commercial_2!AS16*'BTU Conversion Factor'!$F$4</f>
        <v>12662080909.633768</v>
      </c>
      <c r="AT16" s="137">
        <f>Commercial_2!AT16*'BTU Conversion Factor'!$F$4</f>
        <v>12742495772.945894</v>
      </c>
      <c r="AU16" s="137">
        <f>Commercial_2!AU16*'BTU Conversion Factor'!$F$4</f>
        <v>12822910636.258024</v>
      </c>
    </row>
    <row r="17" spans="1:47">
      <c r="B17" s="48" t="s">
        <v>955</v>
      </c>
      <c r="C17" s="137">
        <f>Commercial_2!C17*'BTU Conversion Factor'!$F$4</f>
        <v>0</v>
      </c>
      <c r="D17" s="137">
        <f>Commercial_2!D17*'BTU Conversion Factor'!$F$4</f>
        <v>0</v>
      </c>
      <c r="E17" s="137">
        <f>Commercial_2!E17*'BTU Conversion Factor'!$F$4</f>
        <v>0</v>
      </c>
      <c r="F17" s="137">
        <f>Commercial_2!F17*'BTU Conversion Factor'!$F$4</f>
        <v>0</v>
      </c>
      <c r="G17" s="137">
        <f>Commercial_2!G17*'BTU Conversion Factor'!$F$4</f>
        <v>0</v>
      </c>
      <c r="H17" s="137">
        <f>Commercial_2!H17*'BTU Conversion Factor'!$F$4</f>
        <v>0</v>
      </c>
      <c r="I17" s="137">
        <f>Commercial_2!I17*'BTU Conversion Factor'!$F$4</f>
        <v>0</v>
      </c>
      <c r="J17" s="137">
        <f>Commercial_2!J17*'BTU Conversion Factor'!$F$4</f>
        <v>0</v>
      </c>
      <c r="K17" s="137">
        <f>Commercial_2!K17*'BTU Conversion Factor'!$F$4</f>
        <v>0</v>
      </c>
      <c r="L17" s="137">
        <f>Commercial_2!L17*'BTU Conversion Factor'!$F$4</f>
        <v>0</v>
      </c>
      <c r="M17" s="137">
        <f>Commercial_2!M17*'BTU Conversion Factor'!$F$4</f>
        <v>0</v>
      </c>
      <c r="N17" s="137">
        <f>Commercial_2!N17*'BTU Conversion Factor'!$F$4</f>
        <v>0</v>
      </c>
      <c r="O17" s="137">
        <f>Commercial_2!O17*'BTU Conversion Factor'!$F$4</f>
        <v>0</v>
      </c>
      <c r="P17" s="137">
        <f>Commercial_2!P17*'BTU Conversion Factor'!$F$4</f>
        <v>0</v>
      </c>
      <c r="Q17" s="137">
        <f>Commercial_2!Q17*'BTU Conversion Factor'!$F$4</f>
        <v>0</v>
      </c>
      <c r="R17" s="137">
        <f>Commercial_2!R17*'BTU Conversion Factor'!$F$4</f>
        <v>0</v>
      </c>
      <c r="S17" s="137">
        <f>Commercial_2!S17*'BTU Conversion Factor'!$F$4</f>
        <v>0</v>
      </c>
      <c r="T17" s="137">
        <f>Commercial_2!T17*'BTU Conversion Factor'!$F$4</f>
        <v>0</v>
      </c>
      <c r="U17" s="137">
        <f>Commercial_2!U17*'BTU Conversion Factor'!$F$4</f>
        <v>0</v>
      </c>
      <c r="V17" s="137">
        <f>Commercial_2!V17*'BTU Conversion Factor'!$F$4</f>
        <v>0</v>
      </c>
      <c r="W17" s="137">
        <f>Commercial_2!W17*'BTU Conversion Factor'!$F$4</f>
        <v>0</v>
      </c>
      <c r="X17" s="137">
        <f>Commercial_2!X17*'BTU Conversion Factor'!$F$4</f>
        <v>0</v>
      </c>
      <c r="Y17" s="137">
        <f>Commercial_2!Y17*'BTU Conversion Factor'!$F$4</f>
        <v>0</v>
      </c>
      <c r="Z17" s="137">
        <f>Commercial_2!Z17*'BTU Conversion Factor'!$F$4</f>
        <v>0</v>
      </c>
      <c r="AA17" s="137">
        <f>Commercial_2!AA17*'BTU Conversion Factor'!$F$4</f>
        <v>0</v>
      </c>
      <c r="AB17" s="137">
        <f>Commercial_2!AB17*'BTU Conversion Factor'!$F$4</f>
        <v>0</v>
      </c>
      <c r="AC17" s="137">
        <f>Commercial_2!AC17*'BTU Conversion Factor'!$F$4</f>
        <v>0</v>
      </c>
      <c r="AD17" s="137">
        <f>Commercial_2!AD17*'BTU Conversion Factor'!$F$4</f>
        <v>0</v>
      </c>
      <c r="AE17" s="137">
        <f>Commercial_2!AE17*'BTU Conversion Factor'!$F$4</f>
        <v>0</v>
      </c>
      <c r="AF17" s="137">
        <f>Commercial_2!AF17*'BTU Conversion Factor'!$F$4</f>
        <v>0</v>
      </c>
      <c r="AG17" s="137">
        <f>Commercial_2!AG17*'BTU Conversion Factor'!$F$4</f>
        <v>0</v>
      </c>
      <c r="AH17" s="137">
        <f>Commercial_2!AH17*'BTU Conversion Factor'!$F$4</f>
        <v>0</v>
      </c>
      <c r="AI17" s="137">
        <f>Commercial_2!AI17*'BTU Conversion Factor'!$F$4</f>
        <v>0</v>
      </c>
      <c r="AJ17" s="137">
        <f>Commercial_2!AJ17*'BTU Conversion Factor'!$F$4</f>
        <v>0</v>
      </c>
      <c r="AK17" s="137">
        <f>Commercial_2!AK17*'BTU Conversion Factor'!$F$4</f>
        <v>0</v>
      </c>
      <c r="AL17" s="137">
        <f>Commercial_2!AL17*'BTU Conversion Factor'!$F$4</f>
        <v>0</v>
      </c>
      <c r="AM17" s="137">
        <f>Commercial_2!AM17*'BTU Conversion Factor'!$F$4</f>
        <v>0</v>
      </c>
      <c r="AN17" s="137">
        <f>Commercial_2!AN17*'BTU Conversion Factor'!$F$4</f>
        <v>0</v>
      </c>
      <c r="AO17" s="137">
        <f>Commercial_2!AO17*'BTU Conversion Factor'!$F$4</f>
        <v>0</v>
      </c>
      <c r="AP17" s="137">
        <f>Commercial_2!AP17*'BTU Conversion Factor'!$F$4</f>
        <v>0</v>
      </c>
      <c r="AQ17" s="137">
        <f>Commercial_2!AQ17*'BTU Conversion Factor'!$F$4</f>
        <v>0</v>
      </c>
      <c r="AR17" s="137">
        <f>Commercial_2!AR17*'BTU Conversion Factor'!$F$4</f>
        <v>0</v>
      </c>
      <c r="AS17" s="137">
        <f>Commercial_2!AS17*'BTU Conversion Factor'!$F$4</f>
        <v>0</v>
      </c>
      <c r="AT17" s="137">
        <f>Commercial_2!AT17*'BTU Conversion Factor'!$F$4</f>
        <v>0</v>
      </c>
      <c r="AU17" s="137">
        <f>Commercial_2!AU17*'BTU Conversion Factor'!$F$4</f>
        <v>0</v>
      </c>
    </row>
    <row r="18" spans="1:47">
      <c r="B18" s="48" t="s">
        <v>956</v>
      </c>
      <c r="C18" s="137">
        <f>Commercial_2!C18*'BTU Conversion Factor'!$F$4</f>
        <v>0</v>
      </c>
      <c r="D18" s="137">
        <f>Commercial_2!D18*'BTU Conversion Factor'!$F$4</f>
        <v>0</v>
      </c>
      <c r="E18" s="137">
        <f>Commercial_2!E18*'BTU Conversion Factor'!$F$4</f>
        <v>0</v>
      </c>
      <c r="F18" s="137">
        <f>Commercial_2!F18*'BTU Conversion Factor'!$F$4</f>
        <v>0</v>
      </c>
      <c r="G18" s="137">
        <f>Commercial_2!G18*'BTU Conversion Factor'!$F$4</f>
        <v>0</v>
      </c>
      <c r="H18" s="137">
        <f>Commercial_2!H18*'BTU Conversion Factor'!$F$4</f>
        <v>0</v>
      </c>
      <c r="I18" s="137">
        <f>Commercial_2!I18*'BTU Conversion Factor'!$F$4</f>
        <v>0</v>
      </c>
      <c r="J18" s="137">
        <f>Commercial_2!J18*'BTU Conversion Factor'!$F$4</f>
        <v>0</v>
      </c>
      <c r="K18" s="137">
        <f>Commercial_2!K18*'BTU Conversion Factor'!$F$4</f>
        <v>0</v>
      </c>
      <c r="L18" s="137">
        <f>Commercial_2!L18*'BTU Conversion Factor'!$F$4</f>
        <v>0</v>
      </c>
      <c r="M18" s="137">
        <f>Commercial_2!M18*'BTU Conversion Factor'!$F$4</f>
        <v>0</v>
      </c>
      <c r="N18" s="137">
        <f>Commercial_2!N18*'BTU Conversion Factor'!$F$4</f>
        <v>0</v>
      </c>
      <c r="O18" s="137">
        <f>Commercial_2!O18*'BTU Conversion Factor'!$F$4</f>
        <v>0</v>
      </c>
      <c r="P18" s="137">
        <f>Commercial_2!P18*'BTU Conversion Factor'!$F$4</f>
        <v>0</v>
      </c>
      <c r="Q18" s="137">
        <f>Commercial_2!Q18*'BTU Conversion Factor'!$F$4</f>
        <v>0</v>
      </c>
      <c r="R18" s="137">
        <f>Commercial_2!R18*'BTU Conversion Factor'!$F$4</f>
        <v>0</v>
      </c>
      <c r="S18" s="137">
        <f>Commercial_2!S18*'BTU Conversion Factor'!$F$4</f>
        <v>0</v>
      </c>
      <c r="T18" s="137">
        <f>Commercial_2!T18*'BTU Conversion Factor'!$F$4</f>
        <v>0</v>
      </c>
      <c r="U18" s="137">
        <f>Commercial_2!U18*'BTU Conversion Factor'!$F$4</f>
        <v>0</v>
      </c>
      <c r="V18" s="137">
        <f>Commercial_2!V18*'BTU Conversion Factor'!$F$4</f>
        <v>0</v>
      </c>
      <c r="W18" s="137">
        <f>Commercial_2!W18*'BTU Conversion Factor'!$F$4</f>
        <v>0</v>
      </c>
      <c r="X18" s="137">
        <f>Commercial_2!X18*'BTU Conversion Factor'!$F$4</f>
        <v>0</v>
      </c>
      <c r="Y18" s="137">
        <f>Commercial_2!Y18*'BTU Conversion Factor'!$F$4</f>
        <v>0</v>
      </c>
      <c r="Z18" s="137">
        <f>Commercial_2!Z18*'BTU Conversion Factor'!$F$4</f>
        <v>0</v>
      </c>
      <c r="AA18" s="137">
        <f>Commercial_2!AA18*'BTU Conversion Factor'!$F$4</f>
        <v>0</v>
      </c>
      <c r="AB18" s="137">
        <f>Commercial_2!AB18*'BTU Conversion Factor'!$F$4</f>
        <v>0</v>
      </c>
      <c r="AC18" s="137">
        <f>Commercial_2!AC18*'BTU Conversion Factor'!$F$4</f>
        <v>0</v>
      </c>
      <c r="AD18" s="137">
        <f>Commercial_2!AD18*'BTU Conversion Factor'!$F$4</f>
        <v>0</v>
      </c>
      <c r="AE18" s="137">
        <f>Commercial_2!AE18*'BTU Conversion Factor'!$F$4</f>
        <v>0</v>
      </c>
      <c r="AF18" s="137">
        <f>Commercial_2!AF18*'BTU Conversion Factor'!$F$4</f>
        <v>0</v>
      </c>
      <c r="AG18" s="137">
        <f>Commercial_2!AG18*'BTU Conversion Factor'!$F$4</f>
        <v>0</v>
      </c>
      <c r="AH18" s="137">
        <f>Commercial_2!AH18*'BTU Conversion Factor'!$F$4</f>
        <v>0</v>
      </c>
      <c r="AI18" s="137">
        <f>Commercial_2!AI18*'BTU Conversion Factor'!$F$4</f>
        <v>0</v>
      </c>
      <c r="AJ18" s="137">
        <f>Commercial_2!AJ18*'BTU Conversion Factor'!$F$4</f>
        <v>0</v>
      </c>
      <c r="AK18" s="137">
        <f>Commercial_2!AK18*'BTU Conversion Factor'!$F$4</f>
        <v>0</v>
      </c>
      <c r="AL18" s="137">
        <f>Commercial_2!AL18*'BTU Conversion Factor'!$F$4</f>
        <v>0</v>
      </c>
      <c r="AM18" s="137">
        <f>Commercial_2!AM18*'BTU Conversion Factor'!$F$4</f>
        <v>0</v>
      </c>
      <c r="AN18" s="137">
        <f>Commercial_2!AN18*'BTU Conversion Factor'!$F$4</f>
        <v>0</v>
      </c>
      <c r="AO18" s="137">
        <f>Commercial_2!AO18*'BTU Conversion Factor'!$F$4</f>
        <v>0</v>
      </c>
      <c r="AP18" s="137">
        <f>Commercial_2!AP18*'BTU Conversion Factor'!$F$4</f>
        <v>0</v>
      </c>
      <c r="AQ18" s="137">
        <f>Commercial_2!AQ18*'BTU Conversion Factor'!$F$4</f>
        <v>0</v>
      </c>
      <c r="AR18" s="137">
        <f>Commercial_2!AR18*'BTU Conversion Factor'!$F$4</f>
        <v>0</v>
      </c>
      <c r="AS18" s="137">
        <f>Commercial_2!AS18*'BTU Conversion Factor'!$F$4</f>
        <v>0</v>
      </c>
      <c r="AT18" s="137">
        <f>Commercial_2!AT18*'BTU Conversion Factor'!$F$4</f>
        <v>0</v>
      </c>
      <c r="AU18" s="137">
        <f>Commercial_2!AU18*'BTU Conversion Factor'!$F$4</f>
        <v>0</v>
      </c>
    </row>
    <row r="19" spans="1:47">
      <c r="B19" s="48" t="s">
        <v>957</v>
      </c>
      <c r="C19" s="137">
        <f>Commercial_2!C19*'BTU Conversion Factor'!$F$4</f>
        <v>0</v>
      </c>
      <c r="D19" s="137">
        <f>Commercial_2!D19*'BTU Conversion Factor'!$F$4</f>
        <v>0</v>
      </c>
      <c r="E19" s="137">
        <f>Commercial_2!E19*'BTU Conversion Factor'!$F$4</f>
        <v>0</v>
      </c>
      <c r="F19" s="137">
        <f>Commercial_2!F19*'BTU Conversion Factor'!$F$4</f>
        <v>0</v>
      </c>
      <c r="G19" s="137">
        <f>Commercial_2!G19*'BTU Conversion Factor'!$F$4</f>
        <v>0</v>
      </c>
      <c r="H19" s="137">
        <f>Commercial_2!H19*'BTU Conversion Factor'!$F$4</f>
        <v>0</v>
      </c>
      <c r="I19" s="137">
        <f>Commercial_2!I19*'BTU Conversion Factor'!$F$4</f>
        <v>0</v>
      </c>
      <c r="J19" s="137">
        <f>Commercial_2!J19*'BTU Conversion Factor'!$F$4</f>
        <v>0</v>
      </c>
      <c r="K19" s="137">
        <f>Commercial_2!K19*'BTU Conversion Factor'!$F$4</f>
        <v>0</v>
      </c>
      <c r="L19" s="137">
        <f>Commercial_2!L19*'BTU Conversion Factor'!$F$4</f>
        <v>0</v>
      </c>
      <c r="M19" s="137">
        <f>Commercial_2!M19*'BTU Conversion Factor'!$F$4</f>
        <v>0</v>
      </c>
      <c r="N19" s="137">
        <f>Commercial_2!N19*'BTU Conversion Factor'!$F$4</f>
        <v>0</v>
      </c>
      <c r="O19" s="137">
        <f>Commercial_2!O19*'BTU Conversion Factor'!$F$4</f>
        <v>0</v>
      </c>
      <c r="P19" s="137">
        <f>Commercial_2!P19*'BTU Conversion Factor'!$F$4</f>
        <v>0</v>
      </c>
      <c r="Q19" s="137">
        <f>Commercial_2!Q19*'BTU Conversion Factor'!$F$4</f>
        <v>0</v>
      </c>
      <c r="R19" s="137">
        <f>Commercial_2!R19*'BTU Conversion Factor'!$F$4</f>
        <v>0</v>
      </c>
      <c r="S19" s="137">
        <f>Commercial_2!S19*'BTU Conversion Factor'!$F$4</f>
        <v>0</v>
      </c>
      <c r="T19" s="137">
        <f>Commercial_2!T19*'BTU Conversion Factor'!$F$4</f>
        <v>0</v>
      </c>
      <c r="U19" s="137">
        <f>Commercial_2!U19*'BTU Conversion Factor'!$F$4</f>
        <v>0</v>
      </c>
      <c r="V19" s="137">
        <f>Commercial_2!V19*'BTU Conversion Factor'!$F$4</f>
        <v>0</v>
      </c>
      <c r="W19" s="137">
        <f>Commercial_2!W19*'BTU Conversion Factor'!$F$4</f>
        <v>0</v>
      </c>
      <c r="X19" s="137">
        <f>Commercial_2!X19*'BTU Conversion Factor'!$F$4</f>
        <v>0</v>
      </c>
      <c r="Y19" s="137">
        <f>Commercial_2!Y19*'BTU Conversion Factor'!$F$4</f>
        <v>0</v>
      </c>
      <c r="Z19" s="137">
        <f>Commercial_2!Z19*'BTU Conversion Factor'!$F$4</f>
        <v>0</v>
      </c>
      <c r="AA19" s="137">
        <f>Commercial_2!AA19*'BTU Conversion Factor'!$F$4</f>
        <v>0</v>
      </c>
      <c r="AB19" s="137">
        <f>Commercial_2!AB19*'BTU Conversion Factor'!$F$4</f>
        <v>0</v>
      </c>
      <c r="AC19" s="137">
        <f>Commercial_2!AC19*'BTU Conversion Factor'!$F$4</f>
        <v>0</v>
      </c>
      <c r="AD19" s="137">
        <f>Commercial_2!AD19*'BTU Conversion Factor'!$F$4</f>
        <v>0</v>
      </c>
      <c r="AE19" s="137">
        <f>Commercial_2!AE19*'BTU Conversion Factor'!$F$4</f>
        <v>0</v>
      </c>
      <c r="AF19" s="137">
        <f>Commercial_2!AF19*'BTU Conversion Factor'!$F$4</f>
        <v>0</v>
      </c>
      <c r="AG19" s="137">
        <f>Commercial_2!AG19*'BTU Conversion Factor'!$F$4</f>
        <v>0</v>
      </c>
      <c r="AH19" s="137">
        <f>Commercial_2!AH19*'BTU Conversion Factor'!$F$4</f>
        <v>0</v>
      </c>
      <c r="AI19" s="137">
        <f>Commercial_2!AI19*'BTU Conversion Factor'!$F$4</f>
        <v>0</v>
      </c>
      <c r="AJ19" s="137">
        <f>Commercial_2!AJ19*'BTU Conversion Factor'!$F$4</f>
        <v>0</v>
      </c>
      <c r="AK19" s="137">
        <f>Commercial_2!AK19*'BTU Conversion Factor'!$F$4</f>
        <v>0</v>
      </c>
      <c r="AL19" s="137">
        <f>Commercial_2!AL19*'BTU Conversion Factor'!$F$4</f>
        <v>0</v>
      </c>
      <c r="AM19" s="137">
        <f>Commercial_2!AM19*'BTU Conversion Factor'!$F$4</f>
        <v>0</v>
      </c>
      <c r="AN19" s="137">
        <f>Commercial_2!AN19*'BTU Conversion Factor'!$F$4</f>
        <v>0</v>
      </c>
      <c r="AO19" s="137">
        <f>Commercial_2!AO19*'BTU Conversion Factor'!$F$4</f>
        <v>0</v>
      </c>
      <c r="AP19" s="137">
        <f>Commercial_2!AP19*'BTU Conversion Factor'!$F$4</f>
        <v>0</v>
      </c>
      <c r="AQ19" s="137">
        <f>Commercial_2!AQ19*'BTU Conversion Factor'!$F$4</f>
        <v>0</v>
      </c>
      <c r="AR19" s="137">
        <f>Commercial_2!AR19*'BTU Conversion Factor'!$F$4</f>
        <v>0</v>
      </c>
      <c r="AS19" s="137">
        <f>Commercial_2!AS19*'BTU Conversion Factor'!$F$4</f>
        <v>0</v>
      </c>
      <c r="AT19" s="137">
        <f>Commercial_2!AT19*'BTU Conversion Factor'!$F$4</f>
        <v>0</v>
      </c>
      <c r="AU19" s="137">
        <f>Commercial_2!AU19*'BTU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s="137">
        <f>Commercial_2!C23*'BTU Conversion Factor'!$F$4</f>
        <v>0</v>
      </c>
      <c r="D23" s="137">
        <f>Commercial_2!D23*'BTU Conversion Factor'!$F$4</f>
        <v>0</v>
      </c>
      <c r="E23" s="137">
        <f>Commercial_2!E23*'BTU Conversion Factor'!$F$4</f>
        <v>0</v>
      </c>
      <c r="F23" s="137">
        <f>Commercial_2!F23*'BTU Conversion Factor'!$F$4</f>
        <v>0</v>
      </c>
      <c r="G23" s="137">
        <f>Commercial_2!G23*'BTU Conversion Factor'!$F$4</f>
        <v>0</v>
      </c>
      <c r="H23" s="137">
        <f>Commercial_2!H23*'BTU Conversion Factor'!$F$4</f>
        <v>0</v>
      </c>
      <c r="I23" s="137">
        <f>Commercial_2!I23*'BTU Conversion Factor'!$F$4</f>
        <v>0</v>
      </c>
      <c r="J23" s="137">
        <f>Commercial_2!J23*'BTU Conversion Factor'!$F$4</f>
        <v>0</v>
      </c>
      <c r="K23" s="137">
        <f>Commercial_2!K23*'BTU Conversion Factor'!$F$4</f>
        <v>0</v>
      </c>
      <c r="L23" s="137">
        <f>Commercial_2!L23*'BTU Conversion Factor'!$F$4</f>
        <v>0</v>
      </c>
      <c r="M23" s="137">
        <f>Commercial_2!M23*'BTU Conversion Factor'!$F$4</f>
        <v>0</v>
      </c>
      <c r="N23" s="137">
        <f>Commercial_2!N23*'BTU Conversion Factor'!$F$4</f>
        <v>0</v>
      </c>
      <c r="O23" s="137">
        <f>Commercial_2!O23*'BTU Conversion Factor'!$F$4</f>
        <v>0</v>
      </c>
      <c r="P23" s="137">
        <f>Commercial_2!P23*'BTU Conversion Factor'!$F$4</f>
        <v>0</v>
      </c>
      <c r="Q23" s="137">
        <f>Commercial_2!Q23*'BTU Conversion Factor'!$F$4</f>
        <v>0</v>
      </c>
      <c r="R23" s="137">
        <f>Commercial_2!R23*'BTU Conversion Factor'!$F$4</f>
        <v>0</v>
      </c>
      <c r="S23" s="137">
        <f>Commercial_2!S23*'BTU Conversion Factor'!$F$4</f>
        <v>0</v>
      </c>
      <c r="T23" s="137">
        <f>Commercial_2!T23*'BTU Conversion Factor'!$F$4</f>
        <v>0</v>
      </c>
      <c r="U23" s="137">
        <f>Commercial_2!U23*'BTU Conversion Factor'!$F$4</f>
        <v>0</v>
      </c>
      <c r="V23" s="137">
        <f>Commercial_2!V23*'BTU Conversion Factor'!$F$4</f>
        <v>0</v>
      </c>
      <c r="W23" s="137">
        <f>Commercial_2!W23*'BTU Conversion Factor'!$F$4</f>
        <v>0</v>
      </c>
      <c r="X23" s="137">
        <f>Commercial_2!X23*'BTU Conversion Factor'!$F$4</f>
        <v>0</v>
      </c>
      <c r="Y23" s="137">
        <f>Commercial_2!Y23*'BTU Conversion Factor'!$F$4</f>
        <v>0</v>
      </c>
      <c r="Z23" s="137">
        <f>Commercial_2!Z23*'BTU Conversion Factor'!$F$4</f>
        <v>0</v>
      </c>
      <c r="AA23" s="137">
        <f>Commercial_2!AA23*'BTU Conversion Factor'!$F$4</f>
        <v>0</v>
      </c>
      <c r="AB23" s="137">
        <f>Commercial_2!AB23*'BTU Conversion Factor'!$F$4</f>
        <v>0</v>
      </c>
      <c r="AC23" s="137">
        <f>Commercial_2!AC23*'BTU Conversion Factor'!$F$4</f>
        <v>0</v>
      </c>
      <c r="AD23" s="137">
        <f>Commercial_2!AD23*'BTU Conversion Factor'!$F$4</f>
        <v>0</v>
      </c>
      <c r="AE23" s="137">
        <f>Commercial_2!AE23*'BTU Conversion Factor'!$F$4</f>
        <v>0</v>
      </c>
      <c r="AF23" s="137">
        <f>Commercial_2!AF23*'BTU Conversion Factor'!$F$4</f>
        <v>0</v>
      </c>
      <c r="AG23" s="137">
        <f>Commercial_2!AG23*'BTU Conversion Factor'!$F$4</f>
        <v>0</v>
      </c>
      <c r="AH23" s="137">
        <f>Commercial_2!AH23*'BTU Conversion Factor'!$F$4</f>
        <v>0</v>
      </c>
      <c r="AI23" s="137">
        <f>Commercial_2!AI23*'BTU Conversion Factor'!$F$4</f>
        <v>0</v>
      </c>
      <c r="AJ23" s="137">
        <f>Commercial_2!AJ23*'BTU Conversion Factor'!$F$4</f>
        <v>0</v>
      </c>
      <c r="AK23" s="137">
        <f>Commercial_2!AK23*'BTU Conversion Factor'!$F$4</f>
        <v>0</v>
      </c>
      <c r="AL23" s="137">
        <f>Commercial_2!AL23*'BTU Conversion Factor'!$F$4</f>
        <v>0</v>
      </c>
      <c r="AM23" s="137">
        <f>Commercial_2!AM23*'BTU Conversion Factor'!$F$4</f>
        <v>0</v>
      </c>
      <c r="AN23" s="137">
        <f>Commercial_2!AN23*'BTU Conversion Factor'!$F$4</f>
        <v>0</v>
      </c>
      <c r="AO23" s="137">
        <f>Commercial_2!AO23*'BTU Conversion Factor'!$F$4</f>
        <v>0</v>
      </c>
      <c r="AP23" s="137">
        <f>Commercial_2!AP23*'BTU Conversion Factor'!$F$4</f>
        <v>0</v>
      </c>
      <c r="AQ23" s="137">
        <f>Commercial_2!AQ23*'BTU Conversion Factor'!$F$4</f>
        <v>0</v>
      </c>
      <c r="AR23" s="137">
        <f>Commercial_2!AR23*'BTU Conversion Factor'!$F$4</f>
        <v>0</v>
      </c>
      <c r="AS23" s="137">
        <f>Commercial_2!AS23*'BTU Conversion Factor'!$F$4</f>
        <v>0</v>
      </c>
      <c r="AT23" s="137">
        <f>Commercial_2!AT23*'BTU Conversion Factor'!$F$4</f>
        <v>0</v>
      </c>
      <c r="AU23" s="137">
        <f>Commercial_2!AU23*'BTU Conversion Factor'!$F$4</f>
        <v>0</v>
      </c>
    </row>
    <row r="24" spans="1:47">
      <c r="B24" s="48" t="s">
        <v>953</v>
      </c>
      <c r="C24" s="137">
        <f>Commercial_2!C24*'BTU Conversion Factor'!$F$4</f>
        <v>0</v>
      </c>
      <c r="D24" s="137">
        <f>Commercial_2!D24*'BTU Conversion Factor'!$F$4</f>
        <v>0</v>
      </c>
      <c r="E24" s="137">
        <f>Commercial_2!E24*'BTU Conversion Factor'!$F$4</f>
        <v>0</v>
      </c>
      <c r="F24" s="137">
        <f>Commercial_2!F24*'BTU Conversion Factor'!$F$4</f>
        <v>0</v>
      </c>
      <c r="G24" s="137">
        <f>Commercial_2!G24*'BTU Conversion Factor'!$F$4</f>
        <v>0</v>
      </c>
      <c r="H24" s="137">
        <f>Commercial_2!H24*'BTU Conversion Factor'!$F$4</f>
        <v>0</v>
      </c>
      <c r="I24" s="137">
        <f>Commercial_2!I24*'BTU Conversion Factor'!$F$4</f>
        <v>0</v>
      </c>
      <c r="J24" s="137">
        <f>Commercial_2!J24*'BTU Conversion Factor'!$F$4</f>
        <v>0</v>
      </c>
      <c r="K24" s="137">
        <f>Commercial_2!K24*'BTU Conversion Factor'!$F$4</f>
        <v>0</v>
      </c>
      <c r="L24" s="137">
        <f>Commercial_2!L24*'BTU Conversion Factor'!$F$4</f>
        <v>0</v>
      </c>
      <c r="M24" s="137">
        <f>Commercial_2!M24*'BTU Conversion Factor'!$F$4</f>
        <v>0</v>
      </c>
      <c r="N24" s="137">
        <f>Commercial_2!N24*'BTU Conversion Factor'!$F$4</f>
        <v>0</v>
      </c>
      <c r="O24" s="137">
        <f>Commercial_2!O24*'BTU Conversion Factor'!$F$4</f>
        <v>0</v>
      </c>
      <c r="P24" s="137">
        <f>Commercial_2!P24*'BTU Conversion Factor'!$F$4</f>
        <v>0</v>
      </c>
      <c r="Q24" s="137">
        <f>Commercial_2!Q24*'BTU Conversion Factor'!$F$4</f>
        <v>0</v>
      </c>
      <c r="R24" s="137">
        <f>Commercial_2!R24*'BTU Conversion Factor'!$F$4</f>
        <v>0</v>
      </c>
      <c r="S24" s="137">
        <f>Commercial_2!S24*'BTU Conversion Factor'!$F$4</f>
        <v>0</v>
      </c>
      <c r="T24" s="137">
        <f>Commercial_2!T24*'BTU Conversion Factor'!$F$4</f>
        <v>0</v>
      </c>
      <c r="U24" s="137">
        <f>Commercial_2!U24*'BTU Conversion Factor'!$F$4</f>
        <v>0</v>
      </c>
      <c r="V24" s="137">
        <f>Commercial_2!V24*'BTU Conversion Factor'!$F$4</f>
        <v>0</v>
      </c>
      <c r="W24" s="137">
        <f>Commercial_2!W24*'BTU Conversion Factor'!$F$4</f>
        <v>0</v>
      </c>
      <c r="X24" s="137">
        <f>Commercial_2!X24*'BTU Conversion Factor'!$F$4</f>
        <v>0</v>
      </c>
      <c r="Y24" s="137">
        <f>Commercial_2!Y24*'BTU Conversion Factor'!$F$4</f>
        <v>0</v>
      </c>
      <c r="Z24" s="137">
        <f>Commercial_2!Z24*'BTU Conversion Factor'!$F$4</f>
        <v>0</v>
      </c>
      <c r="AA24" s="137">
        <f>Commercial_2!AA24*'BTU Conversion Factor'!$F$4</f>
        <v>0</v>
      </c>
      <c r="AB24" s="137">
        <f>Commercial_2!AB24*'BTU Conversion Factor'!$F$4</f>
        <v>0</v>
      </c>
      <c r="AC24" s="137">
        <f>Commercial_2!AC24*'BTU Conversion Factor'!$F$4</f>
        <v>0</v>
      </c>
      <c r="AD24" s="137">
        <f>Commercial_2!AD24*'BTU Conversion Factor'!$F$4</f>
        <v>0</v>
      </c>
      <c r="AE24" s="137">
        <f>Commercial_2!AE24*'BTU Conversion Factor'!$F$4</f>
        <v>0</v>
      </c>
      <c r="AF24" s="137">
        <f>Commercial_2!AF24*'BTU Conversion Factor'!$F$4</f>
        <v>0</v>
      </c>
      <c r="AG24" s="137">
        <f>Commercial_2!AG24*'BTU Conversion Factor'!$F$4</f>
        <v>0</v>
      </c>
      <c r="AH24" s="137">
        <f>Commercial_2!AH24*'BTU Conversion Factor'!$F$4</f>
        <v>0</v>
      </c>
      <c r="AI24" s="137">
        <f>Commercial_2!AI24*'BTU Conversion Factor'!$F$4</f>
        <v>0</v>
      </c>
      <c r="AJ24" s="137">
        <f>Commercial_2!AJ24*'BTU Conversion Factor'!$F$4</f>
        <v>0</v>
      </c>
      <c r="AK24" s="137">
        <f>Commercial_2!AK24*'BTU Conversion Factor'!$F$4</f>
        <v>0</v>
      </c>
      <c r="AL24" s="137">
        <f>Commercial_2!AL24*'BTU Conversion Factor'!$F$4</f>
        <v>0</v>
      </c>
      <c r="AM24" s="137">
        <f>Commercial_2!AM24*'BTU Conversion Factor'!$F$4</f>
        <v>0</v>
      </c>
      <c r="AN24" s="137">
        <f>Commercial_2!AN24*'BTU Conversion Factor'!$F$4</f>
        <v>0</v>
      </c>
      <c r="AO24" s="137">
        <f>Commercial_2!AO24*'BTU Conversion Factor'!$F$4</f>
        <v>0</v>
      </c>
      <c r="AP24" s="137">
        <f>Commercial_2!AP24*'BTU Conversion Factor'!$F$4</f>
        <v>0</v>
      </c>
      <c r="AQ24" s="137">
        <f>Commercial_2!AQ24*'BTU Conversion Factor'!$F$4</f>
        <v>0</v>
      </c>
      <c r="AR24" s="137">
        <f>Commercial_2!AR24*'BTU Conversion Factor'!$F$4</f>
        <v>0</v>
      </c>
      <c r="AS24" s="137">
        <f>Commercial_2!AS24*'BTU Conversion Factor'!$F$4</f>
        <v>0</v>
      </c>
      <c r="AT24" s="137">
        <f>Commercial_2!AT24*'BTU Conversion Factor'!$F$4</f>
        <v>0</v>
      </c>
      <c r="AU24" s="137">
        <f>Commercial_2!AU24*'BTU Conversion Factor'!$F$4</f>
        <v>0</v>
      </c>
    </row>
    <row r="25" spans="1:47">
      <c r="B25" s="48" t="s">
        <v>954</v>
      </c>
      <c r="C25" s="137">
        <f>Commercial_2!C25*'BTU Conversion Factor'!$F$4</f>
        <v>0</v>
      </c>
      <c r="D25" s="137">
        <f>Commercial_2!D25*'BTU Conversion Factor'!$F$4</f>
        <v>0</v>
      </c>
      <c r="E25" s="137">
        <f>Commercial_2!E25*'BTU Conversion Factor'!$F$4</f>
        <v>0</v>
      </c>
      <c r="F25" s="137">
        <f>Commercial_2!F25*'BTU Conversion Factor'!$F$4</f>
        <v>0</v>
      </c>
      <c r="G25" s="137">
        <f>Commercial_2!G25*'BTU Conversion Factor'!$F$4</f>
        <v>0</v>
      </c>
      <c r="H25" s="137">
        <f>Commercial_2!H25*'BTU Conversion Factor'!$F$4</f>
        <v>0</v>
      </c>
      <c r="I25" s="137">
        <f>Commercial_2!I25*'BTU Conversion Factor'!$F$4</f>
        <v>0</v>
      </c>
      <c r="J25" s="137">
        <f>Commercial_2!J25*'BTU Conversion Factor'!$F$4</f>
        <v>0</v>
      </c>
      <c r="K25" s="137">
        <f>Commercial_2!K25*'BTU Conversion Factor'!$F$4</f>
        <v>0</v>
      </c>
      <c r="L25" s="137">
        <f>Commercial_2!L25*'BTU Conversion Factor'!$F$4</f>
        <v>0</v>
      </c>
      <c r="M25" s="137">
        <f>Commercial_2!M25*'BTU Conversion Factor'!$F$4</f>
        <v>0</v>
      </c>
      <c r="N25" s="137">
        <f>Commercial_2!N25*'BTU Conversion Factor'!$F$4</f>
        <v>0</v>
      </c>
      <c r="O25" s="137">
        <f>Commercial_2!O25*'BTU Conversion Factor'!$F$4</f>
        <v>0</v>
      </c>
      <c r="P25" s="137">
        <f>Commercial_2!P25*'BTU Conversion Factor'!$F$4</f>
        <v>0</v>
      </c>
      <c r="Q25" s="137">
        <f>Commercial_2!Q25*'BTU Conversion Factor'!$F$4</f>
        <v>0</v>
      </c>
      <c r="R25" s="137">
        <f>Commercial_2!R25*'BTU Conversion Factor'!$F$4</f>
        <v>0</v>
      </c>
      <c r="S25" s="137">
        <f>Commercial_2!S25*'BTU Conversion Factor'!$F$4</f>
        <v>0</v>
      </c>
      <c r="T25" s="137">
        <f>Commercial_2!T25*'BTU Conversion Factor'!$F$4</f>
        <v>0</v>
      </c>
      <c r="U25" s="137">
        <f>Commercial_2!U25*'BTU Conversion Factor'!$F$4</f>
        <v>0</v>
      </c>
      <c r="V25" s="137">
        <f>Commercial_2!V25*'BTU Conversion Factor'!$F$4</f>
        <v>0</v>
      </c>
      <c r="W25" s="137">
        <f>Commercial_2!W25*'BTU Conversion Factor'!$F$4</f>
        <v>0</v>
      </c>
      <c r="X25" s="137">
        <f>Commercial_2!X25*'BTU Conversion Factor'!$F$4</f>
        <v>0</v>
      </c>
      <c r="Y25" s="137">
        <f>Commercial_2!Y25*'BTU Conversion Factor'!$F$4</f>
        <v>0</v>
      </c>
      <c r="Z25" s="137">
        <f>Commercial_2!Z25*'BTU Conversion Factor'!$F$4</f>
        <v>0</v>
      </c>
      <c r="AA25" s="137">
        <f>Commercial_2!AA25*'BTU Conversion Factor'!$F$4</f>
        <v>0</v>
      </c>
      <c r="AB25" s="137">
        <f>Commercial_2!AB25*'BTU Conversion Factor'!$F$4</f>
        <v>0</v>
      </c>
      <c r="AC25" s="137">
        <f>Commercial_2!AC25*'BTU Conversion Factor'!$F$4</f>
        <v>0</v>
      </c>
      <c r="AD25" s="137">
        <f>Commercial_2!AD25*'BTU Conversion Factor'!$F$4</f>
        <v>0</v>
      </c>
      <c r="AE25" s="137">
        <f>Commercial_2!AE25*'BTU Conversion Factor'!$F$4</f>
        <v>0</v>
      </c>
      <c r="AF25" s="137">
        <f>Commercial_2!AF25*'BTU Conversion Factor'!$F$4</f>
        <v>0</v>
      </c>
      <c r="AG25" s="137">
        <f>Commercial_2!AG25*'BTU Conversion Factor'!$F$4</f>
        <v>0</v>
      </c>
      <c r="AH25" s="137">
        <f>Commercial_2!AH25*'BTU Conversion Factor'!$F$4</f>
        <v>0</v>
      </c>
      <c r="AI25" s="137">
        <f>Commercial_2!AI25*'BTU Conversion Factor'!$F$4</f>
        <v>0</v>
      </c>
      <c r="AJ25" s="137">
        <f>Commercial_2!AJ25*'BTU Conversion Factor'!$F$4</f>
        <v>0</v>
      </c>
      <c r="AK25" s="137">
        <f>Commercial_2!AK25*'BTU Conversion Factor'!$F$4</f>
        <v>0</v>
      </c>
      <c r="AL25" s="137">
        <f>Commercial_2!AL25*'BTU Conversion Factor'!$F$4</f>
        <v>0</v>
      </c>
      <c r="AM25" s="137">
        <f>Commercial_2!AM25*'BTU Conversion Factor'!$F$4</f>
        <v>0</v>
      </c>
      <c r="AN25" s="137">
        <f>Commercial_2!AN25*'BTU Conversion Factor'!$F$4</f>
        <v>0</v>
      </c>
      <c r="AO25" s="137">
        <f>Commercial_2!AO25*'BTU Conversion Factor'!$F$4</f>
        <v>0</v>
      </c>
      <c r="AP25" s="137">
        <f>Commercial_2!AP25*'BTU Conversion Factor'!$F$4</f>
        <v>0</v>
      </c>
      <c r="AQ25" s="137">
        <f>Commercial_2!AQ25*'BTU Conversion Factor'!$F$4</f>
        <v>0</v>
      </c>
      <c r="AR25" s="137">
        <f>Commercial_2!AR25*'BTU Conversion Factor'!$F$4</f>
        <v>0</v>
      </c>
      <c r="AS25" s="137">
        <f>Commercial_2!AS25*'BTU Conversion Factor'!$F$4</f>
        <v>0</v>
      </c>
      <c r="AT25" s="137">
        <f>Commercial_2!AT25*'BTU Conversion Factor'!$F$4</f>
        <v>0</v>
      </c>
      <c r="AU25" s="137">
        <f>Commercial_2!AU25*'BTU Conversion Factor'!$F$4</f>
        <v>0</v>
      </c>
    </row>
    <row r="26" spans="1:47">
      <c r="B26" s="48" t="s">
        <v>955</v>
      </c>
      <c r="C26" s="137">
        <f>Commercial_2!C26*'BTU Conversion Factor'!$F$4</f>
        <v>0</v>
      </c>
      <c r="D26" s="137">
        <f>Commercial_2!D26*'BTU Conversion Factor'!$F$4</f>
        <v>0</v>
      </c>
      <c r="E26" s="137">
        <f>Commercial_2!E26*'BTU Conversion Factor'!$F$4</f>
        <v>0</v>
      </c>
      <c r="F26" s="137">
        <f>Commercial_2!F26*'BTU Conversion Factor'!$F$4</f>
        <v>0</v>
      </c>
      <c r="G26" s="137">
        <f>Commercial_2!G26*'BTU Conversion Factor'!$F$4</f>
        <v>0</v>
      </c>
      <c r="H26" s="137">
        <f>Commercial_2!H26*'BTU Conversion Factor'!$F$4</f>
        <v>0</v>
      </c>
      <c r="I26" s="137">
        <f>Commercial_2!I26*'BTU Conversion Factor'!$F$4</f>
        <v>0</v>
      </c>
      <c r="J26" s="137">
        <f>Commercial_2!J26*'BTU Conversion Factor'!$F$4</f>
        <v>0</v>
      </c>
      <c r="K26" s="137">
        <f>Commercial_2!K26*'BTU Conversion Factor'!$F$4</f>
        <v>0</v>
      </c>
      <c r="L26" s="137">
        <f>Commercial_2!L26*'BTU Conversion Factor'!$F$4</f>
        <v>0</v>
      </c>
      <c r="M26" s="137">
        <f>Commercial_2!M26*'BTU Conversion Factor'!$F$4</f>
        <v>0</v>
      </c>
      <c r="N26" s="137">
        <f>Commercial_2!N26*'BTU Conversion Factor'!$F$4</f>
        <v>0</v>
      </c>
      <c r="O26" s="137">
        <f>Commercial_2!O26*'BTU Conversion Factor'!$F$4</f>
        <v>0</v>
      </c>
      <c r="P26" s="137">
        <f>Commercial_2!P26*'BTU Conversion Factor'!$F$4</f>
        <v>0</v>
      </c>
      <c r="Q26" s="137">
        <f>Commercial_2!Q26*'BTU Conversion Factor'!$F$4</f>
        <v>0</v>
      </c>
      <c r="R26" s="137">
        <f>Commercial_2!R26*'BTU Conversion Factor'!$F$4</f>
        <v>0</v>
      </c>
      <c r="S26" s="137">
        <f>Commercial_2!S26*'BTU Conversion Factor'!$F$4</f>
        <v>0</v>
      </c>
      <c r="T26" s="137">
        <f>Commercial_2!T26*'BTU Conversion Factor'!$F$4</f>
        <v>0</v>
      </c>
      <c r="U26" s="137">
        <f>Commercial_2!U26*'BTU Conversion Factor'!$F$4</f>
        <v>0</v>
      </c>
      <c r="V26" s="137">
        <f>Commercial_2!V26*'BTU Conversion Factor'!$F$4</f>
        <v>0</v>
      </c>
      <c r="W26" s="137">
        <f>Commercial_2!W26*'BTU Conversion Factor'!$F$4</f>
        <v>0</v>
      </c>
      <c r="X26" s="137">
        <f>Commercial_2!X26*'BTU Conversion Factor'!$F$4</f>
        <v>0</v>
      </c>
      <c r="Y26" s="137">
        <f>Commercial_2!Y26*'BTU Conversion Factor'!$F$4</f>
        <v>0</v>
      </c>
      <c r="Z26" s="137">
        <f>Commercial_2!Z26*'BTU Conversion Factor'!$F$4</f>
        <v>0</v>
      </c>
      <c r="AA26" s="137">
        <f>Commercial_2!AA26*'BTU Conversion Factor'!$F$4</f>
        <v>0</v>
      </c>
      <c r="AB26" s="137">
        <f>Commercial_2!AB26*'BTU Conversion Factor'!$F$4</f>
        <v>0</v>
      </c>
      <c r="AC26" s="137">
        <f>Commercial_2!AC26*'BTU Conversion Factor'!$F$4</f>
        <v>0</v>
      </c>
      <c r="AD26" s="137">
        <f>Commercial_2!AD26*'BTU Conversion Factor'!$F$4</f>
        <v>0</v>
      </c>
      <c r="AE26" s="137">
        <f>Commercial_2!AE26*'BTU Conversion Factor'!$F$4</f>
        <v>0</v>
      </c>
      <c r="AF26" s="137">
        <f>Commercial_2!AF26*'BTU Conversion Factor'!$F$4</f>
        <v>0</v>
      </c>
      <c r="AG26" s="137">
        <f>Commercial_2!AG26*'BTU Conversion Factor'!$F$4</f>
        <v>0</v>
      </c>
      <c r="AH26" s="137">
        <f>Commercial_2!AH26*'BTU Conversion Factor'!$F$4</f>
        <v>0</v>
      </c>
      <c r="AI26" s="137">
        <f>Commercial_2!AI26*'BTU Conversion Factor'!$F$4</f>
        <v>0</v>
      </c>
      <c r="AJ26" s="137">
        <f>Commercial_2!AJ26*'BTU Conversion Factor'!$F$4</f>
        <v>0</v>
      </c>
      <c r="AK26" s="137">
        <f>Commercial_2!AK26*'BTU Conversion Factor'!$F$4</f>
        <v>0</v>
      </c>
      <c r="AL26" s="137">
        <f>Commercial_2!AL26*'BTU Conversion Factor'!$F$4</f>
        <v>0</v>
      </c>
      <c r="AM26" s="137">
        <f>Commercial_2!AM26*'BTU Conversion Factor'!$F$4</f>
        <v>0</v>
      </c>
      <c r="AN26" s="137">
        <f>Commercial_2!AN26*'BTU Conversion Factor'!$F$4</f>
        <v>0</v>
      </c>
      <c r="AO26" s="137">
        <f>Commercial_2!AO26*'BTU Conversion Factor'!$F$4</f>
        <v>0</v>
      </c>
      <c r="AP26" s="137">
        <f>Commercial_2!AP26*'BTU Conversion Factor'!$F$4</f>
        <v>0</v>
      </c>
      <c r="AQ26" s="137">
        <f>Commercial_2!AQ26*'BTU Conversion Factor'!$F$4</f>
        <v>0</v>
      </c>
      <c r="AR26" s="137">
        <f>Commercial_2!AR26*'BTU Conversion Factor'!$F$4</f>
        <v>0</v>
      </c>
      <c r="AS26" s="137">
        <f>Commercial_2!AS26*'BTU Conversion Factor'!$F$4</f>
        <v>0</v>
      </c>
      <c r="AT26" s="137">
        <f>Commercial_2!AT26*'BTU Conversion Factor'!$F$4</f>
        <v>0</v>
      </c>
      <c r="AU26" s="137">
        <f>Commercial_2!AU26*'BTU Conversion Factor'!$F$4</f>
        <v>0</v>
      </c>
    </row>
    <row r="27" spans="1:47">
      <c r="B27" s="48" t="s">
        <v>956</v>
      </c>
      <c r="C27" s="137">
        <f>Commercial_2!C27*'BTU Conversion Factor'!$F$4</f>
        <v>0</v>
      </c>
      <c r="D27" s="137">
        <f>Commercial_2!D27*'BTU Conversion Factor'!$F$4</f>
        <v>0</v>
      </c>
      <c r="E27" s="137">
        <f>Commercial_2!E27*'BTU Conversion Factor'!$F$4</f>
        <v>0</v>
      </c>
      <c r="F27" s="137">
        <f>Commercial_2!F27*'BTU Conversion Factor'!$F$4</f>
        <v>0</v>
      </c>
      <c r="G27" s="137">
        <f>Commercial_2!G27*'BTU Conversion Factor'!$F$4</f>
        <v>0</v>
      </c>
      <c r="H27" s="137">
        <f>Commercial_2!H27*'BTU Conversion Factor'!$F$4</f>
        <v>0</v>
      </c>
      <c r="I27" s="137">
        <f>Commercial_2!I27*'BTU Conversion Factor'!$F$4</f>
        <v>0</v>
      </c>
      <c r="J27" s="137">
        <f>Commercial_2!J27*'BTU Conversion Factor'!$F$4</f>
        <v>0</v>
      </c>
      <c r="K27" s="137">
        <f>Commercial_2!K27*'BTU Conversion Factor'!$F$4</f>
        <v>0</v>
      </c>
      <c r="L27" s="137">
        <f>Commercial_2!L27*'BTU Conversion Factor'!$F$4</f>
        <v>0</v>
      </c>
      <c r="M27" s="137">
        <f>Commercial_2!M27*'BTU Conversion Factor'!$F$4</f>
        <v>0</v>
      </c>
      <c r="N27" s="137">
        <f>Commercial_2!N27*'BTU Conversion Factor'!$F$4</f>
        <v>0</v>
      </c>
      <c r="O27" s="137">
        <f>Commercial_2!O27*'BTU Conversion Factor'!$F$4</f>
        <v>0</v>
      </c>
      <c r="P27" s="137">
        <f>Commercial_2!P27*'BTU Conversion Factor'!$F$4</f>
        <v>0</v>
      </c>
      <c r="Q27" s="137">
        <f>Commercial_2!Q27*'BTU Conversion Factor'!$F$4</f>
        <v>0</v>
      </c>
      <c r="R27" s="137">
        <f>Commercial_2!R27*'BTU Conversion Factor'!$F$4</f>
        <v>0</v>
      </c>
      <c r="S27" s="137">
        <f>Commercial_2!S27*'BTU Conversion Factor'!$F$4</f>
        <v>0</v>
      </c>
      <c r="T27" s="137">
        <f>Commercial_2!T27*'BTU Conversion Factor'!$F$4</f>
        <v>0</v>
      </c>
      <c r="U27" s="137">
        <f>Commercial_2!U27*'BTU Conversion Factor'!$F$4</f>
        <v>0</v>
      </c>
      <c r="V27" s="137">
        <f>Commercial_2!V27*'BTU Conversion Factor'!$F$4</f>
        <v>0</v>
      </c>
      <c r="W27" s="137">
        <f>Commercial_2!W27*'BTU Conversion Factor'!$F$4</f>
        <v>0</v>
      </c>
      <c r="X27" s="137">
        <f>Commercial_2!X27*'BTU Conversion Factor'!$F$4</f>
        <v>0</v>
      </c>
      <c r="Y27" s="137">
        <f>Commercial_2!Y27*'BTU Conversion Factor'!$F$4</f>
        <v>0</v>
      </c>
      <c r="Z27" s="137">
        <f>Commercial_2!Z27*'BTU Conversion Factor'!$F$4</f>
        <v>0</v>
      </c>
      <c r="AA27" s="137">
        <f>Commercial_2!AA27*'BTU Conversion Factor'!$F$4</f>
        <v>0</v>
      </c>
      <c r="AB27" s="137">
        <f>Commercial_2!AB27*'BTU Conversion Factor'!$F$4</f>
        <v>0</v>
      </c>
      <c r="AC27" s="137">
        <f>Commercial_2!AC27*'BTU Conversion Factor'!$F$4</f>
        <v>0</v>
      </c>
      <c r="AD27" s="137">
        <f>Commercial_2!AD27*'BTU Conversion Factor'!$F$4</f>
        <v>0</v>
      </c>
      <c r="AE27" s="137">
        <f>Commercial_2!AE27*'BTU Conversion Factor'!$F$4</f>
        <v>0</v>
      </c>
      <c r="AF27" s="137">
        <f>Commercial_2!AF27*'BTU Conversion Factor'!$F$4</f>
        <v>0</v>
      </c>
      <c r="AG27" s="137">
        <f>Commercial_2!AG27*'BTU Conversion Factor'!$F$4</f>
        <v>0</v>
      </c>
      <c r="AH27" s="137">
        <f>Commercial_2!AH27*'BTU Conversion Factor'!$F$4</f>
        <v>0</v>
      </c>
      <c r="AI27" s="137">
        <f>Commercial_2!AI27*'BTU Conversion Factor'!$F$4</f>
        <v>0</v>
      </c>
      <c r="AJ27" s="137">
        <f>Commercial_2!AJ27*'BTU Conversion Factor'!$F$4</f>
        <v>0</v>
      </c>
      <c r="AK27" s="137">
        <f>Commercial_2!AK27*'BTU Conversion Factor'!$F$4</f>
        <v>0</v>
      </c>
      <c r="AL27" s="137">
        <f>Commercial_2!AL27*'BTU Conversion Factor'!$F$4</f>
        <v>0</v>
      </c>
      <c r="AM27" s="137">
        <f>Commercial_2!AM27*'BTU Conversion Factor'!$F$4</f>
        <v>0</v>
      </c>
      <c r="AN27" s="137">
        <f>Commercial_2!AN27*'BTU Conversion Factor'!$F$4</f>
        <v>0</v>
      </c>
      <c r="AO27" s="137">
        <f>Commercial_2!AO27*'BTU Conversion Factor'!$F$4</f>
        <v>0</v>
      </c>
      <c r="AP27" s="137">
        <f>Commercial_2!AP27*'BTU Conversion Factor'!$F$4</f>
        <v>0</v>
      </c>
      <c r="AQ27" s="137">
        <f>Commercial_2!AQ27*'BTU Conversion Factor'!$F$4</f>
        <v>0</v>
      </c>
      <c r="AR27" s="137">
        <f>Commercial_2!AR27*'BTU Conversion Factor'!$F$4</f>
        <v>0</v>
      </c>
      <c r="AS27" s="137">
        <f>Commercial_2!AS27*'BTU Conversion Factor'!$F$4</f>
        <v>0</v>
      </c>
      <c r="AT27" s="137">
        <f>Commercial_2!AT27*'BTU Conversion Factor'!$F$4</f>
        <v>0</v>
      </c>
      <c r="AU27" s="137">
        <f>Commercial_2!AU27*'BTU Conversion Factor'!$F$4</f>
        <v>0</v>
      </c>
    </row>
    <row r="28" spans="1:47">
      <c r="B28" s="48" t="s">
        <v>957</v>
      </c>
      <c r="C28" s="137">
        <f>Commercial_2!C28*'BTU Conversion Factor'!$F$4</f>
        <v>0</v>
      </c>
      <c r="D28" s="137">
        <f>Commercial_2!D28*'BTU Conversion Factor'!$F$4</f>
        <v>0</v>
      </c>
      <c r="E28" s="137">
        <f>Commercial_2!E28*'BTU Conversion Factor'!$F$4</f>
        <v>0</v>
      </c>
      <c r="F28" s="137">
        <f>Commercial_2!F28*'BTU Conversion Factor'!$F$4</f>
        <v>0</v>
      </c>
      <c r="G28" s="137">
        <f>Commercial_2!G28*'BTU Conversion Factor'!$F$4</f>
        <v>0</v>
      </c>
      <c r="H28" s="137">
        <f>Commercial_2!H28*'BTU Conversion Factor'!$F$4</f>
        <v>0</v>
      </c>
      <c r="I28" s="137">
        <f>Commercial_2!I28*'BTU Conversion Factor'!$F$4</f>
        <v>0</v>
      </c>
      <c r="J28" s="137">
        <f>Commercial_2!J28*'BTU Conversion Factor'!$F$4</f>
        <v>0</v>
      </c>
      <c r="K28" s="137">
        <f>Commercial_2!K28*'BTU Conversion Factor'!$F$4</f>
        <v>0</v>
      </c>
      <c r="L28" s="137">
        <f>Commercial_2!L28*'BTU Conversion Factor'!$F$4</f>
        <v>0</v>
      </c>
      <c r="M28" s="137">
        <f>Commercial_2!M28*'BTU Conversion Factor'!$F$4</f>
        <v>0</v>
      </c>
      <c r="N28" s="137">
        <f>Commercial_2!N28*'BTU Conversion Factor'!$F$4</f>
        <v>0</v>
      </c>
      <c r="O28" s="137">
        <f>Commercial_2!O28*'BTU Conversion Factor'!$F$4</f>
        <v>0</v>
      </c>
      <c r="P28" s="137">
        <f>Commercial_2!P28*'BTU Conversion Factor'!$F$4</f>
        <v>0</v>
      </c>
      <c r="Q28" s="137">
        <f>Commercial_2!Q28*'BTU Conversion Factor'!$F$4</f>
        <v>0</v>
      </c>
      <c r="R28" s="137">
        <f>Commercial_2!R28*'BTU Conversion Factor'!$F$4</f>
        <v>0</v>
      </c>
      <c r="S28" s="137">
        <f>Commercial_2!S28*'BTU Conversion Factor'!$F$4</f>
        <v>0</v>
      </c>
      <c r="T28" s="137">
        <f>Commercial_2!T28*'BTU Conversion Factor'!$F$4</f>
        <v>0</v>
      </c>
      <c r="U28" s="137">
        <f>Commercial_2!U28*'BTU Conversion Factor'!$F$4</f>
        <v>0</v>
      </c>
      <c r="V28" s="137">
        <f>Commercial_2!V28*'BTU Conversion Factor'!$F$4</f>
        <v>0</v>
      </c>
      <c r="W28" s="137">
        <f>Commercial_2!W28*'BTU Conversion Factor'!$F$4</f>
        <v>0</v>
      </c>
      <c r="X28" s="137">
        <f>Commercial_2!X28*'BTU Conversion Factor'!$F$4</f>
        <v>0</v>
      </c>
      <c r="Y28" s="137">
        <f>Commercial_2!Y28*'BTU Conversion Factor'!$F$4</f>
        <v>0</v>
      </c>
      <c r="Z28" s="137">
        <f>Commercial_2!Z28*'BTU Conversion Factor'!$F$4</f>
        <v>0</v>
      </c>
      <c r="AA28" s="137">
        <f>Commercial_2!AA28*'BTU Conversion Factor'!$F$4</f>
        <v>0</v>
      </c>
      <c r="AB28" s="137">
        <f>Commercial_2!AB28*'BTU Conversion Factor'!$F$4</f>
        <v>0</v>
      </c>
      <c r="AC28" s="137">
        <f>Commercial_2!AC28*'BTU Conversion Factor'!$F$4</f>
        <v>0</v>
      </c>
      <c r="AD28" s="137">
        <f>Commercial_2!AD28*'BTU Conversion Factor'!$F$4</f>
        <v>0</v>
      </c>
      <c r="AE28" s="137">
        <f>Commercial_2!AE28*'BTU Conversion Factor'!$F$4</f>
        <v>0</v>
      </c>
      <c r="AF28" s="137">
        <f>Commercial_2!AF28*'BTU Conversion Factor'!$F$4</f>
        <v>0</v>
      </c>
      <c r="AG28" s="137">
        <f>Commercial_2!AG28*'BTU Conversion Factor'!$F$4</f>
        <v>0</v>
      </c>
      <c r="AH28" s="137">
        <f>Commercial_2!AH28*'BTU Conversion Factor'!$F$4</f>
        <v>0</v>
      </c>
      <c r="AI28" s="137">
        <f>Commercial_2!AI28*'BTU Conversion Factor'!$F$4</f>
        <v>0</v>
      </c>
      <c r="AJ28" s="137">
        <f>Commercial_2!AJ28*'BTU Conversion Factor'!$F$4</f>
        <v>0</v>
      </c>
      <c r="AK28" s="137">
        <f>Commercial_2!AK28*'BTU Conversion Factor'!$F$4</f>
        <v>0</v>
      </c>
      <c r="AL28" s="137">
        <f>Commercial_2!AL28*'BTU Conversion Factor'!$F$4</f>
        <v>0</v>
      </c>
      <c r="AM28" s="137">
        <f>Commercial_2!AM28*'BTU Conversion Factor'!$F$4</f>
        <v>0</v>
      </c>
      <c r="AN28" s="137">
        <f>Commercial_2!AN28*'BTU Conversion Factor'!$F$4</f>
        <v>0</v>
      </c>
      <c r="AO28" s="137">
        <f>Commercial_2!AO28*'BTU Conversion Factor'!$F$4</f>
        <v>0</v>
      </c>
      <c r="AP28" s="137">
        <f>Commercial_2!AP28*'BTU Conversion Factor'!$F$4</f>
        <v>0</v>
      </c>
      <c r="AQ28" s="137">
        <f>Commercial_2!AQ28*'BTU Conversion Factor'!$F$4</f>
        <v>0</v>
      </c>
      <c r="AR28" s="137">
        <f>Commercial_2!AR28*'BTU Conversion Factor'!$F$4</f>
        <v>0</v>
      </c>
      <c r="AS28" s="137">
        <f>Commercial_2!AS28*'BTU Conversion Factor'!$F$4</f>
        <v>0</v>
      </c>
      <c r="AT28" s="137">
        <f>Commercial_2!AT28*'BTU Conversion Factor'!$F$4</f>
        <v>0</v>
      </c>
      <c r="AU28" s="137">
        <f>Commercial_2!AU28*'BTU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Commercial_2!C32*'BTU Conversion Factor'!$F$4</f>
        <v>15035794942000</v>
      </c>
      <c r="D32" s="137">
        <f>Commercial_2!D32*'BTU Conversion Factor'!$F$4</f>
        <v>16607461134934.984</v>
      </c>
      <c r="E32" s="137">
        <f>Commercial_2!E32*'BTU Conversion Factor'!$F$4</f>
        <v>18179127327869.844</v>
      </c>
      <c r="F32" s="137">
        <f>Commercial_2!F32*'BTU Conversion Factor'!$F$4</f>
        <v>19750793520804.703</v>
      </c>
      <c r="G32" s="137">
        <f>Commercial_2!G32*'BTU Conversion Factor'!$F$4</f>
        <v>21322459713739.562</v>
      </c>
      <c r="H32" s="137">
        <f>Commercial_2!H32*'BTU Conversion Factor'!$F$4</f>
        <v>22894125906674.426</v>
      </c>
      <c r="I32" s="137">
        <f>Commercial_2!I32*'BTU Conversion Factor'!$F$4</f>
        <v>24465792099609.207</v>
      </c>
      <c r="J32" s="137">
        <f>Commercial_2!J32*'BTU Conversion Factor'!$F$4</f>
        <v>25046840131828.676</v>
      </c>
      <c r="K32" s="137">
        <f>Commercial_2!K32*'BTU Conversion Factor'!$F$4</f>
        <v>25444638799999.996</v>
      </c>
      <c r="L32" s="137">
        <f>Commercial_2!L32*'BTU Conversion Factor'!$F$4</f>
        <v>25979446257917.168</v>
      </c>
      <c r="M32" s="137">
        <f>Commercial_2!M32*'BTU Conversion Factor'!$F$4</f>
        <v>26406907680575.746</v>
      </c>
      <c r="N32" s="137">
        <f>Commercial_2!N32*'BTU Conversion Factor'!$F$4</f>
        <v>26863929887942.215</v>
      </c>
      <c r="O32" s="137">
        <f>Commercial_2!O32*'BTU Conversion Factor'!$F$4</f>
        <v>27948200519153.664</v>
      </c>
      <c r="P32" s="137">
        <f>Commercial_2!P32*'BTU Conversion Factor'!$F$4</f>
        <v>26775597949753.215</v>
      </c>
      <c r="Q32" s="137">
        <f>Commercial_2!Q32*'BTU Conversion Factor'!$F$4</f>
        <v>23238387854930.215</v>
      </c>
      <c r="R32" s="137">
        <f>Commercial_2!R32*'BTU Conversion Factor'!$F$4</f>
        <v>24713424100632.219</v>
      </c>
      <c r="S32" s="137">
        <f>Commercial_2!S32*'BTU Conversion Factor'!$F$4</f>
        <v>30992968994551.488</v>
      </c>
      <c r="T32" s="137">
        <f>Commercial_2!T32*'BTU Conversion Factor'!$F$4</f>
        <v>31307649332506.5</v>
      </c>
      <c r="U32" s="137">
        <f>Commercial_2!U32*'BTU Conversion Factor'!$F$4</f>
        <v>31623521275466.523</v>
      </c>
      <c r="V32" s="137">
        <f>Commercial_2!V32*'BTU Conversion Factor'!$F$4</f>
        <v>31795518447132.102</v>
      </c>
      <c r="W32" s="137">
        <f>Commercial_2!W32*'BTU Conversion Factor'!$F$4</f>
        <v>32031987629552.992</v>
      </c>
      <c r="X32" s="137">
        <f>Commercial_2!X32*'BTU Conversion Factor'!$F$4</f>
        <v>32268456811973.871</v>
      </c>
      <c r="Y32" s="137">
        <f>Commercial_2!Y32*'BTU Conversion Factor'!$F$4</f>
        <v>32504925994394.762</v>
      </c>
      <c r="Z32" s="137">
        <f>Commercial_2!Z32*'BTU Conversion Factor'!$F$4</f>
        <v>32741395176815.645</v>
      </c>
      <c r="AA32" s="137">
        <f>Commercial_2!AA32*'BTU Conversion Factor'!$F$4</f>
        <v>32977864359236.531</v>
      </c>
      <c r="AB32" s="137">
        <f>Commercial_2!AB32*'BTU Conversion Factor'!$F$4</f>
        <v>33214333541657.41</v>
      </c>
      <c r="AC32" s="137">
        <f>Commercial_2!AC32*'BTU Conversion Factor'!$F$4</f>
        <v>33450802724078.305</v>
      </c>
      <c r="AD32" s="137">
        <f>Commercial_2!AD32*'BTU Conversion Factor'!$F$4</f>
        <v>33687271906499.188</v>
      </c>
      <c r="AE32" s="137">
        <f>Commercial_2!AE32*'BTU Conversion Factor'!$F$4</f>
        <v>33923741088920.062</v>
      </c>
      <c r="AF32" s="137">
        <f>Commercial_2!AF32*'BTU Conversion Factor'!$F$4</f>
        <v>34160210271340.953</v>
      </c>
      <c r="AG32" s="137">
        <f>Commercial_2!AG32*'BTU Conversion Factor'!$F$4</f>
        <v>34371862224718.645</v>
      </c>
      <c r="AH32" s="137">
        <f>Commercial_2!AH32*'BTU Conversion Factor'!$F$4</f>
        <v>34608160794453.809</v>
      </c>
      <c r="AI32" s="137">
        <f>Commercial_2!AI32*'BTU Conversion Factor'!$F$4</f>
        <v>34844459364188.953</v>
      </c>
      <c r="AJ32" s="137">
        <f>Commercial_2!AJ32*'BTU Conversion Factor'!$F$4</f>
        <v>35080757933924.117</v>
      </c>
      <c r="AK32" s="137">
        <f>Commercial_2!AK32*'BTU Conversion Factor'!$F$4</f>
        <v>35317056503659.273</v>
      </c>
      <c r="AL32" s="137">
        <f>Commercial_2!AL32*'BTU Conversion Factor'!$F$4</f>
        <v>35553355073394.422</v>
      </c>
      <c r="AM32" s="137">
        <f>Commercial_2!AM32*'BTU Conversion Factor'!$F$4</f>
        <v>35789653643129.578</v>
      </c>
      <c r="AN32" s="137">
        <f>Commercial_2!AN32*'BTU Conversion Factor'!$F$4</f>
        <v>36025952212864.734</v>
      </c>
      <c r="AO32" s="137">
        <f>Commercial_2!AO32*'BTU Conversion Factor'!$F$4</f>
        <v>36262250782599.883</v>
      </c>
      <c r="AP32" s="137">
        <f>Commercial_2!AP32*'BTU Conversion Factor'!$F$4</f>
        <v>36498549352335.055</v>
      </c>
      <c r="AQ32" s="137">
        <f>Commercial_2!AQ32*'BTU Conversion Factor'!$F$4</f>
        <v>36734847922070.203</v>
      </c>
      <c r="AR32" s="137">
        <f>Commercial_2!AR32*'BTU Conversion Factor'!$F$4</f>
        <v>36971146491805.352</v>
      </c>
      <c r="AS32" s="137">
        <f>Commercial_2!AS32*'BTU Conversion Factor'!$F$4</f>
        <v>37207445061540.516</v>
      </c>
      <c r="AT32" s="137">
        <f>Commercial_2!AT32*'BTU Conversion Factor'!$F$4</f>
        <v>37443743631275.664</v>
      </c>
      <c r="AU32" s="137">
        <f>Commercial_2!AU32*'BTU Conversion Factor'!$F$4</f>
        <v>37680042201010.828</v>
      </c>
    </row>
    <row r="33" spans="1:47">
      <c r="B33" s="48" t="s">
        <v>953</v>
      </c>
      <c r="C33" s="137">
        <f>Commercial_2!C33*'BTU Conversion Factor'!$F$4</f>
        <v>0</v>
      </c>
      <c r="D33" s="137">
        <f>Commercial_2!D33*'BTU Conversion Factor'!$F$4</f>
        <v>0</v>
      </c>
      <c r="E33" s="137">
        <f>Commercial_2!E33*'BTU Conversion Factor'!$F$4</f>
        <v>0</v>
      </c>
      <c r="F33" s="137">
        <f>Commercial_2!F33*'BTU Conversion Factor'!$F$4</f>
        <v>0</v>
      </c>
      <c r="G33" s="137">
        <f>Commercial_2!G33*'BTU Conversion Factor'!$F$4</f>
        <v>0</v>
      </c>
      <c r="H33" s="137">
        <f>Commercial_2!H33*'BTU Conversion Factor'!$F$4</f>
        <v>0</v>
      </c>
      <c r="I33" s="137">
        <f>Commercial_2!I33*'BTU Conversion Factor'!$F$4</f>
        <v>0</v>
      </c>
      <c r="J33" s="137">
        <f>Commercial_2!J33*'BTU Conversion Factor'!$F$4</f>
        <v>0</v>
      </c>
      <c r="K33" s="137">
        <f>Commercial_2!K33*'BTU Conversion Factor'!$F$4</f>
        <v>0</v>
      </c>
      <c r="L33" s="137">
        <f>Commercial_2!L33*'BTU Conversion Factor'!$F$4</f>
        <v>0</v>
      </c>
      <c r="M33" s="137">
        <f>Commercial_2!M33*'BTU Conversion Factor'!$F$4</f>
        <v>0</v>
      </c>
      <c r="N33" s="137">
        <f>Commercial_2!N33*'BTU Conversion Factor'!$F$4</f>
        <v>0</v>
      </c>
      <c r="O33" s="137">
        <f>Commercial_2!O33*'BTU Conversion Factor'!$F$4</f>
        <v>0</v>
      </c>
      <c r="P33" s="137">
        <f>Commercial_2!P33*'BTU Conversion Factor'!$F$4</f>
        <v>0</v>
      </c>
      <c r="Q33" s="137">
        <f>Commercial_2!Q33*'BTU Conversion Factor'!$F$4</f>
        <v>0</v>
      </c>
      <c r="R33" s="137">
        <f>Commercial_2!R33*'BTU Conversion Factor'!$F$4</f>
        <v>0</v>
      </c>
      <c r="S33" s="137">
        <f>Commercial_2!S33*'BTU Conversion Factor'!$F$4</f>
        <v>0</v>
      </c>
      <c r="T33" s="137">
        <f>Commercial_2!T33*'BTU Conversion Factor'!$F$4</f>
        <v>0</v>
      </c>
      <c r="U33" s="137">
        <f>Commercial_2!U33*'BTU Conversion Factor'!$F$4</f>
        <v>0</v>
      </c>
      <c r="V33" s="137">
        <f>Commercial_2!V33*'BTU Conversion Factor'!$F$4</f>
        <v>0</v>
      </c>
      <c r="W33" s="137">
        <f>Commercial_2!W33*'BTU Conversion Factor'!$F$4</f>
        <v>0</v>
      </c>
      <c r="X33" s="137">
        <f>Commercial_2!X33*'BTU Conversion Factor'!$F$4</f>
        <v>0</v>
      </c>
      <c r="Y33" s="137">
        <f>Commercial_2!Y33*'BTU Conversion Factor'!$F$4</f>
        <v>0</v>
      </c>
      <c r="Z33" s="137">
        <f>Commercial_2!Z33*'BTU Conversion Factor'!$F$4</f>
        <v>0</v>
      </c>
      <c r="AA33" s="137">
        <f>Commercial_2!AA33*'BTU Conversion Factor'!$F$4</f>
        <v>0</v>
      </c>
      <c r="AB33" s="137">
        <f>Commercial_2!AB33*'BTU Conversion Factor'!$F$4</f>
        <v>0</v>
      </c>
      <c r="AC33" s="137">
        <f>Commercial_2!AC33*'BTU Conversion Factor'!$F$4</f>
        <v>0</v>
      </c>
      <c r="AD33" s="137">
        <f>Commercial_2!AD33*'BTU Conversion Factor'!$F$4</f>
        <v>0</v>
      </c>
      <c r="AE33" s="137">
        <f>Commercial_2!AE33*'BTU Conversion Factor'!$F$4</f>
        <v>0</v>
      </c>
      <c r="AF33" s="137">
        <f>Commercial_2!AF33*'BTU Conversion Factor'!$F$4</f>
        <v>0</v>
      </c>
      <c r="AG33" s="137">
        <f>Commercial_2!AG33*'BTU Conversion Factor'!$F$4</f>
        <v>0</v>
      </c>
      <c r="AH33" s="137">
        <f>Commercial_2!AH33*'BTU Conversion Factor'!$F$4</f>
        <v>0</v>
      </c>
      <c r="AI33" s="137">
        <f>Commercial_2!AI33*'BTU Conversion Factor'!$F$4</f>
        <v>0</v>
      </c>
      <c r="AJ33" s="137">
        <f>Commercial_2!AJ33*'BTU Conversion Factor'!$F$4</f>
        <v>0</v>
      </c>
      <c r="AK33" s="137">
        <f>Commercial_2!AK33*'BTU Conversion Factor'!$F$4</f>
        <v>0</v>
      </c>
      <c r="AL33" s="137">
        <f>Commercial_2!AL33*'BTU Conversion Factor'!$F$4</f>
        <v>0</v>
      </c>
      <c r="AM33" s="137">
        <f>Commercial_2!AM33*'BTU Conversion Factor'!$F$4</f>
        <v>0</v>
      </c>
      <c r="AN33" s="137">
        <f>Commercial_2!AN33*'BTU Conversion Factor'!$F$4</f>
        <v>0</v>
      </c>
      <c r="AO33" s="137">
        <f>Commercial_2!AO33*'BTU Conversion Factor'!$F$4</f>
        <v>0</v>
      </c>
      <c r="AP33" s="137">
        <f>Commercial_2!AP33*'BTU Conversion Factor'!$F$4</f>
        <v>0</v>
      </c>
      <c r="AQ33" s="137">
        <f>Commercial_2!AQ33*'BTU Conversion Factor'!$F$4</f>
        <v>0</v>
      </c>
      <c r="AR33" s="137">
        <f>Commercial_2!AR33*'BTU Conversion Factor'!$F$4</f>
        <v>0</v>
      </c>
      <c r="AS33" s="137">
        <f>Commercial_2!AS33*'BTU Conversion Factor'!$F$4</f>
        <v>0</v>
      </c>
      <c r="AT33" s="137">
        <f>Commercial_2!AT33*'BTU Conversion Factor'!$F$4</f>
        <v>0</v>
      </c>
      <c r="AU33" s="137">
        <f>Commercial_2!AU33*'BTU Conversion Factor'!$F$4</f>
        <v>0</v>
      </c>
    </row>
    <row r="34" spans="1:47">
      <c r="B34" s="48" t="s">
        <v>954</v>
      </c>
      <c r="C34" s="137">
        <f>Commercial_2!C34*'BTU Conversion Factor'!$F$4</f>
        <v>12916107902985.08</v>
      </c>
      <c r="D34" s="137">
        <f>Commercial_2!D34*'BTU Conversion Factor'!$F$4</f>
        <v>12526519922534.439</v>
      </c>
      <c r="E34" s="137">
        <f>Commercial_2!E34*'BTU Conversion Factor'!$F$4</f>
        <v>12136931942083.941</v>
      </c>
      <c r="F34" s="137">
        <f>Commercial_2!F34*'BTU Conversion Factor'!$F$4</f>
        <v>11747343961633.332</v>
      </c>
      <c r="G34" s="137">
        <f>Commercial_2!G34*'BTU Conversion Factor'!$F$4</f>
        <v>11357755981182.832</v>
      </c>
      <c r="H34" s="137">
        <f>Commercial_2!H34*'BTU Conversion Factor'!$F$4</f>
        <v>10968168000732.223</v>
      </c>
      <c r="I34" s="137">
        <f>Commercial_2!I34*'BTU Conversion Factor'!$F$4</f>
        <v>10578580020281.691</v>
      </c>
      <c r="J34" s="137">
        <f>Commercial_2!J34*'BTU Conversion Factor'!$F$4</f>
        <v>10710443703783.379</v>
      </c>
      <c r="K34" s="137">
        <f>Commercial_2!K34*'BTU Conversion Factor'!$F$4</f>
        <v>10757408993012.451</v>
      </c>
      <c r="L34" s="137">
        <f>Commercial_2!L34*'BTU Conversion Factor'!$F$4</f>
        <v>10721868484018.266</v>
      </c>
      <c r="M34" s="137">
        <f>Commercial_2!M34*'BTU Conversion Factor'!$F$4</f>
        <v>10804385724775.93</v>
      </c>
      <c r="N34" s="137">
        <f>Commercial_2!N34*'BTU Conversion Factor'!$F$4</f>
        <v>11034138486211.717</v>
      </c>
      <c r="O34" s="137">
        <f>Commercial_2!O34*'BTU Conversion Factor'!$F$4</f>
        <v>11175521701054.746</v>
      </c>
      <c r="P34" s="137">
        <f>Commercial_2!P34*'BTU Conversion Factor'!$F$4</f>
        <v>10910887271710.176</v>
      </c>
      <c r="Q34" s="137">
        <f>Commercial_2!Q34*'BTU Conversion Factor'!$F$4</f>
        <v>8990870864102.3574</v>
      </c>
      <c r="R34" s="137">
        <f>Commercial_2!R34*'BTU Conversion Factor'!$F$4</f>
        <v>9414312297804.0781</v>
      </c>
      <c r="S34" s="137">
        <f>Commercial_2!S34*'BTU Conversion Factor'!$F$4</f>
        <v>13117484998946.164</v>
      </c>
      <c r="T34" s="137">
        <f>Commercial_2!T34*'BTU Conversion Factor'!$F$4</f>
        <v>12954202907713.674</v>
      </c>
      <c r="U34" s="137">
        <f>Commercial_2!U34*'BTU Conversion Factor'!$F$4</f>
        <v>12786948799797.791</v>
      </c>
      <c r="V34" s="137">
        <f>Commercial_2!V34*'BTU Conversion Factor'!$F$4</f>
        <v>13099277262863.412</v>
      </c>
      <c r="W34" s="137">
        <f>Commercial_2!W34*'BTU Conversion Factor'!$F$4</f>
        <v>13196699023411.342</v>
      </c>
      <c r="X34" s="137">
        <f>Commercial_2!X34*'BTU Conversion Factor'!$F$4</f>
        <v>13294120783959.271</v>
      </c>
      <c r="Y34" s="137">
        <f>Commercial_2!Y34*'BTU Conversion Factor'!$F$4</f>
        <v>13391542544507.203</v>
      </c>
      <c r="Z34" s="137">
        <f>Commercial_2!Z34*'BTU Conversion Factor'!$F$4</f>
        <v>13488964305055.133</v>
      </c>
      <c r="AA34" s="137">
        <f>Commercial_2!AA34*'BTU Conversion Factor'!$F$4</f>
        <v>13586386065603.064</v>
      </c>
      <c r="AB34" s="137">
        <f>Commercial_2!AB34*'BTU Conversion Factor'!$F$4</f>
        <v>13683807826150.992</v>
      </c>
      <c r="AC34" s="137">
        <f>Commercial_2!AC34*'BTU Conversion Factor'!$F$4</f>
        <v>13781229586698.926</v>
      </c>
      <c r="AD34" s="137">
        <f>Commercial_2!AD34*'BTU Conversion Factor'!$F$4</f>
        <v>13878651347246.855</v>
      </c>
      <c r="AE34" s="137">
        <f>Commercial_2!AE34*'BTU Conversion Factor'!$F$4</f>
        <v>13976073107794.781</v>
      </c>
      <c r="AF34" s="137">
        <f>Commercial_2!AF34*'BTU Conversion Factor'!$F$4</f>
        <v>14073494868342.713</v>
      </c>
      <c r="AG34" s="137">
        <f>Commercial_2!AG34*'BTU Conversion Factor'!$F$4</f>
        <v>14160692302318.543</v>
      </c>
      <c r="AH34" s="137">
        <f>Commercial_2!AH34*'BTU Conversion Factor'!$F$4</f>
        <v>14258043772995.951</v>
      </c>
      <c r="AI34" s="137">
        <f>Commercial_2!AI34*'BTU Conversion Factor'!$F$4</f>
        <v>14355395243673.352</v>
      </c>
      <c r="AJ34" s="137">
        <f>Commercial_2!AJ34*'BTU Conversion Factor'!$F$4</f>
        <v>14452746714350.758</v>
      </c>
      <c r="AK34" s="137">
        <f>Commercial_2!AK34*'BTU Conversion Factor'!$F$4</f>
        <v>14550098185028.164</v>
      </c>
      <c r="AL34" s="137">
        <f>Commercial_2!AL34*'BTU Conversion Factor'!$F$4</f>
        <v>14647449655705.566</v>
      </c>
      <c r="AM34" s="137">
        <f>Commercial_2!AM34*'BTU Conversion Factor'!$F$4</f>
        <v>14744801126382.975</v>
      </c>
      <c r="AN34" s="137">
        <f>Commercial_2!AN34*'BTU Conversion Factor'!$F$4</f>
        <v>14842152597060.375</v>
      </c>
      <c r="AO34" s="137">
        <f>Commercial_2!AO34*'BTU Conversion Factor'!$F$4</f>
        <v>14939504067737.779</v>
      </c>
      <c r="AP34" s="137">
        <f>Commercial_2!AP34*'BTU Conversion Factor'!$F$4</f>
        <v>15036855538415.188</v>
      </c>
      <c r="AQ34" s="137">
        <f>Commercial_2!AQ34*'BTU Conversion Factor'!$F$4</f>
        <v>15134207009092.592</v>
      </c>
      <c r="AR34" s="137">
        <f>Commercial_2!AR34*'BTU Conversion Factor'!$F$4</f>
        <v>15231558479769.994</v>
      </c>
      <c r="AS34" s="137">
        <f>Commercial_2!AS34*'BTU Conversion Factor'!$F$4</f>
        <v>15328909950447.402</v>
      </c>
      <c r="AT34" s="137">
        <f>Commercial_2!AT34*'BTU Conversion Factor'!$F$4</f>
        <v>15426261421124.807</v>
      </c>
      <c r="AU34" s="137">
        <f>Commercial_2!AU34*'BTU Conversion Factor'!$F$4</f>
        <v>15523612891802.213</v>
      </c>
    </row>
    <row r="35" spans="1:47">
      <c r="B35" s="48" t="s">
        <v>955</v>
      </c>
      <c r="C35" s="137">
        <f>Commercial_2!C35*'BTU Conversion Factor'!$F$4</f>
        <v>4677126301014.9189</v>
      </c>
      <c r="D35" s="137">
        <f>Commercial_2!D35*'BTU Conversion Factor'!$F$4</f>
        <v>3897605250845.667</v>
      </c>
      <c r="E35" s="137">
        <f>Commercial_2!E35*'BTU Conversion Factor'!$F$4</f>
        <v>3118084200676.666</v>
      </c>
      <c r="F35" s="137">
        <f>Commercial_2!F35*'BTU Conversion Factor'!$F$4</f>
        <v>2338563150507.4443</v>
      </c>
      <c r="G35" s="137">
        <f>Commercial_2!G35*'BTU Conversion Factor'!$F$4</f>
        <v>1559042100338.2227</v>
      </c>
      <c r="H35" s="137">
        <f>Commercial_2!H35*'BTU Conversion Factor'!$F$4</f>
        <v>779521050169.22168</v>
      </c>
      <c r="I35" s="137">
        <f>Commercial_2!I35*'BTU Conversion Factor'!$F$4</f>
        <v>0</v>
      </c>
      <c r="J35" s="137">
        <f>Commercial_2!J35*'BTU Conversion Factor'!$F$4</f>
        <v>0</v>
      </c>
      <c r="K35" s="137">
        <f>Commercial_2!K35*'BTU Conversion Factor'!$F$4</f>
        <v>0</v>
      </c>
      <c r="L35" s="137">
        <f>Commercial_2!L35*'BTU Conversion Factor'!$F$4</f>
        <v>0</v>
      </c>
      <c r="M35" s="137">
        <f>Commercial_2!M35*'BTU Conversion Factor'!$F$4</f>
        <v>0</v>
      </c>
      <c r="N35" s="137">
        <f>Commercial_2!N35*'BTU Conversion Factor'!$F$4</f>
        <v>0</v>
      </c>
      <c r="O35" s="137">
        <f>Commercial_2!O35*'BTU Conversion Factor'!$F$4</f>
        <v>0</v>
      </c>
      <c r="P35" s="137">
        <f>Commercial_2!P35*'BTU Conversion Factor'!$F$4</f>
        <v>0</v>
      </c>
      <c r="Q35" s="137">
        <f>Commercial_2!Q35*'BTU Conversion Factor'!$F$4</f>
        <v>0</v>
      </c>
      <c r="R35" s="137">
        <f>Commercial_2!R35*'BTU Conversion Factor'!$F$4</f>
        <v>0</v>
      </c>
      <c r="S35" s="137">
        <f>Commercial_2!S35*'BTU Conversion Factor'!$F$4</f>
        <v>0</v>
      </c>
      <c r="T35" s="137">
        <f>Commercial_2!T35*'BTU Conversion Factor'!$F$4</f>
        <v>0</v>
      </c>
      <c r="U35" s="137">
        <f>Commercial_2!U35*'BTU Conversion Factor'!$F$4</f>
        <v>0</v>
      </c>
      <c r="V35" s="137">
        <f>Commercial_2!V35*'BTU Conversion Factor'!$F$4</f>
        <v>0</v>
      </c>
      <c r="W35" s="137">
        <f>Commercial_2!W35*'BTU Conversion Factor'!$F$4</f>
        <v>0</v>
      </c>
      <c r="X35" s="137">
        <f>Commercial_2!X35*'BTU Conversion Factor'!$F$4</f>
        <v>0</v>
      </c>
      <c r="Y35" s="137">
        <f>Commercial_2!Y35*'BTU Conversion Factor'!$F$4</f>
        <v>0</v>
      </c>
      <c r="Z35" s="137">
        <f>Commercial_2!Z35*'BTU Conversion Factor'!$F$4</f>
        <v>0</v>
      </c>
      <c r="AA35" s="137">
        <f>Commercial_2!AA35*'BTU Conversion Factor'!$F$4</f>
        <v>0</v>
      </c>
      <c r="AB35" s="137">
        <f>Commercial_2!AB35*'BTU Conversion Factor'!$F$4</f>
        <v>0</v>
      </c>
      <c r="AC35" s="137">
        <f>Commercial_2!AC35*'BTU Conversion Factor'!$F$4</f>
        <v>0</v>
      </c>
      <c r="AD35" s="137">
        <f>Commercial_2!AD35*'BTU Conversion Factor'!$F$4</f>
        <v>0</v>
      </c>
      <c r="AE35" s="137">
        <f>Commercial_2!AE35*'BTU Conversion Factor'!$F$4</f>
        <v>0</v>
      </c>
      <c r="AF35" s="137">
        <f>Commercial_2!AF35*'BTU Conversion Factor'!$F$4</f>
        <v>0</v>
      </c>
      <c r="AG35" s="137">
        <f>Commercial_2!AG35*'BTU Conversion Factor'!$F$4</f>
        <v>0</v>
      </c>
      <c r="AH35" s="137">
        <f>Commercial_2!AH35*'BTU Conversion Factor'!$F$4</f>
        <v>0</v>
      </c>
      <c r="AI35" s="137">
        <f>Commercial_2!AI35*'BTU Conversion Factor'!$F$4</f>
        <v>0</v>
      </c>
      <c r="AJ35" s="137">
        <f>Commercial_2!AJ35*'BTU Conversion Factor'!$F$4</f>
        <v>0</v>
      </c>
      <c r="AK35" s="137">
        <f>Commercial_2!AK35*'BTU Conversion Factor'!$F$4</f>
        <v>0</v>
      </c>
      <c r="AL35" s="137">
        <f>Commercial_2!AL35*'BTU Conversion Factor'!$F$4</f>
        <v>0</v>
      </c>
      <c r="AM35" s="137">
        <f>Commercial_2!AM35*'BTU Conversion Factor'!$F$4</f>
        <v>0</v>
      </c>
      <c r="AN35" s="137">
        <f>Commercial_2!AN35*'BTU Conversion Factor'!$F$4</f>
        <v>0</v>
      </c>
      <c r="AO35" s="137">
        <f>Commercial_2!AO35*'BTU Conversion Factor'!$F$4</f>
        <v>0</v>
      </c>
      <c r="AP35" s="137">
        <f>Commercial_2!AP35*'BTU Conversion Factor'!$F$4</f>
        <v>0</v>
      </c>
      <c r="AQ35" s="137">
        <f>Commercial_2!AQ35*'BTU Conversion Factor'!$F$4</f>
        <v>0</v>
      </c>
      <c r="AR35" s="137">
        <f>Commercial_2!AR35*'BTU Conversion Factor'!$F$4</f>
        <v>0</v>
      </c>
      <c r="AS35" s="137">
        <f>Commercial_2!AS35*'BTU Conversion Factor'!$F$4</f>
        <v>0</v>
      </c>
      <c r="AT35" s="137">
        <f>Commercial_2!AT35*'BTU Conversion Factor'!$F$4</f>
        <v>0</v>
      </c>
      <c r="AU35" s="137">
        <f>Commercial_2!AU35*'BTU Conversion Factor'!$F$4</f>
        <v>0</v>
      </c>
    </row>
    <row r="36" spans="1:47">
      <c r="B36" s="48" t="s">
        <v>956</v>
      </c>
      <c r="C36" s="137">
        <f>Commercial_2!C36*'BTU Conversion Factor'!$F$4</f>
        <v>0</v>
      </c>
      <c r="D36" s="137">
        <f>Commercial_2!D36*'BTU Conversion Factor'!$F$4</f>
        <v>0</v>
      </c>
      <c r="E36" s="137">
        <f>Commercial_2!E36*'BTU Conversion Factor'!$F$4</f>
        <v>0</v>
      </c>
      <c r="F36" s="137">
        <f>Commercial_2!F36*'BTU Conversion Factor'!$F$4</f>
        <v>0</v>
      </c>
      <c r="G36" s="137">
        <f>Commercial_2!G36*'BTU Conversion Factor'!$F$4</f>
        <v>0</v>
      </c>
      <c r="H36" s="137">
        <f>Commercial_2!H36*'BTU Conversion Factor'!$F$4</f>
        <v>0</v>
      </c>
      <c r="I36" s="137">
        <f>Commercial_2!I36*'BTU Conversion Factor'!$F$4</f>
        <v>0</v>
      </c>
      <c r="J36" s="137">
        <f>Commercial_2!J36*'BTU Conversion Factor'!$F$4</f>
        <v>0</v>
      </c>
      <c r="K36" s="137">
        <f>Commercial_2!K36*'BTU Conversion Factor'!$F$4</f>
        <v>0</v>
      </c>
      <c r="L36" s="137">
        <f>Commercial_2!L36*'BTU Conversion Factor'!$F$4</f>
        <v>0</v>
      </c>
      <c r="M36" s="137">
        <f>Commercial_2!M36*'BTU Conversion Factor'!$F$4</f>
        <v>0</v>
      </c>
      <c r="N36" s="137">
        <f>Commercial_2!N36*'BTU Conversion Factor'!$F$4</f>
        <v>0</v>
      </c>
      <c r="O36" s="137">
        <f>Commercial_2!O36*'BTU Conversion Factor'!$F$4</f>
        <v>0</v>
      </c>
      <c r="P36" s="137">
        <f>Commercial_2!P36*'BTU Conversion Factor'!$F$4</f>
        <v>0</v>
      </c>
      <c r="Q36" s="137">
        <f>Commercial_2!Q36*'BTU Conversion Factor'!$F$4</f>
        <v>0</v>
      </c>
      <c r="R36" s="137">
        <f>Commercial_2!R36*'BTU Conversion Factor'!$F$4</f>
        <v>0</v>
      </c>
      <c r="S36" s="137">
        <f>Commercial_2!S36*'BTU Conversion Factor'!$F$4</f>
        <v>0</v>
      </c>
      <c r="T36" s="137">
        <f>Commercial_2!T36*'BTU Conversion Factor'!$F$4</f>
        <v>0</v>
      </c>
      <c r="U36" s="137">
        <f>Commercial_2!U36*'BTU Conversion Factor'!$F$4</f>
        <v>0</v>
      </c>
      <c r="V36" s="137">
        <f>Commercial_2!V36*'BTU Conversion Factor'!$F$4</f>
        <v>0</v>
      </c>
      <c r="W36" s="137">
        <f>Commercial_2!W36*'BTU Conversion Factor'!$F$4</f>
        <v>0</v>
      </c>
      <c r="X36" s="137">
        <f>Commercial_2!X36*'BTU Conversion Factor'!$F$4</f>
        <v>0</v>
      </c>
      <c r="Y36" s="137">
        <f>Commercial_2!Y36*'BTU Conversion Factor'!$F$4</f>
        <v>0</v>
      </c>
      <c r="Z36" s="137">
        <f>Commercial_2!Z36*'BTU Conversion Factor'!$F$4</f>
        <v>0</v>
      </c>
      <c r="AA36" s="137">
        <f>Commercial_2!AA36*'BTU Conversion Factor'!$F$4</f>
        <v>0</v>
      </c>
      <c r="AB36" s="137">
        <f>Commercial_2!AB36*'BTU Conversion Factor'!$F$4</f>
        <v>0</v>
      </c>
      <c r="AC36" s="137">
        <f>Commercial_2!AC36*'BTU Conversion Factor'!$F$4</f>
        <v>0</v>
      </c>
      <c r="AD36" s="137">
        <f>Commercial_2!AD36*'BTU Conversion Factor'!$F$4</f>
        <v>0</v>
      </c>
      <c r="AE36" s="137">
        <f>Commercial_2!AE36*'BTU Conversion Factor'!$F$4</f>
        <v>0</v>
      </c>
      <c r="AF36" s="137">
        <f>Commercial_2!AF36*'BTU Conversion Factor'!$F$4</f>
        <v>0</v>
      </c>
      <c r="AG36" s="137">
        <f>Commercial_2!AG36*'BTU Conversion Factor'!$F$4</f>
        <v>0</v>
      </c>
      <c r="AH36" s="137">
        <f>Commercial_2!AH36*'BTU Conversion Factor'!$F$4</f>
        <v>0</v>
      </c>
      <c r="AI36" s="137">
        <f>Commercial_2!AI36*'BTU Conversion Factor'!$F$4</f>
        <v>0</v>
      </c>
      <c r="AJ36" s="137">
        <f>Commercial_2!AJ36*'BTU Conversion Factor'!$F$4</f>
        <v>0</v>
      </c>
      <c r="AK36" s="137">
        <f>Commercial_2!AK36*'BTU Conversion Factor'!$F$4</f>
        <v>0</v>
      </c>
      <c r="AL36" s="137">
        <f>Commercial_2!AL36*'BTU Conversion Factor'!$F$4</f>
        <v>0</v>
      </c>
      <c r="AM36" s="137">
        <f>Commercial_2!AM36*'BTU Conversion Factor'!$F$4</f>
        <v>0</v>
      </c>
      <c r="AN36" s="137">
        <f>Commercial_2!AN36*'BTU Conversion Factor'!$F$4</f>
        <v>0</v>
      </c>
      <c r="AO36" s="137">
        <f>Commercial_2!AO36*'BTU Conversion Factor'!$F$4</f>
        <v>0</v>
      </c>
      <c r="AP36" s="137">
        <f>Commercial_2!AP36*'BTU Conversion Factor'!$F$4</f>
        <v>0</v>
      </c>
      <c r="AQ36" s="137">
        <f>Commercial_2!AQ36*'BTU Conversion Factor'!$F$4</f>
        <v>0</v>
      </c>
      <c r="AR36" s="137">
        <f>Commercial_2!AR36*'BTU Conversion Factor'!$F$4</f>
        <v>0</v>
      </c>
      <c r="AS36" s="137">
        <f>Commercial_2!AS36*'BTU Conversion Factor'!$F$4</f>
        <v>0</v>
      </c>
      <c r="AT36" s="137">
        <f>Commercial_2!AT36*'BTU Conversion Factor'!$F$4</f>
        <v>0</v>
      </c>
      <c r="AU36" s="137">
        <f>Commercial_2!AU36*'BTU Conversion Factor'!$F$4</f>
        <v>0</v>
      </c>
    </row>
    <row r="37" spans="1:47">
      <c r="B37" s="48" t="s">
        <v>957</v>
      </c>
      <c r="C37" s="137">
        <f>Commercial_2!C37*'BTU Conversion Factor'!$F$4</f>
        <v>0</v>
      </c>
      <c r="D37" s="137">
        <f>Commercial_2!D37*'BTU Conversion Factor'!$F$4</f>
        <v>0</v>
      </c>
      <c r="E37" s="137">
        <f>Commercial_2!E37*'BTU Conversion Factor'!$F$4</f>
        <v>0</v>
      </c>
      <c r="F37" s="137">
        <f>Commercial_2!F37*'BTU Conversion Factor'!$F$4</f>
        <v>0</v>
      </c>
      <c r="G37" s="137">
        <f>Commercial_2!G37*'BTU Conversion Factor'!$F$4</f>
        <v>0</v>
      </c>
      <c r="H37" s="137">
        <f>Commercial_2!H37*'BTU Conversion Factor'!$F$4</f>
        <v>0</v>
      </c>
      <c r="I37" s="137">
        <f>Commercial_2!I37*'BTU Conversion Factor'!$F$4</f>
        <v>0</v>
      </c>
      <c r="J37" s="137">
        <f>Commercial_2!J37*'BTU Conversion Factor'!$F$4</f>
        <v>0</v>
      </c>
      <c r="K37" s="137">
        <f>Commercial_2!K37*'BTU Conversion Factor'!$F$4</f>
        <v>0</v>
      </c>
      <c r="L37" s="137">
        <f>Commercial_2!L37*'BTU Conversion Factor'!$F$4</f>
        <v>0</v>
      </c>
      <c r="M37" s="137">
        <f>Commercial_2!M37*'BTU Conversion Factor'!$F$4</f>
        <v>0</v>
      </c>
      <c r="N37" s="137">
        <f>Commercial_2!N37*'BTU Conversion Factor'!$F$4</f>
        <v>0</v>
      </c>
      <c r="O37" s="137">
        <f>Commercial_2!O37*'BTU Conversion Factor'!$F$4</f>
        <v>0</v>
      </c>
      <c r="P37" s="137">
        <f>Commercial_2!P37*'BTU Conversion Factor'!$F$4</f>
        <v>0</v>
      </c>
      <c r="Q37" s="137">
        <f>Commercial_2!Q37*'BTU Conversion Factor'!$F$4</f>
        <v>0</v>
      </c>
      <c r="R37" s="137">
        <f>Commercial_2!R37*'BTU Conversion Factor'!$F$4</f>
        <v>0</v>
      </c>
      <c r="S37" s="137">
        <f>Commercial_2!S37*'BTU Conversion Factor'!$F$4</f>
        <v>0</v>
      </c>
      <c r="T37" s="137">
        <f>Commercial_2!T37*'BTU Conversion Factor'!$F$4</f>
        <v>0</v>
      </c>
      <c r="U37" s="137">
        <f>Commercial_2!U37*'BTU Conversion Factor'!$F$4</f>
        <v>0</v>
      </c>
      <c r="V37" s="137">
        <f>Commercial_2!V37*'BTU Conversion Factor'!$F$4</f>
        <v>0</v>
      </c>
      <c r="W37" s="137">
        <f>Commercial_2!W37*'BTU Conversion Factor'!$F$4</f>
        <v>0</v>
      </c>
      <c r="X37" s="137">
        <f>Commercial_2!X37*'BTU Conversion Factor'!$F$4</f>
        <v>0</v>
      </c>
      <c r="Y37" s="137">
        <f>Commercial_2!Y37*'BTU Conversion Factor'!$F$4</f>
        <v>0</v>
      </c>
      <c r="Z37" s="137">
        <f>Commercial_2!Z37*'BTU Conversion Factor'!$F$4</f>
        <v>0</v>
      </c>
      <c r="AA37" s="137">
        <f>Commercial_2!AA37*'BTU Conversion Factor'!$F$4</f>
        <v>0</v>
      </c>
      <c r="AB37" s="137">
        <f>Commercial_2!AB37*'BTU Conversion Factor'!$F$4</f>
        <v>0</v>
      </c>
      <c r="AC37" s="137">
        <f>Commercial_2!AC37*'BTU Conversion Factor'!$F$4</f>
        <v>0</v>
      </c>
      <c r="AD37" s="137">
        <f>Commercial_2!AD37*'BTU Conversion Factor'!$F$4</f>
        <v>0</v>
      </c>
      <c r="AE37" s="137">
        <f>Commercial_2!AE37*'BTU Conversion Factor'!$F$4</f>
        <v>0</v>
      </c>
      <c r="AF37" s="137">
        <f>Commercial_2!AF37*'BTU Conversion Factor'!$F$4</f>
        <v>0</v>
      </c>
      <c r="AG37" s="137">
        <f>Commercial_2!AG37*'BTU Conversion Factor'!$F$4</f>
        <v>0</v>
      </c>
      <c r="AH37" s="137">
        <f>Commercial_2!AH37*'BTU Conversion Factor'!$F$4</f>
        <v>0</v>
      </c>
      <c r="AI37" s="137">
        <f>Commercial_2!AI37*'BTU Conversion Factor'!$F$4</f>
        <v>0</v>
      </c>
      <c r="AJ37" s="137">
        <f>Commercial_2!AJ37*'BTU Conversion Factor'!$F$4</f>
        <v>0</v>
      </c>
      <c r="AK37" s="137">
        <f>Commercial_2!AK37*'BTU Conversion Factor'!$F$4</f>
        <v>0</v>
      </c>
      <c r="AL37" s="137">
        <f>Commercial_2!AL37*'BTU Conversion Factor'!$F$4</f>
        <v>0</v>
      </c>
      <c r="AM37" s="137">
        <f>Commercial_2!AM37*'BTU Conversion Factor'!$F$4</f>
        <v>0</v>
      </c>
      <c r="AN37" s="137">
        <f>Commercial_2!AN37*'BTU Conversion Factor'!$F$4</f>
        <v>0</v>
      </c>
      <c r="AO37" s="137">
        <f>Commercial_2!AO37*'BTU Conversion Factor'!$F$4</f>
        <v>0</v>
      </c>
      <c r="AP37" s="137">
        <f>Commercial_2!AP37*'BTU Conversion Factor'!$F$4</f>
        <v>0</v>
      </c>
      <c r="AQ37" s="137">
        <f>Commercial_2!AQ37*'BTU Conversion Factor'!$F$4</f>
        <v>0</v>
      </c>
      <c r="AR37" s="137">
        <f>Commercial_2!AR37*'BTU Conversion Factor'!$F$4</f>
        <v>0</v>
      </c>
      <c r="AS37" s="137">
        <f>Commercial_2!AS37*'BTU Conversion Factor'!$F$4</f>
        <v>0</v>
      </c>
      <c r="AT37" s="137">
        <f>Commercial_2!AT37*'BTU Conversion Factor'!$F$4</f>
        <v>0</v>
      </c>
      <c r="AU37" s="137">
        <f>Commercial_2!AU37*'BTU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Commercial_2!C41*'BTU Conversion Factor'!$F$4</f>
        <v>29187131358000</v>
      </c>
      <c r="D41" s="137">
        <f>Commercial_2!D41*'BTU Conversion Factor'!$F$4</f>
        <v>31868613922468.359</v>
      </c>
      <c r="E41" s="137">
        <f>Commercial_2!E41*'BTU Conversion Factor'!$F$4</f>
        <v>34550096486935.52</v>
      </c>
      <c r="F41" s="137">
        <f>Commercial_2!F41*'BTU Conversion Factor'!$F$4</f>
        <v>37231579051403.562</v>
      </c>
      <c r="G41" s="137">
        <f>Commercial_2!G41*'BTU Conversion Factor'!$F$4</f>
        <v>39913061615871.609</v>
      </c>
      <c r="H41" s="137">
        <f>Commercial_2!H41*'BTU Conversion Factor'!$F$4</f>
        <v>42594544180338.766</v>
      </c>
      <c r="I41" s="137">
        <f>Commercial_2!I41*'BTU Conversion Factor'!$F$4</f>
        <v>45276026744806.367</v>
      </c>
      <c r="J41" s="137">
        <f>Commercial_2!J41*'BTU Conversion Factor'!$F$4</f>
        <v>44817967409399.703</v>
      </c>
      <c r="K41" s="137">
        <f>Commercial_2!K41*'BTU Conversion Factor'!$F$4</f>
        <v>44784497800000</v>
      </c>
      <c r="L41" s="137">
        <f>Commercial_2!L41*'BTU Conversion Factor'!$F$4</f>
        <v>45509051881572.164</v>
      </c>
      <c r="M41" s="137">
        <f>Commercial_2!M41*'BTU Conversion Factor'!$F$4</f>
        <v>45925139253961.344</v>
      </c>
      <c r="N41" s="137">
        <f>Commercial_2!N41*'BTU Conversion Factor'!$F$4</f>
        <v>45134321379963.891</v>
      </c>
      <c r="O41" s="137">
        <f>Commercial_2!O41*'BTU Conversion Factor'!$F$4</f>
        <v>43860515308765.398</v>
      </c>
      <c r="P41" s="137">
        <f>Commercial_2!P41*'BTU Conversion Factor'!$F$4</f>
        <v>46980037648687.344</v>
      </c>
      <c r="Q41" s="137">
        <f>Commercial_2!Q41*'BTU Conversion Factor'!$F$4</f>
        <v>46254040529751.578</v>
      </c>
      <c r="R41" s="137">
        <f>Commercial_2!R41*'BTU Conversion Factor'!$F$4</f>
        <v>48778565091587.25</v>
      </c>
      <c r="S41" s="137">
        <f>Commercial_2!S41*'BTU Conversion Factor'!$F$4</f>
        <v>43390156592372.078</v>
      </c>
      <c r="T41" s="137">
        <f>Commercial_2!T41*'BTU Conversion Factor'!$F$4</f>
        <v>43830709065509.094</v>
      </c>
      <c r="U41" s="137">
        <f>Commercial_2!U41*'BTU Conversion Factor'!$F$4</f>
        <v>44272929785653.133</v>
      </c>
      <c r="V41" s="137">
        <f>Commercial_2!V41*'BTU Conversion Factor'!$F$4</f>
        <v>44513725825984.945</v>
      </c>
      <c r="W41" s="137">
        <f>Commercial_2!W41*'BTU Conversion Factor'!$F$4</f>
        <v>44844782681374.188</v>
      </c>
      <c r="X41" s="137">
        <f>Commercial_2!X41*'BTU Conversion Factor'!$F$4</f>
        <v>45175839536763.422</v>
      </c>
      <c r="Y41" s="137">
        <f>Commercial_2!Y41*'BTU Conversion Factor'!$F$4</f>
        <v>45506896392152.664</v>
      </c>
      <c r="Z41" s="137">
        <f>Commercial_2!Z41*'BTU Conversion Factor'!$F$4</f>
        <v>45837953247541.906</v>
      </c>
      <c r="AA41" s="137">
        <f>Commercial_2!AA41*'BTU Conversion Factor'!$F$4</f>
        <v>46169010102931.141</v>
      </c>
      <c r="AB41" s="137">
        <f>Commercial_2!AB41*'BTU Conversion Factor'!$F$4</f>
        <v>46500066958320.375</v>
      </c>
      <c r="AC41" s="137">
        <f>Commercial_2!AC41*'BTU Conversion Factor'!$F$4</f>
        <v>46831123813709.633</v>
      </c>
      <c r="AD41" s="137">
        <f>Commercial_2!AD41*'BTU Conversion Factor'!$F$4</f>
        <v>47162180669098.867</v>
      </c>
      <c r="AE41" s="137">
        <f>Commercial_2!AE41*'BTU Conversion Factor'!$F$4</f>
        <v>47493237524488.086</v>
      </c>
      <c r="AF41" s="137">
        <f>Commercial_2!AF41*'BTU Conversion Factor'!$F$4</f>
        <v>47824294379877.328</v>
      </c>
      <c r="AG41" s="137">
        <f>Commercial_2!AG41*'BTU Conversion Factor'!$F$4</f>
        <v>48120607114606.109</v>
      </c>
      <c r="AH41" s="137">
        <f>Commercial_2!AH41*'BTU Conversion Factor'!$F$4</f>
        <v>48451425112235.336</v>
      </c>
      <c r="AI41" s="137">
        <f>Commercial_2!AI41*'BTU Conversion Factor'!$F$4</f>
        <v>48782243109864.531</v>
      </c>
      <c r="AJ41" s="137">
        <f>Commercial_2!AJ41*'BTU Conversion Factor'!$F$4</f>
        <v>49113061107493.758</v>
      </c>
      <c r="AK41" s="137">
        <f>Commercial_2!AK41*'BTU Conversion Factor'!$F$4</f>
        <v>49443879105122.984</v>
      </c>
      <c r="AL41" s="137">
        <f>Commercial_2!AL41*'BTU Conversion Factor'!$F$4</f>
        <v>49774697102752.195</v>
      </c>
      <c r="AM41" s="137">
        <f>Commercial_2!AM41*'BTU Conversion Factor'!$F$4</f>
        <v>50105515100381.414</v>
      </c>
      <c r="AN41" s="137">
        <f>Commercial_2!AN41*'BTU Conversion Factor'!$F$4</f>
        <v>50436333098010.625</v>
      </c>
      <c r="AO41" s="137">
        <f>Commercial_2!AO41*'BTU Conversion Factor'!$F$4</f>
        <v>50767151095639.844</v>
      </c>
      <c r="AP41" s="137">
        <f>Commercial_2!AP41*'BTU Conversion Factor'!$F$4</f>
        <v>51097969093269.07</v>
      </c>
      <c r="AQ41" s="137">
        <f>Commercial_2!AQ41*'BTU Conversion Factor'!$F$4</f>
        <v>51428787090898.289</v>
      </c>
      <c r="AR41" s="137">
        <f>Commercial_2!AR41*'BTU Conversion Factor'!$F$4</f>
        <v>51759605088527.5</v>
      </c>
      <c r="AS41" s="137">
        <f>Commercial_2!AS41*'BTU Conversion Factor'!$F$4</f>
        <v>52090423086156.727</v>
      </c>
      <c r="AT41" s="137">
        <f>Commercial_2!AT41*'BTU Conversion Factor'!$F$4</f>
        <v>52421241083785.93</v>
      </c>
      <c r="AU41" s="137">
        <f>Commercial_2!AU41*'BTU Conversion Factor'!$F$4</f>
        <v>52752059081415.164</v>
      </c>
    </row>
    <row r="42" spans="1:47">
      <c r="B42" s="48" t="s">
        <v>953</v>
      </c>
      <c r="C42" s="137">
        <f>Commercial_2!C42*'BTU Conversion Factor'!$F$4</f>
        <v>0</v>
      </c>
      <c r="D42" s="137">
        <f>Commercial_2!D42*'BTU Conversion Factor'!$F$4</f>
        <v>0</v>
      </c>
      <c r="E42" s="137">
        <f>Commercial_2!E42*'BTU Conversion Factor'!$F$4</f>
        <v>0</v>
      </c>
      <c r="F42" s="137">
        <f>Commercial_2!F42*'BTU Conversion Factor'!$F$4</f>
        <v>0</v>
      </c>
      <c r="G42" s="137">
        <f>Commercial_2!G42*'BTU Conversion Factor'!$F$4</f>
        <v>0</v>
      </c>
      <c r="H42" s="137">
        <f>Commercial_2!H42*'BTU Conversion Factor'!$F$4</f>
        <v>0</v>
      </c>
      <c r="I42" s="137">
        <f>Commercial_2!I42*'BTU Conversion Factor'!$F$4</f>
        <v>0</v>
      </c>
      <c r="J42" s="137">
        <f>Commercial_2!J42*'BTU Conversion Factor'!$F$4</f>
        <v>0</v>
      </c>
      <c r="K42" s="137">
        <f>Commercial_2!K42*'BTU Conversion Factor'!$F$4</f>
        <v>0</v>
      </c>
      <c r="L42" s="137">
        <f>Commercial_2!L42*'BTU Conversion Factor'!$F$4</f>
        <v>0</v>
      </c>
      <c r="M42" s="137">
        <f>Commercial_2!M42*'BTU Conversion Factor'!$F$4</f>
        <v>0</v>
      </c>
      <c r="N42" s="137">
        <f>Commercial_2!N42*'BTU Conversion Factor'!$F$4</f>
        <v>0</v>
      </c>
      <c r="O42" s="137">
        <f>Commercial_2!O42*'BTU Conversion Factor'!$F$4</f>
        <v>0</v>
      </c>
      <c r="P42" s="137">
        <f>Commercial_2!P42*'BTU Conversion Factor'!$F$4</f>
        <v>0</v>
      </c>
      <c r="Q42" s="137">
        <f>Commercial_2!Q42*'BTU Conversion Factor'!$F$4</f>
        <v>0</v>
      </c>
      <c r="R42" s="137">
        <f>Commercial_2!R42*'BTU Conversion Factor'!$F$4</f>
        <v>0</v>
      </c>
      <c r="S42" s="137">
        <f>Commercial_2!S42*'BTU Conversion Factor'!$F$4</f>
        <v>0</v>
      </c>
      <c r="T42" s="137">
        <f>Commercial_2!T42*'BTU Conversion Factor'!$F$4</f>
        <v>0</v>
      </c>
      <c r="U42" s="137">
        <f>Commercial_2!U42*'BTU Conversion Factor'!$F$4</f>
        <v>0</v>
      </c>
      <c r="V42" s="137">
        <f>Commercial_2!V42*'BTU Conversion Factor'!$F$4</f>
        <v>0</v>
      </c>
      <c r="W42" s="137">
        <f>Commercial_2!W42*'BTU Conversion Factor'!$F$4</f>
        <v>0</v>
      </c>
      <c r="X42" s="137">
        <f>Commercial_2!X42*'BTU Conversion Factor'!$F$4</f>
        <v>0</v>
      </c>
      <c r="Y42" s="137">
        <f>Commercial_2!Y42*'BTU Conversion Factor'!$F$4</f>
        <v>0</v>
      </c>
      <c r="Z42" s="137">
        <f>Commercial_2!Z42*'BTU Conversion Factor'!$F$4</f>
        <v>0</v>
      </c>
      <c r="AA42" s="137">
        <f>Commercial_2!AA42*'BTU Conversion Factor'!$F$4</f>
        <v>0</v>
      </c>
      <c r="AB42" s="137">
        <f>Commercial_2!AB42*'BTU Conversion Factor'!$F$4</f>
        <v>0</v>
      </c>
      <c r="AC42" s="137">
        <f>Commercial_2!AC42*'BTU Conversion Factor'!$F$4</f>
        <v>0</v>
      </c>
      <c r="AD42" s="137">
        <f>Commercial_2!AD42*'BTU Conversion Factor'!$F$4</f>
        <v>0</v>
      </c>
      <c r="AE42" s="137">
        <f>Commercial_2!AE42*'BTU Conversion Factor'!$F$4</f>
        <v>0</v>
      </c>
      <c r="AF42" s="137">
        <f>Commercial_2!AF42*'BTU Conversion Factor'!$F$4</f>
        <v>0</v>
      </c>
      <c r="AG42" s="137">
        <f>Commercial_2!AG42*'BTU Conversion Factor'!$F$4</f>
        <v>0</v>
      </c>
      <c r="AH42" s="137">
        <f>Commercial_2!AH42*'BTU Conversion Factor'!$F$4</f>
        <v>0</v>
      </c>
      <c r="AI42" s="137">
        <f>Commercial_2!AI42*'BTU Conversion Factor'!$F$4</f>
        <v>0</v>
      </c>
      <c r="AJ42" s="137">
        <f>Commercial_2!AJ42*'BTU Conversion Factor'!$F$4</f>
        <v>0</v>
      </c>
      <c r="AK42" s="137">
        <f>Commercial_2!AK42*'BTU Conversion Factor'!$F$4</f>
        <v>0</v>
      </c>
      <c r="AL42" s="137">
        <f>Commercial_2!AL42*'BTU Conversion Factor'!$F$4</f>
        <v>0</v>
      </c>
      <c r="AM42" s="137">
        <f>Commercial_2!AM42*'BTU Conversion Factor'!$F$4</f>
        <v>0</v>
      </c>
      <c r="AN42" s="137">
        <f>Commercial_2!AN42*'BTU Conversion Factor'!$F$4</f>
        <v>0</v>
      </c>
      <c r="AO42" s="137">
        <f>Commercial_2!AO42*'BTU Conversion Factor'!$F$4</f>
        <v>0</v>
      </c>
      <c r="AP42" s="137">
        <f>Commercial_2!AP42*'BTU Conversion Factor'!$F$4</f>
        <v>0</v>
      </c>
      <c r="AQ42" s="137">
        <f>Commercial_2!AQ42*'BTU Conversion Factor'!$F$4</f>
        <v>0</v>
      </c>
      <c r="AR42" s="137">
        <f>Commercial_2!AR42*'BTU Conversion Factor'!$F$4</f>
        <v>0</v>
      </c>
      <c r="AS42" s="137">
        <f>Commercial_2!AS42*'BTU Conversion Factor'!$F$4</f>
        <v>0</v>
      </c>
      <c r="AT42" s="137">
        <f>Commercial_2!AT42*'BTU Conversion Factor'!$F$4</f>
        <v>0</v>
      </c>
      <c r="AU42" s="137">
        <f>Commercial_2!AU42*'BTU Conversion Factor'!$F$4</f>
        <v>0</v>
      </c>
    </row>
    <row r="43" spans="1:47">
      <c r="B43" s="48" t="s">
        <v>954</v>
      </c>
      <c r="C43" s="137">
        <f>Commercial_2!C43*'BTU Conversion Factor'!$F$4</f>
        <v>0</v>
      </c>
      <c r="D43" s="137">
        <f>Commercial_2!D43*'BTU Conversion Factor'!$F$4</f>
        <v>490831653458.49469</v>
      </c>
      <c r="E43" s="137">
        <f>Commercial_2!E43*'BTU Conversion Factor'!$F$4</f>
        <v>981663306917.09973</v>
      </c>
      <c r="F43" s="137">
        <f>Commercial_2!F43*'BTU Conversion Factor'!$F$4</f>
        <v>1472494960375.5945</v>
      </c>
      <c r="G43" s="137">
        <f>Commercial_2!G43*'BTU Conversion Factor'!$F$4</f>
        <v>1963326613834.0891</v>
      </c>
      <c r="H43" s="137">
        <f>Commercial_2!H43*'BTU Conversion Factor'!$F$4</f>
        <v>2454158267292.6943</v>
      </c>
      <c r="I43" s="137">
        <f>Commercial_2!I43*'BTU Conversion Factor'!$F$4</f>
        <v>2944989920751.1738</v>
      </c>
      <c r="J43" s="137">
        <f>Commercial_2!J43*'BTU Conversion Factor'!$F$4</f>
        <v>3032848096654.3677</v>
      </c>
      <c r="K43" s="137">
        <f>Commercial_2!K43*'BTU Conversion Factor'!$F$4</f>
        <v>3177206317859.1343</v>
      </c>
      <c r="L43" s="137">
        <f>Commercial_2!L43*'BTU Conversion Factor'!$F$4</f>
        <v>3043920289954.3379</v>
      </c>
      <c r="M43" s="137">
        <f>Commercial_2!M43*'BTU Conversion Factor'!$F$4</f>
        <v>3022924484865.5571</v>
      </c>
      <c r="N43" s="137">
        <f>Commercial_2!N43*'BTU Conversion Factor'!$F$4</f>
        <v>3083992327106.3667</v>
      </c>
      <c r="O43" s="137">
        <f>Commercial_2!O43*'BTU Conversion Factor'!$F$4</f>
        <v>3270419484153.6914</v>
      </c>
      <c r="P43" s="137">
        <f>Commercial_2!P43*'BTU Conversion Factor'!$F$4</f>
        <v>2763495965903.0371</v>
      </c>
      <c r="Q43" s="137">
        <f>Commercial_2!Q43*'BTU Conversion Factor'!$F$4</f>
        <v>2228623026690.4204</v>
      </c>
      <c r="R43" s="137">
        <f>Commercial_2!R43*'BTU Conversion Factor'!$F$4</f>
        <v>2283832297695.0625</v>
      </c>
      <c r="S43" s="137">
        <f>Commercial_2!S43*'BTU Conversion Factor'!$F$4</f>
        <v>0</v>
      </c>
      <c r="T43" s="137">
        <f>Commercial_2!T43*'BTU Conversion Factor'!$F$4</f>
        <v>0</v>
      </c>
      <c r="U43" s="137">
        <f>Commercial_2!U43*'BTU Conversion Factor'!$F$4</f>
        <v>0</v>
      </c>
      <c r="V43" s="137">
        <f>Commercial_2!V43*'BTU Conversion Factor'!$F$4</f>
        <v>0</v>
      </c>
      <c r="W43" s="137">
        <f>Commercial_2!W43*'BTU Conversion Factor'!$F$4</f>
        <v>0</v>
      </c>
      <c r="X43" s="137">
        <f>Commercial_2!X43*'BTU Conversion Factor'!$F$4</f>
        <v>0</v>
      </c>
      <c r="Y43" s="137">
        <f>Commercial_2!Y43*'BTU Conversion Factor'!$F$4</f>
        <v>0</v>
      </c>
      <c r="Z43" s="137">
        <f>Commercial_2!Z43*'BTU Conversion Factor'!$F$4</f>
        <v>0</v>
      </c>
      <c r="AA43" s="137">
        <f>Commercial_2!AA43*'BTU Conversion Factor'!$F$4</f>
        <v>0</v>
      </c>
      <c r="AB43" s="137">
        <f>Commercial_2!AB43*'BTU Conversion Factor'!$F$4</f>
        <v>0</v>
      </c>
      <c r="AC43" s="137">
        <f>Commercial_2!AC43*'BTU Conversion Factor'!$F$4</f>
        <v>0</v>
      </c>
      <c r="AD43" s="137">
        <f>Commercial_2!AD43*'BTU Conversion Factor'!$F$4</f>
        <v>0</v>
      </c>
      <c r="AE43" s="137">
        <f>Commercial_2!AE43*'BTU Conversion Factor'!$F$4</f>
        <v>0</v>
      </c>
      <c r="AF43" s="137">
        <f>Commercial_2!AF43*'BTU Conversion Factor'!$F$4</f>
        <v>0</v>
      </c>
      <c r="AG43" s="137">
        <f>Commercial_2!AG43*'BTU Conversion Factor'!$F$4</f>
        <v>0</v>
      </c>
      <c r="AH43" s="137">
        <f>Commercial_2!AH43*'BTU Conversion Factor'!$F$4</f>
        <v>0</v>
      </c>
      <c r="AI43" s="137">
        <f>Commercial_2!AI43*'BTU Conversion Factor'!$F$4</f>
        <v>0</v>
      </c>
      <c r="AJ43" s="137">
        <f>Commercial_2!AJ43*'BTU Conversion Factor'!$F$4</f>
        <v>0</v>
      </c>
      <c r="AK43" s="137">
        <f>Commercial_2!AK43*'BTU Conversion Factor'!$F$4</f>
        <v>0</v>
      </c>
      <c r="AL43" s="137">
        <f>Commercial_2!AL43*'BTU Conversion Factor'!$F$4</f>
        <v>0</v>
      </c>
      <c r="AM43" s="137">
        <f>Commercial_2!AM43*'BTU Conversion Factor'!$F$4</f>
        <v>0</v>
      </c>
      <c r="AN43" s="137">
        <f>Commercial_2!AN43*'BTU Conversion Factor'!$F$4</f>
        <v>0</v>
      </c>
      <c r="AO43" s="137">
        <f>Commercial_2!AO43*'BTU Conversion Factor'!$F$4</f>
        <v>0</v>
      </c>
      <c r="AP43" s="137">
        <f>Commercial_2!AP43*'BTU Conversion Factor'!$F$4</f>
        <v>0</v>
      </c>
      <c r="AQ43" s="137">
        <f>Commercial_2!AQ43*'BTU Conversion Factor'!$F$4</f>
        <v>0</v>
      </c>
      <c r="AR43" s="137">
        <f>Commercial_2!AR43*'BTU Conversion Factor'!$F$4</f>
        <v>0</v>
      </c>
      <c r="AS43" s="137">
        <f>Commercial_2!AS43*'BTU Conversion Factor'!$F$4</f>
        <v>0</v>
      </c>
      <c r="AT43" s="137">
        <f>Commercial_2!AT43*'BTU Conversion Factor'!$F$4</f>
        <v>0</v>
      </c>
      <c r="AU43" s="137">
        <f>Commercial_2!AU43*'BTU Conversion Factor'!$F$4</f>
        <v>0</v>
      </c>
    </row>
    <row r="44" spans="1:47">
      <c r="B44" s="48" t="s">
        <v>955</v>
      </c>
      <c r="C44" s="137">
        <f>Commercial_2!C44*'BTU Conversion Factor'!$F$4</f>
        <v>0</v>
      </c>
      <c r="D44" s="137">
        <f>Commercial_2!D44*'BTU Conversion Factor'!$F$4</f>
        <v>0</v>
      </c>
      <c r="E44" s="137">
        <f>Commercial_2!E44*'BTU Conversion Factor'!$F$4</f>
        <v>0</v>
      </c>
      <c r="F44" s="137">
        <f>Commercial_2!F44*'BTU Conversion Factor'!$F$4</f>
        <v>0</v>
      </c>
      <c r="G44" s="137">
        <f>Commercial_2!G44*'BTU Conversion Factor'!$F$4</f>
        <v>0</v>
      </c>
      <c r="H44" s="137">
        <f>Commercial_2!H44*'BTU Conversion Factor'!$F$4</f>
        <v>0</v>
      </c>
      <c r="I44" s="137">
        <f>Commercial_2!I44*'BTU Conversion Factor'!$F$4</f>
        <v>0</v>
      </c>
      <c r="J44" s="137">
        <f>Commercial_2!J44*'BTU Conversion Factor'!$F$4</f>
        <v>0</v>
      </c>
      <c r="K44" s="137">
        <f>Commercial_2!K44*'BTU Conversion Factor'!$F$4</f>
        <v>0</v>
      </c>
      <c r="L44" s="137">
        <f>Commercial_2!L44*'BTU Conversion Factor'!$F$4</f>
        <v>0</v>
      </c>
      <c r="M44" s="137">
        <f>Commercial_2!M44*'BTU Conversion Factor'!$F$4</f>
        <v>0</v>
      </c>
      <c r="N44" s="137">
        <f>Commercial_2!N44*'BTU Conversion Factor'!$F$4</f>
        <v>0</v>
      </c>
      <c r="O44" s="137">
        <f>Commercial_2!O44*'BTU Conversion Factor'!$F$4</f>
        <v>0</v>
      </c>
      <c r="P44" s="137">
        <f>Commercial_2!P44*'BTU Conversion Factor'!$F$4</f>
        <v>0</v>
      </c>
      <c r="Q44" s="137">
        <f>Commercial_2!Q44*'BTU Conversion Factor'!$F$4</f>
        <v>0</v>
      </c>
      <c r="R44" s="137">
        <f>Commercial_2!R44*'BTU Conversion Factor'!$F$4</f>
        <v>0</v>
      </c>
      <c r="S44" s="137">
        <f>Commercial_2!S44*'BTU Conversion Factor'!$F$4</f>
        <v>0</v>
      </c>
      <c r="T44" s="137">
        <f>Commercial_2!T44*'BTU Conversion Factor'!$F$4</f>
        <v>0</v>
      </c>
      <c r="U44" s="137">
        <f>Commercial_2!U44*'BTU Conversion Factor'!$F$4</f>
        <v>0</v>
      </c>
      <c r="V44" s="137">
        <f>Commercial_2!V44*'BTU Conversion Factor'!$F$4</f>
        <v>0</v>
      </c>
      <c r="W44" s="137">
        <f>Commercial_2!W44*'BTU Conversion Factor'!$F$4</f>
        <v>0</v>
      </c>
      <c r="X44" s="137">
        <f>Commercial_2!X44*'BTU Conversion Factor'!$F$4</f>
        <v>0</v>
      </c>
      <c r="Y44" s="137">
        <f>Commercial_2!Y44*'BTU Conversion Factor'!$F$4</f>
        <v>0</v>
      </c>
      <c r="Z44" s="137">
        <f>Commercial_2!Z44*'BTU Conversion Factor'!$F$4</f>
        <v>0</v>
      </c>
      <c r="AA44" s="137">
        <f>Commercial_2!AA44*'BTU Conversion Factor'!$F$4</f>
        <v>0</v>
      </c>
      <c r="AB44" s="137">
        <f>Commercial_2!AB44*'BTU Conversion Factor'!$F$4</f>
        <v>0</v>
      </c>
      <c r="AC44" s="137">
        <f>Commercial_2!AC44*'BTU Conversion Factor'!$F$4</f>
        <v>0</v>
      </c>
      <c r="AD44" s="137">
        <f>Commercial_2!AD44*'BTU Conversion Factor'!$F$4</f>
        <v>0</v>
      </c>
      <c r="AE44" s="137">
        <f>Commercial_2!AE44*'BTU Conversion Factor'!$F$4</f>
        <v>0</v>
      </c>
      <c r="AF44" s="137">
        <f>Commercial_2!AF44*'BTU Conversion Factor'!$F$4</f>
        <v>0</v>
      </c>
      <c r="AG44" s="137">
        <f>Commercial_2!AG44*'BTU Conversion Factor'!$F$4</f>
        <v>0</v>
      </c>
      <c r="AH44" s="137">
        <f>Commercial_2!AH44*'BTU Conversion Factor'!$F$4</f>
        <v>0</v>
      </c>
      <c r="AI44" s="137">
        <f>Commercial_2!AI44*'BTU Conversion Factor'!$F$4</f>
        <v>0</v>
      </c>
      <c r="AJ44" s="137">
        <f>Commercial_2!AJ44*'BTU Conversion Factor'!$F$4</f>
        <v>0</v>
      </c>
      <c r="AK44" s="137">
        <f>Commercial_2!AK44*'BTU Conversion Factor'!$F$4</f>
        <v>0</v>
      </c>
      <c r="AL44" s="137">
        <f>Commercial_2!AL44*'BTU Conversion Factor'!$F$4</f>
        <v>0</v>
      </c>
      <c r="AM44" s="137">
        <f>Commercial_2!AM44*'BTU Conversion Factor'!$F$4</f>
        <v>0</v>
      </c>
      <c r="AN44" s="137">
        <f>Commercial_2!AN44*'BTU Conversion Factor'!$F$4</f>
        <v>0</v>
      </c>
      <c r="AO44" s="137">
        <f>Commercial_2!AO44*'BTU Conversion Factor'!$F$4</f>
        <v>0</v>
      </c>
      <c r="AP44" s="137">
        <f>Commercial_2!AP44*'BTU Conversion Factor'!$F$4</f>
        <v>0</v>
      </c>
      <c r="AQ44" s="137">
        <f>Commercial_2!AQ44*'BTU Conversion Factor'!$F$4</f>
        <v>0</v>
      </c>
      <c r="AR44" s="137">
        <f>Commercial_2!AR44*'BTU Conversion Factor'!$F$4</f>
        <v>0</v>
      </c>
      <c r="AS44" s="137">
        <f>Commercial_2!AS44*'BTU Conversion Factor'!$F$4</f>
        <v>0</v>
      </c>
      <c r="AT44" s="137">
        <f>Commercial_2!AT44*'BTU Conversion Factor'!$F$4</f>
        <v>0</v>
      </c>
      <c r="AU44" s="137">
        <f>Commercial_2!AU44*'BTU Conversion Factor'!$F$4</f>
        <v>0</v>
      </c>
    </row>
    <row r="45" spans="1:47">
      <c r="B45" s="48" t="s">
        <v>956</v>
      </c>
      <c r="C45" s="137">
        <f>Commercial_2!C45*'BTU Conversion Factor'!$F$4</f>
        <v>0</v>
      </c>
      <c r="D45" s="137">
        <f>Commercial_2!D45*'BTU Conversion Factor'!$F$4</f>
        <v>0</v>
      </c>
      <c r="E45" s="137">
        <f>Commercial_2!E45*'BTU Conversion Factor'!$F$4</f>
        <v>0</v>
      </c>
      <c r="F45" s="137">
        <f>Commercial_2!F45*'BTU Conversion Factor'!$F$4</f>
        <v>0</v>
      </c>
      <c r="G45" s="137">
        <f>Commercial_2!G45*'BTU Conversion Factor'!$F$4</f>
        <v>0</v>
      </c>
      <c r="H45" s="137">
        <f>Commercial_2!H45*'BTU Conversion Factor'!$F$4</f>
        <v>0</v>
      </c>
      <c r="I45" s="137">
        <f>Commercial_2!I45*'BTU Conversion Factor'!$F$4</f>
        <v>0</v>
      </c>
      <c r="J45" s="137">
        <f>Commercial_2!J45*'BTU Conversion Factor'!$F$4</f>
        <v>0</v>
      </c>
      <c r="K45" s="137">
        <f>Commercial_2!K45*'BTU Conversion Factor'!$F$4</f>
        <v>0</v>
      </c>
      <c r="L45" s="137">
        <f>Commercial_2!L45*'BTU Conversion Factor'!$F$4</f>
        <v>0</v>
      </c>
      <c r="M45" s="137">
        <f>Commercial_2!M45*'BTU Conversion Factor'!$F$4</f>
        <v>0</v>
      </c>
      <c r="N45" s="137">
        <f>Commercial_2!N45*'BTU Conversion Factor'!$F$4</f>
        <v>0</v>
      </c>
      <c r="O45" s="137">
        <f>Commercial_2!O45*'BTU Conversion Factor'!$F$4</f>
        <v>0</v>
      </c>
      <c r="P45" s="137">
        <f>Commercial_2!P45*'BTU Conversion Factor'!$F$4</f>
        <v>0</v>
      </c>
      <c r="Q45" s="137">
        <f>Commercial_2!Q45*'BTU Conversion Factor'!$F$4</f>
        <v>0</v>
      </c>
      <c r="R45" s="137">
        <f>Commercial_2!R45*'BTU Conversion Factor'!$F$4</f>
        <v>0</v>
      </c>
      <c r="S45" s="137">
        <f>Commercial_2!S45*'BTU Conversion Factor'!$F$4</f>
        <v>0</v>
      </c>
      <c r="T45" s="137">
        <f>Commercial_2!T45*'BTU Conversion Factor'!$F$4</f>
        <v>0</v>
      </c>
      <c r="U45" s="137">
        <f>Commercial_2!U45*'BTU Conversion Factor'!$F$4</f>
        <v>0</v>
      </c>
      <c r="V45" s="137">
        <f>Commercial_2!V45*'BTU Conversion Factor'!$F$4</f>
        <v>0</v>
      </c>
      <c r="W45" s="137">
        <f>Commercial_2!W45*'BTU Conversion Factor'!$F$4</f>
        <v>0</v>
      </c>
      <c r="X45" s="137">
        <f>Commercial_2!X45*'BTU Conversion Factor'!$F$4</f>
        <v>0</v>
      </c>
      <c r="Y45" s="137">
        <f>Commercial_2!Y45*'BTU Conversion Factor'!$F$4</f>
        <v>0</v>
      </c>
      <c r="Z45" s="137">
        <f>Commercial_2!Z45*'BTU Conversion Factor'!$F$4</f>
        <v>0</v>
      </c>
      <c r="AA45" s="137">
        <f>Commercial_2!AA45*'BTU Conversion Factor'!$F$4</f>
        <v>0</v>
      </c>
      <c r="AB45" s="137">
        <f>Commercial_2!AB45*'BTU Conversion Factor'!$F$4</f>
        <v>0</v>
      </c>
      <c r="AC45" s="137">
        <f>Commercial_2!AC45*'BTU Conversion Factor'!$F$4</f>
        <v>0</v>
      </c>
      <c r="AD45" s="137">
        <f>Commercial_2!AD45*'BTU Conversion Factor'!$F$4</f>
        <v>0</v>
      </c>
      <c r="AE45" s="137">
        <f>Commercial_2!AE45*'BTU Conversion Factor'!$F$4</f>
        <v>0</v>
      </c>
      <c r="AF45" s="137">
        <f>Commercial_2!AF45*'BTU Conversion Factor'!$F$4</f>
        <v>0</v>
      </c>
      <c r="AG45" s="137">
        <f>Commercial_2!AG45*'BTU Conversion Factor'!$F$4</f>
        <v>0</v>
      </c>
      <c r="AH45" s="137">
        <f>Commercial_2!AH45*'BTU Conversion Factor'!$F$4</f>
        <v>0</v>
      </c>
      <c r="AI45" s="137">
        <f>Commercial_2!AI45*'BTU Conversion Factor'!$F$4</f>
        <v>0</v>
      </c>
      <c r="AJ45" s="137">
        <f>Commercial_2!AJ45*'BTU Conversion Factor'!$F$4</f>
        <v>0</v>
      </c>
      <c r="AK45" s="137">
        <f>Commercial_2!AK45*'BTU Conversion Factor'!$F$4</f>
        <v>0</v>
      </c>
      <c r="AL45" s="137">
        <f>Commercial_2!AL45*'BTU Conversion Factor'!$F$4</f>
        <v>0</v>
      </c>
      <c r="AM45" s="137">
        <f>Commercial_2!AM45*'BTU Conversion Factor'!$F$4</f>
        <v>0</v>
      </c>
      <c r="AN45" s="137">
        <f>Commercial_2!AN45*'BTU Conversion Factor'!$F$4</f>
        <v>0</v>
      </c>
      <c r="AO45" s="137">
        <f>Commercial_2!AO45*'BTU Conversion Factor'!$F$4</f>
        <v>0</v>
      </c>
      <c r="AP45" s="137">
        <f>Commercial_2!AP45*'BTU Conversion Factor'!$F$4</f>
        <v>0</v>
      </c>
      <c r="AQ45" s="137">
        <f>Commercial_2!AQ45*'BTU Conversion Factor'!$F$4</f>
        <v>0</v>
      </c>
      <c r="AR45" s="137">
        <f>Commercial_2!AR45*'BTU Conversion Factor'!$F$4</f>
        <v>0</v>
      </c>
      <c r="AS45" s="137">
        <f>Commercial_2!AS45*'BTU Conversion Factor'!$F$4</f>
        <v>0</v>
      </c>
      <c r="AT45" s="137">
        <f>Commercial_2!AT45*'BTU Conversion Factor'!$F$4</f>
        <v>0</v>
      </c>
      <c r="AU45" s="137">
        <f>Commercial_2!AU45*'BTU Conversion Factor'!$F$4</f>
        <v>0</v>
      </c>
    </row>
    <row r="46" spans="1:47">
      <c r="B46" s="48" t="s">
        <v>957</v>
      </c>
      <c r="C46" s="137">
        <f>Commercial_2!C46*'BTU Conversion Factor'!$F$4</f>
        <v>0</v>
      </c>
      <c r="D46" s="137">
        <f>Commercial_2!D46*'BTU Conversion Factor'!$F$4</f>
        <v>0</v>
      </c>
      <c r="E46" s="137">
        <f>Commercial_2!E46*'BTU Conversion Factor'!$F$4</f>
        <v>0</v>
      </c>
      <c r="F46" s="137">
        <f>Commercial_2!F46*'BTU Conversion Factor'!$F$4</f>
        <v>0</v>
      </c>
      <c r="G46" s="137">
        <f>Commercial_2!G46*'BTU Conversion Factor'!$F$4</f>
        <v>0</v>
      </c>
      <c r="H46" s="137">
        <f>Commercial_2!H46*'BTU Conversion Factor'!$F$4</f>
        <v>0</v>
      </c>
      <c r="I46" s="137">
        <f>Commercial_2!I46*'BTU Conversion Factor'!$F$4</f>
        <v>0</v>
      </c>
      <c r="J46" s="137">
        <f>Commercial_2!J46*'BTU Conversion Factor'!$F$4</f>
        <v>0</v>
      </c>
      <c r="K46" s="137">
        <f>Commercial_2!K46*'BTU Conversion Factor'!$F$4</f>
        <v>0</v>
      </c>
      <c r="L46" s="137">
        <f>Commercial_2!L46*'BTU Conversion Factor'!$F$4</f>
        <v>0</v>
      </c>
      <c r="M46" s="137">
        <f>Commercial_2!M46*'BTU Conversion Factor'!$F$4</f>
        <v>0</v>
      </c>
      <c r="N46" s="137">
        <f>Commercial_2!N46*'BTU Conversion Factor'!$F$4</f>
        <v>0</v>
      </c>
      <c r="O46" s="137">
        <f>Commercial_2!O46*'BTU Conversion Factor'!$F$4</f>
        <v>0</v>
      </c>
      <c r="P46" s="137">
        <f>Commercial_2!P46*'BTU Conversion Factor'!$F$4</f>
        <v>0</v>
      </c>
      <c r="Q46" s="137">
        <f>Commercial_2!Q46*'BTU Conversion Factor'!$F$4</f>
        <v>0</v>
      </c>
      <c r="R46" s="137">
        <f>Commercial_2!R46*'BTU Conversion Factor'!$F$4</f>
        <v>0</v>
      </c>
      <c r="S46" s="137">
        <f>Commercial_2!S46*'BTU Conversion Factor'!$F$4</f>
        <v>0</v>
      </c>
      <c r="T46" s="137">
        <f>Commercial_2!T46*'BTU Conversion Factor'!$F$4</f>
        <v>0</v>
      </c>
      <c r="U46" s="137">
        <f>Commercial_2!U46*'BTU Conversion Factor'!$F$4</f>
        <v>0</v>
      </c>
      <c r="V46" s="137">
        <f>Commercial_2!V46*'BTU Conversion Factor'!$F$4</f>
        <v>0</v>
      </c>
      <c r="W46" s="137">
        <f>Commercial_2!W46*'BTU Conversion Factor'!$F$4</f>
        <v>0</v>
      </c>
      <c r="X46" s="137">
        <f>Commercial_2!X46*'BTU Conversion Factor'!$F$4</f>
        <v>0</v>
      </c>
      <c r="Y46" s="137">
        <f>Commercial_2!Y46*'BTU Conversion Factor'!$F$4</f>
        <v>0</v>
      </c>
      <c r="Z46" s="137">
        <f>Commercial_2!Z46*'BTU Conversion Factor'!$F$4</f>
        <v>0</v>
      </c>
      <c r="AA46" s="137">
        <f>Commercial_2!AA46*'BTU Conversion Factor'!$F$4</f>
        <v>0</v>
      </c>
      <c r="AB46" s="137">
        <f>Commercial_2!AB46*'BTU Conversion Factor'!$F$4</f>
        <v>0</v>
      </c>
      <c r="AC46" s="137">
        <f>Commercial_2!AC46*'BTU Conversion Factor'!$F$4</f>
        <v>0</v>
      </c>
      <c r="AD46" s="137">
        <f>Commercial_2!AD46*'BTU Conversion Factor'!$F$4</f>
        <v>0</v>
      </c>
      <c r="AE46" s="137">
        <f>Commercial_2!AE46*'BTU Conversion Factor'!$F$4</f>
        <v>0</v>
      </c>
      <c r="AF46" s="137">
        <f>Commercial_2!AF46*'BTU Conversion Factor'!$F$4</f>
        <v>0</v>
      </c>
      <c r="AG46" s="137">
        <f>Commercial_2!AG46*'BTU Conversion Factor'!$F$4</f>
        <v>0</v>
      </c>
      <c r="AH46" s="137">
        <f>Commercial_2!AH46*'BTU Conversion Factor'!$F$4</f>
        <v>0</v>
      </c>
      <c r="AI46" s="137">
        <f>Commercial_2!AI46*'BTU Conversion Factor'!$F$4</f>
        <v>0</v>
      </c>
      <c r="AJ46" s="137">
        <f>Commercial_2!AJ46*'BTU Conversion Factor'!$F$4</f>
        <v>0</v>
      </c>
      <c r="AK46" s="137">
        <f>Commercial_2!AK46*'BTU Conversion Factor'!$F$4</f>
        <v>0</v>
      </c>
      <c r="AL46" s="137">
        <f>Commercial_2!AL46*'BTU Conversion Factor'!$F$4</f>
        <v>0</v>
      </c>
      <c r="AM46" s="137">
        <f>Commercial_2!AM46*'BTU Conversion Factor'!$F$4</f>
        <v>0</v>
      </c>
      <c r="AN46" s="137">
        <f>Commercial_2!AN46*'BTU Conversion Factor'!$F$4</f>
        <v>0</v>
      </c>
      <c r="AO46" s="137">
        <f>Commercial_2!AO46*'BTU Conversion Factor'!$F$4</f>
        <v>0</v>
      </c>
      <c r="AP46" s="137">
        <f>Commercial_2!AP46*'BTU Conversion Factor'!$F$4</f>
        <v>0</v>
      </c>
      <c r="AQ46" s="137">
        <f>Commercial_2!AQ46*'BTU Conversion Factor'!$F$4</f>
        <v>0</v>
      </c>
      <c r="AR46" s="137">
        <f>Commercial_2!AR46*'BTU Conversion Factor'!$F$4</f>
        <v>0</v>
      </c>
      <c r="AS46" s="137">
        <f>Commercial_2!AS46*'BTU Conversion Factor'!$F$4</f>
        <v>0</v>
      </c>
      <c r="AT46" s="137">
        <f>Commercial_2!AT46*'BTU Conversion Factor'!$F$4</f>
        <v>0</v>
      </c>
      <c r="AU46" s="137">
        <f>Commercial_2!AU46*'BTU Conversion Factor'!$F$4</f>
        <v>0</v>
      </c>
    </row>
    <row r="47" spans="1:47">
      <c r="C47" t="s">
        <v>958</v>
      </c>
      <c r="D47">
        <v>1055</v>
      </c>
      <c r="E47" t="s">
        <v>959</v>
      </c>
    </row>
    <row r="48" spans="1:47">
      <c r="A48" t="s">
        <v>797</v>
      </c>
      <c r="B48" s="48" t="s">
        <v>960</v>
      </c>
      <c r="C48" s="137">
        <f>SUM(C5:C10)+SUM(C14:C19)+SUM(C23:C28)+SUM(C32:C37)+SUM(C41:C46)</f>
        <v>106039086804000</v>
      </c>
      <c r="D48" s="137">
        <f t="shared" ref="D48:AU48" si="0">SUM(D5:D10)+SUM(D14:D19)+SUM(D23:D28)+SUM(D32:D37)+SUM(D41:D46)</f>
        <v>108953199208056.27</v>
      </c>
      <c r="E48" s="137">
        <f t="shared" si="0"/>
        <v>111867311612111.72</v>
      </c>
      <c r="F48" s="137">
        <f t="shared" si="0"/>
        <v>114781424016167.48</v>
      </c>
      <c r="G48" s="137">
        <f t="shared" si="0"/>
        <v>117695536420223.38</v>
      </c>
      <c r="H48" s="137">
        <f t="shared" si="0"/>
        <v>120084471264611.97</v>
      </c>
      <c r="I48" s="137">
        <f t="shared" si="0"/>
        <v>123523761228334.03</v>
      </c>
      <c r="J48" s="137">
        <f t="shared" si="0"/>
        <v>123568927573956.56</v>
      </c>
      <c r="K48" s="137">
        <f t="shared" si="0"/>
        <v>124822476310871.56</v>
      </c>
      <c r="L48" s="137">
        <f t="shared" si="0"/>
        <v>125736842595492.78</v>
      </c>
      <c r="M48" s="137">
        <f t="shared" si="0"/>
        <v>125760456496165.44</v>
      </c>
      <c r="N48" s="137">
        <f t="shared" si="0"/>
        <v>125782522059676.66</v>
      </c>
      <c r="O48" s="137">
        <f t="shared" si="0"/>
        <v>127858099861580.36</v>
      </c>
      <c r="P48" s="137">
        <f t="shared" si="0"/>
        <v>128531481534235.97</v>
      </c>
      <c r="Q48" s="137">
        <f t="shared" si="0"/>
        <v>120117773070386.78</v>
      </c>
      <c r="R48" s="137">
        <f t="shared" si="0"/>
        <v>125527326905295.69</v>
      </c>
      <c r="S48" s="137">
        <f t="shared" si="0"/>
        <v>128835404631279.23</v>
      </c>
      <c r="T48" s="137">
        <f t="shared" si="0"/>
        <v>129846794259796.91</v>
      </c>
      <c r="U48" s="137">
        <f t="shared" si="0"/>
        <v>130858657249326.84</v>
      </c>
      <c r="V48" s="137">
        <f t="shared" si="0"/>
        <v>131813366478097.47</v>
      </c>
      <c r="W48" s="137">
        <f t="shared" si="0"/>
        <v>132793686992607.97</v>
      </c>
      <c r="X48" s="137">
        <f t="shared" si="0"/>
        <v>133774007507118.42</v>
      </c>
      <c r="Y48" s="137">
        <f t="shared" si="0"/>
        <v>134754328021628.94</v>
      </c>
      <c r="Z48" s="137">
        <f t="shared" si="0"/>
        <v>135734648536139.42</v>
      </c>
      <c r="AA48" s="137">
        <f t="shared" si="0"/>
        <v>136714969050649.89</v>
      </c>
      <c r="AB48" s="137">
        <f t="shared" si="0"/>
        <v>137695289565160.38</v>
      </c>
      <c r="AC48" s="137">
        <f t="shared" si="0"/>
        <v>138675610079670.91</v>
      </c>
      <c r="AD48" s="137">
        <f t="shared" si="0"/>
        <v>139655930594181.38</v>
      </c>
      <c r="AE48" s="137">
        <f t="shared" si="0"/>
        <v>140636251108691.81</v>
      </c>
      <c r="AF48" s="137">
        <f t="shared" si="0"/>
        <v>141616571623202.31</v>
      </c>
      <c r="AG48" s="137">
        <f t="shared" si="0"/>
        <v>142494008377151.38</v>
      </c>
      <c r="AH48" s="137">
        <f t="shared" si="0"/>
        <v>143473621589703.38</v>
      </c>
      <c r="AI48" s="137">
        <f t="shared" si="0"/>
        <v>144453234802255.28</v>
      </c>
      <c r="AJ48" s="137">
        <f t="shared" si="0"/>
        <v>145432848014807.28</v>
      </c>
      <c r="AK48" s="137">
        <f t="shared" si="0"/>
        <v>146412461227359.25</v>
      </c>
      <c r="AL48" s="137">
        <f t="shared" si="0"/>
        <v>147392074439911.19</v>
      </c>
      <c r="AM48" s="137">
        <f t="shared" si="0"/>
        <v>148371687652463.16</v>
      </c>
      <c r="AN48" s="137">
        <f t="shared" si="0"/>
        <v>149351300865015.12</v>
      </c>
      <c r="AO48" s="137">
        <f t="shared" si="0"/>
        <v>150330914077567.06</v>
      </c>
      <c r="AP48" s="137">
        <f t="shared" si="0"/>
        <v>151310527290119.09</v>
      </c>
      <c r="AQ48" s="137">
        <f t="shared" si="0"/>
        <v>152290140502671.03</v>
      </c>
      <c r="AR48" s="137">
        <f t="shared" si="0"/>
        <v>153269753715222.97</v>
      </c>
      <c r="AS48" s="137">
        <f t="shared" si="0"/>
        <v>154249366927774.97</v>
      </c>
      <c r="AT48" s="137">
        <f t="shared" si="0"/>
        <v>155228980140326.91</v>
      </c>
      <c r="AU48" s="137">
        <f t="shared" si="0"/>
        <v>156208593352878.91</v>
      </c>
    </row>
    <row r="49" spans="1:47">
      <c r="A49" t="s">
        <v>797</v>
      </c>
      <c r="B49" s="48" t="s">
        <v>779</v>
      </c>
      <c r="C49" s="50">
        <f>C48*$D$47/10^12</f>
        <v>111871.23657822001</v>
      </c>
      <c r="D49" s="50">
        <f t="shared" ref="D49:AU49" si="1">D48*$D$47/10^12</f>
        <v>114945.62516449936</v>
      </c>
      <c r="E49" s="50">
        <f t="shared" si="1"/>
        <v>118020.01375077786</v>
      </c>
      <c r="F49" s="50">
        <f t="shared" si="1"/>
        <v>121094.4023370567</v>
      </c>
      <c r="G49" s="50">
        <f t="shared" si="1"/>
        <v>124168.79092333566</v>
      </c>
      <c r="H49" s="50">
        <f t="shared" si="1"/>
        <v>126689.11718416563</v>
      </c>
      <c r="I49" s="50">
        <f t="shared" si="1"/>
        <v>130317.56809589241</v>
      </c>
      <c r="J49" s="50">
        <f t="shared" si="1"/>
        <v>130365.21859052418</v>
      </c>
      <c r="K49" s="50">
        <f t="shared" si="1"/>
        <v>131687.7125079695</v>
      </c>
      <c r="L49" s="50">
        <f t="shared" si="1"/>
        <v>132652.36893824488</v>
      </c>
      <c r="M49" s="50">
        <f t="shared" si="1"/>
        <v>132677.28160345455</v>
      </c>
      <c r="N49" s="50">
        <f t="shared" si="1"/>
        <v>132700.56077295888</v>
      </c>
      <c r="O49" s="50">
        <f t="shared" si="1"/>
        <v>134890.29535396729</v>
      </c>
      <c r="P49" s="50">
        <f t="shared" si="1"/>
        <v>135600.71301861893</v>
      </c>
      <c r="Q49" s="50">
        <f t="shared" si="1"/>
        <v>126724.25058925805</v>
      </c>
      <c r="R49" s="50">
        <f t="shared" si="1"/>
        <v>132431.32988508695</v>
      </c>
      <c r="S49" s="50">
        <f t="shared" si="1"/>
        <v>135921.35188599961</v>
      </c>
      <c r="T49" s="50">
        <f t="shared" si="1"/>
        <v>136988.36794408574</v>
      </c>
      <c r="U49" s="50">
        <f t="shared" si="1"/>
        <v>138055.88339803982</v>
      </c>
      <c r="V49" s="50">
        <f t="shared" si="1"/>
        <v>139063.10163439283</v>
      </c>
      <c r="W49" s="50">
        <f t="shared" si="1"/>
        <v>140097.33977720141</v>
      </c>
      <c r="X49" s="50">
        <f t="shared" si="1"/>
        <v>141131.57792000994</v>
      </c>
      <c r="Y49" s="50">
        <f t="shared" si="1"/>
        <v>142165.81606281851</v>
      </c>
      <c r="Z49" s="50">
        <f t="shared" si="1"/>
        <v>143200.05420562709</v>
      </c>
      <c r="AA49" s="50">
        <f t="shared" si="1"/>
        <v>144234.29234843564</v>
      </c>
      <c r="AB49" s="50">
        <f t="shared" si="1"/>
        <v>145268.53049124419</v>
      </c>
      <c r="AC49" s="50">
        <f t="shared" si="1"/>
        <v>146302.7686340528</v>
      </c>
      <c r="AD49" s="50">
        <f t="shared" si="1"/>
        <v>147337.00677686135</v>
      </c>
      <c r="AE49" s="50">
        <f t="shared" si="1"/>
        <v>148371.24491966984</v>
      </c>
      <c r="AF49" s="50">
        <f t="shared" si="1"/>
        <v>149405.48306247842</v>
      </c>
      <c r="AG49" s="50">
        <f t="shared" si="1"/>
        <v>150331.17883789469</v>
      </c>
      <c r="AH49" s="50">
        <f t="shared" si="1"/>
        <v>151364.67077713704</v>
      </c>
      <c r="AI49" s="50">
        <f t="shared" si="1"/>
        <v>152398.16271637933</v>
      </c>
      <c r="AJ49" s="50">
        <f t="shared" si="1"/>
        <v>153431.65465562171</v>
      </c>
      <c r="AK49" s="50">
        <f t="shared" si="1"/>
        <v>154465.146594864</v>
      </c>
      <c r="AL49" s="50">
        <f t="shared" si="1"/>
        <v>155498.63853410631</v>
      </c>
      <c r="AM49" s="50">
        <f t="shared" si="1"/>
        <v>156532.13047334863</v>
      </c>
      <c r="AN49" s="50">
        <f t="shared" si="1"/>
        <v>157565.62241259095</v>
      </c>
      <c r="AO49" s="50">
        <f t="shared" si="1"/>
        <v>158599.11435183324</v>
      </c>
      <c r="AP49" s="50">
        <f t="shared" si="1"/>
        <v>159632.60629107564</v>
      </c>
      <c r="AQ49" s="50">
        <f t="shared" si="1"/>
        <v>160666.09823031796</v>
      </c>
      <c r="AR49" s="50">
        <f t="shared" si="1"/>
        <v>161699.59016956022</v>
      </c>
      <c r="AS49" s="50">
        <f t="shared" si="1"/>
        <v>162733.0821088026</v>
      </c>
      <c r="AT49" s="50">
        <f t="shared" si="1"/>
        <v>163766.57404804489</v>
      </c>
      <c r="AU49" s="50">
        <f t="shared" si="1"/>
        <v>164800.06598728723</v>
      </c>
    </row>
  </sheetData>
  <phoneticPr fontId="3"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Y68"/>
  <sheetViews>
    <sheetView zoomScale="85" workbookViewId="0">
      <selection activeCell="B25" sqref="B25"/>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8" max="8" width="5.796875" customWidth="1"/>
    <col min="9" max="9" width="6.19921875" style="485" customWidth="1"/>
    <col min="10" max="10" width="5.796875" customWidth="1"/>
    <col min="19" max="19" width="8.796875" style="485"/>
    <col min="20" max="20" width="6.19921875" customWidth="1"/>
    <col min="29" max="29" width="8.796875" style="485"/>
    <col min="39" max="39" width="6.796875" style="485" customWidth="1"/>
    <col min="42" max="42" width="10.19921875" bestFit="1" customWidth="1"/>
  </cols>
  <sheetData>
    <row r="1" spans="1:51" ht="26.25" customHeight="1">
      <c r="A1" s="100" t="s">
        <v>961</v>
      </c>
    </row>
    <row r="2" spans="1:51">
      <c r="A2" s="18"/>
    </row>
    <row r="3" spans="1:51">
      <c r="A3" t="s">
        <v>930</v>
      </c>
      <c r="U3" t="s">
        <v>930</v>
      </c>
      <c r="AE3" t="s">
        <v>930</v>
      </c>
      <c r="AO3" t="s">
        <v>930</v>
      </c>
    </row>
    <row r="4" spans="1:51">
      <c r="A4">
        <f>A9</f>
        <v>2006</v>
      </c>
      <c r="B4" s="50">
        <f>B9</f>
        <v>2062.5449866785084</v>
      </c>
      <c r="C4" s="50">
        <f>C9</f>
        <v>0</v>
      </c>
      <c r="D4" s="50">
        <f>D9</f>
        <v>0</v>
      </c>
      <c r="E4" s="50">
        <f>E9</f>
        <v>0</v>
      </c>
      <c r="L4" s="50"/>
      <c r="M4" s="50"/>
      <c r="N4" s="50"/>
      <c r="O4" s="50"/>
      <c r="U4">
        <f>U9</f>
        <v>2006</v>
      </c>
      <c r="V4" s="50">
        <f>V9</f>
        <v>0</v>
      </c>
      <c r="W4" s="50">
        <f>W9</f>
        <v>0</v>
      </c>
      <c r="X4" s="50">
        <f>X9</f>
        <v>0</v>
      </c>
      <c r="Y4" s="50">
        <f>Y9</f>
        <v>0</v>
      </c>
      <c r="AE4">
        <f>AE9</f>
        <v>2006</v>
      </c>
      <c r="AF4" s="50">
        <f>AF9</f>
        <v>8503.6770959147434</v>
      </c>
      <c r="AG4" s="50">
        <f>AG9</f>
        <v>0</v>
      </c>
      <c r="AH4" s="50">
        <f>AH9</f>
        <v>8903.0403148261139</v>
      </c>
      <c r="AI4" s="50">
        <f>AI9</f>
        <v>0</v>
      </c>
      <c r="AO4">
        <f>AO9</f>
        <v>2006</v>
      </c>
      <c r="AP4" s="50">
        <f>AP9</f>
        <v>854.59266207815278</v>
      </c>
      <c r="AQ4" s="50">
        <f>AQ9</f>
        <v>0</v>
      </c>
      <c r="AR4" s="50">
        <f>AR9</f>
        <v>8</v>
      </c>
      <c r="AS4" s="50">
        <f>AS9</f>
        <v>0</v>
      </c>
    </row>
    <row r="5" spans="1:51">
      <c r="A5">
        <f>A15</f>
        <v>2012</v>
      </c>
      <c r="B5" s="50">
        <f>B15</f>
        <v>2107.9685254565184</v>
      </c>
      <c r="C5" s="50">
        <f>C15</f>
        <v>0</v>
      </c>
      <c r="D5" s="50">
        <f>D15</f>
        <v>0</v>
      </c>
      <c r="E5" s="50">
        <f>E15</f>
        <v>0</v>
      </c>
      <c r="L5" s="50"/>
      <c r="M5" s="50"/>
      <c r="N5" s="50"/>
      <c r="O5" s="50"/>
      <c r="U5">
        <f>U15</f>
        <v>2012</v>
      </c>
      <c r="V5" s="50">
        <f>V15</f>
        <v>0</v>
      </c>
      <c r="W5" s="50">
        <f>W15</f>
        <v>0</v>
      </c>
      <c r="X5" s="50">
        <f>X15</f>
        <v>0</v>
      </c>
      <c r="Y5" s="50">
        <f>Y15</f>
        <v>0</v>
      </c>
      <c r="AE5">
        <f>AE15</f>
        <v>2012</v>
      </c>
      <c r="AF5" s="50">
        <f>AF15</f>
        <v>9178.4462879252569</v>
      </c>
      <c r="AG5" s="50">
        <f>AG15</f>
        <v>0</v>
      </c>
      <c r="AH5" s="50">
        <f>AH15</f>
        <v>9089.0119028290283</v>
      </c>
      <c r="AI5" s="50">
        <f>AI15</f>
        <v>0</v>
      </c>
      <c r="AO5">
        <f>AO15</f>
        <v>2012</v>
      </c>
      <c r="AP5" s="50">
        <f>AP15</f>
        <v>2007</v>
      </c>
      <c r="AQ5" s="50">
        <f>AQ15</f>
        <v>0</v>
      </c>
      <c r="AR5" s="50">
        <f>AR15</f>
        <v>1</v>
      </c>
      <c r="AS5" s="50">
        <f>AS15</f>
        <v>0</v>
      </c>
    </row>
    <row r="6" spans="1:51">
      <c r="A6" s="47"/>
    </row>
    <row r="7" spans="1:51" s="483" customFormat="1" ht="15">
      <c r="A7" s="482" t="s">
        <v>512</v>
      </c>
      <c r="I7" s="486"/>
      <c r="K7" s="484" t="s">
        <v>931</v>
      </c>
      <c r="S7" s="486"/>
      <c r="U7" s="484" t="s">
        <v>932</v>
      </c>
      <c r="AC7" s="486"/>
      <c r="AE7" s="484" t="s">
        <v>933</v>
      </c>
      <c r="AM7" s="486"/>
      <c r="AO7" s="484" t="s">
        <v>516</v>
      </c>
    </row>
    <row r="8" spans="1:51" s="48" customFormat="1">
      <c r="A8" s="48" t="s">
        <v>554</v>
      </c>
      <c r="B8" s="48" t="s">
        <v>934</v>
      </c>
      <c r="C8" s="48" t="s">
        <v>935</v>
      </c>
      <c r="D8" s="48" t="s">
        <v>936</v>
      </c>
      <c r="E8" s="48" t="s">
        <v>937</v>
      </c>
      <c r="F8" s="48" t="s">
        <v>938</v>
      </c>
      <c r="G8" s="48" t="s">
        <v>939</v>
      </c>
      <c r="I8" s="487"/>
      <c r="K8" s="48" t="s">
        <v>554</v>
      </c>
      <c r="L8" s="48" t="s">
        <v>934</v>
      </c>
      <c r="M8" s="48" t="s">
        <v>935</v>
      </c>
      <c r="N8" s="48" t="s">
        <v>936</v>
      </c>
      <c r="O8" s="48" t="s">
        <v>937</v>
      </c>
      <c r="P8" s="48" t="s">
        <v>938</v>
      </c>
      <c r="Q8" s="48" t="s">
        <v>939</v>
      </c>
      <c r="S8" s="487"/>
      <c r="U8" s="48" t="s">
        <v>554</v>
      </c>
      <c r="V8" s="48" t="s">
        <v>934</v>
      </c>
      <c r="W8" s="48" t="s">
        <v>935</v>
      </c>
      <c r="X8" s="48" t="s">
        <v>936</v>
      </c>
      <c r="Y8" s="48" t="s">
        <v>937</v>
      </c>
      <c r="Z8" s="48" t="s">
        <v>938</v>
      </c>
      <c r="AA8" s="48" t="s">
        <v>939</v>
      </c>
      <c r="AC8" s="487"/>
      <c r="AE8" s="48" t="s">
        <v>554</v>
      </c>
      <c r="AF8" s="48" t="s">
        <v>934</v>
      </c>
      <c r="AG8" s="48" t="s">
        <v>935</v>
      </c>
      <c r="AH8" s="48" t="s">
        <v>936</v>
      </c>
      <c r="AI8" s="48" t="s">
        <v>937</v>
      </c>
      <c r="AJ8" s="48" t="s">
        <v>938</v>
      </c>
      <c r="AK8" s="48" t="s">
        <v>939</v>
      </c>
      <c r="AM8" s="487"/>
      <c r="AO8" s="48" t="s">
        <v>554</v>
      </c>
      <c r="AP8" s="48" t="s">
        <v>934</v>
      </c>
      <c r="AQ8" s="48" t="s">
        <v>935</v>
      </c>
      <c r="AR8" s="48" t="s">
        <v>936</v>
      </c>
      <c r="AS8" s="48" t="s">
        <v>937</v>
      </c>
      <c r="AT8" s="48" t="s">
        <v>938</v>
      </c>
      <c r="AU8" s="48" t="s">
        <v>939</v>
      </c>
    </row>
    <row r="9" spans="1:51">
      <c r="A9" s="52">
        <v>2006</v>
      </c>
      <c r="B9" s="107">
        <f>'Future Type Share'!R7*'Future Type Share'!AC7*'Future EndUse Share'!AD17</f>
        <v>2062.5449866785084</v>
      </c>
      <c r="C9" s="52">
        <f>'Future Type Share'!R7*'Future Type Share'!Y7*0.5*'Future EndUse Share'!R17</f>
        <v>0</v>
      </c>
      <c r="D9" s="52">
        <f>'Future Type Share'!X7*'Future EndUse Share'!R17</f>
        <v>0</v>
      </c>
      <c r="E9" s="107">
        <f>C9</f>
        <v>0</v>
      </c>
      <c r="F9" s="52">
        <v>0</v>
      </c>
      <c r="G9" s="52">
        <v>0</v>
      </c>
      <c r="K9" s="489">
        <v>2006</v>
      </c>
      <c r="L9" s="490">
        <f>'Future Type Share'!R7*'Future Type Share'!AC7*'Future EndUse Share'!AB17</f>
        <v>5878.4452553285973</v>
      </c>
      <c r="M9" s="490">
        <f>'Future Type Share'!R7*'Future Type Share'!Y7*0.5*'Future EndUse Share'!P17</f>
        <v>0</v>
      </c>
      <c r="N9" s="490">
        <f>'Future Type Share'!X7*'Future EndUse Share'!P17</f>
        <v>0</v>
      </c>
      <c r="O9" s="490">
        <f>M9</f>
        <v>0</v>
      </c>
      <c r="P9" s="489">
        <v>0</v>
      </c>
      <c r="Q9" s="489">
        <v>0</v>
      </c>
      <c r="U9" s="52">
        <v>2006</v>
      </c>
      <c r="V9" s="52">
        <v>0</v>
      </c>
      <c r="W9" s="52">
        <v>0</v>
      </c>
      <c r="X9" s="52">
        <v>0</v>
      </c>
      <c r="Y9" s="52">
        <v>0</v>
      </c>
      <c r="Z9" s="52">
        <v>0</v>
      </c>
      <c r="AA9" s="52">
        <v>0</v>
      </c>
      <c r="AE9" s="52">
        <v>2006</v>
      </c>
      <c r="AF9" s="107">
        <f>'Future Type Share'!R7*'Future Type Share'!AC7*('Future EndUse Share'!AC17+'Future EndUse Share'!AE17+'Future EndUse Share'!AF17+'Future EndUse Share'!AA17)</f>
        <v>8503.6770959147434</v>
      </c>
      <c r="AG9" s="107">
        <f>'Future Type Share'!R7*'Future Type Share'!AA7*0.5*('Future EndUse Share'!Q17+'Future EndUse Share'!S17+'Future EndUse Share'!T17+'Future EndUse Share'!O17)</f>
        <v>0</v>
      </c>
      <c r="AH9" s="107">
        <f>'Future Type Share'!R7*'Future Type Share'!Y7*('Future EndUse Share'!Q17+'Future EndUse Share'!S17+'Future EndUse Share'!T17+'Future EndUse Share'!O17)</f>
        <v>8903.0403148261139</v>
      </c>
      <c r="AI9" s="107">
        <f>AG9</f>
        <v>0</v>
      </c>
      <c r="AJ9" s="52">
        <v>0</v>
      </c>
      <c r="AK9" s="52">
        <v>0</v>
      </c>
      <c r="AO9" s="52">
        <v>2006</v>
      </c>
      <c r="AP9" s="107">
        <f>'Future Type Share'!R7*'Future Type Share'!AC7*'Future EndUse Share'!AG17</f>
        <v>854.59266207815278</v>
      </c>
      <c r="AQ9" s="107">
        <f>'Future Type Share'!R7*'Future Type Share'!AA7*0.5*('Future EndUse Share'!U17)</f>
        <v>0</v>
      </c>
      <c r="AR9" s="107">
        <f>'Private,Public8EndUse'!S91+'Private,Public8EndUse'!R91</f>
        <v>8</v>
      </c>
      <c r="AS9" s="107">
        <f>AQ9</f>
        <v>0</v>
      </c>
      <c r="AT9" s="52">
        <v>0</v>
      </c>
      <c r="AU9" s="52">
        <v>0</v>
      </c>
      <c r="AY9" s="50"/>
    </row>
    <row r="10" spans="1:51">
      <c r="A10" s="52">
        <v>2007</v>
      </c>
      <c r="B10" s="107">
        <f>'Future Type Share'!R8*'Future Type Share'!AC8*'Future EndUse Share'!AD18</f>
        <v>2020.5925866236907</v>
      </c>
      <c r="C10" s="52">
        <f>'Future Type Share'!R8*'Future Type Share'!Y8*0.5*'Future EndUse Share'!R18</f>
        <v>0</v>
      </c>
      <c r="D10" s="52">
        <f>'Future Type Share'!X8*'Future EndUse Share'!R18</f>
        <v>0</v>
      </c>
      <c r="E10" s="107">
        <f t="shared" ref="E10:E14" si="0">TREND(E$4:E$5,$A$4:$A$5,$A10)</f>
        <v>0</v>
      </c>
      <c r="F10" s="107">
        <f t="shared" ref="F10:G14" si="1">TREND(F$15:F$19,$A$15:$A$19,$A10)</f>
        <v>0</v>
      </c>
      <c r="G10" s="107">
        <f t="shared" si="1"/>
        <v>0</v>
      </c>
      <c r="K10" s="489">
        <v>2007</v>
      </c>
      <c r="L10" s="490">
        <f>'Future Type Share'!R8*'Future Type Share'!AC8*'Future EndUse Share'!AB18</f>
        <v>5942.4665785656725</v>
      </c>
      <c r="M10" s="490">
        <f>'Future Type Share'!R8*'Future Type Share'!Y8*0.5*'Future EndUse Share'!P18</f>
        <v>0</v>
      </c>
      <c r="N10" s="490">
        <f>'Future Type Share'!X8*'Future EndUse Share'!P18</f>
        <v>0</v>
      </c>
      <c r="O10" s="490">
        <f t="shared" ref="O10:O24" si="2">M10</f>
        <v>0</v>
      </c>
      <c r="P10" s="489">
        <v>0</v>
      </c>
      <c r="Q10" s="489">
        <v>0</v>
      </c>
      <c r="U10" s="52">
        <v>2007</v>
      </c>
      <c r="V10" s="52">
        <v>0</v>
      </c>
      <c r="W10" s="52">
        <v>0</v>
      </c>
      <c r="X10" s="52">
        <v>0</v>
      </c>
      <c r="Y10" s="52">
        <v>0</v>
      </c>
      <c r="Z10" s="52">
        <v>0</v>
      </c>
      <c r="AA10" s="52">
        <v>0</v>
      </c>
      <c r="AE10" s="52">
        <v>2007</v>
      </c>
      <c r="AF10" s="107">
        <f>'Future Type Share'!R8*'Future Type Share'!AC8*('Future EndUse Share'!AC18+'Future EndUse Share'!AE18+'Future EndUse Share'!AF18+'Future EndUse Share'!AA18)</f>
        <v>9044.5572925060424</v>
      </c>
      <c r="AG10" s="107">
        <f>'Future Type Share'!R8*'Future Type Share'!AA8*0.5*('Future EndUse Share'!AC18+'Future EndUse Share'!AE18+'Future EndUse Share'!AF18+'Future EndUse Share'!AA18)</f>
        <v>0</v>
      </c>
      <c r="AH10" s="107">
        <f>'Future Type Share'!R8*'Future Type Share'!Y8*('Future EndUse Share'!Q18+'Future EndUse Share'!S18+'Future EndUse Share'!T18+'Future EndUse Share'!O18)</f>
        <v>8812.1096341463417</v>
      </c>
      <c r="AI10" s="107">
        <f t="shared" ref="AI10:AI14" si="3">TREND(AI$4:AI$5,$AO$4:$AO$5,$AO10)</f>
        <v>0</v>
      </c>
      <c r="AJ10" s="107">
        <f t="shared" ref="AJ10:AK14" si="4">TREND(AJ$15:AJ$19,$AE$15:$AE$19,$AE10)</f>
        <v>0</v>
      </c>
      <c r="AK10" s="107">
        <f t="shared" si="4"/>
        <v>0</v>
      </c>
      <c r="AO10" s="52">
        <v>2007</v>
      </c>
      <c r="AP10" s="107">
        <f>'Future Type Share'!R8*'Future Type Share'!AC8*'Future EndUse Share'!AG18</f>
        <v>903.49354230459312</v>
      </c>
      <c r="AQ10" s="107">
        <f>'Future Type Share'!R8*'Future Type Share'!AA8*0.5*('Future EndUse Share'!U18)</f>
        <v>0</v>
      </c>
      <c r="AR10" s="107">
        <f>'Private,Public8EndUse'!S92+'Private,Public8EndUse'!R92</f>
        <v>9</v>
      </c>
      <c r="AS10" s="107">
        <f>TREND(AS$4:AS$5,$AO$4:$AO$5,$AO10)</f>
        <v>0</v>
      </c>
      <c r="AT10" s="107">
        <f t="shared" ref="AT10:AU14" si="5">TREND(AT$15:AT$19,$AO$15:$AO$19,$AO10)</f>
        <v>0</v>
      </c>
      <c r="AU10" s="107">
        <f t="shared" si="5"/>
        <v>0</v>
      </c>
      <c r="AY10" s="50"/>
    </row>
    <row r="11" spans="1:51">
      <c r="A11" s="52">
        <v>2008</v>
      </c>
      <c r="B11" s="107">
        <f>'Future Type Share'!R9*'Future Type Share'!AC9*'Future EndUse Share'!AD19</f>
        <v>1948.9996524355449</v>
      </c>
      <c r="C11" s="52">
        <f>'Future Type Share'!R9*'Future Type Share'!Y9*0.5*'Future EndUse Share'!R19</f>
        <v>0</v>
      </c>
      <c r="D11" s="52">
        <f>'Future Type Share'!X9*'Future EndUse Share'!R19</f>
        <v>0</v>
      </c>
      <c r="E11" s="107">
        <f t="shared" si="0"/>
        <v>0</v>
      </c>
      <c r="F11" s="107">
        <f t="shared" si="1"/>
        <v>0</v>
      </c>
      <c r="G11" s="107">
        <f t="shared" si="1"/>
        <v>0</v>
      </c>
      <c r="K11" s="489">
        <v>2008</v>
      </c>
      <c r="L11" s="490">
        <f>'Future Type Share'!R9*'Future Type Share'!AC9*'Future EndUse Share'!AB19</f>
        <v>5918.1303314831148</v>
      </c>
      <c r="M11" s="490">
        <f>'Future Type Share'!R9*'Future Type Share'!Y9*0.5*'Future EndUse Share'!P19</f>
        <v>0</v>
      </c>
      <c r="N11" s="490">
        <f>'Future Type Share'!X9*'Future EndUse Share'!P19</f>
        <v>0</v>
      </c>
      <c r="O11" s="490">
        <f t="shared" si="2"/>
        <v>0</v>
      </c>
      <c r="P11" s="489">
        <v>0</v>
      </c>
      <c r="Q11" s="489">
        <v>0</v>
      </c>
      <c r="U11" s="52">
        <v>2008</v>
      </c>
      <c r="V11" s="52">
        <v>0</v>
      </c>
      <c r="W11" s="52">
        <v>0</v>
      </c>
      <c r="X11" s="52">
        <v>0</v>
      </c>
      <c r="Y11" s="52">
        <v>0</v>
      </c>
      <c r="Z11" s="52">
        <v>0</v>
      </c>
      <c r="AA11" s="52">
        <v>0</v>
      </c>
      <c r="AE11" s="52">
        <v>2008</v>
      </c>
      <c r="AF11" s="107">
        <f>'Future Type Share'!R9*'Future Type Share'!AC9*('Future EndUse Share'!AC19+'Future EndUse Share'!AE19+'Future EndUse Share'!AF19+'Future EndUse Share'!AA19)</f>
        <v>9474.6990403071013</v>
      </c>
      <c r="AG11" s="107">
        <f>'Future Type Share'!R9*'Future Type Share'!AA9*0.5*('Future EndUse Share'!AC19+'Future EndUse Share'!AE19+'Future EndUse Share'!AF19+'Future EndUse Share'!AA19)</f>
        <v>0</v>
      </c>
      <c r="AH11" s="107">
        <f>'Future Type Share'!R9*'Future Type Share'!Y9*('Future EndUse Share'!Q19+'Future EndUse Share'!S19+'Future EndUse Share'!T19+'Future EndUse Share'!O19)</f>
        <v>9130.4784686609692</v>
      </c>
      <c r="AI11" s="107">
        <f t="shared" si="3"/>
        <v>0</v>
      </c>
      <c r="AJ11" s="107">
        <f t="shared" si="4"/>
        <v>0</v>
      </c>
      <c r="AK11" s="107">
        <f t="shared" si="4"/>
        <v>0</v>
      </c>
      <c r="AO11" s="52">
        <v>2008</v>
      </c>
      <c r="AP11" s="107">
        <f>'Future Type Share'!R9*'Future Type Share'!AC9*'Future EndUse Share'!AG19</f>
        <v>940.83097577423871</v>
      </c>
      <c r="AQ11" s="107">
        <f>'Future Type Share'!R9*'Future Type Share'!AA9*0.5*('Future EndUse Share'!U19)</f>
        <v>0</v>
      </c>
      <c r="AR11" s="107">
        <f>'Private,Public8EndUse'!S93+'Private,Public8EndUse'!R93</f>
        <v>10</v>
      </c>
      <c r="AS11" s="107">
        <f t="shared" ref="AS11:AS14" si="6">TREND(AS$4:AS$5,$AO$4:$AO$5,$AO11)</f>
        <v>0</v>
      </c>
      <c r="AT11" s="107">
        <f t="shared" si="5"/>
        <v>0</v>
      </c>
      <c r="AU11" s="107">
        <f t="shared" si="5"/>
        <v>0</v>
      </c>
      <c r="AY11" s="50"/>
    </row>
    <row r="12" spans="1:51">
      <c r="A12" s="52">
        <v>2009</v>
      </c>
      <c r="B12" s="107">
        <f>'Future Type Share'!R10*'Future Type Share'!AC10*'Future EndUse Share'!AD20</f>
        <v>2086.4773371695028</v>
      </c>
      <c r="C12" s="52">
        <f>'Future Type Share'!R10*'Future Type Share'!Y10*0.5*'Future EndUse Share'!R20</f>
        <v>0</v>
      </c>
      <c r="D12" s="52">
        <f>'Future Type Share'!X10*'Future EndUse Share'!R20</f>
        <v>0</v>
      </c>
      <c r="E12" s="107">
        <f t="shared" si="0"/>
        <v>0</v>
      </c>
      <c r="F12" s="107">
        <f t="shared" si="1"/>
        <v>0</v>
      </c>
      <c r="G12" s="107">
        <f t="shared" si="1"/>
        <v>0</v>
      </c>
      <c r="K12" s="489">
        <v>2009</v>
      </c>
      <c r="L12" s="490">
        <f>'Future Type Share'!R10*'Future Type Share'!AC10*'Future EndUse Share'!AB20</f>
        <v>6489.5511086859469</v>
      </c>
      <c r="M12" s="490">
        <f>'Future Type Share'!R10*'Future Type Share'!Y10*0.5*'Future EndUse Share'!P20</f>
        <v>0</v>
      </c>
      <c r="N12" s="490">
        <f>'Future Type Share'!X10*'Future EndUse Share'!P20</f>
        <v>0</v>
      </c>
      <c r="O12" s="490">
        <f t="shared" si="2"/>
        <v>0</v>
      </c>
      <c r="P12" s="489">
        <v>0</v>
      </c>
      <c r="Q12" s="489">
        <v>0</v>
      </c>
      <c r="U12" s="52">
        <v>2009</v>
      </c>
      <c r="V12" s="52">
        <v>0</v>
      </c>
      <c r="W12" s="52">
        <v>0</v>
      </c>
      <c r="X12" s="52">
        <v>0</v>
      </c>
      <c r="Y12" s="52">
        <v>0</v>
      </c>
      <c r="Z12" s="52">
        <v>0</v>
      </c>
      <c r="AA12" s="52">
        <v>0</v>
      </c>
      <c r="AE12" s="52">
        <v>2009</v>
      </c>
      <c r="AF12" s="107">
        <f>'Future Type Share'!R10*'Future Type Share'!AC10*('Future EndUse Share'!AC20+'Future EndUse Share'!AE20+'Future EndUse Share'!AF20+'Future EndUse Share'!AA20)</f>
        <v>9718.9212004563724</v>
      </c>
      <c r="AG12" s="107">
        <f>'Future Type Share'!R10*'Future Type Share'!AA10*0.5*('Future EndUse Share'!AC20+'Future EndUse Share'!AE20+'Future EndUse Share'!AF20+'Future EndUse Share'!AA20)</f>
        <v>0</v>
      </c>
      <c r="AH12" s="107">
        <f>'Future Type Share'!R10*'Future Type Share'!Y10*('Future EndUse Share'!Q20+'Future EndUse Share'!S20+'Future EndUse Share'!T20+'Future EndUse Share'!O20)</f>
        <v>9128.6333214072747</v>
      </c>
      <c r="AI12" s="107">
        <f t="shared" si="3"/>
        <v>0</v>
      </c>
      <c r="AJ12" s="107">
        <f t="shared" si="4"/>
        <v>0</v>
      </c>
      <c r="AK12" s="107">
        <f t="shared" si="4"/>
        <v>0</v>
      </c>
      <c r="AO12" s="52">
        <v>2009</v>
      </c>
      <c r="AP12" s="107">
        <f>'Future Type Share'!R10*'Future Type Share'!AC10*'Future EndUse Share'!AG20</f>
        <v>1114.9703536881791</v>
      </c>
      <c r="AQ12" s="107">
        <f>'Future Type Share'!R10*'Future Type Share'!AA10*0.5*('Future EndUse Share'!U20)</f>
        <v>0</v>
      </c>
      <c r="AR12" s="107">
        <f>'Private,Public8EndUse'!S94+'Private,Public8EndUse'!R94</f>
        <v>6</v>
      </c>
      <c r="AS12" s="107">
        <f t="shared" si="6"/>
        <v>0</v>
      </c>
      <c r="AT12" s="107">
        <f t="shared" si="5"/>
        <v>0</v>
      </c>
      <c r="AU12" s="107">
        <f t="shared" si="5"/>
        <v>0</v>
      </c>
      <c r="AY12" s="50"/>
    </row>
    <row r="13" spans="1:51">
      <c r="A13" s="52">
        <v>2010</v>
      </c>
      <c r="B13" s="107">
        <f>'Future Type Share'!R11*'Future Type Share'!AC11*'Future EndUse Share'!AD21</f>
        <v>2067.0811458436051</v>
      </c>
      <c r="C13" s="52">
        <f>'Future Type Share'!R11*'Future Type Share'!Y11*0.5*'Future EndUse Share'!R21</f>
        <v>0</v>
      </c>
      <c r="D13" s="52">
        <f>'Future Type Share'!X11*'Future EndUse Share'!R21</f>
        <v>0</v>
      </c>
      <c r="E13" s="107">
        <f t="shared" si="0"/>
        <v>0</v>
      </c>
      <c r="F13" s="107">
        <f t="shared" si="1"/>
        <v>0</v>
      </c>
      <c r="G13" s="107">
        <f t="shared" si="1"/>
        <v>0</v>
      </c>
      <c r="K13" s="489">
        <v>2010</v>
      </c>
      <c r="L13" s="490">
        <f>'Future Type Share'!R11*'Future Type Share'!AC11*'Future EndUse Share'!AB21</f>
        <v>6595.108761463367</v>
      </c>
      <c r="M13" s="490">
        <f>'Future Type Share'!R11*'Future Type Share'!Y11*0.5*'Future EndUse Share'!P21</f>
        <v>0</v>
      </c>
      <c r="N13" s="490">
        <f>'Future Type Share'!X11*'Future EndUse Share'!P21</f>
        <v>0</v>
      </c>
      <c r="O13" s="490">
        <f t="shared" si="2"/>
        <v>0</v>
      </c>
      <c r="P13" s="489">
        <v>0</v>
      </c>
      <c r="Q13" s="489">
        <v>0</v>
      </c>
      <c r="U13" s="52">
        <v>2010</v>
      </c>
      <c r="V13" s="52">
        <v>0</v>
      </c>
      <c r="W13" s="52">
        <v>0</v>
      </c>
      <c r="X13" s="52">
        <v>0</v>
      </c>
      <c r="Y13" s="52">
        <v>0</v>
      </c>
      <c r="Z13" s="52">
        <v>0</v>
      </c>
      <c r="AA13" s="52">
        <v>0</v>
      </c>
      <c r="AE13" s="52">
        <v>2010</v>
      </c>
      <c r="AF13" s="107">
        <f>'Future Type Share'!R11*'Future Type Share'!AC11*('Future EndUse Share'!AC21+'Future EndUse Share'!AE21+'Future EndUse Share'!AF21+'Future EndUse Share'!AA21)</f>
        <v>9324.6429099694305</v>
      </c>
      <c r="AG13" s="107">
        <f>'Future Type Share'!R11*'Future Type Share'!AA11*0.5*('Future EndUse Share'!AC21+'Future EndUse Share'!AE21+'Future EndUse Share'!AF21+'Future EndUse Share'!AA21)</f>
        <v>0</v>
      </c>
      <c r="AH13" s="107">
        <f>'Future Type Share'!R11*'Future Type Share'!Y11*('Future EndUse Share'!Q21+'Future EndUse Share'!S21+'Future EndUse Share'!T21+'Future EndUse Share'!O21)</f>
        <v>9476.4109374999989</v>
      </c>
      <c r="AI13" s="107">
        <f t="shared" si="3"/>
        <v>0</v>
      </c>
      <c r="AJ13" s="107">
        <f t="shared" si="4"/>
        <v>0</v>
      </c>
      <c r="AK13" s="107">
        <f t="shared" si="4"/>
        <v>0</v>
      </c>
      <c r="AO13" s="52">
        <v>2010</v>
      </c>
      <c r="AP13" s="107">
        <f>'Future Type Share'!R11*'Future Type Share'!AC11*'Future EndUse Share'!AG21</f>
        <v>1262.2671827235974</v>
      </c>
      <c r="AQ13" s="107">
        <f>'Future Type Share'!R11*'Future Type Share'!AA11*0.5*('Future EndUse Share'!U21)</f>
        <v>0</v>
      </c>
      <c r="AR13" s="107">
        <f>'Private,Public8EndUse'!S95+'Private,Public8EndUse'!R95</f>
        <v>3</v>
      </c>
      <c r="AS13" s="107">
        <f t="shared" si="6"/>
        <v>0</v>
      </c>
      <c r="AT13" s="107">
        <f t="shared" si="5"/>
        <v>0</v>
      </c>
      <c r="AU13" s="107">
        <f t="shared" si="5"/>
        <v>0</v>
      </c>
      <c r="AY13" s="50"/>
    </row>
    <row r="14" spans="1:51">
      <c r="A14" s="52">
        <v>2011</v>
      </c>
      <c r="B14" s="107">
        <f>'Future Type Share'!R12*'Future Type Share'!AC12*'Future EndUse Share'!AD22</f>
        <v>2105.3912184772653</v>
      </c>
      <c r="C14" s="52">
        <f>'Future Type Share'!R12*'Future Type Share'!Y12*0.5*'Future EndUse Share'!R22</f>
        <v>0</v>
      </c>
      <c r="D14" s="52">
        <f>'Future Type Share'!X12*'Future EndUse Share'!R22</f>
        <v>0</v>
      </c>
      <c r="E14" s="107">
        <f t="shared" si="0"/>
        <v>0</v>
      </c>
      <c r="F14" s="107">
        <f t="shared" si="1"/>
        <v>0</v>
      </c>
      <c r="G14" s="107">
        <f t="shared" si="1"/>
        <v>0</v>
      </c>
      <c r="K14" s="489">
        <v>2011</v>
      </c>
      <c r="L14" s="490">
        <f>'Future Type Share'!R12*'Future Type Share'!AC12*'Future EndUse Share'!AB22</f>
        <v>6878.821308645548</v>
      </c>
      <c r="M14" s="490">
        <f>'Future Type Share'!R12*'Future Type Share'!Y12*0.5*'Future EndUse Share'!P22</f>
        <v>0</v>
      </c>
      <c r="N14" s="490">
        <f>'Future Type Share'!X12*'Future EndUse Share'!P22</f>
        <v>0</v>
      </c>
      <c r="O14" s="490">
        <f t="shared" si="2"/>
        <v>0</v>
      </c>
      <c r="P14" s="489">
        <v>0</v>
      </c>
      <c r="Q14" s="489">
        <v>0</v>
      </c>
      <c r="U14" s="52">
        <v>2011</v>
      </c>
      <c r="V14" s="52">
        <v>0</v>
      </c>
      <c r="W14" s="52">
        <v>0</v>
      </c>
      <c r="X14" s="52">
        <v>0</v>
      </c>
      <c r="Y14" s="52">
        <v>0</v>
      </c>
      <c r="Z14" s="52">
        <v>0</v>
      </c>
      <c r="AA14" s="52">
        <v>0</v>
      </c>
      <c r="AE14" s="52">
        <v>2011</v>
      </c>
      <c r="AF14" s="107">
        <f>'Future Type Share'!R12*'Future Type Share'!AC12*('Future EndUse Share'!AC22+'Future EndUse Share'!AE22+'Future EndUse Share'!AF22+'Future EndUse Share'!AA22)</f>
        <v>9294.6717585225924</v>
      </c>
      <c r="AG14" s="107">
        <f>'Future Type Share'!R12*'Future Type Share'!AA12*0.5*('Future EndUse Share'!AC22+'Future EndUse Share'!AE22+'Future EndUse Share'!AF22+'Future EndUse Share'!AA22)</f>
        <v>0</v>
      </c>
      <c r="AH14" s="107">
        <f>'Future Type Share'!R12*'Future Type Share'!Y12*('Future EndUse Share'!Q22+'Future EndUse Share'!S22+'Future EndUse Share'!T22+'Future EndUse Share'!O22)</f>
        <v>9320.6589446098878</v>
      </c>
      <c r="AI14" s="107">
        <f t="shared" si="3"/>
        <v>0</v>
      </c>
      <c r="AJ14" s="107">
        <f t="shared" si="4"/>
        <v>0</v>
      </c>
      <c r="AK14" s="107">
        <f t="shared" si="4"/>
        <v>0</v>
      </c>
      <c r="AO14" s="52">
        <v>2011</v>
      </c>
      <c r="AP14" s="107">
        <f>'Private,Public8EndUse'!R51+'Private,Public8EndUse'!S51</f>
        <v>1604</v>
      </c>
      <c r="AQ14" s="107">
        <f>'Future Type Share'!R12*'Future Type Share'!AA12*0.5*('Future EndUse Share'!U22)</f>
        <v>0</v>
      </c>
      <c r="AR14" s="107">
        <f>'Private,Public8EndUse'!S96+'Private,Public8EndUse'!R96</f>
        <v>2</v>
      </c>
      <c r="AS14" s="107">
        <f t="shared" si="6"/>
        <v>0</v>
      </c>
      <c r="AT14" s="107">
        <f t="shared" si="5"/>
        <v>0</v>
      </c>
      <c r="AU14" s="107">
        <f t="shared" si="5"/>
        <v>0</v>
      </c>
      <c r="AY14" s="50"/>
    </row>
    <row r="15" spans="1:51">
      <c r="A15" s="52">
        <v>2012</v>
      </c>
      <c r="B15" s="107">
        <f>'Future Type Share'!R13*'Future Type Share'!AC13*'Future EndUse Share'!AD23</f>
        <v>2107.9685254565184</v>
      </c>
      <c r="C15" s="52">
        <f>'Future Type Share'!R13*'Future Type Share'!Y13*0.5*'Future EndUse Share'!R23</f>
        <v>0</v>
      </c>
      <c r="D15" s="52">
        <f>'Future Type Share'!X13*'Future EndUse Share'!R23</f>
        <v>0</v>
      </c>
      <c r="E15" s="107">
        <f t="shared" ref="E15:E24" si="7">C15</f>
        <v>0</v>
      </c>
      <c r="F15" s="52">
        <v>0</v>
      </c>
      <c r="G15" s="52">
        <v>0</v>
      </c>
      <c r="K15" s="489">
        <v>2012</v>
      </c>
      <c r="L15" s="490">
        <f>'Future Type Share'!R13*'Future Type Share'!AC13*'Future EndUse Share'!AB23</f>
        <v>7030.3805350823386</v>
      </c>
      <c r="M15" s="490">
        <f>'Future Type Share'!R13*'Future Type Share'!Y13*0.5*'Future EndUse Share'!P23</f>
        <v>0</v>
      </c>
      <c r="N15" s="490">
        <f>'Future Type Share'!X13*'Future EndUse Share'!P23</f>
        <v>0</v>
      </c>
      <c r="O15" s="490">
        <f t="shared" si="2"/>
        <v>0</v>
      </c>
      <c r="P15" s="489">
        <v>0</v>
      </c>
      <c r="Q15" s="489">
        <v>0</v>
      </c>
      <c r="U15" s="52">
        <v>2012</v>
      </c>
      <c r="V15" s="52">
        <v>0</v>
      </c>
      <c r="W15" s="52">
        <v>0</v>
      </c>
      <c r="X15" s="52">
        <v>0</v>
      </c>
      <c r="Y15" s="52">
        <v>0</v>
      </c>
      <c r="Z15" s="52">
        <v>0</v>
      </c>
      <c r="AA15" s="52">
        <v>0</v>
      </c>
      <c r="AE15" s="52">
        <v>2012</v>
      </c>
      <c r="AF15" s="107">
        <f>'Future Type Share'!R13*'Future Type Share'!AC13*('Future EndUse Share'!AC23+'Future EndUse Share'!AE23+'Future EndUse Share'!AF23+'Future EndUse Share'!AA23)</f>
        <v>9178.4462879252569</v>
      </c>
      <c r="AG15" s="107">
        <f>'Future Type Share'!R13*'Future Type Share'!AA13*0.5*('Future EndUse Share'!AC23+'Future EndUse Share'!AE23+'Future EndUse Share'!AF23+'Future EndUse Share'!AA23)</f>
        <v>0</v>
      </c>
      <c r="AH15" s="107">
        <f>'Future Type Share'!R13*'Future Type Share'!Y13*('Future EndUse Share'!Q23+'Future EndUse Share'!S23+'Future EndUse Share'!T23+'Future EndUse Share'!O23)</f>
        <v>9089.0119028290283</v>
      </c>
      <c r="AI15" s="107">
        <f t="shared" ref="AI15:AI24" si="8">AG15</f>
        <v>0</v>
      </c>
      <c r="AJ15" s="52">
        <v>0</v>
      </c>
      <c r="AK15" s="52">
        <v>0</v>
      </c>
      <c r="AO15" s="52">
        <v>2012</v>
      </c>
      <c r="AP15" s="107">
        <f>'Private,Public8EndUse'!R52+'Private,Public8EndUse'!S52</f>
        <v>2007</v>
      </c>
      <c r="AQ15" s="107">
        <f>'Future Type Share'!R13*'Future Type Share'!AA13*0.5*('Future EndUse Share'!U23)</f>
        <v>0</v>
      </c>
      <c r="AR15" s="107">
        <f>'Private,Public8EndUse'!S97+'Private,Public8EndUse'!R97</f>
        <v>1</v>
      </c>
      <c r="AS15" s="107">
        <f t="shared" ref="AS15:AS24" si="9">AQ15</f>
        <v>0</v>
      </c>
      <c r="AT15" s="52">
        <v>0</v>
      </c>
      <c r="AU15" s="52">
        <v>0</v>
      </c>
      <c r="AY15" s="50"/>
    </row>
    <row r="16" spans="1:51">
      <c r="A16" s="52">
        <v>2013</v>
      </c>
      <c r="B16" s="107">
        <f>'Future Type Share'!R14*'Future Type Share'!AC14*'Future EndUse Share'!AD24</f>
        <v>1776.9750281435076</v>
      </c>
      <c r="C16" s="52">
        <f>'Future Type Share'!R14*'Future Type Share'!Y14*0.5*'Future EndUse Share'!R24</f>
        <v>0</v>
      </c>
      <c r="D16" s="52">
        <f>'Future Type Share'!X14*'Future EndUse Share'!R24</f>
        <v>0</v>
      </c>
      <c r="E16" s="107">
        <f t="shared" si="7"/>
        <v>0</v>
      </c>
      <c r="F16" s="52">
        <v>0</v>
      </c>
      <c r="G16" s="52">
        <v>0</v>
      </c>
      <c r="K16" s="489">
        <v>2013</v>
      </c>
      <c r="L16" s="490">
        <f>'Future Type Share'!R14*'Future Type Share'!AC14*'Future EndUse Share'!AB24</f>
        <v>6556.0327345700161</v>
      </c>
      <c r="M16" s="490">
        <f>'Future Type Share'!R14*'Future Type Share'!Y14*0.5*'Future EndUse Share'!P24</f>
        <v>0</v>
      </c>
      <c r="N16" s="490">
        <f>'Future Type Share'!X14*'Future EndUse Share'!P24</f>
        <v>0</v>
      </c>
      <c r="O16" s="490">
        <f t="shared" si="2"/>
        <v>0</v>
      </c>
      <c r="P16" s="489">
        <v>0</v>
      </c>
      <c r="Q16" s="489">
        <v>0</v>
      </c>
      <c r="U16" s="52">
        <v>2013</v>
      </c>
      <c r="V16" s="52">
        <v>0</v>
      </c>
      <c r="W16" s="52">
        <v>0</v>
      </c>
      <c r="X16" s="52">
        <v>0</v>
      </c>
      <c r="Y16" s="52">
        <v>0</v>
      </c>
      <c r="Z16" s="52">
        <v>0</v>
      </c>
      <c r="AA16" s="52">
        <v>0</v>
      </c>
      <c r="AE16" s="52">
        <v>2013</v>
      </c>
      <c r="AF16" s="107">
        <f>'Future Type Share'!R14*'Future Type Share'!AC14*('Future EndUse Share'!AC24+'Future EndUse Share'!AE24+'Future EndUse Share'!AF24+'Future EndUse Share'!AA24)</f>
        <v>9105.8117370662239</v>
      </c>
      <c r="AG16" s="107">
        <f>'Future Type Share'!R14*'Future Type Share'!AA14*0.5*('Future EndUse Share'!AC24+'Future EndUse Share'!AE24+'Future EndUse Share'!AF24+'Future EndUse Share'!AA24)</f>
        <v>0</v>
      </c>
      <c r="AH16" s="107">
        <f>'Future Type Share'!R14*'Future Type Share'!Y14*('Future EndUse Share'!Q24+'Future EndUse Share'!S24+'Future EndUse Share'!T24+'Future EndUse Share'!O24)</f>
        <v>9114.5374860404536</v>
      </c>
      <c r="AI16" s="107">
        <f t="shared" si="8"/>
        <v>0</v>
      </c>
      <c r="AJ16" s="52">
        <v>0</v>
      </c>
      <c r="AK16" s="52">
        <v>0</v>
      </c>
      <c r="AO16" s="52">
        <v>2013</v>
      </c>
      <c r="AP16" s="107">
        <f>'Private,Public8EndUse'!R53+'Private,Public8EndUse'!S53</f>
        <v>2040</v>
      </c>
      <c r="AQ16" s="107">
        <f>'Future Type Share'!R14*'Future Type Share'!AA14*0.5*('Future EndUse Share'!U24)</f>
        <v>0</v>
      </c>
      <c r="AR16" s="107">
        <f>'Private,Public8EndUse'!S98+'Private,Public8EndUse'!R98</f>
        <v>2</v>
      </c>
      <c r="AS16" s="107">
        <f t="shared" si="9"/>
        <v>0</v>
      </c>
      <c r="AT16" s="52">
        <v>0</v>
      </c>
      <c r="AU16" s="52">
        <v>0</v>
      </c>
      <c r="AY16" s="50"/>
    </row>
    <row r="17" spans="1:51">
      <c r="A17" s="52">
        <v>2014</v>
      </c>
      <c r="B17" s="107">
        <f>'Future Type Share'!R15*'Future Type Share'!AC15*'Future EndUse Share'!AD25</f>
        <v>1671.1601034882681</v>
      </c>
      <c r="C17" s="52">
        <f>'Future Type Share'!R15*'Future Type Share'!Y15*0.5*'Future EndUse Share'!R25</f>
        <v>0</v>
      </c>
      <c r="D17" s="52">
        <f>'Future Type Share'!X15*'Future EndUse Share'!R25</f>
        <v>0</v>
      </c>
      <c r="E17" s="107">
        <f t="shared" si="7"/>
        <v>0</v>
      </c>
      <c r="F17" s="52">
        <v>0</v>
      </c>
      <c r="G17" s="52">
        <v>0</v>
      </c>
      <c r="K17" s="489">
        <v>2014</v>
      </c>
      <c r="L17" s="490">
        <f>'Future Type Share'!R15*'Future Type Share'!AC15*'Future EndUse Share'!AB25</f>
        <v>7938.0104915692746</v>
      </c>
      <c r="M17" s="490">
        <f>'Future Type Share'!R15*'Future Type Share'!Y15*0.5*'Future EndUse Share'!P25</f>
        <v>0</v>
      </c>
      <c r="N17" s="490">
        <f>'Future Type Share'!X15*'Future EndUse Share'!P25</f>
        <v>0</v>
      </c>
      <c r="O17" s="490">
        <f t="shared" si="2"/>
        <v>0</v>
      </c>
      <c r="P17" s="489">
        <v>0</v>
      </c>
      <c r="Q17" s="489">
        <v>0</v>
      </c>
      <c r="U17" s="52">
        <v>2014</v>
      </c>
      <c r="V17" s="52">
        <v>0</v>
      </c>
      <c r="W17" s="52">
        <v>0</v>
      </c>
      <c r="X17" s="52">
        <v>0</v>
      </c>
      <c r="Y17" s="52">
        <v>0</v>
      </c>
      <c r="Z17" s="52">
        <v>0</v>
      </c>
      <c r="AA17" s="52">
        <v>0</v>
      </c>
      <c r="AE17" s="52">
        <v>2014</v>
      </c>
      <c r="AF17" s="107">
        <f>'Future Type Share'!R15*'Future Type Share'!AC15*('Future EndUse Share'!AC25+'Future EndUse Share'!AE25+'Future EndUse Share'!AF25+'Future EndUse Share'!AA25)</f>
        <v>9612.0321705772149</v>
      </c>
      <c r="AG17" s="107">
        <f>'Future Type Share'!R15*'Future Type Share'!AA15*0.5*('Future EndUse Share'!AC25+'Future EndUse Share'!AE25+'Future EndUse Share'!AF25+'Future EndUse Share'!AA25)</f>
        <v>0</v>
      </c>
      <c r="AH17" s="107">
        <f>'Future Type Share'!R15*'Future Type Share'!Y15*('Future EndUse Share'!Q25+'Future EndUse Share'!S25+'Future EndUse Share'!T25+'Future EndUse Share'!O25)</f>
        <v>9159.8910701107015</v>
      </c>
      <c r="AI17" s="107">
        <f t="shared" si="8"/>
        <v>0</v>
      </c>
      <c r="AJ17" s="52">
        <v>0</v>
      </c>
      <c r="AK17" s="52">
        <v>0</v>
      </c>
      <c r="AO17" s="52">
        <v>2014</v>
      </c>
      <c r="AP17" s="107">
        <f>'Private,Public8EndUse'!R54+'Private,Public8EndUse'!S54</f>
        <v>2267</v>
      </c>
      <c r="AQ17" s="107">
        <f>'Future Type Share'!R15*'Future Type Share'!AA15*0.5*('Future EndUse Share'!U25)</f>
        <v>0</v>
      </c>
      <c r="AR17" s="107">
        <f>'Private,Public8EndUse'!S99+'Private,Public8EndUse'!R99</f>
        <v>4</v>
      </c>
      <c r="AS17" s="107">
        <f t="shared" si="9"/>
        <v>0</v>
      </c>
      <c r="AT17" s="52">
        <v>0</v>
      </c>
      <c r="AU17" s="52">
        <v>0</v>
      </c>
      <c r="AY17" s="50"/>
    </row>
    <row r="18" spans="1:51">
      <c r="A18" s="52">
        <v>2015</v>
      </c>
      <c r="B18" s="107">
        <f>'Future Type Share'!R16*'Future Type Share'!AC16*'Future EndUse Share'!AD26</f>
        <v>1429.1965366353224</v>
      </c>
      <c r="C18" s="52">
        <f>'Future Type Share'!R16*'Future Type Share'!Y16*0.5*'Future EndUse Share'!R26</f>
        <v>0</v>
      </c>
      <c r="D18" s="52">
        <f>'Future Type Share'!X16*'Future EndUse Share'!R26</f>
        <v>0</v>
      </c>
      <c r="E18" s="107">
        <f t="shared" si="7"/>
        <v>0</v>
      </c>
      <c r="F18" s="52">
        <v>0</v>
      </c>
      <c r="G18" s="52">
        <v>0</v>
      </c>
      <c r="K18" s="489">
        <v>2015</v>
      </c>
      <c r="L18" s="490">
        <f>'Future Type Share'!R16*'Future Type Share'!AC16*'Future EndUse Share'!AB26</f>
        <v>7666.2102225118697</v>
      </c>
      <c r="M18" s="490">
        <f>'Future Type Share'!R16*'Future Type Share'!Y16*0.5*'Future EndUse Share'!P26</f>
        <v>0</v>
      </c>
      <c r="N18" s="490">
        <f>'Future Type Share'!X16*'Future EndUse Share'!P26</f>
        <v>0</v>
      </c>
      <c r="O18" s="490">
        <f t="shared" si="2"/>
        <v>0</v>
      </c>
      <c r="P18" s="489">
        <v>0</v>
      </c>
      <c r="Q18" s="489">
        <v>0</v>
      </c>
      <c r="U18" s="52">
        <v>2015</v>
      </c>
      <c r="V18" s="52">
        <v>0</v>
      </c>
      <c r="W18" s="52">
        <v>0</v>
      </c>
      <c r="X18" s="52">
        <v>0</v>
      </c>
      <c r="Y18" s="52">
        <v>0</v>
      </c>
      <c r="Z18" s="52">
        <v>0</v>
      </c>
      <c r="AA18" s="52">
        <v>0</v>
      </c>
      <c r="AE18" s="52">
        <v>2015</v>
      </c>
      <c r="AF18" s="107">
        <f>'Future Type Share'!R16*'Future Type Share'!AC16*('Future EndUse Share'!AC26+'Future EndUse Share'!AE26+'Future EndUse Share'!AF26+'Future EndUse Share'!AA26)</f>
        <v>9193.5449213294833</v>
      </c>
      <c r="AG18" s="107">
        <f>'Future Type Share'!R16*'Future Type Share'!AA16*0.5*('Future EndUse Share'!AC26+'Future EndUse Share'!AE26+'Future EndUse Share'!AF26+'Future EndUse Share'!AA26)</f>
        <v>0</v>
      </c>
      <c r="AH18" s="107">
        <f>'Future Type Share'!R16*'Future Type Share'!Y16*('Future EndUse Share'!Q26+'Future EndUse Share'!S26+'Future EndUse Share'!T26+'Future EndUse Share'!O26)</f>
        <v>8761.823665893271</v>
      </c>
      <c r="AI18" s="107">
        <f t="shared" si="8"/>
        <v>0</v>
      </c>
      <c r="AJ18" s="52">
        <v>0</v>
      </c>
      <c r="AK18" s="52">
        <v>0</v>
      </c>
      <c r="AO18" s="52">
        <v>2015</v>
      </c>
      <c r="AP18" s="107">
        <f>'Private,Public8EndUse'!R55+'Private,Public8EndUse'!S55</f>
        <v>2287</v>
      </c>
      <c r="AQ18" s="107">
        <f>'Future Type Share'!R16*'Future Type Share'!AA16*0.5*('Future EndUse Share'!U26)</f>
        <v>0</v>
      </c>
      <c r="AR18" s="107">
        <f>'Private,Public8EndUse'!S100+'Private,Public8EndUse'!R100</f>
        <v>9</v>
      </c>
      <c r="AS18" s="107">
        <f t="shared" si="9"/>
        <v>0</v>
      </c>
      <c r="AT18" s="52">
        <v>0</v>
      </c>
      <c r="AU18" s="52">
        <v>0</v>
      </c>
      <c r="AY18" s="50"/>
    </row>
    <row r="19" spans="1:51">
      <c r="A19" s="52">
        <v>2016</v>
      </c>
      <c r="B19" s="107">
        <f>'Future Type Share'!R17*'Future Type Share'!AC17*'Future EndUse Share'!AD27</f>
        <v>1318.7286104763184</v>
      </c>
      <c r="C19" s="52">
        <f>'Future Type Share'!R17*'Future Type Share'!Y17*0.5*'Future EndUse Share'!R27</f>
        <v>0</v>
      </c>
      <c r="D19" s="52">
        <f>'Future Type Share'!X17*'Future EndUse Share'!R27</f>
        <v>0</v>
      </c>
      <c r="E19" s="107">
        <f t="shared" si="7"/>
        <v>0</v>
      </c>
      <c r="F19" s="52">
        <v>0</v>
      </c>
      <c r="G19" s="52">
        <v>0</v>
      </c>
      <c r="K19" s="489">
        <v>2016</v>
      </c>
      <c r="L19" s="490">
        <f>'Future Type Share'!R17*'Future Type Share'!AC17*'Future EndUse Share'!AB27</f>
        <v>7959.2300398799116</v>
      </c>
      <c r="M19" s="490">
        <f>'Future Type Share'!R17*'Future Type Share'!Y17*0.5*'Future EndUse Share'!P27</f>
        <v>0</v>
      </c>
      <c r="N19" s="490">
        <f>'Future Type Share'!X17*'Future EndUse Share'!P27</f>
        <v>0</v>
      </c>
      <c r="O19" s="490">
        <f t="shared" si="2"/>
        <v>0</v>
      </c>
      <c r="P19" s="489">
        <v>0</v>
      </c>
      <c r="Q19" s="489">
        <v>0</v>
      </c>
      <c r="U19" s="52">
        <v>2016</v>
      </c>
      <c r="V19" s="52">
        <v>0</v>
      </c>
      <c r="W19" s="52">
        <v>0</v>
      </c>
      <c r="X19" s="52">
        <v>0</v>
      </c>
      <c r="Y19" s="52">
        <v>0</v>
      </c>
      <c r="Z19" s="52">
        <v>0</v>
      </c>
      <c r="AA19" s="52">
        <v>0</v>
      </c>
      <c r="AE19" s="52">
        <v>2016</v>
      </c>
      <c r="AF19" s="107">
        <f>'Future Type Share'!R17*'Future Type Share'!AC17*('Future EndUse Share'!AC27+'Future EndUse Share'!AE27+'Future EndUse Share'!AF27+'Future EndUse Share'!AA27)</f>
        <v>9724.5476721781615</v>
      </c>
      <c r="AG19" s="107">
        <f>'Future Type Share'!R17*'Future Type Share'!AA17*0.5*('Future EndUse Share'!AC27+'Future EndUse Share'!AE27+'Future EndUse Share'!AF27+'Future EndUse Share'!AA27)</f>
        <v>0</v>
      </c>
      <c r="AH19" s="107">
        <f>'Future Type Share'!R17*'Future Type Share'!Y17*('Future EndUse Share'!Q27+'Future EndUse Share'!S27+'Future EndUse Share'!T27+'Future EndUse Share'!O27)</f>
        <v>9125.1319055195199</v>
      </c>
      <c r="AI19" s="107">
        <f t="shared" si="8"/>
        <v>0</v>
      </c>
      <c r="AJ19" s="52">
        <v>0</v>
      </c>
      <c r="AK19" s="52">
        <v>0</v>
      </c>
      <c r="AO19" s="52">
        <v>2016</v>
      </c>
      <c r="AP19" s="107">
        <f>'Private,Public8EndUse'!R56+'Private,Public8EndUse'!S56</f>
        <v>2446</v>
      </c>
      <c r="AQ19" s="107">
        <f>'Future Type Share'!R17*'Future Type Share'!AA17*0.5*('Future EndUse Share'!U27)</f>
        <v>0</v>
      </c>
      <c r="AR19" s="107">
        <f>'Private,Public8EndUse'!S101+'Private,Public8EndUse'!R101</f>
        <v>19</v>
      </c>
      <c r="AS19" s="107">
        <f t="shared" si="9"/>
        <v>0</v>
      </c>
      <c r="AT19" s="52">
        <v>0</v>
      </c>
      <c r="AU19" s="52">
        <v>0</v>
      </c>
      <c r="AY19" s="50"/>
    </row>
    <row r="20" spans="1:51">
      <c r="A20">
        <v>2017</v>
      </c>
      <c r="B20" s="107">
        <f>'Future Type Share'!R18*'Future Type Share'!AC18*'Future EndUse Share'!AD28</f>
        <v>1220</v>
      </c>
      <c r="C20" s="52">
        <f>'Future Type Share'!R18*'Future Type Share'!Y18*0.5*'Future EndUse Share'!R28</f>
        <v>0</v>
      </c>
      <c r="D20" s="52">
        <f>'Future Type Share'!X18*'Future EndUse Share'!R28</f>
        <v>0</v>
      </c>
      <c r="E20" s="107">
        <f t="shared" si="7"/>
        <v>0</v>
      </c>
      <c r="F20" s="52">
        <v>0</v>
      </c>
      <c r="G20" s="52">
        <v>0</v>
      </c>
      <c r="K20">
        <v>2017</v>
      </c>
      <c r="L20" s="490">
        <f>'Future Type Share'!R18*'Future Type Share'!AC18*'Future EndUse Share'!AB28</f>
        <v>8202</v>
      </c>
      <c r="M20" s="490">
        <f>'Future Type Share'!R18*'Future Type Share'!Y18*0.5*'Future EndUse Share'!P28</f>
        <v>0</v>
      </c>
      <c r="N20" s="490">
        <f>'Future Type Share'!X18*'Future EndUse Share'!P28</f>
        <v>0</v>
      </c>
      <c r="O20" s="490">
        <f t="shared" si="2"/>
        <v>0</v>
      </c>
      <c r="P20" s="489">
        <v>0</v>
      </c>
      <c r="Q20" s="489">
        <v>0</v>
      </c>
      <c r="U20">
        <v>2017</v>
      </c>
      <c r="V20" s="50">
        <f t="shared" ref="V20:V53" si="10">V19</f>
        <v>0</v>
      </c>
      <c r="W20" s="50">
        <f>W19</f>
        <v>0</v>
      </c>
      <c r="X20" s="50">
        <f>X19</f>
        <v>0</v>
      </c>
      <c r="Y20" s="50">
        <f>Y19</f>
        <v>0</v>
      </c>
      <c r="Z20" s="50">
        <f>Z19</f>
        <v>0</v>
      </c>
      <c r="AA20" s="50">
        <f t="shared" ref="AA20:AA53" si="11">AA19</f>
        <v>0</v>
      </c>
      <c r="AE20">
        <v>2017</v>
      </c>
      <c r="AF20" s="107">
        <f>'Future Type Share'!R18*'Future Type Share'!AC18*('Future EndUse Share'!AC28+'Future EndUse Share'!AE28+'Future EndUse Share'!AF28+'Future EndUse Share'!AA28)</f>
        <v>10145.999999999998</v>
      </c>
      <c r="AG20" s="107">
        <f>'Future Type Share'!R18*'Future Type Share'!AA18*0.5*('Future EndUse Share'!AC28+'Future EndUse Share'!AE28+'Future EndUse Share'!AF28+'Future EndUse Share'!AA28)</f>
        <v>0</v>
      </c>
      <c r="AH20" s="107">
        <f>'Future Type Share'!R18*'Future Type Share'!Y18*('Future EndUse Share'!Q28+'Future EndUse Share'!S28+'Future EndUse Share'!T28+'Future EndUse Share'!O28)</f>
        <v>8156</v>
      </c>
      <c r="AI20" s="107">
        <f t="shared" si="8"/>
        <v>0</v>
      </c>
      <c r="AJ20" s="52">
        <v>0</v>
      </c>
      <c r="AK20" s="52">
        <v>0</v>
      </c>
      <c r="AO20">
        <v>2017</v>
      </c>
      <c r="AP20" s="107">
        <f>'Private,Public8EndUse'!R57+'Private,Public8EndUse'!S57</f>
        <v>2464</v>
      </c>
      <c r="AQ20" s="107">
        <f>'Future Type Share'!R18*'Future Type Share'!AA18*0.5*('Future EndUse Share'!U28)</f>
        <v>0</v>
      </c>
      <c r="AR20" s="107">
        <f>'Private,Public8EndUse'!S102+'Private,Public8EndUse'!R102</f>
        <v>37</v>
      </c>
      <c r="AS20" s="107">
        <f t="shared" si="9"/>
        <v>0</v>
      </c>
      <c r="AT20" s="52">
        <v>0</v>
      </c>
      <c r="AU20" s="52">
        <v>0</v>
      </c>
      <c r="AY20" s="50"/>
    </row>
    <row r="21" spans="1:51">
      <c r="A21">
        <v>2018</v>
      </c>
      <c r="B21" s="107">
        <f>'Future Type Share'!R19*'Future Type Share'!AC19*'Future EndUse Share'!AD29</f>
        <v>1202</v>
      </c>
      <c r="C21" s="52">
        <f>'Future Type Share'!R19*'Future Type Share'!Y19*0.5*'Future EndUse Share'!R29</f>
        <v>0</v>
      </c>
      <c r="D21" s="52">
        <f>'Future Type Share'!X19*'Future EndUse Share'!R29</f>
        <v>0</v>
      </c>
      <c r="E21" s="107">
        <f t="shared" si="7"/>
        <v>0</v>
      </c>
      <c r="F21" s="52">
        <v>0</v>
      </c>
      <c r="G21" s="52">
        <v>0</v>
      </c>
      <c r="K21">
        <v>2018</v>
      </c>
      <c r="L21" s="490">
        <f>'Future Type Share'!R19*'Future Type Share'!AC19*'Future EndUse Share'!AB29</f>
        <v>7999.9999999999991</v>
      </c>
      <c r="M21" s="490">
        <f>'Future Type Share'!R19*'Future Type Share'!Y19*0.5*'Future EndUse Share'!P29</f>
        <v>0</v>
      </c>
      <c r="N21" s="490">
        <f>'Future Type Share'!X19*'Future EndUse Share'!P29</f>
        <v>0</v>
      </c>
      <c r="O21" s="490">
        <f t="shared" si="2"/>
        <v>0</v>
      </c>
      <c r="P21" s="489">
        <v>0</v>
      </c>
      <c r="Q21" s="489">
        <v>0</v>
      </c>
      <c r="U21">
        <v>2018</v>
      </c>
      <c r="V21" s="50">
        <f t="shared" si="10"/>
        <v>0</v>
      </c>
      <c r="W21" s="50">
        <f t="shared" ref="W21:W53" si="12">W20</f>
        <v>0</v>
      </c>
      <c r="X21" s="50">
        <f t="shared" ref="X21:X53" si="13">X20</f>
        <v>0</v>
      </c>
      <c r="Y21" s="50">
        <f t="shared" ref="Y21:Y53" si="14">Y20</f>
        <v>0</v>
      </c>
      <c r="Z21" s="50">
        <f t="shared" ref="Z21:Z53" si="15">Z20</f>
        <v>0</v>
      </c>
      <c r="AA21" s="50">
        <f t="shared" si="11"/>
        <v>0</v>
      </c>
      <c r="AE21">
        <v>2018</v>
      </c>
      <c r="AF21" s="107">
        <f>'Future Type Share'!R19*'Future Type Share'!AC19*('Future EndUse Share'!AC29+'Future EndUse Share'!AE29+'Future EndUse Share'!AF29+'Future EndUse Share'!AA29)</f>
        <v>9978</v>
      </c>
      <c r="AG21" s="107">
        <f>'Future Type Share'!R19*'Future Type Share'!AA19*0.5*('Future EndUse Share'!AC29+'Future EndUse Share'!AE29+'Future EndUse Share'!AF29+'Future EndUse Share'!AA29)</f>
        <v>0</v>
      </c>
      <c r="AH21" s="107">
        <f>'Future Type Share'!R19*'Future Type Share'!Y19*('Future EndUse Share'!Q29+'Future EndUse Share'!S29+'Future EndUse Share'!T29+'Future EndUse Share'!O29)</f>
        <v>8574</v>
      </c>
      <c r="AI21" s="107">
        <f t="shared" si="8"/>
        <v>0</v>
      </c>
      <c r="AJ21" s="52">
        <v>0</v>
      </c>
      <c r="AK21" s="52">
        <v>0</v>
      </c>
      <c r="AO21">
        <v>2018</v>
      </c>
      <c r="AP21" s="107">
        <f>'Private,Public8EndUse'!R58+'Private,Public8EndUse'!S58</f>
        <v>2428</v>
      </c>
      <c r="AQ21" s="107">
        <f>'Future Type Share'!R19*'Future Type Share'!AA19*0.5*('Future EndUse Share'!U29)</f>
        <v>0</v>
      </c>
      <c r="AR21" s="107">
        <f>'Private,Public8EndUse'!S103+'Private,Public8EndUse'!R103</f>
        <v>38</v>
      </c>
      <c r="AS21" s="107">
        <f t="shared" si="9"/>
        <v>0</v>
      </c>
      <c r="AT21" s="52">
        <v>0</v>
      </c>
      <c r="AU21" s="52">
        <v>0</v>
      </c>
      <c r="AY21" s="50"/>
    </row>
    <row r="22" spans="1:51">
      <c r="A22">
        <v>2019</v>
      </c>
      <c r="B22" s="107">
        <f>'Future Type Share'!R20*'Future Type Share'!AC20*'Future EndUse Share'!AD30</f>
        <v>1239</v>
      </c>
      <c r="C22" s="52">
        <f>'Future Type Share'!R20*'Future Type Share'!Y20*0.5*'Future EndUse Share'!R30</f>
        <v>0</v>
      </c>
      <c r="D22" s="52">
        <f>'Future Type Share'!X20*'Future EndUse Share'!R30</f>
        <v>0</v>
      </c>
      <c r="E22" s="107">
        <f t="shared" si="7"/>
        <v>0</v>
      </c>
      <c r="F22" s="52">
        <v>0</v>
      </c>
      <c r="G22" s="52">
        <v>0</v>
      </c>
      <c r="K22">
        <v>2019</v>
      </c>
      <c r="L22" s="490">
        <f>'Future Type Share'!R20*'Future Type Share'!AC20*'Future EndUse Share'!AB30</f>
        <v>8203</v>
      </c>
      <c r="M22" s="490">
        <f>'Future Type Share'!R20*'Future Type Share'!Y20*0.5*'Future EndUse Share'!P30</f>
        <v>0</v>
      </c>
      <c r="N22" s="490">
        <f>'Future Type Share'!X20*'Future EndUse Share'!P30</f>
        <v>0</v>
      </c>
      <c r="O22" s="490">
        <f t="shared" si="2"/>
        <v>0</v>
      </c>
      <c r="P22" s="489">
        <v>0</v>
      </c>
      <c r="Q22" s="489">
        <v>0</v>
      </c>
      <c r="U22">
        <v>2019</v>
      </c>
      <c r="V22" s="50">
        <f t="shared" si="10"/>
        <v>0</v>
      </c>
      <c r="W22" s="50">
        <f t="shared" si="12"/>
        <v>0</v>
      </c>
      <c r="X22" s="50">
        <f t="shared" si="13"/>
        <v>0</v>
      </c>
      <c r="Y22" s="50">
        <f t="shared" si="14"/>
        <v>0</v>
      </c>
      <c r="Z22" s="50">
        <f t="shared" si="15"/>
        <v>0</v>
      </c>
      <c r="AA22" s="50">
        <f t="shared" si="11"/>
        <v>0</v>
      </c>
      <c r="AE22">
        <v>2019</v>
      </c>
      <c r="AF22" s="107">
        <f>'Future Type Share'!R20*'Future Type Share'!AC20*('Future EndUse Share'!AC30+'Future EndUse Share'!AE30+'Future EndUse Share'!AF30+'Future EndUse Share'!AA30)</f>
        <v>10191</v>
      </c>
      <c r="AG22" s="107">
        <f>'Future Type Share'!R20*'Future Type Share'!AA20*0.5*('Future EndUse Share'!AC30+'Future EndUse Share'!AE30+'Future EndUse Share'!AF30+'Future EndUse Share'!AA30)</f>
        <v>0</v>
      </c>
      <c r="AH22" s="107">
        <f>'Future Type Share'!R20*'Future Type Share'!Y20*('Future EndUse Share'!Q30+'Future EndUse Share'!S30+'Future EndUse Share'!T30+'Future EndUse Share'!O30)</f>
        <v>7941.9999999999982</v>
      </c>
      <c r="AI22" s="107">
        <f t="shared" si="8"/>
        <v>0</v>
      </c>
      <c r="AJ22" s="52">
        <v>0</v>
      </c>
      <c r="AK22" s="52">
        <v>0</v>
      </c>
      <c r="AO22">
        <v>2019</v>
      </c>
      <c r="AP22" s="107">
        <f>'Private,Public8EndUse'!R59+'Private,Public8EndUse'!S59</f>
        <v>2503</v>
      </c>
      <c r="AQ22" s="107">
        <f>'Future Type Share'!R20*'Future Type Share'!AA20*0.5*('Future EndUse Share'!U30)</f>
        <v>0</v>
      </c>
      <c r="AR22" s="107">
        <f>'Private,Public8EndUse'!S104+'Private,Public8EndUse'!R104</f>
        <v>37</v>
      </c>
      <c r="AS22" s="107">
        <f t="shared" si="9"/>
        <v>0</v>
      </c>
      <c r="AT22" s="52">
        <v>0</v>
      </c>
      <c r="AU22" s="52">
        <v>0</v>
      </c>
      <c r="AY22" s="50"/>
    </row>
    <row r="23" spans="1:51">
      <c r="A23">
        <v>2020</v>
      </c>
      <c r="B23" s="107">
        <f>'Future Type Share'!R21*'Future Type Share'!AC21*'Future EndUse Share'!AD31</f>
        <v>1288.2993760462639</v>
      </c>
      <c r="C23" s="52">
        <f>'Future Type Share'!R21*'Future Type Share'!Y21*0.5*'Future EndUse Share'!R31</f>
        <v>0</v>
      </c>
      <c r="D23" s="52">
        <f>'Future Type Share'!X21*'Future EndUse Share'!R31</f>
        <v>0</v>
      </c>
      <c r="E23" s="107">
        <f t="shared" si="7"/>
        <v>0</v>
      </c>
      <c r="F23" s="52">
        <v>0</v>
      </c>
      <c r="G23" s="52">
        <v>0</v>
      </c>
      <c r="K23">
        <v>2020</v>
      </c>
      <c r="L23" s="490">
        <f>'Future Type Share'!R21*'Future Type Share'!AC21*'Future EndUse Share'!AB31</f>
        <v>9024.9275229543964</v>
      </c>
      <c r="M23" s="490">
        <f>'Future Type Share'!R21*'Future Type Share'!Y21*0.5*'Future EndUse Share'!P31</f>
        <v>0</v>
      </c>
      <c r="N23" s="490">
        <f>'Future Type Share'!X21*'Future EndUse Share'!P31</f>
        <v>0</v>
      </c>
      <c r="O23" s="490">
        <f t="shared" si="2"/>
        <v>0</v>
      </c>
      <c r="P23" s="489">
        <v>0</v>
      </c>
      <c r="Q23" s="489">
        <v>0</v>
      </c>
      <c r="U23">
        <v>2020</v>
      </c>
      <c r="V23" s="50">
        <f t="shared" si="10"/>
        <v>0</v>
      </c>
      <c r="W23" s="50">
        <f t="shared" si="12"/>
        <v>0</v>
      </c>
      <c r="X23" s="50">
        <f t="shared" si="13"/>
        <v>0</v>
      </c>
      <c r="Y23" s="50">
        <f t="shared" si="14"/>
        <v>0</v>
      </c>
      <c r="Z23" s="50">
        <f t="shared" si="15"/>
        <v>0</v>
      </c>
      <c r="AA23" s="50">
        <f t="shared" si="11"/>
        <v>0</v>
      </c>
      <c r="AE23">
        <v>2020</v>
      </c>
      <c r="AF23" s="107">
        <f>'Future Type Share'!R21*'Future Type Share'!AC21*('Future EndUse Share'!AC31+'Future EndUse Share'!AE31+'Future EndUse Share'!AF31+'Future EndUse Share'!AA31)</f>
        <v>10618.71000862375</v>
      </c>
      <c r="AG23" s="107">
        <f>'Future Type Share'!R21*'Future Type Share'!AA21*0.5*('Future EndUse Share'!AC31+'Future EndUse Share'!AE31+'Future EndUse Share'!AF31+'Future EndUse Share'!AA31)</f>
        <v>0</v>
      </c>
      <c r="AH23" s="107">
        <f>'Future Type Share'!R21*'Future Type Share'!Y21*('Future EndUse Share'!Q31+'Future EndUse Share'!S31+'Future EndUse Share'!T31+'Future EndUse Share'!O31)</f>
        <v>8492.0400537716214</v>
      </c>
      <c r="AI23" s="107">
        <f t="shared" si="8"/>
        <v>0</v>
      </c>
      <c r="AJ23" s="52">
        <v>0</v>
      </c>
      <c r="AK23" s="52">
        <v>0</v>
      </c>
      <c r="AO23">
        <v>2020</v>
      </c>
      <c r="AP23" s="107">
        <f>'Private,Public8EndUse'!R60+'Private,Public8EndUse'!S60</f>
        <v>2666</v>
      </c>
      <c r="AQ23" s="107">
        <f>'Future Type Share'!R21*'Future Type Share'!AA21*0.5*('Future EndUse Share'!U31)</f>
        <v>0</v>
      </c>
      <c r="AR23" s="107">
        <f>'Private,Public8EndUse'!S105+'Private,Public8EndUse'!R105</f>
        <v>41</v>
      </c>
      <c r="AS23" s="107">
        <f t="shared" si="9"/>
        <v>0</v>
      </c>
      <c r="AT23" s="52">
        <v>0</v>
      </c>
      <c r="AU23" s="52">
        <v>0</v>
      </c>
      <c r="AY23" s="50"/>
    </row>
    <row r="24" spans="1:51">
      <c r="A24">
        <v>2021</v>
      </c>
      <c r="B24" s="107">
        <f>'Future Type Share'!R22*'Future Type Share'!AC22*'Future EndUse Share'!AD32</f>
        <v>1269.3222616536375</v>
      </c>
      <c r="C24" s="52">
        <f>'Future Type Share'!R22*'Future Type Share'!Y22*0.5*'Future EndUse Share'!R32</f>
        <v>0</v>
      </c>
      <c r="D24" s="52">
        <f>'Future Type Share'!X22*'Future EndUse Share'!R32</f>
        <v>0</v>
      </c>
      <c r="E24" s="107">
        <f t="shared" si="7"/>
        <v>0</v>
      </c>
      <c r="F24" s="52">
        <v>0</v>
      </c>
      <c r="G24" s="52">
        <v>0</v>
      </c>
      <c r="K24">
        <v>2021</v>
      </c>
      <c r="L24" s="490">
        <f>'Future Type Share'!R22*'Future Type Share'!AC22*'Future EndUse Share'!AB32</f>
        <v>9082.337381809155</v>
      </c>
      <c r="M24" s="490">
        <f>'Future Type Share'!R22*'Future Type Share'!Y22*0.5*'Future EndUse Share'!P32</f>
        <v>0</v>
      </c>
      <c r="N24" s="490">
        <f>'Future Type Share'!X22*'Future EndUse Share'!P32</f>
        <v>0</v>
      </c>
      <c r="O24" s="490">
        <f t="shared" si="2"/>
        <v>0</v>
      </c>
      <c r="P24" s="489">
        <v>0</v>
      </c>
      <c r="Q24" s="489">
        <v>0</v>
      </c>
      <c r="U24">
        <v>2021</v>
      </c>
      <c r="V24" s="50">
        <f t="shared" si="10"/>
        <v>0</v>
      </c>
      <c r="W24" s="50">
        <f t="shared" si="12"/>
        <v>0</v>
      </c>
      <c r="X24" s="50">
        <f t="shared" si="13"/>
        <v>0</v>
      </c>
      <c r="Y24" s="50">
        <f t="shared" si="14"/>
        <v>0</v>
      </c>
      <c r="Z24" s="50">
        <f t="shared" si="15"/>
        <v>0</v>
      </c>
      <c r="AA24" s="50">
        <f t="shared" si="11"/>
        <v>0</v>
      </c>
      <c r="AE24">
        <v>2021</v>
      </c>
      <c r="AF24" s="107">
        <f>'Future Type Share'!R22*'Future Type Share'!AC22*('Future EndUse Share'!AC32+'Future EndUse Share'!AE32+'Future EndUse Share'!AF32+'Future EndUse Share'!AA32)</f>
        <v>10421.906532655003</v>
      </c>
      <c r="AG24" s="107">
        <f>'Future Type Share'!R22*'Future Type Share'!AA22*0.5*('Future EndUse Share'!AC32+'Future EndUse Share'!AE32+'Future EndUse Share'!AF32+'Future EndUse Share'!AA32)</f>
        <v>0</v>
      </c>
      <c r="AH24" s="107">
        <f>'Future Type Share'!R22*'Future Type Share'!Y22*('Future EndUse Share'!Q32+'Future EndUse Share'!S32+'Future EndUse Share'!T32+'Future EndUse Share'!O32)</f>
        <v>8076.4409546262978</v>
      </c>
      <c r="AI24" s="107">
        <f t="shared" si="8"/>
        <v>0</v>
      </c>
      <c r="AJ24" s="52">
        <v>0</v>
      </c>
      <c r="AK24" s="52">
        <v>0</v>
      </c>
      <c r="AO24">
        <v>2021</v>
      </c>
      <c r="AP24" s="107">
        <f>'Private,Public8EndUse'!R61+'Private,Public8EndUse'!S61</f>
        <v>2627</v>
      </c>
      <c r="AQ24" s="107">
        <f>'Future Type Share'!R22*'Future Type Share'!AA22*0.5*('Future EndUse Share'!U32)</f>
        <v>0</v>
      </c>
      <c r="AR24" s="107">
        <f>'Private,Public8EndUse'!S106+'Private,Public8EndUse'!R106</f>
        <v>39</v>
      </c>
      <c r="AS24" s="107">
        <f t="shared" si="9"/>
        <v>0</v>
      </c>
      <c r="AT24" s="52">
        <v>0</v>
      </c>
      <c r="AU24" s="52">
        <v>0</v>
      </c>
      <c r="AY24" s="50"/>
    </row>
    <row r="25" spans="1:51">
      <c r="A25">
        <v>2022</v>
      </c>
      <c r="B25" s="50">
        <f>'Future Type Share'!AB23*'Future EndUse Share'!AD33</f>
        <v>1294.3703058388046</v>
      </c>
      <c r="C25">
        <f>'Future Type Share'!R23*'Future Type Share'!Y23*0.5*'Future EndUse Share'!R33</f>
        <v>0</v>
      </c>
      <c r="D25">
        <f>'Future Type Share'!X23*'Future EndUse Share'!R33</f>
        <v>0</v>
      </c>
      <c r="E25" s="50">
        <f t="shared" ref="E25:E53" si="16">C25</f>
        <v>0</v>
      </c>
      <c r="F25">
        <f t="shared" ref="F25:F53" si="17">F24</f>
        <v>0</v>
      </c>
      <c r="G25">
        <f t="shared" ref="G25:G53" si="18">G24</f>
        <v>0</v>
      </c>
      <c r="K25">
        <v>2022</v>
      </c>
      <c r="L25" s="50">
        <f>'Future Type Share'!AB23*'Future EndUse Share'!AB33</f>
        <v>9390.2452007118391</v>
      </c>
      <c r="M25" s="50">
        <f t="shared" ref="M25:M53" si="19">M24</f>
        <v>0</v>
      </c>
      <c r="N25" s="50">
        <f>'Future Type Share'!X23*'Future EndUse Share'!P33</f>
        <v>0</v>
      </c>
      <c r="O25" s="50">
        <f t="shared" ref="O25:O53" si="20">O24</f>
        <v>0</v>
      </c>
      <c r="P25" s="50">
        <f t="shared" ref="P25:P53" si="21">P24</f>
        <v>0</v>
      </c>
      <c r="Q25" s="50">
        <f t="shared" ref="Q25:Q53" si="22">Q24</f>
        <v>0</v>
      </c>
      <c r="U25">
        <v>2022</v>
      </c>
      <c r="V25" s="50">
        <f t="shared" si="10"/>
        <v>0</v>
      </c>
      <c r="W25" s="50">
        <f t="shared" si="12"/>
        <v>0</v>
      </c>
      <c r="X25" s="50">
        <f t="shared" si="13"/>
        <v>0</v>
      </c>
      <c r="Y25" s="50">
        <f t="shared" si="14"/>
        <v>0</v>
      </c>
      <c r="Z25" s="50">
        <f t="shared" si="15"/>
        <v>0</v>
      </c>
      <c r="AA25" s="50">
        <f t="shared" si="11"/>
        <v>0</v>
      </c>
      <c r="AE25">
        <v>2022</v>
      </c>
      <c r="AF25" s="50">
        <f>'Future Type Share'!AB23*('Future EndUse Share'!AC33+'Future EndUse Share'!AE33+'Future EndUse Share'!AF33+'Future EndUse Share'!AA33)</f>
        <v>10730.194810490071</v>
      </c>
      <c r="AG25">
        <f>'Future Type Share'!R23*'Future Type Share'!AA23*0.5*('Future EndUse Share'!AC33+'Future EndUse Share'!AE33+'Future EndUse Share'!AF33+'Future EndUse Share'!AA33)</f>
        <v>0</v>
      </c>
      <c r="AH25">
        <f>'Future Type Share'!R23*'Future Type Share'!Y23*('Future EndUse Share'!Q33+'Future EndUse Share'!S33+'Future EndUse Share'!T33+'Future EndUse Share'!O33)</f>
        <v>8307.318671164534</v>
      </c>
      <c r="AI25" s="50">
        <f t="shared" ref="AI25:AI53" si="23">AG25</f>
        <v>0</v>
      </c>
      <c r="AJ25">
        <f t="shared" ref="AJ25:AJ53" si="24">AJ24</f>
        <v>0</v>
      </c>
      <c r="AK25">
        <f t="shared" ref="AK25:AK53" si="25">AK24</f>
        <v>0</v>
      </c>
      <c r="AO25">
        <v>2022</v>
      </c>
      <c r="AP25" s="50">
        <f>'Future Type Share'!AB23*('Future EndUse Share'!AG33)</f>
        <v>2597.9905292102126</v>
      </c>
      <c r="AQ25" s="50">
        <f>'Future Type Share'!Z23*0.5*('Future EndUse Share'!U22)</f>
        <v>0</v>
      </c>
      <c r="AR25" s="50">
        <f>'Future Type Share'!X23*0.5*('Future EndUse Share'!U33)</f>
        <v>19.569064277326454</v>
      </c>
      <c r="AS25" s="50">
        <f t="shared" ref="AS25:AS53" si="26">AQ25</f>
        <v>0</v>
      </c>
      <c r="AT25">
        <f t="shared" ref="AT25:AT53" si="27">AT24</f>
        <v>0</v>
      </c>
      <c r="AU25">
        <f t="shared" ref="AU25:AU53" si="28">AU24</f>
        <v>0</v>
      </c>
      <c r="AY25" s="50"/>
    </row>
    <row r="26" spans="1:51">
      <c r="A26">
        <v>2023</v>
      </c>
      <c r="B26" s="50">
        <f>'Future Type Share'!AB24*'Future EndUse Share'!AD34</f>
        <v>1320.9680806815595</v>
      </c>
      <c r="C26">
        <f>'Future Type Share'!R24*'Future Type Share'!Y24*0.5*'Future EndUse Share'!R34</f>
        <v>0</v>
      </c>
      <c r="D26">
        <f>'Future Type Share'!X24*'Future EndUse Share'!R34</f>
        <v>0</v>
      </c>
      <c r="E26" s="50">
        <f t="shared" si="16"/>
        <v>0</v>
      </c>
      <c r="F26">
        <f t="shared" si="17"/>
        <v>0</v>
      </c>
      <c r="G26">
        <f t="shared" si="18"/>
        <v>0</v>
      </c>
      <c r="K26">
        <v>2023</v>
      </c>
      <c r="L26" s="50">
        <f>'Future Type Share'!AB24*'Future EndUse Share'!AB34</f>
        <v>9560.3854438318976</v>
      </c>
      <c r="M26" s="50">
        <f t="shared" si="19"/>
        <v>0</v>
      </c>
      <c r="N26" s="50">
        <f>'Future Type Share'!X24*'Future EndUse Share'!P34</f>
        <v>0</v>
      </c>
      <c r="O26" s="50">
        <f t="shared" si="20"/>
        <v>0</v>
      </c>
      <c r="P26" s="50">
        <f t="shared" si="21"/>
        <v>0</v>
      </c>
      <c r="Q26" s="50">
        <f t="shared" si="22"/>
        <v>0</v>
      </c>
      <c r="U26">
        <v>2023</v>
      </c>
      <c r="V26" s="50">
        <f t="shared" si="10"/>
        <v>0</v>
      </c>
      <c r="W26" s="50">
        <f t="shared" si="12"/>
        <v>0</v>
      </c>
      <c r="X26" s="50">
        <f t="shared" si="13"/>
        <v>0</v>
      </c>
      <c r="Y26" s="50">
        <f t="shared" si="14"/>
        <v>0</v>
      </c>
      <c r="Z26" s="50">
        <f t="shared" si="15"/>
        <v>0</v>
      </c>
      <c r="AA26" s="50">
        <f t="shared" si="11"/>
        <v>0</v>
      </c>
      <c r="AE26">
        <v>2023</v>
      </c>
      <c r="AF26" s="50">
        <f>'Future Type Share'!AB24*('Future EndUse Share'!AC34+'Future EndUse Share'!AE34+'Future EndUse Share'!AF34+'Future EndUse Share'!AA34)</f>
        <v>11037.967486215935</v>
      </c>
      <c r="AG26">
        <f>'Future Type Share'!R24*'Future Type Share'!AA24*0.5*('Future EndUse Share'!AC34+'Future EndUse Share'!AE34+'Future EndUse Share'!AF34+'Future EndUse Share'!AA34)</f>
        <v>0</v>
      </c>
      <c r="AH26">
        <f>'Future Type Share'!R24*'Future Type Share'!Y24*('Future EndUse Share'!Q34+'Future EndUse Share'!S34+'Future EndUse Share'!T34+'Future EndUse Share'!O34)</f>
        <v>8410.0186766784518</v>
      </c>
      <c r="AI26" s="50">
        <f t="shared" si="23"/>
        <v>0</v>
      </c>
      <c r="AJ26">
        <f t="shared" si="24"/>
        <v>0</v>
      </c>
      <c r="AK26">
        <f t="shared" si="25"/>
        <v>0</v>
      </c>
      <c r="AO26">
        <v>2023</v>
      </c>
      <c r="AP26" s="50">
        <f>'Future Type Share'!AB24*('Future EndUse Share'!AG34)</f>
        <v>2655.240352294777</v>
      </c>
      <c r="AQ26" s="50">
        <f>'Future Type Share'!Z24*0.5*('Future EndUse Share'!U23)</f>
        <v>0</v>
      </c>
      <c r="AR26" s="50">
        <f>'Future Type Share'!X24*0.5*('Future EndUse Share'!U34)</f>
        <v>19.810988668184322</v>
      </c>
      <c r="AS26" s="50">
        <f t="shared" si="26"/>
        <v>0</v>
      </c>
      <c r="AT26">
        <f t="shared" si="27"/>
        <v>0</v>
      </c>
      <c r="AU26">
        <f t="shared" si="28"/>
        <v>0</v>
      </c>
      <c r="AY26" s="50"/>
    </row>
    <row r="27" spans="1:51">
      <c r="A27">
        <v>2024</v>
      </c>
      <c r="B27" s="50">
        <f>'Future Type Share'!AB25*'Future EndUse Share'!AD35</f>
        <v>1334.5895448718593</v>
      </c>
      <c r="C27">
        <f>'Future Type Share'!R25*'Future Type Share'!Y25*0.5*'Future EndUse Share'!R35</f>
        <v>0</v>
      </c>
      <c r="D27">
        <f>'Future Type Share'!X25*'Future EndUse Share'!R35</f>
        <v>0</v>
      </c>
      <c r="E27" s="50">
        <f t="shared" si="16"/>
        <v>0</v>
      </c>
      <c r="F27">
        <f t="shared" si="17"/>
        <v>0</v>
      </c>
      <c r="G27">
        <f t="shared" si="18"/>
        <v>0</v>
      </c>
      <c r="K27">
        <v>2024</v>
      </c>
      <c r="L27" s="50">
        <f>'Future Type Share'!AB25*'Future EndUse Share'!AB35</f>
        <v>9635.9160878670682</v>
      </c>
      <c r="M27" s="50">
        <f t="shared" si="19"/>
        <v>0</v>
      </c>
      <c r="N27" s="50">
        <f>'Future Type Share'!X25*'Future EndUse Share'!P35</f>
        <v>0</v>
      </c>
      <c r="O27" s="50">
        <f t="shared" si="20"/>
        <v>0</v>
      </c>
      <c r="P27" s="50">
        <f t="shared" si="21"/>
        <v>0</v>
      </c>
      <c r="Q27" s="50">
        <f t="shared" si="22"/>
        <v>0</v>
      </c>
      <c r="U27">
        <v>2024</v>
      </c>
      <c r="V27" s="50">
        <f t="shared" si="10"/>
        <v>0</v>
      </c>
      <c r="W27" s="50">
        <f t="shared" si="12"/>
        <v>0</v>
      </c>
      <c r="X27" s="50">
        <f t="shared" si="13"/>
        <v>0</v>
      </c>
      <c r="Y27" s="50">
        <f t="shared" si="14"/>
        <v>0</v>
      </c>
      <c r="Z27" s="50">
        <f t="shared" si="15"/>
        <v>0</v>
      </c>
      <c r="AA27" s="50">
        <f t="shared" si="11"/>
        <v>0</v>
      </c>
      <c r="AE27">
        <v>2024</v>
      </c>
      <c r="AF27" s="50">
        <f>'Future Type Share'!AB25*('Future EndUse Share'!AC35+'Future EndUse Share'!AE35+'Future EndUse Share'!AF35+'Future EndUse Share'!AA35)</f>
        <v>11239.967913481965</v>
      </c>
      <c r="AG27">
        <f>'Future Type Share'!R25*'Future Type Share'!AA25*0.5*('Future EndUse Share'!AC35+'Future EndUse Share'!AE35+'Future EndUse Share'!AF35+'Future EndUse Share'!AA35)</f>
        <v>0</v>
      </c>
      <c r="AH27">
        <f>'Future Type Share'!R25*'Future Type Share'!Y25*('Future EndUse Share'!Q35+'Future EndUse Share'!S35+'Future EndUse Share'!T35+'Future EndUse Share'!O35)</f>
        <v>8428.0337093143844</v>
      </c>
      <c r="AI27" s="50">
        <f t="shared" si="23"/>
        <v>0</v>
      </c>
      <c r="AJ27">
        <f t="shared" si="24"/>
        <v>0</v>
      </c>
      <c r="AK27">
        <f t="shared" si="25"/>
        <v>0</v>
      </c>
      <c r="AO27">
        <v>2024</v>
      </c>
      <c r="AP27" s="50">
        <f>'Future Type Share'!AB25*('Future EndUse Share'!AG35)</f>
        <v>2686.5245150093024</v>
      </c>
      <c r="AQ27" s="50">
        <f>'Future Type Share'!Z25*0.5*('Future EndUse Share'!U24)</f>
        <v>0</v>
      </c>
      <c r="AR27" s="50">
        <f>'Future Type Share'!X25*0.5*('Future EndUse Share'!U35)</f>
        <v>19.853425625951981</v>
      </c>
      <c r="AS27" s="50">
        <f t="shared" si="26"/>
        <v>0</v>
      </c>
      <c r="AT27">
        <f t="shared" si="27"/>
        <v>0</v>
      </c>
      <c r="AU27">
        <f t="shared" si="28"/>
        <v>0</v>
      </c>
      <c r="AY27" s="50"/>
    </row>
    <row r="28" spans="1:51">
      <c r="A28">
        <v>2025</v>
      </c>
      <c r="B28" s="50">
        <f>'Future Type Share'!AB26*'Future EndUse Share'!AD36</f>
        <v>1349.3702978855888</v>
      </c>
      <c r="C28">
        <f>'Future Type Share'!R26*'Future Type Share'!Y26*0.5*'Future EndUse Share'!R36</f>
        <v>0</v>
      </c>
      <c r="D28">
        <f>'Future Type Share'!X26*'Future EndUse Share'!R36</f>
        <v>0</v>
      </c>
      <c r="E28" s="50">
        <f t="shared" si="16"/>
        <v>0</v>
      </c>
      <c r="F28">
        <f t="shared" si="17"/>
        <v>0</v>
      </c>
      <c r="G28">
        <f t="shared" si="18"/>
        <v>0</v>
      </c>
      <c r="K28">
        <v>2025</v>
      </c>
      <c r="L28" s="50">
        <f>'Future Type Share'!AB26*'Future EndUse Share'!AB36</f>
        <v>9719.3263385055743</v>
      </c>
      <c r="M28" s="50">
        <f t="shared" si="19"/>
        <v>0</v>
      </c>
      <c r="N28" s="50">
        <f>'Future Type Share'!X26*'Future EndUse Share'!P36</f>
        <v>0</v>
      </c>
      <c r="O28" s="50">
        <f t="shared" si="20"/>
        <v>0</v>
      </c>
      <c r="P28" s="50">
        <f t="shared" si="21"/>
        <v>0</v>
      </c>
      <c r="Q28" s="50">
        <f t="shared" si="22"/>
        <v>0</v>
      </c>
      <c r="U28">
        <v>2025</v>
      </c>
      <c r="V28" s="50">
        <f t="shared" si="10"/>
        <v>0</v>
      </c>
      <c r="W28" s="50">
        <f t="shared" si="12"/>
        <v>0</v>
      </c>
      <c r="X28" s="50">
        <f t="shared" si="13"/>
        <v>0</v>
      </c>
      <c r="Y28" s="50">
        <f t="shared" si="14"/>
        <v>0</v>
      </c>
      <c r="Z28" s="50">
        <f t="shared" si="15"/>
        <v>0</v>
      </c>
      <c r="AA28" s="50">
        <f t="shared" si="11"/>
        <v>0</v>
      </c>
      <c r="AE28">
        <v>2025</v>
      </c>
      <c r="AF28" s="50">
        <f>'Future Type Share'!AB26*('Future EndUse Share'!AC36+'Future EndUse Share'!AE36+'Future EndUse Share'!AF36+'Future EndUse Share'!AA36)</f>
        <v>11453.608529305749</v>
      </c>
      <c r="AG28">
        <f>'Future Type Share'!R26*'Future Type Share'!AA26*0.5*('Future EndUse Share'!AC36+'Future EndUse Share'!AE36+'Future EndUse Share'!AF36+'Future EndUse Share'!AA36)</f>
        <v>0</v>
      </c>
      <c r="AH28">
        <f>'Future Type Share'!R26*'Future Type Share'!Y26*('Future EndUse Share'!Q36+'Future EndUse Share'!S36+'Future EndUse Share'!T36+'Future EndUse Share'!O36)</f>
        <v>8451.9075469693762</v>
      </c>
      <c r="AI28" s="50">
        <f t="shared" si="23"/>
        <v>0</v>
      </c>
      <c r="AJ28">
        <f t="shared" si="24"/>
        <v>0</v>
      </c>
      <c r="AK28">
        <f t="shared" si="25"/>
        <v>0</v>
      </c>
      <c r="AO28">
        <v>2025</v>
      </c>
      <c r="AP28" s="50">
        <f>'Future Type Share'!AB26*('Future EndUse Share'!AG36)</f>
        <v>2720.2254068179886</v>
      </c>
      <c r="AQ28" s="50">
        <f>'Future Type Share'!Z26*0.5*('Future EndUse Share'!U25)</f>
        <v>0</v>
      </c>
      <c r="AR28" s="50">
        <f>'Future Type Share'!X26*0.5*('Future EndUse Share'!U36)</f>
        <v>19.90966382772443</v>
      </c>
      <c r="AS28" s="50">
        <f t="shared" si="26"/>
        <v>0</v>
      </c>
      <c r="AT28">
        <f t="shared" si="27"/>
        <v>0</v>
      </c>
      <c r="AU28">
        <f t="shared" si="28"/>
        <v>0</v>
      </c>
      <c r="AY28" s="50"/>
    </row>
    <row r="29" spans="1:51">
      <c r="A29">
        <v>2026</v>
      </c>
      <c r="B29" s="50">
        <f>'Future Type Share'!AB27*'Future EndUse Share'!AD37</f>
        <v>1365.6174488888519</v>
      </c>
      <c r="C29">
        <f>'Future Type Share'!R27*'Future Type Share'!Y27*0.5*'Future EndUse Share'!R37</f>
        <v>0</v>
      </c>
      <c r="D29">
        <f>'Future Type Share'!X27*'Future EndUse Share'!R37</f>
        <v>0</v>
      </c>
      <c r="E29" s="50">
        <f t="shared" si="16"/>
        <v>0</v>
      </c>
      <c r="F29">
        <f t="shared" si="17"/>
        <v>0</v>
      </c>
      <c r="G29">
        <f t="shared" si="18"/>
        <v>0</v>
      </c>
      <c r="K29">
        <v>2026</v>
      </c>
      <c r="L29" s="50">
        <f>'Future Type Share'!AB27*'Future EndUse Share'!AB37</f>
        <v>9812.7628793273543</v>
      </c>
      <c r="M29" s="50">
        <f t="shared" si="19"/>
        <v>0</v>
      </c>
      <c r="N29" s="50">
        <f>'Future Type Share'!X27*'Future EndUse Share'!P37</f>
        <v>0</v>
      </c>
      <c r="O29" s="50">
        <f t="shared" si="20"/>
        <v>0</v>
      </c>
      <c r="P29" s="50">
        <f t="shared" si="21"/>
        <v>0</v>
      </c>
      <c r="Q29" s="50">
        <f t="shared" si="22"/>
        <v>0</v>
      </c>
      <c r="U29">
        <v>2026</v>
      </c>
      <c r="V29" s="50">
        <f t="shared" si="10"/>
        <v>0</v>
      </c>
      <c r="W29" s="50">
        <f t="shared" si="12"/>
        <v>0</v>
      </c>
      <c r="X29" s="50">
        <f t="shared" si="13"/>
        <v>0</v>
      </c>
      <c r="Y29" s="50">
        <f t="shared" si="14"/>
        <v>0</v>
      </c>
      <c r="Z29" s="50">
        <f t="shared" si="15"/>
        <v>0</v>
      </c>
      <c r="AA29" s="50">
        <f t="shared" si="11"/>
        <v>0</v>
      </c>
      <c r="AE29">
        <v>2026</v>
      </c>
      <c r="AF29" s="50">
        <f>'Future Type Share'!AB27*('Future EndUse Share'!AC37+'Future EndUse Share'!AE37+'Future EndUse Share'!AF37+'Future EndUse Share'!AA37)</f>
        <v>11681.746194682812</v>
      </c>
      <c r="AG29">
        <f>'Future Type Share'!R27*'Future Type Share'!AA27*0.5*('Future EndUse Share'!AC37+'Future EndUse Share'!AE37+'Future EndUse Share'!AF37+'Future EndUse Share'!AA37)</f>
        <v>0</v>
      </c>
      <c r="AH29">
        <f>'Future Type Share'!R27*'Future Type Share'!Y27*('Future EndUse Share'!Q37+'Future EndUse Share'!S37+'Future EndUse Share'!T37+'Future EndUse Share'!O37)</f>
        <v>8483.3689401609972</v>
      </c>
      <c r="AI29" s="50">
        <f t="shared" si="23"/>
        <v>0</v>
      </c>
      <c r="AJ29">
        <f t="shared" si="24"/>
        <v>0</v>
      </c>
      <c r="AK29">
        <f t="shared" si="25"/>
        <v>0</v>
      </c>
      <c r="AO29">
        <v>2026</v>
      </c>
      <c r="AP29" s="50">
        <f>'Future Type Share'!AB27*('Future EndUse Share'!AG37)</f>
        <v>2756.9732079814994</v>
      </c>
      <c r="AQ29" s="50">
        <f>'Future Type Share'!Z27*0.5*('Future EndUse Share'!U26)</f>
        <v>0</v>
      </c>
      <c r="AR29" s="50">
        <f>'Future Type Share'!X27*0.5*('Future EndUse Share'!U37)</f>
        <v>19.983775589893625</v>
      </c>
      <c r="AS29" s="50">
        <f t="shared" si="26"/>
        <v>0</v>
      </c>
      <c r="AT29">
        <f t="shared" si="27"/>
        <v>0</v>
      </c>
      <c r="AU29">
        <f t="shared" si="28"/>
        <v>0</v>
      </c>
      <c r="AY29" s="50"/>
    </row>
    <row r="30" spans="1:51">
      <c r="A30">
        <v>2027</v>
      </c>
      <c r="B30" s="50">
        <f>'Future Type Share'!AB28*'Future EndUse Share'!AD38</f>
        <v>1380.7499547005475</v>
      </c>
      <c r="C30">
        <f>'Future Type Share'!R28*'Future Type Share'!Y28*0.5*'Future EndUse Share'!R38</f>
        <v>0</v>
      </c>
      <c r="D30">
        <f>'Future Type Share'!X28*'Future EndUse Share'!R38</f>
        <v>0</v>
      </c>
      <c r="E30" s="50">
        <f t="shared" si="16"/>
        <v>0</v>
      </c>
      <c r="F30">
        <f t="shared" si="17"/>
        <v>0</v>
      </c>
      <c r="G30">
        <f t="shared" si="18"/>
        <v>0</v>
      </c>
      <c r="K30">
        <v>2027</v>
      </c>
      <c r="L30" s="50">
        <f>'Future Type Share'!AB28*'Future EndUse Share'!AB38</f>
        <v>9897.6479938056054</v>
      </c>
      <c r="M30" s="50">
        <f t="shared" si="19"/>
        <v>0</v>
      </c>
      <c r="N30" s="50">
        <f>'Future Type Share'!X28*'Future EndUse Share'!P38</f>
        <v>0</v>
      </c>
      <c r="O30" s="50">
        <f t="shared" si="20"/>
        <v>0</v>
      </c>
      <c r="P30" s="50">
        <f t="shared" si="21"/>
        <v>0</v>
      </c>
      <c r="Q30" s="50">
        <f t="shared" si="22"/>
        <v>0</v>
      </c>
      <c r="U30">
        <v>2027</v>
      </c>
      <c r="V30" s="50">
        <f t="shared" si="10"/>
        <v>0</v>
      </c>
      <c r="W30" s="50">
        <f t="shared" si="12"/>
        <v>0</v>
      </c>
      <c r="X30" s="50">
        <f t="shared" si="13"/>
        <v>0</v>
      </c>
      <c r="Y30" s="50">
        <f t="shared" si="14"/>
        <v>0</v>
      </c>
      <c r="Z30" s="50">
        <f t="shared" si="15"/>
        <v>0</v>
      </c>
      <c r="AA30" s="50">
        <f t="shared" si="11"/>
        <v>0</v>
      </c>
      <c r="AE30">
        <v>2027</v>
      </c>
      <c r="AF30" s="50">
        <f>'Future Type Share'!AB28*('Future EndUse Share'!AC38+'Future EndUse Share'!AE38+'Future EndUse Share'!AF38+'Future EndUse Share'!AA38)</f>
        <v>11902.422315251595</v>
      </c>
      <c r="AG30">
        <f>'Future Type Share'!R28*'Future Type Share'!AA28*0.5*('Future EndUse Share'!AC38+'Future EndUse Share'!AE38+'Future EndUse Share'!AF38+'Future EndUse Share'!AA38)</f>
        <v>0</v>
      </c>
      <c r="AH30">
        <f>'Future Type Share'!R28*'Future Type Share'!Y28*('Future EndUse Share'!Q38+'Future EndUse Share'!S38+'Future EndUse Share'!T38+'Future EndUse Share'!O38)</f>
        <v>8506.290557518254</v>
      </c>
      <c r="AI30" s="50">
        <f t="shared" si="23"/>
        <v>0</v>
      </c>
      <c r="AJ30">
        <f t="shared" si="24"/>
        <v>0</v>
      </c>
      <c r="AK30">
        <f t="shared" si="25"/>
        <v>0</v>
      </c>
      <c r="AO30">
        <v>2027</v>
      </c>
      <c r="AP30" s="50">
        <f>'Future Type Share'!AB28*('Future EndUse Share'!AG38)</f>
        <v>2791.5625048335773</v>
      </c>
      <c r="AQ30" s="50">
        <f>'Future Type Share'!Z28*0.5*('Future EndUse Share'!U27)</f>
        <v>0</v>
      </c>
      <c r="AR30" s="50">
        <f>'Future Type Share'!X28*0.5*('Future EndUse Share'!U38)</f>
        <v>20.037770702054356</v>
      </c>
      <c r="AS30" s="50">
        <f t="shared" si="26"/>
        <v>0</v>
      </c>
      <c r="AT30">
        <f t="shared" si="27"/>
        <v>0</v>
      </c>
      <c r="AU30">
        <f t="shared" si="28"/>
        <v>0</v>
      </c>
      <c r="AY30" s="50"/>
    </row>
    <row r="31" spans="1:51">
      <c r="A31">
        <v>2028</v>
      </c>
      <c r="B31" s="50">
        <f>'Future Type Share'!AB29*'Future EndUse Share'!AD39</f>
        <v>1396.2670766029808</v>
      </c>
      <c r="C31">
        <f>'Future Type Share'!R29*'Future Type Share'!Y29*0.5*'Future EndUse Share'!R39</f>
        <v>0</v>
      </c>
      <c r="D31">
        <f>'Future Type Share'!X29*'Future EndUse Share'!R39</f>
        <v>0</v>
      </c>
      <c r="E31" s="50">
        <f t="shared" si="16"/>
        <v>0</v>
      </c>
      <c r="F31">
        <f t="shared" si="17"/>
        <v>0</v>
      </c>
      <c r="G31">
        <f t="shared" si="18"/>
        <v>0</v>
      </c>
      <c r="K31">
        <v>2028</v>
      </c>
      <c r="L31" s="50">
        <f>'Future Type Share'!AB29*'Future EndUse Share'!AB39</f>
        <v>9984.7607208020145</v>
      </c>
      <c r="M31" s="50">
        <f t="shared" si="19"/>
        <v>0</v>
      </c>
      <c r="N31" s="50">
        <f>'Future Type Share'!X29*'Future EndUse Share'!P39</f>
        <v>0</v>
      </c>
      <c r="O31" s="50">
        <f t="shared" si="20"/>
        <v>0</v>
      </c>
      <c r="P31" s="50">
        <f t="shared" si="21"/>
        <v>0</v>
      </c>
      <c r="Q31" s="50">
        <f t="shared" si="22"/>
        <v>0</v>
      </c>
      <c r="U31">
        <v>2028</v>
      </c>
      <c r="V31" s="50">
        <f t="shared" si="10"/>
        <v>0</v>
      </c>
      <c r="W31" s="50">
        <f t="shared" si="12"/>
        <v>0</v>
      </c>
      <c r="X31" s="50">
        <f t="shared" si="13"/>
        <v>0</v>
      </c>
      <c r="Y31" s="50">
        <f t="shared" si="14"/>
        <v>0</v>
      </c>
      <c r="Z31" s="50">
        <f t="shared" si="15"/>
        <v>0</v>
      </c>
      <c r="AA31" s="50">
        <f t="shared" si="11"/>
        <v>0</v>
      </c>
      <c r="AE31">
        <v>2028</v>
      </c>
      <c r="AF31" s="50">
        <f>'Future Type Share'!AB29*('Future EndUse Share'!AC39+'Future EndUse Share'!AE39+'Future EndUse Share'!AF39+'Future EndUse Share'!AA39)</f>
        <v>12128.439029105501</v>
      </c>
      <c r="AG31">
        <f>'Future Type Share'!R29*'Future Type Share'!AA29*0.5*('Future EndUse Share'!AC39+'Future EndUse Share'!AE39+'Future EndUse Share'!AF39+'Future EndUse Share'!AA39)</f>
        <v>0</v>
      </c>
      <c r="AH31">
        <f>'Future Type Share'!R29*'Future Type Share'!Y29*('Future EndUse Share'!Q39+'Future EndUse Share'!S39+'Future EndUse Share'!T39+'Future EndUse Share'!O39)</f>
        <v>8530.0037608938328</v>
      </c>
      <c r="AI31" s="50">
        <f t="shared" si="23"/>
        <v>0</v>
      </c>
      <c r="AJ31">
        <f t="shared" si="24"/>
        <v>0</v>
      </c>
      <c r="AK31">
        <f t="shared" si="25"/>
        <v>0</v>
      </c>
      <c r="AO31">
        <v>2028</v>
      </c>
      <c r="AP31" s="50">
        <f>'Future Type Share'!AB29*('Future EndUse Share'!AG39)</f>
        <v>2827.0190666560729</v>
      </c>
      <c r="AQ31" s="50">
        <f>'Future Type Share'!Z29*0.5*('Future EndUse Share'!U28)</f>
        <v>0</v>
      </c>
      <c r="AR31" s="50">
        <f>'Future Type Share'!X29*0.5*('Future EndUse Share'!U39)</f>
        <v>20.093630507058435</v>
      </c>
      <c r="AS31" s="50">
        <f t="shared" si="26"/>
        <v>0</v>
      </c>
      <c r="AT31">
        <f t="shared" si="27"/>
        <v>0</v>
      </c>
      <c r="AU31">
        <f t="shared" si="28"/>
        <v>0</v>
      </c>
      <c r="AY31" s="50"/>
    </row>
    <row r="32" spans="1:51">
      <c r="A32">
        <v>2029</v>
      </c>
      <c r="B32" s="50">
        <f>'Future Type Share'!AB30*'Future EndUse Share'!AD40</f>
        <v>1419.8443019826095</v>
      </c>
      <c r="C32">
        <f>'Future Type Share'!R30*'Future Type Share'!Y30*0.5*'Future EndUse Share'!R40</f>
        <v>0</v>
      </c>
      <c r="D32">
        <f>'Future Type Share'!X30*'Future EndUse Share'!R40</f>
        <v>0</v>
      </c>
      <c r="E32" s="50">
        <f t="shared" si="16"/>
        <v>0</v>
      </c>
      <c r="F32">
        <f t="shared" si="17"/>
        <v>0</v>
      </c>
      <c r="G32">
        <f t="shared" si="18"/>
        <v>0</v>
      </c>
      <c r="K32">
        <v>2029</v>
      </c>
      <c r="L32" s="50">
        <f>'Future Type Share'!AB30*'Future EndUse Share'!AB40</f>
        <v>10128.836255844775</v>
      </c>
      <c r="M32" s="50">
        <f t="shared" si="19"/>
        <v>0</v>
      </c>
      <c r="N32" s="50">
        <f>'Future Type Share'!X30*'Future EndUse Share'!P40</f>
        <v>0</v>
      </c>
      <c r="O32" s="50">
        <f t="shared" si="20"/>
        <v>0</v>
      </c>
      <c r="P32" s="50">
        <f t="shared" si="21"/>
        <v>0</v>
      </c>
      <c r="Q32" s="50">
        <f t="shared" si="22"/>
        <v>0</v>
      </c>
      <c r="U32">
        <v>2029</v>
      </c>
      <c r="V32" s="50">
        <f t="shared" si="10"/>
        <v>0</v>
      </c>
      <c r="W32" s="50">
        <f t="shared" si="12"/>
        <v>0</v>
      </c>
      <c r="X32" s="50">
        <f t="shared" si="13"/>
        <v>0</v>
      </c>
      <c r="Y32" s="50">
        <f t="shared" si="14"/>
        <v>0</v>
      </c>
      <c r="Z32" s="50">
        <f t="shared" si="15"/>
        <v>0</v>
      </c>
      <c r="AA32" s="50">
        <f t="shared" si="11"/>
        <v>0</v>
      </c>
      <c r="AE32">
        <v>2029</v>
      </c>
      <c r="AF32" s="50">
        <f>'Future Type Share'!AB30*('Future EndUse Share'!AC40+'Future EndUse Share'!AE40+'Future EndUse Share'!AF40+'Future EndUse Share'!AA40)</f>
        <v>12427.051543812086</v>
      </c>
      <c r="AG32">
        <f>'Future Type Share'!R30*'Future Type Share'!AA30*0.5*('Future EndUse Share'!AC40+'Future EndUse Share'!AE40+'Future EndUse Share'!AF40+'Future EndUse Share'!AA40)</f>
        <v>0</v>
      </c>
      <c r="AH32">
        <f>'Future Type Share'!R30*'Future Type Share'!Y30*('Future EndUse Share'!Q40+'Future EndUse Share'!S40+'Future EndUse Share'!T40+'Future EndUse Share'!O40)</f>
        <v>8600.9446989126136</v>
      </c>
      <c r="AI32" s="50">
        <f t="shared" si="23"/>
        <v>0</v>
      </c>
      <c r="AJ32">
        <f t="shared" si="24"/>
        <v>0</v>
      </c>
      <c r="AK32">
        <f t="shared" si="25"/>
        <v>0</v>
      </c>
      <c r="AO32">
        <v>2029</v>
      </c>
      <c r="AP32" s="50">
        <f>'Future Type Share'!AB30*('Future EndUse Share'!AG40)</f>
        <v>2878.9092651695246</v>
      </c>
      <c r="AQ32" s="50">
        <f>'Future Type Share'!Z30*0.5*('Future EndUse Share'!U29)</f>
        <v>0</v>
      </c>
      <c r="AR32" s="50">
        <f>'Future Type Share'!X30*0.5*('Future EndUse Share'!U40)</f>
        <v>20.260741921816379</v>
      </c>
      <c r="AS32" s="50">
        <f t="shared" si="26"/>
        <v>0</v>
      </c>
      <c r="AT32">
        <f t="shared" si="27"/>
        <v>0</v>
      </c>
      <c r="AU32">
        <f t="shared" si="28"/>
        <v>0</v>
      </c>
      <c r="AY32" s="50"/>
    </row>
    <row r="33" spans="1:51">
      <c r="A33">
        <v>2030</v>
      </c>
      <c r="B33" s="50">
        <f>'Future Type Share'!AB31*'Future EndUse Share'!AD41</f>
        <v>1433.4154888006524</v>
      </c>
      <c r="C33">
        <f>'Future Type Share'!R31*'Future Type Share'!Y31*0.5*'Future EndUse Share'!R41</f>
        <v>0</v>
      </c>
      <c r="D33">
        <f>'Future Type Share'!X31*'Future EndUse Share'!R41</f>
        <v>0</v>
      </c>
      <c r="E33" s="50">
        <f t="shared" si="16"/>
        <v>0</v>
      </c>
      <c r="F33">
        <f t="shared" si="17"/>
        <v>0</v>
      </c>
      <c r="G33">
        <f t="shared" si="18"/>
        <v>0</v>
      </c>
      <c r="K33">
        <v>2030</v>
      </c>
      <c r="L33" s="50">
        <f>'Future Type Share'!AB31*'Future EndUse Share'!AB41</f>
        <v>10200.889363638433</v>
      </c>
      <c r="M33" s="50">
        <f t="shared" si="19"/>
        <v>0</v>
      </c>
      <c r="N33" s="50">
        <f>'Future Type Share'!X31*'Future EndUse Share'!P41</f>
        <v>0</v>
      </c>
      <c r="O33" s="50">
        <f t="shared" si="20"/>
        <v>0</v>
      </c>
      <c r="P33" s="50">
        <f t="shared" si="21"/>
        <v>0</v>
      </c>
      <c r="Q33" s="50">
        <f t="shared" si="22"/>
        <v>0</v>
      </c>
      <c r="U33">
        <v>2030</v>
      </c>
      <c r="V33" s="50">
        <f t="shared" si="10"/>
        <v>0</v>
      </c>
      <c r="W33" s="50">
        <f t="shared" si="12"/>
        <v>0</v>
      </c>
      <c r="X33" s="50">
        <f t="shared" si="13"/>
        <v>0</v>
      </c>
      <c r="Y33" s="50">
        <f t="shared" si="14"/>
        <v>0</v>
      </c>
      <c r="Z33" s="50">
        <f t="shared" si="15"/>
        <v>0</v>
      </c>
      <c r="AA33" s="50">
        <f t="shared" si="11"/>
        <v>0</v>
      </c>
      <c r="AE33">
        <v>2030</v>
      </c>
      <c r="AF33" s="50">
        <f>'Future Type Share'!AB31*('Future EndUse Share'!AC41+'Future EndUse Share'!AE41+'Future EndUse Share'!AF41+'Future EndUse Share'!AA41)</f>
        <v>12640.541657417412</v>
      </c>
      <c r="AG33">
        <f>'Future Type Share'!R31*'Future Type Share'!AA31*0.5*('Future EndUse Share'!AC41+'Future EndUse Share'!AE41+'Future EndUse Share'!AF41+'Future EndUse Share'!AA41)</f>
        <v>0</v>
      </c>
      <c r="AH33">
        <f>'Future Type Share'!R31*'Future Type Share'!Y31*('Future EndUse Share'!Q41+'Future EndUse Share'!S41+'Future EndUse Share'!T41+'Future EndUse Share'!O41)</f>
        <v>8609.3599227633786</v>
      </c>
      <c r="AI33" s="50">
        <f t="shared" si="23"/>
        <v>0</v>
      </c>
      <c r="AJ33">
        <f t="shared" si="24"/>
        <v>0</v>
      </c>
      <c r="AK33">
        <f t="shared" si="25"/>
        <v>0</v>
      </c>
      <c r="AO33">
        <v>2030</v>
      </c>
      <c r="AP33" s="50">
        <f>'Future Type Share'!AB31*('Future EndUse Share'!AG41)</f>
        <v>2910.6196570524194</v>
      </c>
      <c r="AQ33" s="50">
        <f>'Future Type Share'!Z31*0.5*('Future EndUse Share'!U30)</f>
        <v>0</v>
      </c>
      <c r="AR33" s="50">
        <f>'Future Type Share'!X31*0.5*('Future EndUse Share'!U41)</f>
        <v>20.280565172008441</v>
      </c>
      <c r="AS33" s="50">
        <f t="shared" si="26"/>
        <v>0</v>
      </c>
      <c r="AT33">
        <f t="shared" si="27"/>
        <v>0</v>
      </c>
      <c r="AU33">
        <f t="shared" si="28"/>
        <v>0</v>
      </c>
      <c r="AY33" s="50"/>
    </row>
    <row r="34" spans="1:51">
      <c r="A34">
        <v>2031</v>
      </c>
      <c r="B34" s="50">
        <f>'Future Type Share'!AB32*'Future EndUse Share'!AD42</f>
        <v>1456.7350181829961</v>
      </c>
      <c r="C34">
        <f>'Future Type Share'!R32*'Future Type Share'!Y32*0.5*'Future EndUse Share'!R42</f>
        <v>0</v>
      </c>
      <c r="D34">
        <f>'Future Type Share'!X32*'Future EndUse Share'!R42</f>
        <v>0</v>
      </c>
      <c r="E34" s="50">
        <f t="shared" si="16"/>
        <v>0</v>
      </c>
      <c r="F34">
        <f t="shared" si="17"/>
        <v>0</v>
      </c>
      <c r="G34">
        <f t="shared" si="18"/>
        <v>0</v>
      </c>
      <c r="K34">
        <v>2031</v>
      </c>
      <c r="L34" s="50">
        <f>'Future Type Share'!AB32*'Future EndUse Share'!AB42</f>
        <v>10341.679226474767</v>
      </c>
      <c r="M34" s="50">
        <f t="shared" si="19"/>
        <v>0</v>
      </c>
      <c r="N34" s="50">
        <f>'Future Type Share'!X32*'Future EndUse Share'!P42</f>
        <v>0</v>
      </c>
      <c r="O34" s="50">
        <f t="shared" si="20"/>
        <v>0</v>
      </c>
      <c r="P34" s="50">
        <f t="shared" si="21"/>
        <v>0</v>
      </c>
      <c r="Q34" s="50">
        <f t="shared" si="22"/>
        <v>0</v>
      </c>
      <c r="U34">
        <v>2031</v>
      </c>
      <c r="V34" s="50">
        <f t="shared" si="10"/>
        <v>0</v>
      </c>
      <c r="W34" s="50">
        <f t="shared" si="12"/>
        <v>0</v>
      </c>
      <c r="X34" s="50">
        <f t="shared" si="13"/>
        <v>0</v>
      </c>
      <c r="Y34" s="50">
        <f t="shared" si="14"/>
        <v>0</v>
      </c>
      <c r="Z34" s="50">
        <f t="shared" si="15"/>
        <v>0</v>
      </c>
      <c r="AA34" s="50">
        <f t="shared" si="11"/>
        <v>0</v>
      </c>
      <c r="AE34">
        <v>2031</v>
      </c>
      <c r="AF34" s="50">
        <f>'Future Type Share'!AB32*('Future EndUse Share'!AC42+'Future EndUse Share'!AE42+'Future EndUse Share'!AF42+'Future EndUse Share'!AA42)</f>
        <v>12942.434775016061</v>
      </c>
      <c r="AG34">
        <f>'Future Type Share'!R32*'Future Type Share'!AA32*0.5*('Future EndUse Share'!AC42+'Future EndUse Share'!AE42+'Future EndUse Share'!AF42+'Future EndUse Share'!AA42)</f>
        <v>0</v>
      </c>
      <c r="AH34">
        <f>'Future Type Share'!R32*'Future Type Share'!Y32*('Future EndUse Share'!Q42+'Future EndUse Share'!S42+'Future EndUse Share'!T42+'Future EndUse Share'!O42)</f>
        <v>8674.4263115845752</v>
      </c>
      <c r="AI34" s="50">
        <f t="shared" si="23"/>
        <v>0</v>
      </c>
      <c r="AJ34">
        <f t="shared" si="24"/>
        <v>0</v>
      </c>
      <c r="AK34">
        <f t="shared" si="25"/>
        <v>0</v>
      </c>
      <c r="AO34">
        <v>2031</v>
      </c>
      <c r="AP34" s="50">
        <f>'Future Type Share'!AB32*('Future EndUse Share'!AG42)</f>
        <v>2962.232446806257</v>
      </c>
      <c r="AQ34" s="50">
        <f>'Future Type Share'!Z32*0.5*('Future EndUse Share'!U31)</f>
        <v>0</v>
      </c>
      <c r="AR34" s="50">
        <f>'Future Type Share'!X32*0.5*('Future EndUse Share'!U42)</f>
        <v>20.433838255121916</v>
      </c>
      <c r="AS34" s="50">
        <f t="shared" si="26"/>
        <v>0</v>
      </c>
      <c r="AT34">
        <f t="shared" si="27"/>
        <v>0</v>
      </c>
      <c r="AU34">
        <f t="shared" si="28"/>
        <v>0</v>
      </c>
      <c r="AY34" s="50"/>
    </row>
    <row r="35" spans="1:51">
      <c r="A35">
        <v>2032</v>
      </c>
      <c r="B35" s="50">
        <f>'Future Type Share'!AB33*'Future EndUse Share'!AD43</f>
        <v>1472.1964847785694</v>
      </c>
      <c r="C35">
        <f>'Future Type Share'!R33*'Future Type Share'!Y33*0.5*'Future EndUse Share'!R43</f>
        <v>0</v>
      </c>
      <c r="D35">
        <f>'Future Type Share'!X33*'Future EndUse Share'!R43</f>
        <v>0</v>
      </c>
      <c r="E35" s="50">
        <f t="shared" si="16"/>
        <v>0</v>
      </c>
      <c r="F35">
        <f t="shared" si="17"/>
        <v>0</v>
      </c>
      <c r="G35">
        <f t="shared" si="18"/>
        <v>0</v>
      </c>
      <c r="K35">
        <v>2032</v>
      </c>
      <c r="L35" s="50">
        <f>'Future Type Share'!AB33*'Future EndUse Share'!AB43</f>
        <v>10426.013093993877</v>
      </c>
      <c r="M35" s="50">
        <f t="shared" si="19"/>
        <v>0</v>
      </c>
      <c r="N35" s="50">
        <f>'Future Type Share'!X33*'Future EndUse Share'!P43</f>
        <v>0</v>
      </c>
      <c r="O35" s="50">
        <f t="shared" si="20"/>
        <v>0</v>
      </c>
      <c r="P35" s="50">
        <f t="shared" si="21"/>
        <v>0</v>
      </c>
      <c r="Q35" s="50">
        <f t="shared" si="22"/>
        <v>0</v>
      </c>
      <c r="U35">
        <v>2032</v>
      </c>
      <c r="V35" s="50">
        <f t="shared" si="10"/>
        <v>0</v>
      </c>
      <c r="W35" s="50">
        <f t="shared" si="12"/>
        <v>0</v>
      </c>
      <c r="X35" s="50">
        <f t="shared" si="13"/>
        <v>0</v>
      </c>
      <c r="Y35" s="50">
        <f t="shared" si="14"/>
        <v>0</v>
      </c>
      <c r="Z35" s="50">
        <f t="shared" si="15"/>
        <v>0</v>
      </c>
      <c r="AA35" s="50">
        <f t="shared" si="11"/>
        <v>0</v>
      </c>
      <c r="AE35">
        <v>2032</v>
      </c>
      <c r="AF35" s="50">
        <f>'Future Type Share'!AB33*('Future EndUse Share'!AC43+'Future EndUse Share'!AE43+'Future EndUse Share'!AF43+'Future EndUse Share'!AA43)</f>
        <v>13177.07490687485</v>
      </c>
      <c r="AG35">
        <f>'Future Type Share'!R33*'Future Type Share'!AA33*0.5*('Future EndUse Share'!AC43+'Future EndUse Share'!AE43+'Future EndUse Share'!AF43+'Future EndUse Share'!AA43)</f>
        <v>0</v>
      </c>
      <c r="AH35">
        <f>'Future Type Share'!R33*'Future Type Share'!Y33*('Future EndUse Share'!Q43+'Future EndUse Share'!S43+'Future EndUse Share'!T43+'Future EndUse Share'!O43)</f>
        <v>8690.703752478259</v>
      </c>
      <c r="AI35" s="50">
        <f t="shared" si="23"/>
        <v>0</v>
      </c>
      <c r="AJ35">
        <f t="shared" si="24"/>
        <v>0</v>
      </c>
      <c r="AK35">
        <f t="shared" si="25"/>
        <v>0</v>
      </c>
      <c r="AO35">
        <v>2032</v>
      </c>
      <c r="AP35" s="50">
        <f>'Future Type Share'!AB33*('Future EndUse Share'!AG43)</f>
        <v>2997.9795171991996</v>
      </c>
      <c r="AQ35" s="50">
        <f>'Future Type Share'!Z33*0.5*('Future EndUse Share'!U32)</f>
        <v>0</v>
      </c>
      <c r="AR35" s="50">
        <f>'Future Type Share'!X33*0.5*('Future EndUse Share'!U43)</f>
        <v>20.472182069742214</v>
      </c>
      <c r="AS35" s="50">
        <f t="shared" si="26"/>
        <v>0</v>
      </c>
      <c r="AT35">
        <f t="shared" si="27"/>
        <v>0</v>
      </c>
      <c r="AU35">
        <f t="shared" si="28"/>
        <v>0</v>
      </c>
      <c r="AY35" s="50"/>
    </row>
    <row r="36" spans="1:51">
      <c r="A36">
        <v>2033</v>
      </c>
      <c r="B36" s="50">
        <f>'Future Type Share'!AB34*'Future EndUse Share'!AD44</f>
        <v>1493.0042073563036</v>
      </c>
      <c r="C36">
        <f>'Future Type Share'!R34*'Future Type Share'!Y34*0.5*'Future EndUse Share'!R44</f>
        <v>0</v>
      </c>
      <c r="D36">
        <f>'Future Type Share'!X34*'Future EndUse Share'!R44</f>
        <v>0</v>
      </c>
      <c r="E36" s="50">
        <f t="shared" si="16"/>
        <v>0</v>
      </c>
      <c r="F36">
        <f t="shared" si="17"/>
        <v>0</v>
      </c>
      <c r="G36">
        <f t="shared" si="18"/>
        <v>0</v>
      </c>
      <c r="K36">
        <v>2033</v>
      </c>
      <c r="L36" s="50">
        <f>'Future Type Share'!AB34*'Future EndUse Share'!AB44</f>
        <v>10547.582339785153</v>
      </c>
      <c r="M36" s="50">
        <f t="shared" si="19"/>
        <v>0</v>
      </c>
      <c r="N36" s="50">
        <f>'Future Type Share'!X34*'Future EndUse Share'!P44</f>
        <v>0</v>
      </c>
      <c r="O36" s="50">
        <f t="shared" si="20"/>
        <v>0</v>
      </c>
      <c r="P36" s="50">
        <f t="shared" si="21"/>
        <v>0</v>
      </c>
      <c r="Q36" s="50">
        <f t="shared" si="22"/>
        <v>0</v>
      </c>
      <c r="U36">
        <v>2033</v>
      </c>
      <c r="V36" s="50">
        <f t="shared" si="10"/>
        <v>0</v>
      </c>
      <c r="W36" s="50">
        <f t="shared" si="12"/>
        <v>0</v>
      </c>
      <c r="X36" s="50">
        <f t="shared" si="13"/>
        <v>0</v>
      </c>
      <c r="Y36" s="50">
        <f t="shared" si="14"/>
        <v>0</v>
      </c>
      <c r="Z36" s="50">
        <f t="shared" si="15"/>
        <v>0</v>
      </c>
      <c r="AA36" s="50">
        <f t="shared" si="11"/>
        <v>0</v>
      </c>
      <c r="AE36">
        <v>2033</v>
      </c>
      <c r="AF36" s="50">
        <f>'Future Type Share'!AB34*('Future EndUse Share'!AC44+'Future EndUse Share'!AE44+'Future EndUse Share'!AF44+'Future EndUse Share'!AA44)</f>
        <v>13461.963759958087</v>
      </c>
      <c r="AG36">
        <f>'Future Type Share'!R34*'Future Type Share'!AA34*0.5*('Future EndUse Share'!AC44+'Future EndUse Share'!AE44+'Future EndUse Share'!AF44+'Future EndUse Share'!AA44)</f>
        <v>0</v>
      </c>
      <c r="AH36">
        <f>'Future Type Share'!R34*'Future Type Share'!Y34*('Future EndUse Share'!Q44+'Future EndUse Share'!S44+'Future EndUse Share'!T44+'Future EndUse Share'!O44)</f>
        <v>8736.6741375515958</v>
      </c>
      <c r="AI36" s="50">
        <f t="shared" si="23"/>
        <v>0</v>
      </c>
      <c r="AJ36">
        <f t="shared" si="24"/>
        <v>0</v>
      </c>
      <c r="AK36">
        <f t="shared" si="25"/>
        <v>0</v>
      </c>
      <c r="AO36">
        <v>2033</v>
      </c>
      <c r="AP36" s="50">
        <f>'Future Type Share'!AB34*('Future EndUse Share'!AG44)</f>
        <v>3044.7197956270138</v>
      </c>
      <c r="AQ36" s="50">
        <f>'Future Type Share'!Z34*0.5*('Future EndUse Share'!U33)</f>
        <v>0</v>
      </c>
      <c r="AR36" s="50">
        <f>'Future Type Share'!X34*0.5*('Future EndUse Share'!U44)</f>
        <v>20.580471814720475</v>
      </c>
      <c r="AS36" s="50">
        <f t="shared" si="26"/>
        <v>0</v>
      </c>
      <c r="AT36">
        <f t="shared" si="27"/>
        <v>0</v>
      </c>
      <c r="AU36">
        <f t="shared" si="28"/>
        <v>0</v>
      </c>
      <c r="AY36" s="50"/>
    </row>
    <row r="37" spans="1:51">
      <c r="A37">
        <v>2034</v>
      </c>
      <c r="B37" s="50">
        <f>'Future Type Share'!AB35*'Future EndUse Share'!AD45</f>
        <v>1506.9675036289473</v>
      </c>
      <c r="C37">
        <f>'Future Type Share'!R35*'Future Type Share'!Y35*0.5*'Future EndUse Share'!R45</f>
        <v>0</v>
      </c>
      <c r="D37">
        <f>'Future Type Share'!X35*'Future EndUse Share'!R45</f>
        <v>0</v>
      </c>
      <c r="E37" s="50">
        <f t="shared" si="16"/>
        <v>0</v>
      </c>
      <c r="F37">
        <f t="shared" si="17"/>
        <v>0</v>
      </c>
      <c r="G37">
        <f t="shared" si="18"/>
        <v>0</v>
      </c>
      <c r="K37">
        <v>2034</v>
      </c>
      <c r="L37" s="50">
        <f>'Future Type Share'!AB35*'Future EndUse Share'!AB45</f>
        <v>10620.197342788566</v>
      </c>
      <c r="M37" s="50">
        <f t="shared" si="19"/>
        <v>0</v>
      </c>
      <c r="N37" s="50">
        <f>'Future Type Share'!X35*'Future EndUse Share'!P45</f>
        <v>0</v>
      </c>
      <c r="O37" s="50">
        <f t="shared" si="20"/>
        <v>0</v>
      </c>
      <c r="P37" s="50">
        <f t="shared" si="21"/>
        <v>0</v>
      </c>
      <c r="Q37" s="50">
        <f t="shared" si="22"/>
        <v>0</v>
      </c>
      <c r="U37">
        <v>2034</v>
      </c>
      <c r="V37" s="50">
        <f t="shared" si="10"/>
        <v>0</v>
      </c>
      <c r="W37" s="50">
        <f t="shared" si="12"/>
        <v>0</v>
      </c>
      <c r="X37" s="50">
        <f t="shared" si="13"/>
        <v>0</v>
      </c>
      <c r="Y37" s="50">
        <f t="shared" si="14"/>
        <v>0</v>
      </c>
      <c r="Z37" s="50">
        <f t="shared" si="15"/>
        <v>0</v>
      </c>
      <c r="AA37" s="50">
        <f t="shared" si="11"/>
        <v>0</v>
      </c>
      <c r="AE37">
        <v>2034</v>
      </c>
      <c r="AF37" s="50">
        <f>'Future Type Share'!AB35*('Future EndUse Share'!AC45+'Future EndUse Share'!AE45+'Future EndUse Share'!AF45+'Future EndUse Share'!AA45)</f>
        <v>13687.435922019995</v>
      </c>
      <c r="AG37">
        <f>'Future Type Share'!R35*'Future Type Share'!AA35*0.5*('Future EndUse Share'!AC45+'Future EndUse Share'!AE45+'Future EndUse Share'!AF45+'Future EndUse Share'!AA45)</f>
        <v>0</v>
      </c>
      <c r="AH37">
        <f>'Future Type Share'!R35*'Future Type Share'!Y35*('Future EndUse Share'!Q45+'Future EndUse Share'!S45+'Future EndUse Share'!T45+'Future EndUse Share'!O45)</f>
        <v>8740.8026441971015</v>
      </c>
      <c r="AI37" s="50">
        <f t="shared" si="23"/>
        <v>0</v>
      </c>
      <c r="AJ37">
        <f t="shared" si="24"/>
        <v>0</v>
      </c>
      <c r="AK37">
        <f t="shared" si="25"/>
        <v>0</v>
      </c>
      <c r="AO37">
        <v>2034</v>
      </c>
      <c r="AP37" s="50">
        <f>'Future Type Share'!AB35*('Future EndUse Share'!AG45)</f>
        <v>3077.6037838967886</v>
      </c>
      <c r="AQ37" s="50">
        <f>'Future Type Share'!Z35*0.5*('Future EndUse Share'!U34)</f>
        <v>0</v>
      </c>
      <c r="AR37" s="50">
        <f>'Future Type Share'!X35*0.5*('Future EndUse Share'!U45)</f>
        <v>20.590197096139583</v>
      </c>
      <c r="AS37" s="50">
        <f t="shared" si="26"/>
        <v>0</v>
      </c>
      <c r="AT37">
        <f t="shared" si="27"/>
        <v>0</v>
      </c>
      <c r="AU37">
        <f t="shared" si="28"/>
        <v>0</v>
      </c>
      <c r="AY37" s="50"/>
    </row>
    <row r="38" spans="1:51">
      <c r="A38">
        <v>2035</v>
      </c>
      <c r="B38" s="50">
        <f>'Future Type Share'!AB36*'Future EndUse Share'!AD46</f>
        <v>1519.9366700340879</v>
      </c>
      <c r="C38">
        <f>'Future Type Share'!R36*'Future Type Share'!Y36*0.5*'Future EndUse Share'!R46</f>
        <v>0</v>
      </c>
      <c r="D38">
        <f>'Future Type Share'!X36*'Future EndUse Share'!R46</f>
        <v>0</v>
      </c>
      <c r="E38" s="50">
        <f t="shared" si="16"/>
        <v>0</v>
      </c>
      <c r="F38">
        <f t="shared" si="17"/>
        <v>0</v>
      </c>
      <c r="G38">
        <f t="shared" si="18"/>
        <v>0</v>
      </c>
      <c r="K38">
        <v>2035</v>
      </c>
      <c r="L38" s="50">
        <f>'Future Type Share'!AB36*'Future EndUse Share'!AB46</f>
        <v>10685.341092135592</v>
      </c>
      <c r="M38" s="50">
        <f t="shared" si="19"/>
        <v>0</v>
      </c>
      <c r="N38" s="50">
        <f>'Future Type Share'!X36*'Future EndUse Share'!P46</f>
        <v>0</v>
      </c>
      <c r="O38" s="50">
        <f t="shared" si="20"/>
        <v>0</v>
      </c>
      <c r="P38" s="50">
        <f t="shared" si="21"/>
        <v>0</v>
      </c>
      <c r="Q38" s="50">
        <f t="shared" si="22"/>
        <v>0</v>
      </c>
      <c r="U38">
        <v>2035</v>
      </c>
      <c r="V38" s="50">
        <f t="shared" si="10"/>
        <v>0</v>
      </c>
      <c r="W38" s="50">
        <f t="shared" si="12"/>
        <v>0</v>
      </c>
      <c r="X38" s="50">
        <f t="shared" si="13"/>
        <v>0</v>
      </c>
      <c r="Y38" s="50">
        <f t="shared" si="14"/>
        <v>0</v>
      </c>
      <c r="Z38" s="50">
        <f t="shared" si="15"/>
        <v>0</v>
      </c>
      <c r="AA38" s="50">
        <f t="shared" si="11"/>
        <v>0</v>
      </c>
      <c r="AE38">
        <v>2035</v>
      </c>
      <c r="AF38" s="50">
        <f>'Future Type Share'!AB36*('Future EndUse Share'!AC46+'Future EndUse Share'!AE46+'Future EndUse Share'!AF46+'Future EndUse Share'!AA46)</f>
        <v>13905.658133227729</v>
      </c>
      <c r="AG38">
        <f>'Future Type Share'!R36*'Future Type Share'!AA36*0.5*('Future EndUse Share'!AC46+'Future EndUse Share'!AE46+'Future EndUse Share'!AF46+'Future EndUse Share'!AA46)</f>
        <v>0</v>
      </c>
      <c r="AH38">
        <f>'Future Type Share'!R36*'Future Type Share'!Y36*('Future EndUse Share'!Q46+'Future EndUse Share'!S46+'Future EndUse Share'!T46+'Future EndUse Share'!O46)</f>
        <v>8737.7784134938411</v>
      </c>
      <c r="AI38" s="50">
        <f t="shared" si="23"/>
        <v>0</v>
      </c>
      <c r="AJ38">
        <f t="shared" si="24"/>
        <v>0</v>
      </c>
      <c r="AK38">
        <f t="shared" si="25"/>
        <v>0</v>
      </c>
      <c r="AO38">
        <v>2035</v>
      </c>
      <c r="AP38" s="50">
        <f>'Future Type Share'!AB36*('Future EndUse Share'!AG46)</f>
        <v>3108.5362957751204</v>
      </c>
      <c r="AQ38" s="50">
        <f>'Future Type Share'!Z36*0.5*('Future EndUse Share'!U35)</f>
        <v>0</v>
      </c>
      <c r="AR38" s="50">
        <f>'Future Type Share'!X36*0.5*('Future EndUse Share'!U46)</f>
        <v>20.583073092912528</v>
      </c>
      <c r="AS38" s="50">
        <f t="shared" si="26"/>
        <v>0</v>
      </c>
      <c r="AT38">
        <f t="shared" si="27"/>
        <v>0</v>
      </c>
      <c r="AU38">
        <f t="shared" si="28"/>
        <v>0</v>
      </c>
      <c r="AY38" s="50"/>
    </row>
    <row r="39" spans="1:51">
      <c r="A39">
        <v>2036</v>
      </c>
      <c r="B39" s="50">
        <f>'Future Type Share'!AB37*'Future EndUse Share'!AD47</f>
        <v>1521.0026960249875</v>
      </c>
      <c r="C39">
        <f>'Future Type Share'!R37*'Future Type Share'!Y37*0.5*'Future EndUse Share'!R47</f>
        <v>0</v>
      </c>
      <c r="D39">
        <f>'Future Type Share'!X37*'Future EndUse Share'!R47</f>
        <v>0</v>
      </c>
      <c r="E39" s="50">
        <f t="shared" si="16"/>
        <v>0</v>
      </c>
      <c r="F39">
        <f t="shared" si="17"/>
        <v>0</v>
      </c>
      <c r="G39">
        <f t="shared" si="18"/>
        <v>0</v>
      </c>
      <c r="K39">
        <v>2036</v>
      </c>
      <c r="L39" s="50">
        <f>'Future Type Share'!AB37*'Future EndUse Share'!AB47</f>
        <v>10666.561864039759</v>
      </c>
      <c r="M39" s="50">
        <f t="shared" si="19"/>
        <v>0</v>
      </c>
      <c r="N39" s="50">
        <f>'Future Type Share'!X37*'Future EndUse Share'!P47</f>
        <v>0</v>
      </c>
      <c r="O39" s="50">
        <f t="shared" si="20"/>
        <v>0</v>
      </c>
      <c r="P39" s="50">
        <f t="shared" si="21"/>
        <v>0</v>
      </c>
      <c r="Q39" s="50">
        <f t="shared" si="22"/>
        <v>0</v>
      </c>
      <c r="U39">
        <v>2036</v>
      </c>
      <c r="V39" s="50">
        <f t="shared" si="10"/>
        <v>0</v>
      </c>
      <c r="W39" s="50">
        <f t="shared" si="12"/>
        <v>0</v>
      </c>
      <c r="X39" s="50">
        <f t="shared" si="13"/>
        <v>0</v>
      </c>
      <c r="Y39" s="50">
        <f t="shared" si="14"/>
        <v>0</v>
      </c>
      <c r="Z39" s="50">
        <f t="shared" si="15"/>
        <v>0</v>
      </c>
      <c r="AA39" s="50">
        <f t="shared" si="11"/>
        <v>0</v>
      </c>
      <c r="AE39">
        <v>2036</v>
      </c>
      <c r="AF39" s="50">
        <f>'Future Type Share'!AB37*('Future EndUse Share'!AC47+'Future EndUse Share'!AE47+'Future EndUse Share'!AF47+'Future EndUse Share'!AA47)</f>
        <v>14015.907754308535</v>
      </c>
      <c r="AG39">
        <f>'Future Type Share'!R37*'Future Type Share'!AA37*0.5*('Future EndUse Share'!AC47+'Future EndUse Share'!AE47+'Future EndUse Share'!AF47+'Future EndUse Share'!AA47)</f>
        <v>0</v>
      </c>
      <c r="AH39">
        <f>'Future Type Share'!R37*'Future Type Share'!Y37*('Future EndUse Share'!Q47+'Future EndUse Share'!S47+'Future EndUse Share'!T47+'Future EndUse Share'!O47)</f>
        <v>8665.6031175753305</v>
      </c>
      <c r="AI39" s="50">
        <f t="shared" si="23"/>
        <v>0</v>
      </c>
      <c r="AJ39">
        <f t="shared" si="24"/>
        <v>0</v>
      </c>
      <c r="AK39">
        <f t="shared" si="25"/>
        <v>0</v>
      </c>
      <c r="AO39">
        <v>2036</v>
      </c>
      <c r="AP39" s="50">
        <f>'Future Type Share'!AB37*('Future EndUse Share'!AG47)</f>
        <v>3115.1658607290565</v>
      </c>
      <c r="AQ39" s="50">
        <f>'Future Type Share'!Z37*0.5*('Future EndUse Share'!U36)</f>
        <v>0</v>
      </c>
      <c r="AR39" s="50">
        <f>'Future Type Share'!X37*0.5*('Future EndUse Share'!U47)</f>
        <v>20.413053973510383</v>
      </c>
      <c r="AS39" s="50">
        <f t="shared" si="26"/>
        <v>0</v>
      </c>
      <c r="AT39">
        <f t="shared" si="27"/>
        <v>0</v>
      </c>
      <c r="AU39">
        <f t="shared" si="28"/>
        <v>0</v>
      </c>
      <c r="AY39" s="50"/>
    </row>
    <row r="40" spans="1:51">
      <c r="A40">
        <v>2037</v>
      </c>
      <c r="B40" s="50">
        <f>'Future Type Share'!AB38*'Future EndUse Share'!AD48</f>
        <v>1539.9592245003141</v>
      </c>
      <c r="C40">
        <f>'Future Type Share'!R38*'Future Type Share'!Y38*0.5*'Future EndUse Share'!R48</f>
        <v>0</v>
      </c>
      <c r="D40">
        <f>'Future Type Share'!X38*'Future EndUse Share'!R48</f>
        <v>0</v>
      </c>
      <c r="E40" s="50">
        <f t="shared" si="16"/>
        <v>0</v>
      </c>
      <c r="F40">
        <f t="shared" si="17"/>
        <v>0</v>
      </c>
      <c r="G40">
        <f t="shared" si="18"/>
        <v>0</v>
      </c>
      <c r="K40">
        <v>2037</v>
      </c>
      <c r="L40" s="50">
        <f>'Future Type Share'!AB38*'Future EndUse Share'!AB48</f>
        <v>10772.900158096561</v>
      </c>
      <c r="M40" s="50">
        <f t="shared" si="19"/>
        <v>0</v>
      </c>
      <c r="N40" s="50">
        <f>'Future Type Share'!X38*'Future EndUse Share'!P48</f>
        <v>0</v>
      </c>
      <c r="O40" s="50">
        <f t="shared" si="20"/>
        <v>0</v>
      </c>
      <c r="P40" s="50">
        <f t="shared" si="21"/>
        <v>0</v>
      </c>
      <c r="Q40" s="50">
        <f t="shared" si="22"/>
        <v>0</v>
      </c>
      <c r="U40">
        <v>2037</v>
      </c>
      <c r="V40" s="50">
        <f t="shared" si="10"/>
        <v>0</v>
      </c>
      <c r="W40" s="50">
        <f t="shared" si="12"/>
        <v>0</v>
      </c>
      <c r="X40" s="50">
        <f t="shared" si="13"/>
        <v>0</v>
      </c>
      <c r="Y40" s="50">
        <f t="shared" si="14"/>
        <v>0</v>
      </c>
      <c r="Z40" s="50">
        <f t="shared" si="15"/>
        <v>0</v>
      </c>
      <c r="AA40" s="50">
        <f t="shared" si="11"/>
        <v>0</v>
      </c>
      <c r="AE40">
        <v>2037</v>
      </c>
      <c r="AF40" s="50">
        <f>'Future Type Share'!AB38*('Future EndUse Share'!AC48+'Future EndUse Share'!AE48+'Future EndUse Share'!AF48+'Future EndUse Share'!AA48)</f>
        <v>14292.339745872459</v>
      </c>
      <c r="AG40">
        <f>'Future Type Share'!R38*'Future Type Share'!AA38*0.5*('Future EndUse Share'!AC48+'Future EndUse Share'!AE48+'Future EndUse Share'!AF48+'Future EndUse Share'!AA48)</f>
        <v>0</v>
      </c>
      <c r="AH40">
        <f>'Future Type Share'!R38*'Future Type Share'!Y38*('Future EndUse Share'!Q48+'Future EndUse Share'!S48+'Future EndUse Share'!T48+'Future EndUse Share'!O48)</f>
        <v>8694.3245232574627</v>
      </c>
      <c r="AI40" s="50">
        <f t="shared" si="23"/>
        <v>0</v>
      </c>
      <c r="AJ40">
        <f t="shared" si="24"/>
        <v>0</v>
      </c>
      <c r="AK40">
        <f t="shared" si="25"/>
        <v>0</v>
      </c>
      <c r="AO40">
        <v>2037</v>
      </c>
      <c r="AP40" s="50">
        <f>'Future Type Share'!AB38*('Future EndUse Share'!AG48)</f>
        <v>3158.4955381660461</v>
      </c>
      <c r="AQ40" s="50">
        <f>'Future Type Share'!Z38*0.5*('Future EndUse Share'!U37)</f>
        <v>0</v>
      </c>
      <c r="AR40" s="50">
        <f>'Future Type Share'!X38*0.5*('Future EndUse Share'!U48)</f>
        <v>20.48071130750429</v>
      </c>
      <c r="AS40" s="50">
        <f t="shared" si="26"/>
        <v>0</v>
      </c>
      <c r="AT40">
        <f t="shared" si="27"/>
        <v>0</v>
      </c>
      <c r="AU40">
        <f t="shared" si="28"/>
        <v>0</v>
      </c>
      <c r="AY40" s="50"/>
    </row>
    <row r="41" spans="1:51">
      <c r="A41">
        <v>2038</v>
      </c>
      <c r="B41" s="50">
        <f>'Future Type Share'!AB39*'Future EndUse Share'!AD49</f>
        <v>1555.2533165490008</v>
      </c>
      <c r="C41">
        <f>'Future Type Share'!R39*'Future Type Share'!Y39*0.5*'Future EndUse Share'!R49</f>
        <v>0</v>
      </c>
      <c r="D41">
        <f>'Future Type Share'!X39*'Future EndUse Share'!R49</f>
        <v>0</v>
      </c>
      <c r="E41" s="50">
        <f t="shared" si="16"/>
        <v>0</v>
      </c>
      <c r="F41">
        <f t="shared" si="17"/>
        <v>0</v>
      </c>
      <c r="G41">
        <f t="shared" si="18"/>
        <v>0</v>
      </c>
      <c r="K41">
        <v>2038</v>
      </c>
      <c r="L41" s="50">
        <f>'Future Type Share'!AB39*'Future EndUse Share'!AB49</f>
        <v>10853.025964737077</v>
      </c>
      <c r="M41" s="50">
        <f t="shared" si="19"/>
        <v>0</v>
      </c>
      <c r="N41" s="50">
        <f>'Future Type Share'!X39*'Future EndUse Share'!P49</f>
        <v>0</v>
      </c>
      <c r="O41" s="50">
        <f t="shared" si="20"/>
        <v>0</v>
      </c>
      <c r="P41" s="50">
        <f t="shared" si="21"/>
        <v>0</v>
      </c>
      <c r="Q41" s="50">
        <f t="shared" si="22"/>
        <v>0</v>
      </c>
      <c r="U41">
        <v>2038</v>
      </c>
      <c r="V41" s="50">
        <f t="shared" si="10"/>
        <v>0</v>
      </c>
      <c r="W41" s="50">
        <f t="shared" si="12"/>
        <v>0</v>
      </c>
      <c r="X41" s="50">
        <f t="shared" si="13"/>
        <v>0</v>
      </c>
      <c r="Y41" s="50">
        <f t="shared" si="14"/>
        <v>0</v>
      </c>
      <c r="Z41" s="50">
        <f t="shared" si="15"/>
        <v>0</v>
      </c>
      <c r="AA41" s="50">
        <f t="shared" si="11"/>
        <v>0</v>
      </c>
      <c r="AE41">
        <v>2038</v>
      </c>
      <c r="AF41" s="50">
        <f>'Future Type Share'!AB39*('Future EndUse Share'!AC49+'Future EndUse Share'!AE49+'Future EndUse Share'!AF49+'Future EndUse Share'!AA49)</f>
        <v>14537.04374702222</v>
      </c>
      <c r="AG41">
        <f>'Future Type Share'!R39*'Future Type Share'!AA39*0.5*('Future EndUse Share'!AC49+'Future EndUse Share'!AE49+'Future EndUse Share'!AF49+'Future EndUse Share'!AA49)</f>
        <v>0</v>
      </c>
      <c r="AH41">
        <f>'Future Type Share'!R39*'Future Type Share'!Y39*('Future EndUse Share'!Q49+'Future EndUse Share'!S49+'Future EndUse Share'!T49+'Future EndUse Share'!O49)</f>
        <v>8700.6052147699302</v>
      </c>
      <c r="AI41" s="50">
        <f t="shared" si="23"/>
        <v>0</v>
      </c>
      <c r="AJ41">
        <f t="shared" si="24"/>
        <v>0</v>
      </c>
      <c r="AK41">
        <f t="shared" si="25"/>
        <v>0</v>
      </c>
      <c r="AO41">
        <v>2038</v>
      </c>
      <c r="AP41" s="50">
        <f>'Future Type Share'!AB39*('Future EndUse Share'!AG49)</f>
        <v>3194.4136579171422</v>
      </c>
      <c r="AQ41" s="50">
        <f>'Future Type Share'!Z39*0.5*('Future EndUse Share'!U38)</f>
        <v>0</v>
      </c>
      <c r="AR41" s="50">
        <f>'Future Type Share'!X39*0.5*('Future EndUse Share'!U49)</f>
        <v>20.49550636482407</v>
      </c>
      <c r="AS41" s="50">
        <f t="shared" si="26"/>
        <v>0</v>
      </c>
      <c r="AT41">
        <f t="shared" si="27"/>
        <v>0</v>
      </c>
      <c r="AU41">
        <f t="shared" si="28"/>
        <v>0</v>
      </c>
      <c r="AY41" s="50"/>
    </row>
    <row r="42" spans="1:51">
      <c r="A42">
        <v>2039</v>
      </c>
      <c r="B42" s="50">
        <f>'Future Type Share'!AB40*'Future EndUse Share'!AD50</f>
        <v>1570.1820596564064</v>
      </c>
      <c r="C42">
        <f>'Future Type Share'!R40*'Future Type Share'!Y40*0.5*'Future EndUse Share'!R50</f>
        <v>0</v>
      </c>
      <c r="D42">
        <f>'Future Type Share'!X40*'Future EndUse Share'!R50</f>
        <v>0</v>
      </c>
      <c r="E42" s="50">
        <f t="shared" si="16"/>
        <v>0</v>
      </c>
      <c r="F42">
        <f t="shared" si="17"/>
        <v>0</v>
      </c>
      <c r="G42">
        <f t="shared" si="18"/>
        <v>0</v>
      </c>
      <c r="K42">
        <v>2039</v>
      </c>
      <c r="L42" s="50">
        <f>'Future Type Share'!AB40*'Future EndUse Share'!AB50</f>
        <v>10930.080192741725</v>
      </c>
      <c r="M42" s="50">
        <f t="shared" si="19"/>
        <v>0</v>
      </c>
      <c r="N42" s="50">
        <f>'Future Type Share'!X40*'Future EndUse Share'!P50</f>
        <v>0</v>
      </c>
      <c r="O42" s="50">
        <f t="shared" si="20"/>
        <v>0</v>
      </c>
      <c r="P42" s="50">
        <f t="shared" si="21"/>
        <v>0</v>
      </c>
      <c r="Q42" s="50">
        <f t="shared" si="22"/>
        <v>0</v>
      </c>
      <c r="U42">
        <v>2039</v>
      </c>
      <c r="V42" s="50">
        <f t="shared" si="10"/>
        <v>0</v>
      </c>
      <c r="W42" s="50">
        <f t="shared" si="12"/>
        <v>0</v>
      </c>
      <c r="X42" s="50">
        <f t="shared" si="13"/>
        <v>0</v>
      </c>
      <c r="Y42" s="50">
        <f t="shared" si="14"/>
        <v>0</v>
      </c>
      <c r="Z42" s="50">
        <f t="shared" si="15"/>
        <v>0</v>
      </c>
      <c r="AA42" s="50">
        <f t="shared" si="11"/>
        <v>0</v>
      </c>
      <c r="AE42">
        <v>2039</v>
      </c>
      <c r="AF42" s="50">
        <f>'Future Type Share'!AB40*('Future EndUse Share'!AC50+'Future EndUse Share'!AE50+'Future EndUse Share'!AF50+'Future EndUse Share'!AA50)</f>
        <v>14780.329713856658</v>
      </c>
      <c r="AG42">
        <f>'Future Type Share'!R40*'Future Type Share'!AA40*0.5*('Future EndUse Share'!AC50+'Future EndUse Share'!AE50+'Future EndUse Share'!AF50+'Future EndUse Share'!AA50)</f>
        <v>0</v>
      </c>
      <c r="AH42">
        <f>'Future Type Share'!R40*'Future Type Share'!Y40*('Future EndUse Share'!Q50+'Future EndUse Share'!S50+'Future EndUse Share'!T50+'Future EndUse Share'!O50)</f>
        <v>8703.2861028656444</v>
      </c>
      <c r="AI42" s="50">
        <f t="shared" si="23"/>
        <v>0</v>
      </c>
      <c r="AJ42">
        <f t="shared" si="24"/>
        <v>0</v>
      </c>
      <c r="AK42">
        <f t="shared" si="25"/>
        <v>0</v>
      </c>
      <c r="AO42">
        <v>2039</v>
      </c>
      <c r="AP42" s="50">
        <f>'Future Type Share'!AB40*('Future EndUse Share'!AG50)</f>
        <v>3229.6697791377851</v>
      </c>
      <c r="AQ42" s="50">
        <f>'Future Type Share'!Z40*0.5*('Future EndUse Share'!U39)</f>
        <v>0</v>
      </c>
      <c r="AR42" s="50">
        <f>'Future Type Share'!X40*0.5*('Future EndUse Share'!U50)</f>
        <v>20.501821575970048</v>
      </c>
      <c r="AS42" s="50">
        <f t="shared" si="26"/>
        <v>0</v>
      </c>
      <c r="AT42">
        <f t="shared" si="27"/>
        <v>0</v>
      </c>
      <c r="AU42">
        <f t="shared" si="28"/>
        <v>0</v>
      </c>
      <c r="AY42" s="50"/>
    </row>
    <row r="43" spans="1:51">
      <c r="A43">
        <v>2040</v>
      </c>
      <c r="B43" s="50">
        <f>'Future Type Share'!AB41*'Future EndUse Share'!AD51</f>
        <v>1584.5938954253975</v>
      </c>
      <c r="C43">
        <f>'Future Type Share'!R41*'Future Type Share'!Y41*0.5*'Future EndUse Share'!R51</f>
        <v>0</v>
      </c>
      <c r="D43">
        <f>'Future Type Share'!X41*'Future EndUse Share'!R51</f>
        <v>0</v>
      </c>
      <c r="E43" s="50">
        <f t="shared" si="16"/>
        <v>0</v>
      </c>
      <c r="F43">
        <f t="shared" si="17"/>
        <v>0</v>
      </c>
      <c r="G43">
        <f t="shared" si="18"/>
        <v>0</v>
      </c>
      <c r="K43">
        <v>2040</v>
      </c>
      <c r="L43" s="50">
        <f>'Future Type Share'!AB41*'Future EndUse Share'!AB51</f>
        <v>11003.029390873289</v>
      </c>
      <c r="M43" s="50">
        <f t="shared" si="19"/>
        <v>0</v>
      </c>
      <c r="N43" s="50">
        <f>'Future Type Share'!X41*'Future EndUse Share'!P51</f>
        <v>0</v>
      </c>
      <c r="O43" s="50">
        <f t="shared" si="20"/>
        <v>0</v>
      </c>
      <c r="P43" s="50">
        <f t="shared" si="21"/>
        <v>0</v>
      </c>
      <c r="Q43" s="50">
        <f t="shared" si="22"/>
        <v>0</v>
      </c>
      <c r="U43">
        <v>2040</v>
      </c>
      <c r="V43" s="50">
        <f t="shared" si="10"/>
        <v>0</v>
      </c>
      <c r="W43" s="50">
        <f t="shared" si="12"/>
        <v>0</v>
      </c>
      <c r="X43" s="50">
        <f t="shared" si="13"/>
        <v>0</v>
      </c>
      <c r="Y43" s="50">
        <f t="shared" si="14"/>
        <v>0</v>
      </c>
      <c r="Z43" s="50">
        <f t="shared" si="15"/>
        <v>0</v>
      </c>
      <c r="AA43" s="50">
        <f t="shared" si="11"/>
        <v>0</v>
      </c>
      <c r="AE43">
        <v>2040</v>
      </c>
      <c r="AF43" s="50">
        <f>'Future Type Share'!AB41*('Future EndUse Share'!AC51+'Future EndUse Share'!AE51+'Future EndUse Share'!AF51+'Future EndUse Share'!AA51)</f>
        <v>15020.688574684742</v>
      </c>
      <c r="AG43">
        <f>'Future Type Share'!R41*'Future Type Share'!AA41*0.5*('Future EndUse Share'!AC51+'Future EndUse Share'!AE51+'Future EndUse Share'!AF51+'Future EndUse Share'!AA51)</f>
        <v>0</v>
      </c>
      <c r="AH43">
        <f>'Future Type Share'!R41*'Future Type Share'!Y41*('Future EndUse Share'!Q51+'Future EndUse Share'!S51+'Future EndUse Share'!T51+'Future EndUse Share'!O51)</f>
        <v>8701.5913505492717</v>
      </c>
      <c r="AI43" s="50">
        <f t="shared" si="23"/>
        <v>0</v>
      </c>
      <c r="AJ43">
        <f t="shared" si="24"/>
        <v>0</v>
      </c>
      <c r="AK43">
        <f t="shared" si="25"/>
        <v>0</v>
      </c>
      <c r="AO43">
        <v>2040</v>
      </c>
      <c r="AP43" s="50">
        <f>'Future Type Share'!AB41*('Future EndUse Share'!AG51)</f>
        <v>3263.948515407938</v>
      </c>
      <c r="AQ43" s="50">
        <f>'Future Type Share'!Z41*0.5*('Future EndUse Share'!U40)</f>
        <v>0</v>
      </c>
      <c r="AR43" s="50">
        <f>'Future Type Share'!X41*0.5*('Future EndUse Share'!U51)</f>
        <v>20.497829347150375</v>
      </c>
      <c r="AS43" s="50">
        <f t="shared" si="26"/>
        <v>0</v>
      </c>
      <c r="AT43">
        <f t="shared" si="27"/>
        <v>0</v>
      </c>
      <c r="AU43">
        <f t="shared" si="28"/>
        <v>0</v>
      </c>
      <c r="AY43" s="50"/>
    </row>
    <row r="44" spans="1:51">
      <c r="A44">
        <v>2041</v>
      </c>
      <c r="B44" s="50">
        <f>'Future Type Share'!AB42*'Future EndUse Share'!AD52</f>
        <v>1597.864124710703</v>
      </c>
      <c r="C44">
        <f>'Future Type Share'!R42*'Future Type Share'!Y42*0.5*'Future EndUse Share'!R52</f>
        <v>0</v>
      </c>
      <c r="D44">
        <f>'Future Type Share'!X42*'Future EndUse Share'!R52</f>
        <v>0</v>
      </c>
      <c r="E44" s="50">
        <f t="shared" si="16"/>
        <v>0</v>
      </c>
      <c r="F44">
        <f t="shared" si="17"/>
        <v>0</v>
      </c>
      <c r="G44">
        <f t="shared" si="18"/>
        <v>0</v>
      </c>
      <c r="K44">
        <v>2041</v>
      </c>
      <c r="L44" s="50">
        <f>'Future Type Share'!AB42*'Future EndUse Share'!AB52</f>
        <v>11067.573380087797</v>
      </c>
      <c r="M44" s="50">
        <f t="shared" si="19"/>
        <v>0</v>
      </c>
      <c r="N44" s="50">
        <f>'Future Type Share'!X42*'Future EndUse Share'!P52</f>
        <v>0</v>
      </c>
      <c r="O44" s="50">
        <f t="shared" si="20"/>
        <v>0</v>
      </c>
      <c r="P44" s="50">
        <f t="shared" si="21"/>
        <v>0</v>
      </c>
      <c r="Q44" s="50">
        <f t="shared" si="22"/>
        <v>0</v>
      </c>
      <c r="U44">
        <v>2041</v>
      </c>
      <c r="V44" s="50">
        <f t="shared" si="10"/>
        <v>0</v>
      </c>
      <c r="W44" s="50">
        <f t="shared" si="12"/>
        <v>0</v>
      </c>
      <c r="X44" s="50">
        <f t="shared" si="13"/>
        <v>0</v>
      </c>
      <c r="Y44" s="50">
        <f t="shared" si="14"/>
        <v>0</v>
      </c>
      <c r="Z44" s="50">
        <f t="shared" si="15"/>
        <v>0</v>
      </c>
      <c r="AA44" s="50">
        <f t="shared" si="11"/>
        <v>0</v>
      </c>
      <c r="AE44">
        <v>2041</v>
      </c>
      <c r="AF44" s="50">
        <f>'Future Type Share'!AB42*('Future EndUse Share'!AC52+'Future EndUse Share'!AE52+'Future EndUse Share'!AF52+'Future EndUse Share'!AA52)</f>
        <v>15252.054943056497</v>
      </c>
      <c r="AG44">
        <f>'Future Type Share'!R42*'Future Type Share'!AA42*0.5*('Future EndUse Share'!AC52+'Future EndUse Share'!AE52+'Future EndUse Share'!AF52+'Future EndUse Share'!AA52)</f>
        <v>0</v>
      </c>
      <c r="AH44">
        <f>'Future Type Share'!R42*'Future Type Share'!Y42*('Future EndUse Share'!Q52+'Future EndUse Share'!S52+'Future EndUse Share'!T52+'Future EndUse Share'!O52)</f>
        <v>8692.2024978349473</v>
      </c>
      <c r="AI44" s="50">
        <f t="shared" si="23"/>
        <v>0</v>
      </c>
      <c r="AJ44">
        <f t="shared" si="24"/>
        <v>0</v>
      </c>
      <c r="AK44">
        <f t="shared" si="25"/>
        <v>0</v>
      </c>
      <c r="AO44">
        <v>2041</v>
      </c>
      <c r="AP44" s="50">
        <f>'Future Type Share'!AB42*('Future EndUse Share'!AG52)</f>
        <v>3295.9567469247531</v>
      </c>
      <c r="AQ44" s="50">
        <f>'Future Type Share'!Z42*0.5*('Future EndUse Share'!U41)</f>
        <v>0</v>
      </c>
      <c r="AR44" s="50">
        <f>'Future Type Share'!X42*0.5*('Future EndUse Share'!U52)</f>
        <v>20.475712576441349</v>
      </c>
      <c r="AS44" s="50">
        <f t="shared" si="26"/>
        <v>0</v>
      </c>
      <c r="AT44">
        <f t="shared" si="27"/>
        <v>0</v>
      </c>
      <c r="AU44">
        <f t="shared" si="28"/>
        <v>0</v>
      </c>
      <c r="AY44" s="50"/>
    </row>
    <row r="45" spans="1:51">
      <c r="A45">
        <v>2042</v>
      </c>
      <c r="B45" s="50">
        <f>'Future Type Share'!AB43*'Future EndUse Share'!AD53</f>
        <v>1610.0510225241896</v>
      </c>
      <c r="C45">
        <f>'Future Type Share'!R43*'Future Type Share'!Y43*0.5*'Future EndUse Share'!R53</f>
        <v>0</v>
      </c>
      <c r="D45">
        <f>'Future Type Share'!X43*'Future EndUse Share'!R53</f>
        <v>0</v>
      </c>
      <c r="E45" s="50">
        <f t="shared" si="16"/>
        <v>0</v>
      </c>
      <c r="F45">
        <f t="shared" si="17"/>
        <v>0</v>
      </c>
      <c r="G45">
        <f t="shared" si="18"/>
        <v>0</v>
      </c>
      <c r="K45">
        <v>2042</v>
      </c>
      <c r="L45" s="50">
        <f>'Future Type Share'!AB43*'Future EndUse Share'!AB53</f>
        <v>11124.17395414129</v>
      </c>
      <c r="M45" s="50">
        <f t="shared" si="19"/>
        <v>0</v>
      </c>
      <c r="N45" s="50">
        <f>'Future Type Share'!X43*'Future EndUse Share'!P53</f>
        <v>0</v>
      </c>
      <c r="O45" s="50">
        <f t="shared" si="20"/>
        <v>0</v>
      </c>
      <c r="P45" s="50">
        <f t="shared" si="21"/>
        <v>0</v>
      </c>
      <c r="Q45" s="50">
        <f t="shared" si="22"/>
        <v>0</v>
      </c>
      <c r="U45">
        <v>2042</v>
      </c>
      <c r="V45" s="50">
        <f t="shared" si="10"/>
        <v>0</v>
      </c>
      <c r="W45" s="50">
        <f t="shared" si="12"/>
        <v>0</v>
      </c>
      <c r="X45" s="50">
        <f t="shared" si="13"/>
        <v>0</v>
      </c>
      <c r="Y45" s="50">
        <f t="shared" si="14"/>
        <v>0</v>
      </c>
      <c r="Z45" s="50">
        <f t="shared" si="15"/>
        <v>0</v>
      </c>
      <c r="AA45" s="50">
        <f t="shared" si="11"/>
        <v>0</v>
      </c>
      <c r="AE45">
        <v>2042</v>
      </c>
      <c r="AF45" s="50">
        <f>'Future Type Share'!AB43*('Future EndUse Share'!AC53+'Future EndUse Share'!AE53+'Future EndUse Share'!AF53+'Future EndUse Share'!AA53)</f>
        <v>15474.762633473389</v>
      </c>
      <c r="AG45">
        <f>'Future Type Share'!R43*'Future Type Share'!AA43*0.5*('Future EndUse Share'!AC53+'Future EndUse Share'!AE53+'Future EndUse Share'!AF53+'Future EndUse Share'!AA53)</f>
        <v>0</v>
      </c>
      <c r="AH45">
        <f>'Future Type Share'!R43*'Future Type Share'!Y43*('Future EndUse Share'!Q53+'Future EndUse Share'!S53+'Future EndUse Share'!T53+'Future EndUse Share'!O53)</f>
        <v>8675.6098693555596</v>
      </c>
      <c r="AI45" s="50">
        <f t="shared" si="23"/>
        <v>0</v>
      </c>
      <c r="AJ45">
        <f t="shared" si="24"/>
        <v>0</v>
      </c>
      <c r="AK45">
        <f t="shared" si="25"/>
        <v>0</v>
      </c>
      <c r="AO45">
        <v>2042</v>
      </c>
      <c r="AP45" s="50">
        <f>'Future Type Share'!AB43*('Future EndUse Share'!AG53)</f>
        <v>3325.8048310245613</v>
      </c>
      <c r="AQ45" s="50">
        <f>'Future Type Share'!Z43*0.5*('Future EndUse Share'!U42)</f>
        <v>0</v>
      </c>
      <c r="AR45" s="50">
        <f>'Future Type Share'!X43*0.5*('Future EndUse Share'!U53)</f>
        <v>20.436626292876714</v>
      </c>
      <c r="AS45" s="50">
        <f t="shared" si="26"/>
        <v>0</v>
      </c>
      <c r="AT45">
        <f t="shared" si="27"/>
        <v>0</v>
      </c>
      <c r="AU45">
        <f t="shared" si="28"/>
        <v>0</v>
      </c>
      <c r="AY45" s="50"/>
    </row>
    <row r="46" spans="1:51">
      <c r="A46">
        <v>2043</v>
      </c>
      <c r="B46" s="50">
        <f>'Future Type Share'!AB44*'Future EndUse Share'!AD54</f>
        <v>1621.6140257367288</v>
      </c>
      <c r="C46">
        <f>'Future Type Share'!R44*'Future Type Share'!Y44*0.5*'Future EndUse Share'!R54</f>
        <v>0</v>
      </c>
      <c r="D46">
        <f>'Future Type Share'!X44*'Future EndUse Share'!R54</f>
        <v>0</v>
      </c>
      <c r="E46" s="50">
        <f t="shared" si="16"/>
        <v>0</v>
      </c>
      <c r="F46">
        <f t="shared" si="17"/>
        <v>0</v>
      </c>
      <c r="G46">
        <f t="shared" si="18"/>
        <v>0</v>
      </c>
      <c r="K46">
        <v>2043</v>
      </c>
      <c r="L46" s="50">
        <f>'Future Type Share'!AB44*'Future EndUse Share'!AB54</f>
        <v>11176.05366053169</v>
      </c>
      <c r="M46" s="50">
        <f t="shared" si="19"/>
        <v>0</v>
      </c>
      <c r="N46" s="50">
        <f>'Future Type Share'!X44*'Future EndUse Share'!P54</f>
        <v>0</v>
      </c>
      <c r="O46" s="50">
        <f t="shared" si="20"/>
        <v>0</v>
      </c>
      <c r="P46" s="50">
        <f t="shared" si="21"/>
        <v>0</v>
      </c>
      <c r="Q46" s="50">
        <f t="shared" si="22"/>
        <v>0</v>
      </c>
      <c r="U46">
        <v>2043</v>
      </c>
      <c r="V46" s="50">
        <f t="shared" si="10"/>
        <v>0</v>
      </c>
      <c r="W46" s="50">
        <f t="shared" si="12"/>
        <v>0</v>
      </c>
      <c r="X46" s="50">
        <f t="shared" si="13"/>
        <v>0</v>
      </c>
      <c r="Y46" s="50">
        <f t="shared" si="14"/>
        <v>0</v>
      </c>
      <c r="Z46" s="50">
        <f t="shared" si="15"/>
        <v>0</v>
      </c>
      <c r="AA46" s="50">
        <f t="shared" si="11"/>
        <v>0</v>
      </c>
      <c r="AE46">
        <v>2043</v>
      </c>
      <c r="AF46" s="50">
        <f>'Future Type Share'!AB44*('Future EndUse Share'!AC54+'Future EndUse Share'!AE54+'Future EndUse Share'!AF54+'Future EndUse Share'!AA54)</f>
        <v>15693.043074537782</v>
      </c>
      <c r="AG46">
        <f>'Future Type Share'!R44*'Future Type Share'!AA44*0.5*('Future EndUse Share'!AC54+'Future EndUse Share'!AE54+'Future EndUse Share'!AF54+'Future EndUse Share'!AA54)</f>
        <v>0</v>
      </c>
      <c r="AH46">
        <f>'Future Type Share'!R44*'Future Type Share'!Y44*('Future EndUse Share'!Q54+'Future EndUse Share'!S54+'Future EndUse Share'!T54+'Future EndUse Share'!O54)</f>
        <v>8654.4327602171852</v>
      </c>
      <c r="AI46" s="50">
        <f t="shared" si="23"/>
        <v>0</v>
      </c>
      <c r="AJ46">
        <f t="shared" si="24"/>
        <v>0</v>
      </c>
      <c r="AK46">
        <f t="shared" si="25"/>
        <v>0</v>
      </c>
      <c r="AO46">
        <v>2043</v>
      </c>
      <c r="AP46" s="50">
        <f>'Future Type Share'!AB44*('Future EndUse Share'!AG54)</f>
        <v>3354.4336411616282</v>
      </c>
      <c r="AQ46" s="50">
        <f>'Future Type Share'!Z44*0.5*('Future EndUse Share'!U43)</f>
        <v>0</v>
      </c>
      <c r="AR46" s="50">
        <f>'Future Type Share'!X44*0.5*('Future EndUse Share'!U54)</f>
        <v>20.386740616602456</v>
      </c>
      <c r="AS46" s="50">
        <f t="shared" si="26"/>
        <v>0</v>
      </c>
      <c r="AT46">
        <f t="shared" si="27"/>
        <v>0</v>
      </c>
      <c r="AU46">
        <f t="shared" si="28"/>
        <v>0</v>
      </c>
      <c r="AY46" s="50"/>
    </row>
    <row r="47" spans="1:51">
      <c r="A47">
        <v>2044</v>
      </c>
      <c r="B47" s="50">
        <f>'Future Type Share'!AB45*'Future EndUse Share'!AD55</f>
        <v>1632.2680819162324</v>
      </c>
      <c r="C47">
        <f>'Future Type Share'!R45*'Future Type Share'!Y45*0.5*'Future EndUse Share'!R55</f>
        <v>0</v>
      </c>
      <c r="D47">
        <f>'Future Type Share'!X45*'Future EndUse Share'!R55</f>
        <v>0</v>
      </c>
      <c r="E47" s="50">
        <f t="shared" si="16"/>
        <v>0</v>
      </c>
      <c r="F47">
        <f t="shared" si="17"/>
        <v>0</v>
      </c>
      <c r="G47">
        <f t="shared" si="18"/>
        <v>0</v>
      </c>
      <c r="K47">
        <v>2044</v>
      </c>
      <c r="L47" s="50">
        <f>'Future Type Share'!AB45*'Future EndUse Share'!AB55</f>
        <v>11221.285192335205</v>
      </c>
      <c r="M47" s="50">
        <f t="shared" si="19"/>
        <v>0</v>
      </c>
      <c r="N47" s="50">
        <f>'Future Type Share'!X45*'Future EndUse Share'!P55</f>
        <v>0</v>
      </c>
      <c r="O47" s="50">
        <f t="shared" si="20"/>
        <v>0</v>
      </c>
      <c r="P47" s="50">
        <f t="shared" si="21"/>
        <v>0</v>
      </c>
      <c r="Q47" s="50">
        <f t="shared" si="22"/>
        <v>0</v>
      </c>
      <c r="U47">
        <v>2044</v>
      </c>
      <c r="V47" s="50">
        <f t="shared" si="10"/>
        <v>0</v>
      </c>
      <c r="W47" s="50">
        <f t="shared" si="12"/>
        <v>0</v>
      </c>
      <c r="X47" s="50">
        <f t="shared" si="13"/>
        <v>0</v>
      </c>
      <c r="Y47" s="50">
        <f t="shared" si="14"/>
        <v>0</v>
      </c>
      <c r="Z47" s="50">
        <f t="shared" si="15"/>
        <v>0</v>
      </c>
      <c r="AA47" s="50">
        <f t="shared" si="11"/>
        <v>0</v>
      </c>
      <c r="AE47">
        <v>2044</v>
      </c>
      <c r="AF47" s="50">
        <f>'Future Type Share'!AB45*('Future EndUse Share'!AC55+'Future EndUse Share'!AE55+'Future EndUse Share'!AF55+'Future EndUse Share'!AA55)</f>
        <v>15903.995192266793</v>
      </c>
      <c r="AG47">
        <f>'Future Type Share'!R45*'Future Type Share'!AA45*0.5*('Future EndUse Share'!AC55+'Future EndUse Share'!AE55+'Future EndUse Share'!AF55+'Future EndUse Share'!AA55)</f>
        <v>0</v>
      </c>
      <c r="AH47">
        <f>'Future Type Share'!R45*'Future Type Share'!Y45*('Future EndUse Share'!Q55+'Future EndUse Share'!S55+'Future EndUse Share'!T55+'Future EndUse Share'!O55)</f>
        <v>8627.2608991297493</v>
      </c>
      <c r="AI47" s="50">
        <f t="shared" si="23"/>
        <v>0</v>
      </c>
      <c r="AJ47">
        <f t="shared" si="24"/>
        <v>0</v>
      </c>
      <c r="AK47">
        <f t="shared" si="25"/>
        <v>0</v>
      </c>
      <c r="AO47">
        <v>2044</v>
      </c>
      <c r="AP47" s="50">
        <f>'Future Type Share'!AB45*('Future EndUse Share'!AG55)</f>
        <v>3381.2472153496333</v>
      </c>
      <c r="AQ47" s="50">
        <f>'Future Type Share'!Z45*0.5*('Future EndUse Share'!U44)</f>
        <v>0</v>
      </c>
      <c r="AR47" s="50">
        <f>'Future Type Share'!X45*0.5*('Future EndUse Share'!U55)</f>
        <v>20.322733454098831</v>
      </c>
      <c r="AS47" s="50">
        <f t="shared" si="26"/>
        <v>0</v>
      </c>
      <c r="AT47">
        <f t="shared" si="27"/>
        <v>0</v>
      </c>
      <c r="AU47">
        <f t="shared" si="28"/>
        <v>0</v>
      </c>
      <c r="AY47" s="50"/>
    </row>
    <row r="48" spans="1:51">
      <c r="A48">
        <v>2045</v>
      </c>
      <c r="B48" s="50">
        <f>'Future Type Share'!AB46*'Future EndUse Share'!AD56</f>
        <v>1641.8900349219628</v>
      </c>
      <c r="C48">
        <f>'Future Type Share'!R46*'Future Type Share'!Y46*0.5*'Future EndUse Share'!R56</f>
        <v>0</v>
      </c>
      <c r="D48">
        <f>'Future Type Share'!X46*'Future EndUse Share'!R56</f>
        <v>0</v>
      </c>
      <c r="E48" s="50">
        <f t="shared" si="16"/>
        <v>0</v>
      </c>
      <c r="F48">
        <f t="shared" si="17"/>
        <v>0</v>
      </c>
      <c r="G48">
        <f t="shared" si="18"/>
        <v>0</v>
      </c>
      <c r="K48">
        <v>2045</v>
      </c>
      <c r="L48" s="50">
        <f>'Future Type Share'!AB46*'Future EndUse Share'!AB56</f>
        <v>11259.071123505439</v>
      </c>
      <c r="M48" s="50">
        <f t="shared" si="19"/>
        <v>0</v>
      </c>
      <c r="N48" s="50">
        <f>'Future Type Share'!X46*'Future EndUse Share'!P56</f>
        <v>0</v>
      </c>
      <c r="O48" s="50">
        <f t="shared" si="20"/>
        <v>0</v>
      </c>
      <c r="P48" s="50">
        <f t="shared" si="21"/>
        <v>0</v>
      </c>
      <c r="Q48" s="50">
        <f t="shared" si="22"/>
        <v>0</v>
      </c>
      <c r="U48">
        <v>2045</v>
      </c>
      <c r="V48" s="50">
        <f t="shared" si="10"/>
        <v>0</v>
      </c>
      <c r="W48" s="50">
        <f t="shared" si="12"/>
        <v>0</v>
      </c>
      <c r="X48" s="50">
        <f t="shared" si="13"/>
        <v>0</v>
      </c>
      <c r="Y48" s="50">
        <f t="shared" si="14"/>
        <v>0</v>
      </c>
      <c r="Z48" s="50">
        <f t="shared" si="15"/>
        <v>0</v>
      </c>
      <c r="AA48" s="50">
        <f t="shared" si="11"/>
        <v>0</v>
      </c>
      <c r="AE48">
        <v>2045</v>
      </c>
      <c r="AF48" s="50">
        <f>'Future Type Share'!AB46*('Future EndUse Share'!AC56+'Future EndUse Share'!AE56+'Future EndUse Share'!AF56+'Future EndUse Share'!AA56)</f>
        <v>16106.230708525929</v>
      </c>
      <c r="AG48">
        <f>'Future Type Share'!R46*'Future Type Share'!AA46*0.5*('Future EndUse Share'!AC56+'Future EndUse Share'!AE56+'Future EndUse Share'!AF56+'Future EndUse Share'!AA56)</f>
        <v>0</v>
      </c>
      <c r="AH48">
        <f>'Future Type Share'!R46*'Future Type Share'!Y46*('Future EndUse Share'!Q56+'Future EndUse Share'!S56+'Future EndUse Share'!T56+'Future EndUse Share'!O56)</f>
        <v>8593.5900736560106</v>
      </c>
      <c r="AI48" s="50">
        <f t="shared" si="23"/>
        <v>0</v>
      </c>
      <c r="AJ48">
        <f t="shared" si="24"/>
        <v>0</v>
      </c>
      <c r="AK48">
        <f t="shared" si="25"/>
        <v>0</v>
      </c>
      <c r="AO48">
        <v>2045</v>
      </c>
      <c r="AP48" s="50">
        <f>'Future Type Share'!AB46*('Future EndUse Share'!AG56)</f>
        <v>3405.9820983164391</v>
      </c>
      <c r="AQ48" s="50">
        <f>'Future Type Share'!Z46*0.5*('Future EndUse Share'!U45)</f>
        <v>0</v>
      </c>
      <c r="AR48" s="50">
        <f>'Future Type Share'!X46*0.5*('Future EndUse Share'!U56)</f>
        <v>20.243417061644383</v>
      </c>
      <c r="AS48" s="50">
        <f t="shared" si="26"/>
        <v>0</v>
      </c>
      <c r="AT48">
        <f t="shared" si="27"/>
        <v>0</v>
      </c>
      <c r="AU48">
        <f t="shared" si="28"/>
        <v>0</v>
      </c>
      <c r="AY48" s="50"/>
    </row>
    <row r="49" spans="1:51">
      <c r="A49">
        <v>2046</v>
      </c>
      <c r="B49" s="50">
        <f>'Future Type Share'!AB47*'Future EndUse Share'!AD57</f>
        <v>1651.4854869665257</v>
      </c>
      <c r="C49">
        <f>'Future Type Share'!R47*'Future Type Share'!Y47*0.5*'Future EndUse Share'!R57</f>
        <v>0</v>
      </c>
      <c r="D49">
        <f>'Future Type Share'!X47*'Future EndUse Share'!R57</f>
        <v>0</v>
      </c>
      <c r="E49" s="50">
        <f t="shared" si="16"/>
        <v>0</v>
      </c>
      <c r="F49">
        <f t="shared" si="17"/>
        <v>0</v>
      </c>
      <c r="G49">
        <f t="shared" si="18"/>
        <v>0</v>
      </c>
      <c r="K49">
        <v>2046</v>
      </c>
      <c r="L49" s="50">
        <f>'Future Type Share'!AB47*'Future EndUse Share'!AB57</f>
        <v>11296.343369469228</v>
      </c>
      <c r="M49" s="50">
        <f t="shared" si="19"/>
        <v>0</v>
      </c>
      <c r="N49" s="50">
        <f>'Future Type Share'!X47*'Future EndUse Share'!P57</f>
        <v>0</v>
      </c>
      <c r="O49" s="50">
        <f t="shared" si="20"/>
        <v>0</v>
      </c>
      <c r="P49" s="50">
        <f t="shared" si="21"/>
        <v>0</v>
      </c>
      <c r="Q49" s="50">
        <f t="shared" si="22"/>
        <v>0</v>
      </c>
      <c r="U49">
        <v>2046</v>
      </c>
      <c r="V49" s="50">
        <f t="shared" si="10"/>
        <v>0</v>
      </c>
      <c r="W49" s="50">
        <f t="shared" si="12"/>
        <v>0</v>
      </c>
      <c r="X49" s="50">
        <f t="shared" si="13"/>
        <v>0</v>
      </c>
      <c r="Y49" s="50">
        <f t="shared" si="14"/>
        <v>0</v>
      </c>
      <c r="Z49" s="50">
        <f t="shared" si="15"/>
        <v>0</v>
      </c>
      <c r="AA49" s="50">
        <f t="shared" si="11"/>
        <v>0</v>
      </c>
      <c r="AE49">
        <v>2046</v>
      </c>
      <c r="AF49" s="50">
        <f>'Future Type Share'!AB47*('Future EndUse Share'!AC57+'Future EndUse Share'!AE57+'Future EndUse Share'!AF57+'Future EndUse Share'!AA57)</f>
        <v>16309.476007214651</v>
      </c>
      <c r="AG49">
        <f>'Future Type Share'!R47*'Future Type Share'!AA47*0.5*('Future EndUse Share'!AC57+'Future EndUse Share'!AE57+'Future EndUse Share'!AF57+'Future EndUse Share'!AA57)</f>
        <v>0</v>
      </c>
      <c r="AH49">
        <f>'Future Type Share'!R47*'Future Type Share'!Y47*('Future EndUse Share'!Q57+'Future EndUse Share'!S57+'Future EndUse Share'!T57+'Future EndUse Share'!O57)</f>
        <v>8558.7912005217568</v>
      </c>
      <c r="AI49" s="50">
        <f t="shared" si="23"/>
        <v>0</v>
      </c>
      <c r="AJ49">
        <f t="shared" si="24"/>
        <v>0</v>
      </c>
      <c r="AK49">
        <f t="shared" si="25"/>
        <v>0</v>
      </c>
      <c r="AO49">
        <v>2046</v>
      </c>
      <c r="AP49" s="50">
        <f>'Future Type Share'!AB47*('Future EndUse Share'!AG57)</f>
        <v>3430.7182232042733</v>
      </c>
      <c r="AQ49" s="50">
        <f>'Future Type Share'!Z47*0.5*('Future EndUse Share'!U46)</f>
        <v>0</v>
      </c>
      <c r="AR49" s="50">
        <f>'Future Type Share'!X47*0.5*('Future EndUse Share'!U57)</f>
        <v>20.161443393352773</v>
      </c>
      <c r="AS49" s="50">
        <f t="shared" si="26"/>
        <v>0</v>
      </c>
      <c r="AT49">
        <f t="shared" si="27"/>
        <v>0</v>
      </c>
      <c r="AU49">
        <f t="shared" si="28"/>
        <v>0</v>
      </c>
      <c r="AY49" s="50"/>
    </row>
    <row r="50" spans="1:51">
      <c r="A50">
        <v>2047</v>
      </c>
      <c r="B50" s="50">
        <f>'Future Type Share'!AB48*'Future EndUse Share'!AD58</f>
        <v>1659.5820728387548</v>
      </c>
      <c r="C50">
        <f>'Future Type Share'!R48*'Future Type Share'!Y48*0.5*'Future EndUse Share'!R58</f>
        <v>0</v>
      </c>
      <c r="D50">
        <f>'Future Type Share'!X48*'Future EndUse Share'!R58</f>
        <v>0</v>
      </c>
      <c r="E50" s="50">
        <f t="shared" si="16"/>
        <v>0</v>
      </c>
      <c r="F50">
        <f t="shared" si="17"/>
        <v>0</v>
      </c>
      <c r="G50">
        <f t="shared" si="18"/>
        <v>0</v>
      </c>
      <c r="K50">
        <v>2047</v>
      </c>
      <c r="L50" s="50">
        <f>'Future Type Share'!AB48*'Future EndUse Share'!AB58</f>
        <v>11323.057596037313</v>
      </c>
      <c r="M50" s="50">
        <f t="shared" si="19"/>
        <v>0</v>
      </c>
      <c r="N50" s="50">
        <f>'Future Type Share'!X48*'Future EndUse Share'!P58</f>
        <v>0</v>
      </c>
      <c r="O50" s="50">
        <f t="shared" si="20"/>
        <v>0</v>
      </c>
      <c r="P50" s="50">
        <f t="shared" si="21"/>
        <v>0</v>
      </c>
      <c r="Q50" s="50">
        <f t="shared" si="22"/>
        <v>0</v>
      </c>
      <c r="U50">
        <v>2047</v>
      </c>
      <c r="V50" s="50">
        <f t="shared" si="10"/>
        <v>0</v>
      </c>
      <c r="W50" s="50">
        <f t="shared" si="12"/>
        <v>0</v>
      </c>
      <c r="X50" s="50">
        <f t="shared" si="13"/>
        <v>0</v>
      </c>
      <c r="Y50" s="50">
        <f t="shared" si="14"/>
        <v>0</v>
      </c>
      <c r="Z50" s="50">
        <f t="shared" si="15"/>
        <v>0</v>
      </c>
      <c r="AA50" s="50">
        <f t="shared" si="11"/>
        <v>0</v>
      </c>
      <c r="AE50">
        <v>2047</v>
      </c>
      <c r="AF50" s="50">
        <f>'Future Type Share'!AB48*('Future EndUse Share'!AC58+'Future EndUse Share'!AE58+'Future EndUse Share'!AF58+'Future EndUse Share'!AA58)</f>
        <v>16499.088003593537</v>
      </c>
      <c r="AG50">
        <f>'Future Type Share'!R48*'Future Type Share'!AA48*0.5*('Future EndUse Share'!AC58+'Future EndUse Share'!AE58+'Future EndUse Share'!AF58+'Future EndUse Share'!AA58)</f>
        <v>0</v>
      </c>
      <c r="AH50">
        <f>'Future Type Share'!R48*'Future Type Share'!Y48*('Future EndUse Share'!Q58+'Future EndUse Share'!S58+'Future EndUse Share'!T58+'Future EndUse Share'!O58)</f>
        <v>8515.3136684912442</v>
      </c>
      <c r="AI50" s="50">
        <f t="shared" si="23"/>
        <v>0</v>
      </c>
      <c r="AJ50">
        <f t="shared" si="24"/>
        <v>0</v>
      </c>
      <c r="AK50">
        <f t="shared" si="25"/>
        <v>0</v>
      </c>
      <c r="AO50">
        <v>2047</v>
      </c>
      <c r="AP50" s="50">
        <f>'Future Type Share'!AB48*('Future EndUse Share'!AG58)</f>
        <v>3452.3924281753148</v>
      </c>
      <c r="AQ50" s="50">
        <f>'Future Type Share'!Z48*0.5*('Future EndUse Share'!U47)</f>
        <v>0</v>
      </c>
      <c r="AR50" s="50">
        <f>'Future Type Share'!X48*0.5*('Future EndUse Share'!U58)</f>
        <v>20.059025916354102</v>
      </c>
      <c r="AS50" s="50">
        <f t="shared" si="26"/>
        <v>0</v>
      </c>
      <c r="AT50">
        <f t="shared" si="27"/>
        <v>0</v>
      </c>
      <c r="AU50">
        <f t="shared" si="28"/>
        <v>0</v>
      </c>
      <c r="AY50" s="50"/>
    </row>
    <row r="51" spans="1:51">
      <c r="A51">
        <v>2048</v>
      </c>
      <c r="B51" s="50">
        <f>'Future Type Share'!AB49*'Future EndUse Share'!AD59</f>
        <v>1667.9513178266448</v>
      </c>
      <c r="C51">
        <f>'Future Type Share'!R49*'Future Type Share'!Y49*0.5*'Future EndUse Share'!R59</f>
        <v>0</v>
      </c>
      <c r="D51">
        <f>'Future Type Share'!X49*'Future EndUse Share'!R59</f>
        <v>0</v>
      </c>
      <c r="E51" s="50">
        <f t="shared" si="16"/>
        <v>0</v>
      </c>
      <c r="F51">
        <f t="shared" si="17"/>
        <v>0</v>
      </c>
      <c r="G51">
        <f t="shared" si="18"/>
        <v>0</v>
      </c>
      <c r="K51">
        <v>2048</v>
      </c>
      <c r="L51" s="50">
        <f>'Future Type Share'!AB49*'Future EndUse Share'!AB59</f>
        <v>11351.347703505564</v>
      </c>
      <c r="M51" s="50">
        <f t="shared" si="19"/>
        <v>0</v>
      </c>
      <c r="N51" s="50">
        <f>'Future Type Share'!X49*'Future EndUse Share'!P59</f>
        <v>0</v>
      </c>
      <c r="O51" s="50">
        <f t="shared" si="20"/>
        <v>0</v>
      </c>
      <c r="P51" s="50">
        <f t="shared" si="21"/>
        <v>0</v>
      </c>
      <c r="Q51" s="50">
        <f t="shared" si="22"/>
        <v>0</v>
      </c>
      <c r="U51">
        <v>2048</v>
      </c>
      <c r="V51" s="50">
        <f t="shared" si="10"/>
        <v>0</v>
      </c>
      <c r="W51" s="50">
        <f t="shared" si="12"/>
        <v>0</v>
      </c>
      <c r="X51" s="50">
        <f t="shared" si="13"/>
        <v>0</v>
      </c>
      <c r="Y51" s="50">
        <f t="shared" si="14"/>
        <v>0</v>
      </c>
      <c r="Z51" s="50">
        <f t="shared" si="15"/>
        <v>0</v>
      </c>
      <c r="AA51" s="50">
        <f t="shared" si="11"/>
        <v>0</v>
      </c>
      <c r="AE51">
        <v>2048</v>
      </c>
      <c r="AF51" s="50">
        <f>'Future Type Share'!AB49*('Future EndUse Share'!AC59+'Future EndUse Share'!AE59+'Future EndUse Share'!AF59+'Future EndUse Share'!AA59)</f>
        <v>16692.498640056514</v>
      </c>
      <c r="AG51">
        <f>'Future Type Share'!R49*'Future Type Share'!AA49*0.5*('Future EndUse Share'!AC59+'Future EndUse Share'!AE59+'Future EndUse Share'!AF59+'Future EndUse Share'!AA59)</f>
        <v>0</v>
      </c>
      <c r="AH51">
        <f>'Future Type Share'!R49*'Future Type Share'!Y49*('Future EndUse Share'!Q59+'Future EndUse Share'!S59+'Future EndUse Share'!T59+'Future EndUse Share'!O59)</f>
        <v>8472.3874628509548</v>
      </c>
      <c r="AI51" s="50">
        <f t="shared" si="23"/>
        <v>0</v>
      </c>
      <c r="AJ51">
        <f t="shared" si="24"/>
        <v>0</v>
      </c>
      <c r="AK51">
        <f t="shared" si="25"/>
        <v>0</v>
      </c>
      <c r="AO51">
        <v>2048</v>
      </c>
      <c r="AP51" s="50">
        <f>'Future Type Share'!AB49*('Future EndUse Share'!AG59)</f>
        <v>3474.6820070931367</v>
      </c>
      <c r="AQ51" s="50">
        <f>'Future Type Share'!Z49*0.5*('Future EndUse Share'!U48)</f>
        <v>0</v>
      </c>
      <c r="AR51" s="50">
        <f>'Future Type Share'!X49*0.5*('Future EndUse Share'!U59)</f>
        <v>19.95790716665784</v>
      </c>
      <c r="AS51" s="50">
        <f t="shared" si="26"/>
        <v>0</v>
      </c>
      <c r="AT51">
        <f t="shared" si="27"/>
        <v>0</v>
      </c>
      <c r="AU51">
        <f t="shared" si="28"/>
        <v>0</v>
      </c>
      <c r="AY51" s="50"/>
    </row>
    <row r="52" spans="1:51">
      <c r="A52">
        <v>2049</v>
      </c>
      <c r="B52" s="50">
        <f>'Future Type Share'!AB50*'Future EndUse Share'!AD60</f>
        <v>1675.508845732071</v>
      </c>
      <c r="C52">
        <f>'Future Type Share'!R50*'Future Type Share'!Y50*0.5*'Future EndUse Share'!R60</f>
        <v>0</v>
      </c>
      <c r="D52">
        <f>'Future Type Share'!X50*'Future EndUse Share'!R60</f>
        <v>0</v>
      </c>
      <c r="E52" s="50">
        <f t="shared" si="16"/>
        <v>0</v>
      </c>
      <c r="F52">
        <f t="shared" si="17"/>
        <v>0</v>
      </c>
      <c r="G52">
        <f t="shared" si="18"/>
        <v>0</v>
      </c>
      <c r="K52">
        <v>2049</v>
      </c>
      <c r="L52" s="50">
        <f>'Future Type Share'!AB50*'Future EndUse Share'!AB60</f>
        <v>11373.838503112935</v>
      </c>
      <c r="M52" s="50">
        <f t="shared" si="19"/>
        <v>0</v>
      </c>
      <c r="N52" s="50">
        <f>'Future Type Share'!X50*'Future EndUse Share'!P60</f>
        <v>0</v>
      </c>
      <c r="O52" s="50">
        <f t="shared" si="20"/>
        <v>0</v>
      </c>
      <c r="P52" s="50">
        <f t="shared" si="21"/>
        <v>0</v>
      </c>
      <c r="Q52" s="50">
        <f t="shared" si="22"/>
        <v>0</v>
      </c>
      <c r="U52">
        <v>2049</v>
      </c>
      <c r="V52" s="50">
        <f t="shared" si="10"/>
        <v>0</v>
      </c>
      <c r="W52" s="50">
        <f t="shared" si="12"/>
        <v>0</v>
      </c>
      <c r="X52" s="50">
        <f t="shared" si="13"/>
        <v>0</v>
      </c>
      <c r="Y52" s="50">
        <f t="shared" si="14"/>
        <v>0</v>
      </c>
      <c r="Z52" s="50">
        <f t="shared" si="15"/>
        <v>0</v>
      </c>
      <c r="AA52" s="50">
        <f t="shared" si="11"/>
        <v>0</v>
      </c>
      <c r="AE52">
        <v>2049</v>
      </c>
      <c r="AF52" s="50">
        <f>'Future Type Share'!AB50*('Future EndUse Share'!AC60+'Future EndUse Share'!AE60+'Future EndUse Share'!AF60+'Future EndUse Share'!AA60)</f>
        <v>16878.838110768829</v>
      </c>
      <c r="AG52">
        <f>'Future Type Share'!R50*'Future Type Share'!AA50*0.5*('Future EndUse Share'!AC60+'Future EndUse Share'!AE60+'Future EndUse Share'!AF60+'Future EndUse Share'!AA60)</f>
        <v>0</v>
      </c>
      <c r="AH52">
        <f>'Future Type Share'!R50*'Future Type Share'!Y50*('Future EndUse Share'!Q60+'Future EndUse Share'!S60+'Future EndUse Share'!T60+'Future EndUse Share'!O60)</f>
        <v>8424.5181906527851</v>
      </c>
      <c r="AI52" s="50">
        <f t="shared" si="23"/>
        <v>0</v>
      </c>
      <c r="AJ52">
        <f t="shared" si="24"/>
        <v>0</v>
      </c>
      <c r="AK52">
        <f t="shared" si="25"/>
        <v>0</v>
      </c>
      <c r="AO52">
        <v>2049</v>
      </c>
      <c r="AP52" s="50">
        <f>'Future Type Share'!AB50*('Future EndUse Share'!AG60)</f>
        <v>3495.3272043862739</v>
      </c>
      <c r="AQ52" s="50">
        <f>'Future Type Share'!Z50*0.5*('Future EndUse Share'!U49)</f>
        <v>0</v>
      </c>
      <c r="AR52" s="50">
        <f>'Future Type Share'!X50*0.5*('Future EndUse Share'!U60)</f>
        <v>19.845144324441812</v>
      </c>
      <c r="AS52" s="50">
        <f t="shared" si="26"/>
        <v>0</v>
      </c>
      <c r="AT52">
        <f t="shared" si="27"/>
        <v>0</v>
      </c>
      <c r="AU52">
        <f t="shared" si="28"/>
        <v>0</v>
      </c>
      <c r="AY52" s="50"/>
    </row>
    <row r="53" spans="1:51">
      <c r="A53">
        <v>2050</v>
      </c>
      <c r="B53" s="50">
        <f>'Future Type Share'!AB51*'Future EndUse Share'!AD61</f>
        <v>1682.6156542986723</v>
      </c>
      <c r="C53">
        <f>'Future Type Share'!R51*'Future Type Share'!Y51*0.5*'Future EndUse Share'!R61</f>
        <v>0</v>
      </c>
      <c r="D53">
        <f>'Future Type Share'!X51*'Future EndUse Share'!R61</f>
        <v>0</v>
      </c>
      <c r="E53" s="50">
        <f t="shared" si="16"/>
        <v>0</v>
      </c>
      <c r="F53">
        <f t="shared" si="17"/>
        <v>0</v>
      </c>
      <c r="G53">
        <f t="shared" si="18"/>
        <v>0</v>
      </c>
      <c r="K53">
        <v>2050</v>
      </c>
      <c r="L53" s="50">
        <f>'Future Type Share'!AB51*'Future EndUse Share'!AB61</f>
        <v>11393.016380469546</v>
      </c>
      <c r="M53" s="50">
        <f t="shared" si="19"/>
        <v>0</v>
      </c>
      <c r="N53" s="50">
        <f>'Future Type Share'!X51*'Future EndUse Share'!P61</f>
        <v>0</v>
      </c>
      <c r="O53" s="50">
        <f t="shared" si="20"/>
        <v>0</v>
      </c>
      <c r="P53" s="50">
        <f t="shared" si="21"/>
        <v>0</v>
      </c>
      <c r="Q53" s="50">
        <f t="shared" si="22"/>
        <v>0</v>
      </c>
      <c r="U53">
        <v>2050</v>
      </c>
      <c r="V53" s="50">
        <f t="shared" si="10"/>
        <v>0</v>
      </c>
      <c r="W53" s="50">
        <f t="shared" si="12"/>
        <v>0</v>
      </c>
      <c r="X53" s="50">
        <f t="shared" si="13"/>
        <v>0</v>
      </c>
      <c r="Y53" s="50">
        <f t="shared" si="14"/>
        <v>0</v>
      </c>
      <c r="Z53" s="50">
        <f t="shared" si="15"/>
        <v>0</v>
      </c>
      <c r="AA53" s="50">
        <f t="shared" si="11"/>
        <v>0</v>
      </c>
      <c r="AE53">
        <v>2050</v>
      </c>
      <c r="AF53" s="50">
        <f>'Future Type Share'!AB51*('Future EndUse Share'!AC61+'Future EndUse Share'!AE61+'Future EndUse Share'!AF61+'Future EndUse Share'!AA61)</f>
        <v>17061.606010847372</v>
      </c>
      <c r="AG53">
        <f>'Future Type Share'!R51*'Future Type Share'!AA51*0.5*('Future EndUse Share'!AC61+'Future EndUse Share'!AE61+'Future EndUse Share'!AF61+'Future EndUse Share'!AA61)</f>
        <v>0</v>
      </c>
      <c r="AH53">
        <f>'Future Type Share'!R51*'Future Type Share'!Y51*('Future EndUse Share'!Q61+'Future EndUse Share'!S61+'Future EndUse Share'!T61+'Future EndUse Share'!O61)</f>
        <v>8373.6277421452778</v>
      </c>
      <c r="AI53" s="50">
        <f t="shared" si="23"/>
        <v>0</v>
      </c>
      <c r="AJ53">
        <f t="shared" si="24"/>
        <v>0</v>
      </c>
      <c r="AK53">
        <f t="shared" si="25"/>
        <v>0</v>
      </c>
      <c r="AO53">
        <v>2050</v>
      </c>
      <c r="AP53" s="50">
        <f>'Future Type Share'!AB51*('Future EndUse Share'!AG61)</f>
        <v>3515.0750403578336</v>
      </c>
      <c r="AQ53" s="50">
        <f>'Future Type Share'!Z51*0.5*('Future EndUse Share'!U50)</f>
        <v>0</v>
      </c>
      <c r="AR53" s="50">
        <f>'Future Type Share'!X51*0.5*('Future EndUse Share'!U61)</f>
        <v>19.72526467405568</v>
      </c>
      <c r="AS53" s="50">
        <f t="shared" si="26"/>
        <v>0</v>
      </c>
      <c r="AT53">
        <f t="shared" si="27"/>
        <v>0</v>
      </c>
      <c r="AU53">
        <f t="shared" si="28"/>
        <v>0</v>
      </c>
      <c r="AY53" s="50"/>
    </row>
    <row r="64" spans="1:51">
      <c r="U64" s="50"/>
      <c r="V64" s="50"/>
    </row>
    <row r="65" spans="19:22">
      <c r="S65" s="488"/>
      <c r="T65" s="50"/>
      <c r="U65" s="50"/>
      <c r="V65" s="50"/>
    </row>
    <row r="66" spans="19:22">
      <c r="S66" s="488"/>
      <c r="T66" s="50"/>
      <c r="U66" s="50"/>
      <c r="V66" s="50"/>
    </row>
    <row r="67" spans="19:22">
      <c r="S67" s="488"/>
      <c r="T67" s="50"/>
      <c r="U67" s="50"/>
      <c r="V67" s="50"/>
    </row>
    <row r="68" spans="19:22">
      <c r="S68" s="488"/>
      <c r="T68" s="50"/>
    </row>
  </sheetData>
  <phoneticPr fontId="3"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U55"/>
  <sheetViews>
    <sheetView zoomScale="85" workbookViewId="0">
      <selection activeCell="D42" sqref="D42"/>
    </sheetView>
  </sheetViews>
  <sheetFormatPr baseColWidth="10" defaultColWidth="8.796875" defaultRowHeight="14"/>
  <cols>
    <col min="1" max="1" width="5.796875" customWidth="1"/>
    <col min="2" max="2" width="11.19921875" customWidth="1"/>
    <col min="11" max="11" width="6.19921875" customWidth="1"/>
  </cols>
  <sheetData>
    <row r="1" spans="1:47" ht="22">
      <c r="A1" s="100" t="s">
        <v>962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TRANSPOSE(Private_1!B9:G53)</f>
        <v>2062.5449866785084</v>
      </c>
      <c r="D5">
        <v>2020.5925866236907</v>
      </c>
      <c r="E5">
        <v>1948.9996524355449</v>
      </c>
      <c r="F5">
        <v>2086.4773371695028</v>
      </c>
      <c r="G5">
        <v>2067.0811458436051</v>
      </c>
      <c r="H5">
        <v>2105.3912184772653</v>
      </c>
      <c r="I5">
        <v>2107.9685254565184</v>
      </c>
      <c r="J5">
        <v>1776.9750281435076</v>
      </c>
      <c r="K5">
        <v>1671.1601034882681</v>
      </c>
      <c r="L5">
        <v>1429.1965366353224</v>
      </c>
      <c r="M5">
        <v>1318.7286104763184</v>
      </c>
      <c r="N5">
        <v>1220</v>
      </c>
      <c r="O5">
        <v>1202</v>
      </c>
      <c r="P5">
        <v>1239</v>
      </c>
      <c r="Q5">
        <v>1288.2993760462639</v>
      </c>
      <c r="R5">
        <v>1269.3222616536375</v>
      </c>
      <c r="S5">
        <v>1294.3703058388046</v>
      </c>
      <c r="T5">
        <v>1320.9680806815595</v>
      </c>
      <c r="U5">
        <v>1334.5895448718593</v>
      </c>
      <c r="V5">
        <v>1349.3702978855888</v>
      </c>
      <c r="W5">
        <v>1365.6174488888519</v>
      </c>
      <c r="X5">
        <v>1380.7499547005475</v>
      </c>
      <c r="Y5">
        <v>1396.2670766029808</v>
      </c>
      <c r="Z5">
        <v>1419.8443019826095</v>
      </c>
      <c r="AA5">
        <v>1433.4154888006524</v>
      </c>
      <c r="AB5">
        <v>1456.7350181829961</v>
      </c>
      <c r="AC5">
        <v>1472.1964847785694</v>
      </c>
      <c r="AD5">
        <v>1493.0042073563036</v>
      </c>
      <c r="AE5">
        <v>1506.9675036289473</v>
      </c>
      <c r="AF5">
        <v>1519.9366700340879</v>
      </c>
      <c r="AG5">
        <v>1521.0026960249875</v>
      </c>
      <c r="AH5">
        <v>1539.9592245003141</v>
      </c>
      <c r="AI5">
        <v>1555.2533165490008</v>
      </c>
      <c r="AJ5">
        <v>1570.1820596564064</v>
      </c>
      <c r="AK5">
        <v>1584.5938954253975</v>
      </c>
      <c r="AL5">
        <v>1597.864124710703</v>
      </c>
      <c r="AM5">
        <v>1610.0510225241896</v>
      </c>
      <c r="AN5">
        <v>1621.6140257367288</v>
      </c>
      <c r="AO5">
        <v>1632.2680819162324</v>
      </c>
      <c r="AP5">
        <v>1641.8900349219628</v>
      </c>
      <c r="AQ5">
        <v>1651.4854869665257</v>
      </c>
      <c r="AR5">
        <v>1659.5820728387548</v>
      </c>
      <c r="AS5">
        <v>1667.9513178266448</v>
      </c>
      <c r="AT5">
        <v>1675.508845732071</v>
      </c>
      <c r="AU5">
        <v>1682.6156542986723</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TRANSPOSE(Private_1!L9:Q53)</f>
        <v>5878.4452553285973</v>
      </c>
      <c r="D14">
        <v>5942.4665785656725</v>
      </c>
      <c r="E14">
        <v>5918.1303314831148</v>
      </c>
      <c r="F14">
        <v>6489.5511086859469</v>
      </c>
      <c r="G14">
        <v>6595.108761463367</v>
      </c>
      <c r="H14">
        <v>6878.821308645548</v>
      </c>
      <c r="I14">
        <v>7030.3805350823386</v>
      </c>
      <c r="J14">
        <v>6556.0327345700161</v>
      </c>
      <c r="K14">
        <v>7938.0104915692746</v>
      </c>
      <c r="L14">
        <v>7666.2102225118697</v>
      </c>
      <c r="M14">
        <v>7959.2300398799116</v>
      </c>
      <c r="N14">
        <v>8202</v>
      </c>
      <c r="O14">
        <v>7999.9999999999991</v>
      </c>
      <c r="P14">
        <v>8203</v>
      </c>
      <c r="Q14">
        <v>9024.9275229543964</v>
      </c>
      <c r="R14">
        <v>9082.337381809155</v>
      </c>
      <c r="S14">
        <v>9390.2452007118391</v>
      </c>
      <c r="T14">
        <v>9560.3854438318976</v>
      </c>
      <c r="U14">
        <v>9635.9160878670682</v>
      </c>
      <c r="V14">
        <v>9719.3263385055743</v>
      </c>
      <c r="W14">
        <v>9812.7628793273543</v>
      </c>
      <c r="X14">
        <v>9897.6479938056054</v>
      </c>
      <c r="Y14">
        <v>9984.7607208020145</v>
      </c>
      <c r="Z14">
        <v>10128.836255844775</v>
      </c>
      <c r="AA14">
        <v>10200.889363638433</v>
      </c>
      <c r="AB14">
        <v>10341.679226474767</v>
      </c>
      <c r="AC14">
        <v>10426.013093993877</v>
      </c>
      <c r="AD14">
        <v>10547.582339785153</v>
      </c>
      <c r="AE14">
        <v>10620.197342788566</v>
      </c>
      <c r="AF14">
        <v>10685.341092135592</v>
      </c>
      <c r="AG14">
        <v>10666.561864039759</v>
      </c>
      <c r="AH14">
        <v>10772.900158096561</v>
      </c>
      <c r="AI14">
        <v>10853.025964737077</v>
      </c>
      <c r="AJ14">
        <v>10930.080192741725</v>
      </c>
      <c r="AK14">
        <v>11003.029390873289</v>
      </c>
      <c r="AL14">
        <v>11067.573380087797</v>
      </c>
      <c r="AM14">
        <v>11124.17395414129</v>
      </c>
      <c r="AN14">
        <v>11176.05366053169</v>
      </c>
      <c r="AO14">
        <v>11221.285192335205</v>
      </c>
      <c r="AP14">
        <v>11259.071123505439</v>
      </c>
      <c r="AQ14">
        <v>11296.343369469228</v>
      </c>
      <c r="AR14">
        <v>11323.057596037313</v>
      </c>
      <c r="AS14">
        <v>11351.347703505564</v>
      </c>
      <c r="AT14">
        <v>11373.838503112935</v>
      </c>
      <c r="AU14">
        <v>11393.016380469546</v>
      </c>
    </row>
    <row r="15" spans="1:47">
      <c r="B15" t="s">
        <v>945</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947</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TRANSPOSE(Private_1!V9:AA53)</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TRANSPOSE(Private_1!AF9:AK53)</f>
        <v>8503.6770959147434</v>
      </c>
      <c r="D32">
        <v>9044.5572925060424</v>
      </c>
      <c r="E32">
        <v>9474.6990403071013</v>
      </c>
      <c r="F32">
        <v>9718.9212004563724</v>
      </c>
      <c r="G32">
        <v>9324.6429099694305</v>
      </c>
      <c r="H32">
        <v>9294.6717585225924</v>
      </c>
      <c r="I32">
        <v>9178.4462879252569</v>
      </c>
      <c r="J32">
        <v>9105.8117370662239</v>
      </c>
      <c r="K32">
        <v>9612.0321705772149</v>
      </c>
      <c r="L32">
        <v>9193.5449213294833</v>
      </c>
      <c r="M32">
        <v>9724.5476721781615</v>
      </c>
      <c r="N32">
        <v>10145.999999999998</v>
      </c>
      <c r="O32">
        <v>9978</v>
      </c>
      <c r="P32">
        <v>10191</v>
      </c>
      <c r="Q32">
        <v>10618.71000862375</v>
      </c>
      <c r="R32">
        <v>10421.906532655003</v>
      </c>
      <c r="S32">
        <v>10730.194810490071</v>
      </c>
      <c r="T32">
        <v>11037.967486215935</v>
      </c>
      <c r="U32">
        <v>11239.967913481965</v>
      </c>
      <c r="V32">
        <v>11453.608529305749</v>
      </c>
      <c r="W32">
        <v>11681.746194682812</v>
      </c>
      <c r="X32">
        <v>11902.422315251595</v>
      </c>
      <c r="Y32">
        <v>12128.439029105501</v>
      </c>
      <c r="Z32">
        <v>12427.051543812086</v>
      </c>
      <c r="AA32">
        <v>12640.541657417412</v>
      </c>
      <c r="AB32">
        <v>12942.434775016061</v>
      </c>
      <c r="AC32">
        <v>13177.07490687485</v>
      </c>
      <c r="AD32">
        <v>13461.963759958087</v>
      </c>
      <c r="AE32">
        <v>13687.435922019995</v>
      </c>
      <c r="AF32">
        <v>13905.658133227729</v>
      </c>
      <c r="AG32">
        <v>14015.907754308535</v>
      </c>
      <c r="AH32">
        <v>14292.339745872459</v>
      </c>
      <c r="AI32">
        <v>14537.04374702222</v>
      </c>
      <c r="AJ32">
        <v>14780.329713856658</v>
      </c>
      <c r="AK32">
        <v>15020.688574684742</v>
      </c>
      <c r="AL32">
        <v>15252.054943056497</v>
      </c>
      <c r="AM32">
        <v>15474.762633473389</v>
      </c>
      <c r="AN32">
        <v>15693.043074537782</v>
      </c>
      <c r="AO32">
        <v>15903.995192266793</v>
      </c>
      <c r="AP32">
        <v>16106.230708525929</v>
      </c>
      <c r="AQ32">
        <v>16309.476007214651</v>
      </c>
      <c r="AR32">
        <v>16499.088003593537</v>
      </c>
      <c r="AS32">
        <v>16692.498640056514</v>
      </c>
      <c r="AT32">
        <v>16878.838110768829</v>
      </c>
      <c r="AU32">
        <v>17061.606010847372</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8903.0403148261139</v>
      </c>
      <c r="D34">
        <v>8812.1096341463417</v>
      </c>
      <c r="E34">
        <v>9130.4784686609692</v>
      </c>
      <c r="F34">
        <v>9128.6333214072747</v>
      </c>
      <c r="G34">
        <v>9476.4109374999989</v>
      </c>
      <c r="H34">
        <v>9320.6589446098878</v>
      </c>
      <c r="I34">
        <v>9089.0119028290283</v>
      </c>
      <c r="J34">
        <v>9114.5374860404536</v>
      </c>
      <c r="K34">
        <v>9159.8910701107015</v>
      </c>
      <c r="L34">
        <v>8761.823665893271</v>
      </c>
      <c r="M34">
        <v>9125.1319055195199</v>
      </c>
      <c r="N34">
        <v>8156</v>
      </c>
      <c r="O34">
        <v>8574</v>
      </c>
      <c r="P34">
        <v>7941.9999999999982</v>
      </c>
      <c r="Q34">
        <v>8492.0400537716214</v>
      </c>
      <c r="R34">
        <v>8076.4409546262978</v>
      </c>
      <c r="S34">
        <v>8307.318671164534</v>
      </c>
      <c r="T34">
        <v>8410.0186766784518</v>
      </c>
      <c r="U34">
        <v>8428.0337093143844</v>
      </c>
      <c r="V34">
        <v>8451.9075469693762</v>
      </c>
      <c r="W34">
        <v>8483.3689401609972</v>
      </c>
      <c r="X34">
        <v>8506.290557518254</v>
      </c>
      <c r="Y34">
        <v>8530.0037608938328</v>
      </c>
      <c r="Z34">
        <v>8600.9446989126136</v>
      </c>
      <c r="AA34">
        <v>8609.3599227633786</v>
      </c>
      <c r="AB34">
        <v>8674.4263115845752</v>
      </c>
      <c r="AC34">
        <v>8690.703752478259</v>
      </c>
      <c r="AD34">
        <v>8736.6741375515958</v>
      </c>
      <c r="AE34">
        <v>8740.8026441971015</v>
      </c>
      <c r="AF34">
        <v>8737.7784134938411</v>
      </c>
      <c r="AG34">
        <v>8665.6031175753305</v>
      </c>
      <c r="AH34">
        <v>8694.3245232574627</v>
      </c>
      <c r="AI34">
        <v>8700.6052147699302</v>
      </c>
      <c r="AJ34">
        <v>8703.2861028656444</v>
      </c>
      <c r="AK34">
        <v>8701.5913505492717</v>
      </c>
      <c r="AL34">
        <v>8692.2024978349473</v>
      </c>
      <c r="AM34">
        <v>8675.6098693555596</v>
      </c>
      <c r="AN34">
        <v>8654.4327602171852</v>
      </c>
      <c r="AO34">
        <v>8627.2608991297493</v>
      </c>
      <c r="AP34">
        <v>8593.5900736560106</v>
      </c>
      <c r="AQ34">
        <v>8558.7912005217568</v>
      </c>
      <c r="AR34">
        <v>8515.3136684912442</v>
      </c>
      <c r="AS34">
        <v>8472.3874628509548</v>
      </c>
      <c r="AT34">
        <v>8424.5181906527851</v>
      </c>
      <c r="AU34">
        <v>8373.6277421452778</v>
      </c>
    </row>
    <row r="35" spans="1:47">
      <c r="B35" t="s">
        <v>947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s="50">
        <f t="array" ref="C41:AU46">TRANSPOSE(Private_1!AP9:AU53)</f>
        <v>854.59266207815278</v>
      </c>
      <c r="D41" s="51">
        <v>903.49354230459312</v>
      </c>
      <c r="E41" s="51">
        <v>940.83097577423871</v>
      </c>
      <c r="F41" s="51">
        <v>1114.9703536881791</v>
      </c>
      <c r="G41" s="51">
        <v>1262.2671827235974</v>
      </c>
      <c r="H41" s="51">
        <v>1604</v>
      </c>
      <c r="I41" s="50">
        <v>2007</v>
      </c>
      <c r="J41" s="50">
        <v>2040</v>
      </c>
      <c r="K41" s="50">
        <v>2267</v>
      </c>
      <c r="L41" s="50">
        <v>2287</v>
      </c>
      <c r="M41" s="50">
        <v>2446</v>
      </c>
      <c r="N41">
        <v>2464</v>
      </c>
      <c r="O41">
        <v>2428</v>
      </c>
      <c r="P41">
        <v>2503</v>
      </c>
      <c r="Q41">
        <v>2666</v>
      </c>
      <c r="R41">
        <v>2627</v>
      </c>
      <c r="S41">
        <v>2597.9905292102126</v>
      </c>
      <c r="T41">
        <v>2655.240352294777</v>
      </c>
      <c r="U41">
        <v>2686.5245150093024</v>
      </c>
      <c r="V41">
        <v>2720.2254068179886</v>
      </c>
      <c r="W41">
        <v>2756.9732079814994</v>
      </c>
      <c r="X41">
        <v>2791.5625048335773</v>
      </c>
      <c r="Y41">
        <v>2827.0190666560729</v>
      </c>
      <c r="Z41">
        <v>2878.9092651695246</v>
      </c>
      <c r="AA41">
        <v>2910.6196570524194</v>
      </c>
      <c r="AB41">
        <v>2962.232446806257</v>
      </c>
      <c r="AC41">
        <v>2997.9795171991996</v>
      </c>
      <c r="AD41">
        <v>3044.7197956270138</v>
      </c>
      <c r="AE41">
        <v>3077.6037838967886</v>
      </c>
      <c r="AF41">
        <v>3108.5362957751204</v>
      </c>
      <c r="AG41">
        <v>3115.1658607290565</v>
      </c>
      <c r="AH41">
        <v>3158.4955381660461</v>
      </c>
      <c r="AI41">
        <v>3194.4136579171422</v>
      </c>
      <c r="AJ41">
        <v>3229.6697791377851</v>
      </c>
      <c r="AK41">
        <v>3263.948515407938</v>
      </c>
      <c r="AL41">
        <v>3295.9567469247531</v>
      </c>
      <c r="AM41">
        <v>3325.8048310245613</v>
      </c>
      <c r="AN41">
        <v>3354.4336411616282</v>
      </c>
      <c r="AO41">
        <v>3381.2472153496333</v>
      </c>
      <c r="AP41">
        <v>3405.9820983164391</v>
      </c>
      <c r="AQ41">
        <v>3430.7182232042733</v>
      </c>
      <c r="AR41">
        <v>3452.3924281753148</v>
      </c>
      <c r="AS41">
        <v>3474.6820070931367</v>
      </c>
      <c r="AT41">
        <v>3495.3272043862739</v>
      </c>
      <c r="AU41">
        <v>3515.0750403578336</v>
      </c>
    </row>
    <row r="42" spans="1:47">
      <c r="B42" t="s">
        <v>945</v>
      </c>
      <c r="C42" s="50">
        <v>0</v>
      </c>
      <c r="D42" s="51">
        <v>0</v>
      </c>
      <c r="E42" s="51">
        <v>0</v>
      </c>
      <c r="F42" s="51">
        <v>0</v>
      </c>
      <c r="G42" s="51">
        <v>0</v>
      </c>
      <c r="H42" s="51">
        <v>0</v>
      </c>
      <c r="I42" s="50">
        <v>0</v>
      </c>
      <c r="J42" s="50">
        <v>0</v>
      </c>
      <c r="K42" s="50">
        <v>0</v>
      </c>
      <c r="L42" s="50">
        <v>0</v>
      </c>
      <c r="M42" s="50">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s="50">
        <v>8</v>
      </c>
      <c r="D43" s="51">
        <v>9</v>
      </c>
      <c r="E43" s="51">
        <v>10</v>
      </c>
      <c r="F43" s="51">
        <v>6</v>
      </c>
      <c r="G43" s="51">
        <v>3</v>
      </c>
      <c r="H43" s="51">
        <v>2</v>
      </c>
      <c r="I43" s="50">
        <v>1</v>
      </c>
      <c r="J43" s="50">
        <v>2</v>
      </c>
      <c r="K43" s="50">
        <v>4</v>
      </c>
      <c r="L43" s="50">
        <v>9</v>
      </c>
      <c r="M43" s="50">
        <v>19</v>
      </c>
      <c r="N43">
        <v>37</v>
      </c>
      <c r="O43">
        <v>38</v>
      </c>
      <c r="P43">
        <v>37</v>
      </c>
      <c r="Q43">
        <v>41</v>
      </c>
      <c r="R43">
        <v>39</v>
      </c>
      <c r="S43">
        <v>19.569064277326454</v>
      </c>
      <c r="T43">
        <v>19.810988668184322</v>
      </c>
      <c r="U43">
        <v>19.853425625951981</v>
      </c>
      <c r="V43">
        <v>19.90966382772443</v>
      </c>
      <c r="W43">
        <v>19.983775589893625</v>
      </c>
      <c r="X43">
        <v>20.037770702054356</v>
      </c>
      <c r="Y43">
        <v>20.093630507058435</v>
      </c>
      <c r="Z43">
        <v>20.260741921816379</v>
      </c>
      <c r="AA43">
        <v>20.280565172008441</v>
      </c>
      <c r="AB43">
        <v>20.433838255121916</v>
      </c>
      <c r="AC43">
        <v>20.472182069742214</v>
      </c>
      <c r="AD43">
        <v>20.580471814720475</v>
      </c>
      <c r="AE43">
        <v>20.590197096139583</v>
      </c>
      <c r="AF43">
        <v>20.583073092912528</v>
      </c>
      <c r="AG43">
        <v>20.413053973510383</v>
      </c>
      <c r="AH43">
        <v>20.48071130750429</v>
      </c>
      <c r="AI43">
        <v>20.49550636482407</v>
      </c>
      <c r="AJ43">
        <v>20.501821575970048</v>
      </c>
      <c r="AK43">
        <v>20.497829347150375</v>
      </c>
      <c r="AL43">
        <v>20.475712576441349</v>
      </c>
      <c r="AM43">
        <v>20.436626292876714</v>
      </c>
      <c r="AN43">
        <v>20.386740616602456</v>
      </c>
      <c r="AO43">
        <v>20.322733454098831</v>
      </c>
      <c r="AP43">
        <v>20.243417061644383</v>
      </c>
      <c r="AQ43">
        <v>20.161443393352773</v>
      </c>
      <c r="AR43">
        <v>20.059025916354102</v>
      </c>
      <c r="AS43">
        <v>19.95790716665784</v>
      </c>
      <c r="AT43">
        <v>19.845144324441812</v>
      </c>
      <c r="AU43">
        <v>19.72526467405568</v>
      </c>
    </row>
    <row r="44" spans="1:47">
      <c r="B44" t="s">
        <v>947</v>
      </c>
      <c r="C44" s="50">
        <v>0</v>
      </c>
      <c r="D44" s="51">
        <v>0</v>
      </c>
      <c r="E44" s="51">
        <v>0</v>
      </c>
      <c r="F44" s="51">
        <v>0</v>
      </c>
      <c r="G44" s="51">
        <v>0</v>
      </c>
      <c r="H44" s="51">
        <v>0</v>
      </c>
      <c r="I44" s="50">
        <v>0</v>
      </c>
      <c r="J44" s="50">
        <v>0</v>
      </c>
      <c r="K44" s="50">
        <v>0</v>
      </c>
      <c r="L44" s="50">
        <v>0</v>
      </c>
      <c r="M44" s="50">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s="51">
        <v>0</v>
      </c>
      <c r="E45" s="51">
        <v>0</v>
      </c>
      <c r="F45" s="51">
        <v>0</v>
      </c>
      <c r="G45" s="51">
        <v>0</v>
      </c>
      <c r="H45" s="51">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s="51">
        <v>0</v>
      </c>
      <c r="E46" s="51">
        <v>0</v>
      </c>
      <c r="F46" s="51">
        <v>0</v>
      </c>
      <c r="G46" s="51">
        <v>0</v>
      </c>
      <c r="H46" s="51">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SUM(C5,C14,C23,C32,C41)</f>
        <v>17299.260000000002</v>
      </c>
      <c r="D50" s="50">
        <f t="shared" ref="D50:AU55" si="0">SUM(D5,D14,D23,D32,D41)</f>
        <v>17911.109999999997</v>
      </c>
      <c r="E50" s="50">
        <f t="shared" si="0"/>
        <v>18282.66</v>
      </c>
      <c r="F50" s="50">
        <f t="shared" si="0"/>
        <v>19409.919999999998</v>
      </c>
      <c r="G50" s="50">
        <f t="shared" si="0"/>
        <v>19249.099999999999</v>
      </c>
      <c r="H50" s="50">
        <f t="shared" si="0"/>
        <v>19882.884285645407</v>
      </c>
      <c r="I50" s="50">
        <f t="shared" si="0"/>
        <v>20323.795348464115</v>
      </c>
      <c r="J50" s="50">
        <f t="shared" si="0"/>
        <v>19478.819499779747</v>
      </c>
      <c r="K50" s="50">
        <f t="shared" si="0"/>
        <v>21488.202765634756</v>
      </c>
      <c r="L50" s="50">
        <f t="shared" si="0"/>
        <v>20575.951680476675</v>
      </c>
      <c r="M50" s="50">
        <f t="shared" si="0"/>
        <v>21448.506322534391</v>
      </c>
      <c r="N50" s="50">
        <f t="shared" si="0"/>
        <v>22032</v>
      </c>
      <c r="O50" s="50">
        <f t="shared" si="0"/>
        <v>21608</v>
      </c>
      <c r="P50" s="50">
        <f t="shared" si="0"/>
        <v>22136</v>
      </c>
      <c r="Q50" s="50">
        <f t="shared" si="0"/>
        <v>23597.936907624411</v>
      </c>
      <c r="R50" s="50">
        <f t="shared" si="0"/>
        <v>23400.566176117794</v>
      </c>
      <c r="S50" s="50">
        <f t="shared" si="0"/>
        <v>24012.800846250924</v>
      </c>
      <c r="T50" s="50">
        <f t="shared" si="0"/>
        <v>24574.561363024171</v>
      </c>
      <c r="U50" s="50">
        <f t="shared" si="0"/>
        <v>24896.998061230195</v>
      </c>
      <c r="V50" s="50">
        <f t="shared" si="0"/>
        <v>25242.530572514901</v>
      </c>
      <c r="W50" s="50">
        <f t="shared" si="0"/>
        <v>25617.099730880516</v>
      </c>
      <c r="X50" s="50">
        <f t="shared" si="0"/>
        <v>25972.382768591327</v>
      </c>
      <c r="Y50" s="50">
        <f t="shared" si="0"/>
        <v>26336.485893166569</v>
      </c>
      <c r="Z50" s="50">
        <f t="shared" si="0"/>
        <v>26854.641366808995</v>
      </c>
      <c r="AA50" s="50">
        <f t="shared" si="0"/>
        <v>27185.466166908918</v>
      </c>
      <c r="AB50" s="50">
        <f t="shared" si="0"/>
        <v>27703.081466480086</v>
      </c>
      <c r="AC50" s="50">
        <f t="shared" si="0"/>
        <v>28073.264002846496</v>
      </c>
      <c r="AD50" s="50">
        <f t="shared" si="0"/>
        <v>28547.270102726558</v>
      </c>
      <c r="AE50" s="50">
        <f t="shared" si="0"/>
        <v>28892.204552334297</v>
      </c>
      <c r="AF50" s="50">
        <f t="shared" si="0"/>
        <v>29219.472191172528</v>
      </c>
      <c r="AG50" s="50">
        <f t="shared" si="0"/>
        <v>29318.638175102336</v>
      </c>
      <c r="AH50" s="50">
        <f t="shared" si="0"/>
        <v>29763.694666635383</v>
      </c>
      <c r="AI50" s="50">
        <f t="shared" si="0"/>
        <v>30139.736686225438</v>
      </c>
      <c r="AJ50" s="50">
        <f t="shared" si="0"/>
        <v>30510.261745392574</v>
      </c>
      <c r="AK50" s="50">
        <f t="shared" si="0"/>
        <v>30872.260376391365</v>
      </c>
      <c r="AL50" s="50">
        <f t="shared" si="0"/>
        <v>31213.449194779747</v>
      </c>
      <c r="AM50" s="50">
        <f t="shared" si="0"/>
        <v>31534.792441163427</v>
      </c>
      <c r="AN50" s="50">
        <f t="shared" si="0"/>
        <v>31845.144401967827</v>
      </c>
      <c r="AO50" s="50">
        <f t="shared" si="0"/>
        <v>32138.795681867865</v>
      </c>
      <c r="AP50" s="50">
        <f t="shared" si="0"/>
        <v>32413.173965269769</v>
      </c>
      <c r="AQ50" s="50">
        <f t="shared" si="0"/>
        <v>32688.023086854675</v>
      </c>
      <c r="AR50" s="50">
        <f t="shared" si="0"/>
        <v>32934.120100644919</v>
      </c>
      <c r="AS50" s="50">
        <f t="shared" si="0"/>
        <v>33186.479668481858</v>
      </c>
      <c r="AT50" s="50">
        <f t="shared" si="0"/>
        <v>33423.512664000111</v>
      </c>
      <c r="AU50" s="50">
        <f t="shared" si="0"/>
        <v>33652.313085973423</v>
      </c>
    </row>
    <row r="51" spans="2:47">
      <c r="B51" t="s">
        <v>945</v>
      </c>
      <c r="C51" s="50">
        <f t="shared" ref="C51:C55" si="1">SUM(C6,C15,C24,C33,C42)</f>
        <v>0</v>
      </c>
      <c r="D51" s="50">
        <f t="shared" ref="D51:R51" si="2">SUM(D6,D15,D24,D33,D42)</f>
        <v>0</v>
      </c>
      <c r="E51" s="50">
        <f t="shared" si="2"/>
        <v>0</v>
      </c>
      <c r="F51" s="50">
        <f t="shared" si="2"/>
        <v>0</v>
      </c>
      <c r="G51" s="50">
        <f t="shared" si="2"/>
        <v>0</v>
      </c>
      <c r="H51" s="50">
        <f t="shared" si="2"/>
        <v>0</v>
      </c>
      <c r="I51" s="50">
        <f t="shared" si="2"/>
        <v>0</v>
      </c>
      <c r="J51" s="50">
        <f t="shared" si="2"/>
        <v>0</v>
      </c>
      <c r="K51" s="50">
        <f t="shared" si="2"/>
        <v>0</v>
      </c>
      <c r="L51" s="50">
        <f t="shared" si="2"/>
        <v>0</v>
      </c>
      <c r="M51" s="50">
        <f t="shared" si="2"/>
        <v>0</v>
      </c>
      <c r="N51" s="50">
        <f t="shared" si="2"/>
        <v>0</v>
      </c>
      <c r="O51" s="50">
        <f t="shared" si="2"/>
        <v>0</v>
      </c>
      <c r="P51" s="50">
        <f t="shared" si="2"/>
        <v>0</v>
      </c>
      <c r="Q51" s="50">
        <f t="shared" si="2"/>
        <v>0</v>
      </c>
      <c r="R51" s="50">
        <f t="shared" si="2"/>
        <v>0</v>
      </c>
      <c r="S51" s="50">
        <f t="shared" si="0"/>
        <v>0</v>
      </c>
      <c r="T51" s="50">
        <f t="shared" si="0"/>
        <v>0</v>
      </c>
      <c r="U51" s="50">
        <f t="shared" si="0"/>
        <v>0</v>
      </c>
      <c r="V51" s="50">
        <f t="shared" si="0"/>
        <v>0</v>
      </c>
      <c r="W51" s="50">
        <f t="shared" si="0"/>
        <v>0</v>
      </c>
      <c r="X51" s="50">
        <f t="shared" si="0"/>
        <v>0</v>
      </c>
      <c r="Y51" s="50">
        <f t="shared" si="0"/>
        <v>0</v>
      </c>
      <c r="Z51" s="50">
        <f t="shared" si="0"/>
        <v>0</v>
      </c>
      <c r="AA51" s="50">
        <f t="shared" si="0"/>
        <v>0</v>
      </c>
      <c r="AB51" s="50">
        <f t="shared" si="0"/>
        <v>0</v>
      </c>
      <c r="AC51" s="50">
        <f t="shared" si="0"/>
        <v>0</v>
      </c>
      <c r="AD51" s="50">
        <f t="shared" si="0"/>
        <v>0</v>
      </c>
      <c r="AE51" s="50">
        <f t="shared" si="0"/>
        <v>0</v>
      </c>
      <c r="AF51" s="50">
        <f t="shared" si="0"/>
        <v>0</v>
      </c>
      <c r="AG51" s="50">
        <f t="shared" si="0"/>
        <v>0</v>
      </c>
      <c r="AH51" s="50">
        <f t="shared" si="0"/>
        <v>0</v>
      </c>
      <c r="AI51" s="50">
        <f t="shared" si="0"/>
        <v>0</v>
      </c>
      <c r="AJ51" s="50">
        <f t="shared" si="0"/>
        <v>0</v>
      </c>
      <c r="AK51" s="50">
        <f t="shared" si="0"/>
        <v>0</v>
      </c>
      <c r="AL51" s="50">
        <f t="shared" si="0"/>
        <v>0</v>
      </c>
      <c r="AM51" s="50">
        <f t="shared" si="0"/>
        <v>0</v>
      </c>
      <c r="AN51" s="50">
        <f t="shared" si="0"/>
        <v>0</v>
      </c>
      <c r="AO51" s="50">
        <f t="shared" si="0"/>
        <v>0</v>
      </c>
      <c r="AP51" s="50">
        <f t="shared" si="0"/>
        <v>0</v>
      </c>
      <c r="AQ51" s="50">
        <f t="shared" si="0"/>
        <v>0</v>
      </c>
      <c r="AR51" s="50">
        <f t="shared" si="0"/>
        <v>0</v>
      </c>
      <c r="AS51" s="50">
        <f t="shared" si="0"/>
        <v>0</v>
      </c>
      <c r="AT51" s="50">
        <f t="shared" si="0"/>
        <v>0</v>
      </c>
      <c r="AU51" s="50">
        <f t="shared" si="0"/>
        <v>0</v>
      </c>
    </row>
    <row r="52" spans="2:47">
      <c r="B52" t="s">
        <v>946</v>
      </c>
      <c r="C52" s="50">
        <f t="shared" si="1"/>
        <v>8911.0403148261139</v>
      </c>
      <c r="D52" s="50">
        <f t="shared" si="0"/>
        <v>8821.1096341463417</v>
      </c>
      <c r="E52" s="50">
        <f t="shared" si="0"/>
        <v>9140.4784686609692</v>
      </c>
      <c r="F52" s="50">
        <f t="shared" si="0"/>
        <v>9134.6333214072747</v>
      </c>
      <c r="G52" s="50">
        <f t="shared" si="0"/>
        <v>9479.4109374999989</v>
      </c>
      <c r="H52" s="50">
        <f t="shared" si="0"/>
        <v>9322.6589446098878</v>
      </c>
      <c r="I52" s="50">
        <f t="shared" si="0"/>
        <v>9090.0119028290283</v>
      </c>
      <c r="J52" s="50">
        <f t="shared" si="0"/>
        <v>9116.5374860404536</v>
      </c>
      <c r="K52" s="50">
        <f t="shared" si="0"/>
        <v>9163.8910701107015</v>
      </c>
      <c r="L52" s="50">
        <f t="shared" si="0"/>
        <v>8770.823665893271</v>
      </c>
      <c r="M52" s="50">
        <f t="shared" si="0"/>
        <v>9144.1319055195199</v>
      </c>
      <c r="N52" s="50">
        <f t="shared" si="0"/>
        <v>8193</v>
      </c>
      <c r="O52" s="50">
        <f t="shared" si="0"/>
        <v>8612</v>
      </c>
      <c r="P52" s="50">
        <f t="shared" si="0"/>
        <v>7978.9999999999982</v>
      </c>
      <c r="Q52" s="50">
        <f t="shared" si="0"/>
        <v>8533.0400537716214</v>
      </c>
      <c r="R52" s="50">
        <f t="shared" si="0"/>
        <v>8115.4409546262978</v>
      </c>
      <c r="S52" s="50">
        <f t="shared" si="0"/>
        <v>8326.8877354418601</v>
      </c>
      <c r="T52" s="50">
        <f t="shared" si="0"/>
        <v>8429.8296653466368</v>
      </c>
      <c r="U52" s="50">
        <f t="shared" si="0"/>
        <v>8447.8871349403362</v>
      </c>
      <c r="V52" s="50">
        <f t="shared" si="0"/>
        <v>8471.8172107971004</v>
      </c>
      <c r="W52" s="50">
        <f t="shared" si="0"/>
        <v>8503.3527157508906</v>
      </c>
      <c r="X52" s="50">
        <f t="shared" si="0"/>
        <v>8526.3283282203083</v>
      </c>
      <c r="Y52" s="50">
        <f t="shared" si="0"/>
        <v>8550.0973914008919</v>
      </c>
      <c r="Z52" s="50">
        <f t="shared" si="0"/>
        <v>8621.2054408344302</v>
      </c>
      <c r="AA52" s="50">
        <f t="shared" si="0"/>
        <v>8629.6404879353868</v>
      </c>
      <c r="AB52" s="50">
        <f t="shared" si="0"/>
        <v>8694.8601498396965</v>
      </c>
      <c r="AC52" s="50">
        <f t="shared" si="0"/>
        <v>8711.1759345480004</v>
      </c>
      <c r="AD52" s="50">
        <f t="shared" si="0"/>
        <v>8757.2546093663168</v>
      </c>
      <c r="AE52" s="50">
        <f t="shared" si="0"/>
        <v>8761.3928412932419</v>
      </c>
      <c r="AF52" s="50">
        <f t="shared" si="0"/>
        <v>8758.361486586753</v>
      </c>
      <c r="AG52" s="50">
        <f t="shared" si="0"/>
        <v>8686.0161715488412</v>
      </c>
      <c r="AH52" s="50">
        <f t="shared" si="0"/>
        <v>8714.8052345649667</v>
      </c>
      <c r="AI52" s="50">
        <f t="shared" si="0"/>
        <v>8721.1007211347551</v>
      </c>
      <c r="AJ52" s="50">
        <f t="shared" si="0"/>
        <v>8723.7879244416145</v>
      </c>
      <c r="AK52" s="50">
        <f t="shared" si="0"/>
        <v>8722.0891798964221</v>
      </c>
      <c r="AL52" s="50">
        <f t="shared" si="0"/>
        <v>8712.6782104113881</v>
      </c>
      <c r="AM52" s="50">
        <f t="shared" si="0"/>
        <v>8696.0464956484357</v>
      </c>
      <c r="AN52" s="50">
        <f t="shared" si="0"/>
        <v>8674.819500833788</v>
      </c>
      <c r="AO52" s="50">
        <f t="shared" si="0"/>
        <v>8647.5836325838482</v>
      </c>
      <c r="AP52" s="50">
        <f t="shared" si="0"/>
        <v>8613.8334907176559</v>
      </c>
      <c r="AQ52" s="50">
        <f t="shared" si="0"/>
        <v>8578.9526439151086</v>
      </c>
      <c r="AR52" s="50">
        <f t="shared" si="0"/>
        <v>8535.3726944075988</v>
      </c>
      <c r="AS52" s="50">
        <f t="shared" si="0"/>
        <v>8492.3453700176124</v>
      </c>
      <c r="AT52" s="50">
        <f t="shared" si="0"/>
        <v>8444.3633349772263</v>
      </c>
      <c r="AU52" s="50">
        <f t="shared" si="0"/>
        <v>8393.353006819334</v>
      </c>
    </row>
    <row r="53" spans="2:47">
      <c r="B53" t="s">
        <v>947</v>
      </c>
      <c r="C53" s="50">
        <f t="shared" si="1"/>
        <v>0</v>
      </c>
      <c r="D53" s="50">
        <f t="shared" si="0"/>
        <v>0</v>
      </c>
      <c r="E53" s="50">
        <f t="shared" si="0"/>
        <v>0</v>
      </c>
      <c r="F53" s="50">
        <f t="shared" si="0"/>
        <v>0</v>
      </c>
      <c r="G53" s="50">
        <f t="shared" si="0"/>
        <v>0</v>
      </c>
      <c r="H53" s="50">
        <f t="shared" si="0"/>
        <v>0</v>
      </c>
      <c r="I53" s="50">
        <f t="shared" si="0"/>
        <v>0</v>
      </c>
      <c r="J53" s="50">
        <f t="shared" si="0"/>
        <v>0</v>
      </c>
      <c r="K53" s="50">
        <f t="shared" si="0"/>
        <v>0</v>
      </c>
      <c r="L53" s="50">
        <f t="shared" si="0"/>
        <v>0</v>
      </c>
      <c r="M53" s="50">
        <f t="shared" si="0"/>
        <v>0</v>
      </c>
      <c r="N53" s="50">
        <f t="shared" si="0"/>
        <v>0</v>
      </c>
      <c r="O53" s="50">
        <f t="shared" si="0"/>
        <v>0</v>
      </c>
      <c r="P53" s="50">
        <f t="shared" si="0"/>
        <v>0</v>
      </c>
      <c r="Q53" s="50">
        <f t="shared" si="0"/>
        <v>0</v>
      </c>
      <c r="R53" s="50">
        <f t="shared" si="0"/>
        <v>0</v>
      </c>
      <c r="S53" s="50">
        <f t="shared" si="0"/>
        <v>0</v>
      </c>
      <c r="T53" s="50">
        <f t="shared" si="0"/>
        <v>0</v>
      </c>
      <c r="U53" s="50">
        <f t="shared" si="0"/>
        <v>0</v>
      </c>
      <c r="V53" s="50">
        <f t="shared" si="0"/>
        <v>0</v>
      </c>
      <c r="W53" s="50">
        <f t="shared" si="0"/>
        <v>0</v>
      </c>
      <c r="X53" s="50">
        <f t="shared" si="0"/>
        <v>0</v>
      </c>
      <c r="Y53" s="50">
        <f t="shared" si="0"/>
        <v>0</v>
      </c>
      <c r="Z53" s="50">
        <f t="shared" si="0"/>
        <v>0</v>
      </c>
      <c r="AA53" s="50">
        <f t="shared" si="0"/>
        <v>0</v>
      </c>
      <c r="AB53" s="50">
        <f t="shared" si="0"/>
        <v>0</v>
      </c>
      <c r="AC53" s="50">
        <f t="shared" si="0"/>
        <v>0</v>
      </c>
      <c r="AD53" s="50">
        <f t="shared" si="0"/>
        <v>0</v>
      </c>
      <c r="AE53" s="50">
        <f t="shared" si="0"/>
        <v>0</v>
      </c>
      <c r="AF53" s="50">
        <f t="shared" si="0"/>
        <v>0</v>
      </c>
      <c r="AG53" s="50">
        <f t="shared" si="0"/>
        <v>0</v>
      </c>
      <c r="AH53" s="50">
        <f t="shared" si="0"/>
        <v>0</v>
      </c>
      <c r="AI53" s="50">
        <f t="shared" si="0"/>
        <v>0</v>
      </c>
      <c r="AJ53" s="50">
        <f t="shared" si="0"/>
        <v>0</v>
      </c>
      <c r="AK53" s="50">
        <f t="shared" si="0"/>
        <v>0</v>
      </c>
      <c r="AL53" s="50">
        <f t="shared" si="0"/>
        <v>0</v>
      </c>
      <c r="AM53" s="50">
        <f t="shared" si="0"/>
        <v>0</v>
      </c>
      <c r="AN53" s="50">
        <f t="shared" si="0"/>
        <v>0</v>
      </c>
      <c r="AO53" s="50">
        <f t="shared" si="0"/>
        <v>0</v>
      </c>
      <c r="AP53" s="50">
        <f t="shared" si="0"/>
        <v>0</v>
      </c>
      <c r="AQ53" s="50">
        <f t="shared" si="0"/>
        <v>0</v>
      </c>
      <c r="AR53" s="50">
        <f t="shared" si="0"/>
        <v>0</v>
      </c>
      <c r="AS53" s="50">
        <f t="shared" si="0"/>
        <v>0</v>
      </c>
      <c r="AT53" s="50">
        <f t="shared" si="0"/>
        <v>0</v>
      </c>
      <c r="AU53" s="50">
        <f t="shared" si="0"/>
        <v>0</v>
      </c>
    </row>
    <row r="54" spans="2:47">
      <c r="B54" t="s">
        <v>948</v>
      </c>
      <c r="C54" s="50">
        <f t="shared" si="1"/>
        <v>0</v>
      </c>
      <c r="D54" s="50">
        <f t="shared" si="0"/>
        <v>0</v>
      </c>
      <c r="E54" s="50">
        <f t="shared" si="0"/>
        <v>0</v>
      </c>
      <c r="F54" s="50">
        <f t="shared" si="0"/>
        <v>0</v>
      </c>
      <c r="G54" s="50">
        <f t="shared" si="0"/>
        <v>0</v>
      </c>
      <c r="H54" s="50">
        <f t="shared" si="0"/>
        <v>0</v>
      </c>
      <c r="I54" s="50">
        <f t="shared" si="0"/>
        <v>0</v>
      </c>
      <c r="J54" s="50">
        <f t="shared" si="0"/>
        <v>0</v>
      </c>
      <c r="K54" s="50">
        <f t="shared" si="0"/>
        <v>0</v>
      </c>
      <c r="L54" s="50">
        <f t="shared" si="0"/>
        <v>0</v>
      </c>
      <c r="M54" s="50">
        <f t="shared" si="0"/>
        <v>0</v>
      </c>
      <c r="N54" s="50">
        <f t="shared" si="0"/>
        <v>0</v>
      </c>
      <c r="O54" s="50">
        <f t="shared" si="0"/>
        <v>0</v>
      </c>
      <c r="P54" s="50">
        <f t="shared" si="0"/>
        <v>0</v>
      </c>
      <c r="Q54" s="50">
        <f t="shared" si="0"/>
        <v>0</v>
      </c>
      <c r="R54" s="50">
        <f t="shared" si="0"/>
        <v>0</v>
      </c>
      <c r="S54" s="50">
        <f t="shared" si="0"/>
        <v>0</v>
      </c>
      <c r="T54" s="50">
        <f t="shared" si="0"/>
        <v>0</v>
      </c>
      <c r="U54" s="50">
        <f t="shared" si="0"/>
        <v>0</v>
      </c>
      <c r="V54" s="50">
        <f t="shared" si="0"/>
        <v>0</v>
      </c>
      <c r="W54" s="50">
        <f t="shared" si="0"/>
        <v>0</v>
      </c>
      <c r="X54" s="50">
        <f t="shared" si="0"/>
        <v>0</v>
      </c>
      <c r="Y54" s="50">
        <f t="shared" si="0"/>
        <v>0</v>
      </c>
      <c r="Z54" s="50">
        <f t="shared" si="0"/>
        <v>0</v>
      </c>
      <c r="AA54" s="50">
        <f t="shared" si="0"/>
        <v>0</v>
      </c>
      <c r="AB54" s="50">
        <f t="shared" si="0"/>
        <v>0</v>
      </c>
      <c r="AC54" s="50">
        <f t="shared" si="0"/>
        <v>0</v>
      </c>
      <c r="AD54" s="50">
        <f t="shared" si="0"/>
        <v>0</v>
      </c>
      <c r="AE54" s="50">
        <f t="shared" si="0"/>
        <v>0</v>
      </c>
      <c r="AF54" s="50">
        <f t="shared" si="0"/>
        <v>0</v>
      </c>
      <c r="AG54" s="50">
        <f t="shared" si="0"/>
        <v>0</v>
      </c>
      <c r="AH54" s="50">
        <f t="shared" si="0"/>
        <v>0</v>
      </c>
      <c r="AI54" s="50">
        <f t="shared" si="0"/>
        <v>0</v>
      </c>
      <c r="AJ54" s="50">
        <f t="shared" si="0"/>
        <v>0</v>
      </c>
      <c r="AK54" s="50">
        <f t="shared" si="0"/>
        <v>0</v>
      </c>
      <c r="AL54" s="50">
        <f t="shared" si="0"/>
        <v>0</v>
      </c>
      <c r="AM54" s="50">
        <f t="shared" si="0"/>
        <v>0</v>
      </c>
      <c r="AN54" s="50">
        <f t="shared" si="0"/>
        <v>0</v>
      </c>
      <c r="AO54" s="50">
        <f t="shared" si="0"/>
        <v>0</v>
      </c>
      <c r="AP54" s="50">
        <f t="shared" si="0"/>
        <v>0</v>
      </c>
      <c r="AQ54" s="50">
        <f t="shared" si="0"/>
        <v>0</v>
      </c>
      <c r="AR54" s="50">
        <f t="shared" si="0"/>
        <v>0</v>
      </c>
      <c r="AS54" s="50">
        <f t="shared" si="0"/>
        <v>0</v>
      </c>
      <c r="AT54" s="50">
        <f t="shared" si="0"/>
        <v>0</v>
      </c>
      <c r="AU54" s="50">
        <f t="shared" si="0"/>
        <v>0</v>
      </c>
    </row>
    <row r="55" spans="2:47">
      <c r="B55" t="s">
        <v>949</v>
      </c>
      <c r="C55" s="50">
        <f t="shared" si="1"/>
        <v>0</v>
      </c>
      <c r="D55" s="50">
        <f t="shared" si="0"/>
        <v>0</v>
      </c>
      <c r="E55" s="50">
        <f t="shared" si="0"/>
        <v>0</v>
      </c>
      <c r="F55" s="50">
        <f t="shared" si="0"/>
        <v>0</v>
      </c>
      <c r="G55" s="50">
        <f t="shared" si="0"/>
        <v>0</v>
      </c>
      <c r="H55" s="50">
        <f t="shared" si="0"/>
        <v>0</v>
      </c>
      <c r="I55" s="50">
        <f t="shared" si="0"/>
        <v>0</v>
      </c>
      <c r="J55" s="50">
        <f t="shared" si="0"/>
        <v>0</v>
      </c>
      <c r="K55" s="50">
        <f t="shared" si="0"/>
        <v>0</v>
      </c>
      <c r="L55" s="50">
        <f t="shared" si="0"/>
        <v>0</v>
      </c>
      <c r="M55" s="50">
        <f t="shared" si="0"/>
        <v>0</v>
      </c>
      <c r="N55" s="50">
        <f t="shared" si="0"/>
        <v>0</v>
      </c>
      <c r="O55" s="50">
        <f t="shared" si="0"/>
        <v>0</v>
      </c>
      <c r="P55" s="50">
        <f t="shared" si="0"/>
        <v>0</v>
      </c>
      <c r="Q55" s="50">
        <f t="shared" si="0"/>
        <v>0</v>
      </c>
      <c r="R55" s="50">
        <f t="shared" si="0"/>
        <v>0</v>
      </c>
      <c r="S55" s="50">
        <f t="shared" si="0"/>
        <v>0</v>
      </c>
      <c r="T55" s="50">
        <f t="shared" si="0"/>
        <v>0</v>
      </c>
      <c r="U55" s="50">
        <f t="shared" si="0"/>
        <v>0</v>
      </c>
      <c r="V55" s="50">
        <f t="shared" si="0"/>
        <v>0</v>
      </c>
      <c r="W55" s="50">
        <f t="shared" si="0"/>
        <v>0</v>
      </c>
      <c r="X55" s="50">
        <f t="shared" si="0"/>
        <v>0</v>
      </c>
      <c r="Y55" s="50">
        <f t="shared" si="0"/>
        <v>0</v>
      </c>
      <c r="Z55" s="50">
        <f t="shared" si="0"/>
        <v>0</v>
      </c>
      <c r="AA55" s="50">
        <f t="shared" si="0"/>
        <v>0</v>
      </c>
      <c r="AB55" s="50">
        <f t="shared" si="0"/>
        <v>0</v>
      </c>
      <c r="AC55" s="50">
        <f t="shared" si="0"/>
        <v>0</v>
      </c>
      <c r="AD55" s="50">
        <f t="shared" si="0"/>
        <v>0</v>
      </c>
      <c r="AE55" s="50">
        <f t="shared" si="0"/>
        <v>0</v>
      </c>
      <c r="AF55" s="50">
        <f t="shared" si="0"/>
        <v>0</v>
      </c>
      <c r="AG55" s="50">
        <f t="shared" si="0"/>
        <v>0</v>
      </c>
      <c r="AH55" s="50">
        <f t="shared" si="0"/>
        <v>0</v>
      </c>
      <c r="AI55" s="50">
        <f t="shared" si="0"/>
        <v>0</v>
      </c>
      <c r="AJ55" s="50">
        <f t="shared" si="0"/>
        <v>0</v>
      </c>
      <c r="AK55" s="50">
        <f t="shared" si="0"/>
        <v>0</v>
      </c>
      <c r="AL55" s="50">
        <f t="shared" si="0"/>
        <v>0</v>
      </c>
      <c r="AM55" s="50">
        <f t="shared" si="0"/>
        <v>0</v>
      </c>
      <c r="AN55" s="50">
        <f t="shared" si="0"/>
        <v>0</v>
      </c>
      <c r="AO55" s="50">
        <f t="shared" si="0"/>
        <v>0</v>
      </c>
      <c r="AP55" s="50">
        <f t="shared" si="0"/>
        <v>0</v>
      </c>
      <c r="AQ55" s="50">
        <f t="shared" si="0"/>
        <v>0</v>
      </c>
      <c r="AR55" s="50">
        <f t="shared" si="0"/>
        <v>0</v>
      </c>
      <c r="AS55" s="50">
        <f t="shared" si="0"/>
        <v>0</v>
      </c>
      <c r="AT55" s="50">
        <f t="shared" si="0"/>
        <v>0</v>
      </c>
      <c r="AU55" s="50">
        <f t="shared" si="0"/>
        <v>0</v>
      </c>
    </row>
  </sheetData>
  <phoneticPr fontId="3"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X64"/>
  <sheetViews>
    <sheetView zoomScale="80" workbookViewId="0">
      <selection activeCell="AV58" sqref="AV58"/>
    </sheetView>
  </sheetViews>
  <sheetFormatPr baseColWidth="10" defaultColWidth="8.796875" defaultRowHeight="14"/>
  <cols>
    <col min="1" max="1" width="14.3984375" customWidth="1"/>
    <col min="2" max="2" width="11.19921875" bestFit="1" customWidth="1"/>
    <col min="3" max="3" width="9.3984375" customWidth="1"/>
    <col min="4" max="4" width="9.796875" bestFit="1" customWidth="1"/>
    <col min="7" max="7" width="10.796875" bestFit="1" customWidth="1"/>
    <col min="8" max="8" width="5.796875" customWidth="1"/>
    <col min="9" max="9" width="6.19921875" style="485" customWidth="1"/>
    <col min="10" max="10" width="5.796875" customWidth="1"/>
    <col min="19" max="19" width="6.3984375" style="485" customWidth="1"/>
    <col min="20" max="20" width="6.19921875" customWidth="1"/>
    <col min="29" max="29" width="6" style="485" customWidth="1"/>
    <col min="39" max="39" width="6.796875" style="485" customWidth="1"/>
    <col min="42" max="42" width="10.19921875" bestFit="1" customWidth="1"/>
  </cols>
  <sheetData>
    <row r="1" spans="1:47" ht="26.25" customHeight="1">
      <c r="A1" s="100" t="s">
        <v>963</v>
      </c>
    </row>
    <row r="2" spans="1:47">
      <c r="A2" s="18"/>
    </row>
    <row r="3" spans="1:47" s="483" customFormat="1" ht="15">
      <c r="A3" s="482" t="s">
        <v>512</v>
      </c>
      <c r="I3" s="486"/>
      <c r="K3" s="484" t="s">
        <v>931</v>
      </c>
      <c r="S3" s="486"/>
      <c r="U3" s="484" t="s">
        <v>932</v>
      </c>
      <c r="AC3" s="486"/>
      <c r="AE3" s="484" t="s">
        <v>933</v>
      </c>
      <c r="AM3" s="486"/>
      <c r="AO3" s="484" t="s">
        <v>516</v>
      </c>
    </row>
    <row r="4" spans="1:47" s="48" customFormat="1">
      <c r="A4" s="48" t="s">
        <v>554</v>
      </c>
      <c r="B4" s="48" t="s">
        <v>934</v>
      </c>
      <c r="C4" s="48" t="s">
        <v>935</v>
      </c>
      <c r="D4" s="48" t="s">
        <v>936</v>
      </c>
      <c r="E4" s="48" t="s">
        <v>937</v>
      </c>
      <c r="F4" s="48" t="s">
        <v>938</v>
      </c>
      <c r="G4" s="48" t="s">
        <v>939</v>
      </c>
      <c r="I4" s="487"/>
      <c r="K4" s="48" t="s">
        <v>554</v>
      </c>
      <c r="L4" s="48" t="s">
        <v>934</v>
      </c>
      <c r="M4" s="48" t="s">
        <v>935</v>
      </c>
      <c r="N4" s="48" t="s">
        <v>936</v>
      </c>
      <c r="O4" s="48" t="s">
        <v>937</v>
      </c>
      <c r="P4" s="48" t="s">
        <v>938</v>
      </c>
      <c r="Q4" s="48" t="s">
        <v>939</v>
      </c>
      <c r="S4" s="487"/>
      <c r="U4" s="48" t="s">
        <v>554</v>
      </c>
      <c r="V4" s="48" t="s">
        <v>934</v>
      </c>
      <c r="W4" s="48" t="s">
        <v>935</v>
      </c>
      <c r="X4" s="48" t="s">
        <v>936</v>
      </c>
      <c r="Y4" s="48" t="s">
        <v>937</v>
      </c>
      <c r="Z4" s="48" t="s">
        <v>938</v>
      </c>
      <c r="AA4" s="48" t="s">
        <v>939</v>
      </c>
      <c r="AC4" s="487"/>
      <c r="AE4" s="48" t="s">
        <v>554</v>
      </c>
      <c r="AF4" s="48" t="s">
        <v>934</v>
      </c>
      <c r="AG4" s="48" t="s">
        <v>935</v>
      </c>
      <c r="AH4" s="48" t="s">
        <v>936</v>
      </c>
      <c r="AI4" s="48" t="s">
        <v>937</v>
      </c>
      <c r="AJ4" s="48" t="s">
        <v>938</v>
      </c>
      <c r="AK4" s="48" t="s">
        <v>939</v>
      </c>
      <c r="AM4" s="487"/>
      <c r="AO4" s="48" t="s">
        <v>554</v>
      </c>
      <c r="AP4" s="48" t="s">
        <v>934</v>
      </c>
      <c r="AQ4" s="48" t="s">
        <v>935</v>
      </c>
      <c r="AR4" s="48" t="s">
        <v>936</v>
      </c>
      <c r="AS4" s="48" t="s">
        <v>937</v>
      </c>
      <c r="AT4" s="48" t="s">
        <v>938</v>
      </c>
      <c r="AU4" s="48" t="s">
        <v>939</v>
      </c>
    </row>
    <row r="5" spans="1:47">
      <c r="A5" s="52">
        <v>2006</v>
      </c>
      <c r="B5" s="107">
        <f>'Future Type Share'!AK7*'Future EndUse Share'!AD68</f>
        <v>1760</v>
      </c>
      <c r="C5" s="52">
        <f>'Future Type Share'!AG7*0.5*'Future EndUse Share'!R68</f>
        <v>0</v>
      </c>
      <c r="D5" s="52">
        <f>'Future Type Share'!AG7*'Future EndUse Share'!R68</f>
        <v>0</v>
      </c>
      <c r="E5" s="107">
        <f>C5</f>
        <v>0</v>
      </c>
      <c r="F5" s="52">
        <v>0</v>
      </c>
      <c r="G5" s="52">
        <v>0</v>
      </c>
      <c r="K5" s="489">
        <v>2006</v>
      </c>
      <c r="L5" s="107">
        <f>'Future Type Share'!AK7*'Future EndUse Share'!AB68</f>
        <v>5006</v>
      </c>
      <c r="M5" s="490" t="e">
        <f>'Future Type Share'!AI7*0.5*'Future EndUse Share'!#REF!</f>
        <v>#REF!</v>
      </c>
      <c r="N5" s="490" t="e">
        <f>'Future Type Share'!AG7*'Future EndUse Share'!#REF!</f>
        <v>#REF!</v>
      </c>
      <c r="O5" s="490" t="e">
        <f>M5</f>
        <v>#REF!</v>
      </c>
      <c r="P5" s="489">
        <v>0</v>
      </c>
      <c r="Q5" s="489">
        <v>0</v>
      </c>
      <c r="U5" s="52">
        <v>2006</v>
      </c>
      <c r="V5" s="52">
        <v>0</v>
      </c>
      <c r="W5" s="52">
        <v>0</v>
      </c>
      <c r="X5" s="52">
        <v>0</v>
      </c>
      <c r="Y5" s="52">
        <v>0</v>
      </c>
      <c r="Z5" s="52">
        <v>0</v>
      </c>
      <c r="AA5" s="52">
        <v>0</v>
      </c>
      <c r="AE5" s="52">
        <v>2006</v>
      </c>
      <c r="AF5" s="107">
        <f>'Future Type Share'!AK7*('Future EndUse Share'!AC68+'Future EndUse Share'!AE68+'Future EndUse Share'!AF68+'Future EndUse Share'!AA68)</f>
        <v>7508</v>
      </c>
      <c r="AG5" s="107">
        <f>'Future Type Share'!AI7*0.5*('Future EndUse Share'!Q68+'Future EndUse Share'!S68+'Future EndUse Share'!T68+'Future EndUse Share'!O68)</f>
        <v>0</v>
      </c>
      <c r="AH5" s="107">
        <f>'Future Type Share'!AG7*('Future EndUse Share'!Q68+'Future EndUse Share'!S68+'Future EndUse Share'!T68+'Future EndUse Share'!O68)</f>
        <v>9743.0046986721136</v>
      </c>
      <c r="AI5" s="107">
        <f>AG5</f>
        <v>0</v>
      </c>
      <c r="AJ5" s="52">
        <v>0</v>
      </c>
      <c r="AK5" s="52">
        <v>0</v>
      </c>
      <c r="AO5" s="52">
        <v>2006</v>
      </c>
      <c r="AP5" s="107">
        <f>'Future Type Share'!AK7*('Future EndUse Share'!AG68)</f>
        <v>903</v>
      </c>
      <c r="AQ5" s="107">
        <f>'Future Type Share'!AI7*0.5*('Future EndUse Share'!U68)</f>
        <v>0</v>
      </c>
      <c r="AR5" s="107">
        <f>'Future Type Share'!AG7*'Future EndUse Share'!U68</f>
        <v>44.995403472931564</v>
      </c>
      <c r="AS5" s="107">
        <f>AQ5</f>
        <v>0</v>
      </c>
      <c r="AT5" s="52">
        <v>0</v>
      </c>
      <c r="AU5" s="52">
        <v>0</v>
      </c>
    </row>
    <row r="6" spans="1:47">
      <c r="A6" s="52">
        <v>2007</v>
      </c>
      <c r="B6" s="107">
        <f>'Future Type Share'!AK8*'Future EndUse Share'!AD69</f>
        <v>1709</v>
      </c>
      <c r="C6" s="52">
        <f>'Future Type Share'!AG8*0.5*'Future EndUse Share'!R69</f>
        <v>0</v>
      </c>
      <c r="D6" s="52">
        <f>'Future Type Share'!AG8*'Future EndUse Share'!R69</f>
        <v>0</v>
      </c>
      <c r="E6" s="107">
        <f t="shared" ref="E6:E15" si="0">C6</f>
        <v>0</v>
      </c>
      <c r="F6" s="107">
        <f t="shared" ref="F6:G10" si="1">TREND(F$11:F$15,$A$11:$A$15,$A6)</f>
        <v>0</v>
      </c>
      <c r="G6" s="107">
        <f t="shared" si="1"/>
        <v>0</v>
      </c>
      <c r="K6" s="489">
        <v>2007</v>
      </c>
      <c r="L6" s="107">
        <f>'Future Type Share'!AK8*'Future EndUse Share'!AB69</f>
        <v>4963</v>
      </c>
      <c r="M6" s="490">
        <f>'Future Type Share'!AI8*0.5*'Future EndUse Share'!P68</f>
        <v>0</v>
      </c>
      <c r="N6" s="490">
        <f>'Future Type Share'!AG8*'Future EndUse Share'!P68</f>
        <v>0</v>
      </c>
      <c r="O6" s="490">
        <f t="shared" ref="O6:O15" si="2">M6</f>
        <v>0</v>
      </c>
      <c r="P6" s="489">
        <v>0</v>
      </c>
      <c r="Q6" s="489">
        <v>0</v>
      </c>
      <c r="U6" s="52">
        <v>2007</v>
      </c>
      <c r="V6" s="52">
        <v>0</v>
      </c>
      <c r="W6" s="52">
        <v>0</v>
      </c>
      <c r="X6" s="52">
        <v>0</v>
      </c>
      <c r="Y6" s="52">
        <v>0</v>
      </c>
      <c r="Z6" s="52">
        <v>0</v>
      </c>
      <c r="AA6" s="52">
        <v>0</v>
      </c>
      <c r="AE6" s="52">
        <v>2007</v>
      </c>
      <c r="AF6" s="107">
        <f>'Future Type Share'!AK8*('Future EndUse Share'!AC69+'Future EndUse Share'!AE69+'Future EndUse Share'!AF69+'Future EndUse Share'!AA69)</f>
        <v>7972.0000000000009</v>
      </c>
      <c r="AG6" s="107">
        <f>'Future Type Share'!AI8*0.5*('Future EndUse Share'!Q69+'Future EndUse Share'!S69+'Future EndUse Share'!T69+'Future EndUse Share'!O69)</f>
        <v>0</v>
      </c>
      <c r="AH6" s="107">
        <f>'Future Type Share'!AG8*('Future EndUse Share'!Q69+'Future EndUse Share'!S69+'Future EndUse Share'!T69+'Future EndUse Share'!O69)</f>
        <v>9551</v>
      </c>
      <c r="AI6" s="107">
        <f t="shared" ref="AI6:AI49" si="3">AG6</f>
        <v>0</v>
      </c>
      <c r="AJ6" s="52">
        <v>0</v>
      </c>
      <c r="AK6" s="52">
        <v>0</v>
      </c>
      <c r="AO6" s="52">
        <v>2007</v>
      </c>
      <c r="AP6" s="107">
        <f>'Future Type Share'!AK8*('Future EndUse Share'!AG69)</f>
        <v>943</v>
      </c>
      <c r="AQ6" s="107">
        <f>'Future Type Share'!AI8*0.5*('Future EndUse Share'!U69)</f>
        <v>0</v>
      </c>
      <c r="AR6" s="107">
        <f>'Future Type Share'!AG8*'Future EndUse Share'!U69</f>
        <v>47</v>
      </c>
      <c r="AS6" s="107">
        <f t="shared" ref="AS6:AS49" si="4">AQ6</f>
        <v>0</v>
      </c>
      <c r="AT6" s="52">
        <v>0</v>
      </c>
      <c r="AU6" s="52">
        <v>0</v>
      </c>
    </row>
    <row r="7" spans="1:47">
      <c r="A7" s="52">
        <v>2008</v>
      </c>
      <c r="B7" s="107">
        <f>'Future Type Share'!AK9*'Future EndUse Share'!AD70</f>
        <v>1625</v>
      </c>
      <c r="C7" s="52">
        <f>'Future Type Share'!AG9*0.5*'Future EndUse Share'!R70</f>
        <v>0</v>
      </c>
      <c r="D7" s="52">
        <f>'Future Type Share'!AG9*'Future EndUse Share'!R70</f>
        <v>0</v>
      </c>
      <c r="E7" s="107">
        <f t="shared" si="0"/>
        <v>0</v>
      </c>
      <c r="F7" s="107">
        <f t="shared" si="1"/>
        <v>0</v>
      </c>
      <c r="G7" s="107">
        <f t="shared" si="1"/>
        <v>0</v>
      </c>
      <c r="K7" s="489">
        <v>2008</v>
      </c>
      <c r="L7" s="107">
        <f>'Future Type Share'!AK9*'Future EndUse Share'!AB70</f>
        <v>4836</v>
      </c>
      <c r="M7" s="490">
        <f>'Future Type Share'!AI9*0.5*'Future EndUse Share'!P70</f>
        <v>0</v>
      </c>
      <c r="N7" s="490">
        <f>'Future Type Share'!AG9*'Future EndUse Share'!P70</f>
        <v>0</v>
      </c>
      <c r="O7" s="490">
        <f t="shared" si="2"/>
        <v>0</v>
      </c>
      <c r="P7" s="489">
        <v>0</v>
      </c>
      <c r="Q7" s="489">
        <v>0</v>
      </c>
      <c r="U7" s="52">
        <v>2008</v>
      </c>
      <c r="V7" s="52">
        <v>0</v>
      </c>
      <c r="W7" s="52">
        <v>0</v>
      </c>
      <c r="X7" s="52">
        <v>0</v>
      </c>
      <c r="Y7" s="52">
        <v>0</v>
      </c>
      <c r="Z7" s="52">
        <v>0</v>
      </c>
      <c r="AA7" s="52">
        <v>0</v>
      </c>
      <c r="AE7" s="52">
        <v>2008</v>
      </c>
      <c r="AF7" s="107">
        <f>'Future Type Share'!AK9*('Future EndUse Share'!AC70+'Future EndUse Share'!AE70+'Future EndUse Share'!AF70+'Future EndUse Share'!AA70)</f>
        <v>8310</v>
      </c>
      <c r="AG7" s="107">
        <f>'Future Type Share'!AI9*0.5*('Future EndUse Share'!Q70+'Future EndUse Share'!S70+'Future EndUse Share'!T70+'Future EndUse Share'!O70)</f>
        <v>0</v>
      </c>
      <c r="AH7" s="107">
        <f>'Future Type Share'!AG9*('Future EndUse Share'!Q70+'Future EndUse Share'!S70+'Future EndUse Share'!T70+'Future EndUse Share'!O70)</f>
        <v>9746.9947943247935</v>
      </c>
      <c r="AI7" s="107">
        <f t="shared" si="3"/>
        <v>0</v>
      </c>
      <c r="AJ7" s="52">
        <v>0</v>
      </c>
      <c r="AK7" s="52">
        <v>0</v>
      </c>
      <c r="AO7" s="52">
        <v>2008</v>
      </c>
      <c r="AP7" s="107">
        <f>'Future Type Share'!AK9*('Future EndUse Share'!AG70)</f>
        <v>965</v>
      </c>
      <c r="AQ7" s="107">
        <f>'Future Type Share'!AI9*0.5*('Future EndUse Share'!U70)</f>
        <v>0</v>
      </c>
      <c r="AR7" s="107">
        <f>'Future Type Share'!AG9*'Future EndUse Share'!U70</f>
        <v>52.005307747269576</v>
      </c>
      <c r="AS7" s="107">
        <f t="shared" si="4"/>
        <v>0</v>
      </c>
      <c r="AT7" s="52">
        <v>0</v>
      </c>
      <c r="AU7" s="52">
        <v>0</v>
      </c>
    </row>
    <row r="8" spans="1:47">
      <c r="A8" s="52">
        <v>2009</v>
      </c>
      <c r="B8" s="107">
        <f>'Future Type Share'!AK10*'Future EndUse Share'!AD71</f>
        <v>1639</v>
      </c>
      <c r="C8" s="52">
        <f>'Future Type Share'!AG10*0.5*'Future EndUse Share'!R71</f>
        <v>0</v>
      </c>
      <c r="D8" s="52">
        <f>'Future Type Share'!AG10*'Future EndUse Share'!R71</f>
        <v>0</v>
      </c>
      <c r="E8" s="107">
        <f t="shared" si="0"/>
        <v>0</v>
      </c>
      <c r="F8" s="107">
        <f t="shared" si="1"/>
        <v>0</v>
      </c>
      <c r="G8" s="107">
        <f t="shared" si="1"/>
        <v>0</v>
      </c>
      <c r="K8" s="489">
        <v>2009</v>
      </c>
      <c r="L8" s="107">
        <f>'Future Type Share'!AK10*'Future EndUse Share'!AB71</f>
        <v>5103</v>
      </c>
      <c r="M8" s="490">
        <f>'Future Type Share'!AI10*0.5*'Future EndUse Share'!P71</f>
        <v>0</v>
      </c>
      <c r="N8" s="490">
        <f>'Future Type Share'!AG10*'Future EndUse Share'!P71</f>
        <v>0</v>
      </c>
      <c r="O8" s="490">
        <f t="shared" si="2"/>
        <v>0</v>
      </c>
      <c r="P8" s="489">
        <v>0</v>
      </c>
      <c r="Q8" s="489">
        <v>0</v>
      </c>
      <c r="U8" s="52">
        <v>2009</v>
      </c>
      <c r="V8" s="52">
        <v>0</v>
      </c>
      <c r="W8" s="52">
        <v>0</v>
      </c>
      <c r="X8" s="52">
        <v>0</v>
      </c>
      <c r="Y8" s="52">
        <v>0</v>
      </c>
      <c r="Z8" s="52">
        <v>0</v>
      </c>
      <c r="AA8" s="52">
        <v>0</v>
      </c>
      <c r="AE8" s="52">
        <v>2009</v>
      </c>
      <c r="AF8" s="107">
        <f>'Future Type Share'!AK10*('Future EndUse Share'!AC71+'Future EndUse Share'!AE71+'Future EndUse Share'!AF71+'Future EndUse Share'!AA71)</f>
        <v>8476</v>
      </c>
      <c r="AG8" s="107">
        <f>'Future Type Share'!AI10*0.5*('Future EndUse Share'!Q71+'Future EndUse Share'!S71+'Future EndUse Share'!T71+'Future EndUse Share'!O71)</f>
        <v>0</v>
      </c>
      <c r="AH8" s="107">
        <f>'Future Type Share'!AG10*('Future EndUse Share'!Q71+'Future EndUse Share'!S71+'Future EndUse Share'!T71+'Future EndUse Share'!O71)</f>
        <v>9711</v>
      </c>
      <c r="AI8" s="107">
        <f t="shared" si="3"/>
        <v>0</v>
      </c>
      <c r="AJ8" s="52">
        <v>0</v>
      </c>
      <c r="AK8" s="52">
        <v>0</v>
      </c>
      <c r="AO8" s="52">
        <v>2009</v>
      </c>
      <c r="AP8" s="107">
        <f>'Future Type Share'!AK10*('Future EndUse Share'!AG71)</f>
        <v>1094</v>
      </c>
      <c r="AQ8" s="107">
        <f>'Future Type Share'!AI10*0.5*('Future EndUse Share'!U71)</f>
        <v>0</v>
      </c>
      <c r="AR8" s="107">
        <f>'Future Type Share'!AG10*'Future EndUse Share'!U71</f>
        <v>45</v>
      </c>
      <c r="AS8" s="107">
        <f t="shared" si="4"/>
        <v>0</v>
      </c>
      <c r="AT8" s="52">
        <v>0</v>
      </c>
      <c r="AU8" s="52">
        <v>0</v>
      </c>
    </row>
    <row r="9" spans="1:47">
      <c r="A9" s="52">
        <v>2010</v>
      </c>
      <c r="B9" s="107">
        <f>'Future Type Share'!AK11*'Future EndUse Share'!AD72</f>
        <v>947</v>
      </c>
      <c r="C9" s="52">
        <f>'Future Type Share'!AG11*0.5*'Future EndUse Share'!R72</f>
        <v>0</v>
      </c>
      <c r="D9" s="52">
        <f>'Future Type Share'!AG11*'Future EndUse Share'!R72</f>
        <v>0</v>
      </c>
      <c r="E9" s="107">
        <f t="shared" si="0"/>
        <v>0</v>
      </c>
      <c r="F9" s="107">
        <f t="shared" si="1"/>
        <v>0</v>
      </c>
      <c r="G9" s="107">
        <f t="shared" si="1"/>
        <v>0</v>
      </c>
      <c r="K9" s="489">
        <v>2010</v>
      </c>
      <c r="L9" s="107">
        <f>'Future Type Share'!AK11*'Future EndUse Share'!AB72</f>
        <v>2869.9999999999995</v>
      </c>
      <c r="M9" s="490">
        <f>'Future Type Share'!AI11*0.5*'Future EndUse Share'!P72</f>
        <v>0</v>
      </c>
      <c r="N9" s="490">
        <f>'Future Type Share'!AG11*'Future EndUse Share'!P72</f>
        <v>0</v>
      </c>
      <c r="O9" s="490">
        <f t="shared" si="2"/>
        <v>0</v>
      </c>
      <c r="P9" s="489">
        <v>0</v>
      </c>
      <c r="Q9" s="489">
        <v>0</v>
      </c>
      <c r="U9" s="52">
        <v>2010</v>
      </c>
      <c r="V9" s="52">
        <v>0</v>
      </c>
      <c r="W9" s="52">
        <v>0</v>
      </c>
      <c r="X9" s="52">
        <v>0</v>
      </c>
      <c r="Y9" s="52">
        <v>0</v>
      </c>
      <c r="Z9" s="52">
        <v>0</v>
      </c>
      <c r="AA9" s="52">
        <v>0</v>
      </c>
      <c r="AE9" s="52">
        <v>2010</v>
      </c>
      <c r="AF9" s="107">
        <f>'Future Type Share'!AK11*('Future EndUse Share'!AC72+'Future EndUse Share'!AE72+'Future EndUse Share'!AF72+'Future EndUse Share'!AA72)</f>
        <v>5357</v>
      </c>
      <c r="AG9" s="107">
        <f>'Future Type Share'!AI11*0.5*('Future EndUse Share'!Q72+'Future EndUse Share'!S72+'Future EndUse Share'!T72+'Future EndUse Share'!O72)</f>
        <v>0</v>
      </c>
      <c r="AH9" s="107">
        <f>'Future Type Share'!AG11*('Future EndUse Share'!Q72+'Future EndUse Share'!S72+'Future EndUse Share'!T72+'Future EndUse Share'!O72)</f>
        <v>6237.9961667465268</v>
      </c>
      <c r="AI9" s="107">
        <f t="shared" si="3"/>
        <v>0</v>
      </c>
      <c r="AJ9" s="52">
        <v>0</v>
      </c>
      <c r="AK9" s="52">
        <v>0</v>
      </c>
      <c r="AO9" s="52">
        <v>2010</v>
      </c>
      <c r="AP9" s="107">
        <f>'Future Type Share'!AK11*('Future EndUse Share'!AG72)</f>
        <v>717</v>
      </c>
      <c r="AQ9" s="107">
        <f>'Future Type Share'!AI11*0.5*('Future EndUse Share'!U72)</f>
        <v>0</v>
      </c>
      <c r="AR9" s="107">
        <f>'Future Type Share'!AG11*'Future EndUse Share'!U72</f>
        <v>25.003992972368629</v>
      </c>
      <c r="AS9" s="107">
        <f t="shared" si="4"/>
        <v>0</v>
      </c>
      <c r="AT9" s="52">
        <v>0</v>
      </c>
      <c r="AU9" s="52">
        <v>0</v>
      </c>
    </row>
    <row r="10" spans="1:47">
      <c r="A10" s="52">
        <v>2011</v>
      </c>
      <c r="B10" s="107">
        <f>'Future Type Share'!AK12*'Future EndUse Share'!AD73</f>
        <v>942</v>
      </c>
      <c r="C10" s="52">
        <f>'Future Type Share'!AG12*0.5*'Future EndUse Share'!R73</f>
        <v>0</v>
      </c>
      <c r="D10" s="52">
        <f>'Future Type Share'!AG12*'Future EndUse Share'!R73</f>
        <v>0</v>
      </c>
      <c r="E10" s="107">
        <f t="shared" si="0"/>
        <v>0</v>
      </c>
      <c r="F10" s="107">
        <f t="shared" si="1"/>
        <v>0</v>
      </c>
      <c r="G10" s="107">
        <f t="shared" si="1"/>
        <v>0</v>
      </c>
      <c r="K10" s="489">
        <v>2011</v>
      </c>
      <c r="L10" s="107">
        <f>'Future Type Share'!AK12*'Future EndUse Share'!AB73</f>
        <v>2931</v>
      </c>
      <c r="M10" s="490">
        <f>'Future Type Share'!AI12*0.5*'Future EndUse Share'!P73</f>
        <v>0</v>
      </c>
      <c r="N10" s="490">
        <f>'Future Type Share'!AG12*'Future EndUse Share'!P73</f>
        <v>0</v>
      </c>
      <c r="O10" s="490">
        <f t="shared" si="2"/>
        <v>0</v>
      </c>
      <c r="P10" s="489">
        <v>0</v>
      </c>
      <c r="Q10" s="489">
        <v>0</v>
      </c>
      <c r="U10" s="52">
        <v>2011</v>
      </c>
      <c r="V10" s="52">
        <v>0</v>
      </c>
      <c r="W10" s="52">
        <v>0</v>
      </c>
      <c r="X10" s="52">
        <v>0</v>
      </c>
      <c r="Y10" s="52">
        <v>0</v>
      </c>
      <c r="Z10" s="52">
        <v>0</v>
      </c>
      <c r="AA10" s="52">
        <v>0</v>
      </c>
      <c r="AE10" s="52">
        <v>2011</v>
      </c>
      <c r="AF10" s="107">
        <f>'Future Type Share'!AK12*('Future EndUse Share'!AC73+'Future EndUse Share'!AE73+'Future EndUse Share'!AF73+'Future EndUse Share'!AA73)</f>
        <v>5578</v>
      </c>
      <c r="AG10" s="107">
        <f>'Future Type Share'!AI12*0.5*('Future EndUse Share'!Q73+'Future EndUse Share'!S73+'Future EndUse Share'!T73+'Future EndUse Share'!O73)</f>
        <v>0</v>
      </c>
      <c r="AH10" s="107">
        <f>'Future Type Share'!AG12*('Future EndUse Share'!Q73+'Future EndUse Share'!S73+'Future EndUse Share'!T73+'Future EndUse Share'!O73)</f>
        <v>6131.9999999999991</v>
      </c>
      <c r="AI10" s="107">
        <f t="shared" si="3"/>
        <v>0</v>
      </c>
      <c r="AJ10" s="52">
        <v>0</v>
      </c>
      <c r="AK10" s="52">
        <v>0</v>
      </c>
      <c r="AO10" s="52">
        <v>2011</v>
      </c>
      <c r="AP10" s="107">
        <f>'Future Type Share'!AK12*('Future EndUse Share'!AG73)</f>
        <v>817</v>
      </c>
      <c r="AQ10" s="107">
        <f>'Future Type Share'!AI12*0.5*('Future EndUse Share'!U73)</f>
        <v>0</v>
      </c>
      <c r="AR10" s="107">
        <f>'Future Type Share'!AG12*'Future EndUse Share'!U73</f>
        <v>24</v>
      </c>
      <c r="AS10" s="107">
        <f t="shared" si="4"/>
        <v>0</v>
      </c>
      <c r="AT10" s="52">
        <v>0</v>
      </c>
      <c r="AU10" s="52">
        <v>0</v>
      </c>
    </row>
    <row r="11" spans="1:47">
      <c r="A11" s="52">
        <v>2012</v>
      </c>
      <c r="B11" s="107">
        <f>'Future Type Share'!AK13*'Future EndUse Share'!AD74</f>
        <v>970</v>
      </c>
      <c r="C11" s="52">
        <f>'Future Type Share'!AG13*0.5*'Future EndUse Share'!R74</f>
        <v>0</v>
      </c>
      <c r="D11" s="52">
        <f>'Future Type Share'!AG13*'Future EndUse Share'!R74</f>
        <v>0</v>
      </c>
      <c r="E11" s="107">
        <f t="shared" si="0"/>
        <v>0</v>
      </c>
      <c r="F11" s="52">
        <v>0</v>
      </c>
      <c r="G11" s="52">
        <v>0</v>
      </c>
      <c r="K11" s="489">
        <v>2012</v>
      </c>
      <c r="L11" s="107">
        <f>'Future Type Share'!AK13*'Future EndUse Share'!AB74</f>
        <v>3029</v>
      </c>
      <c r="M11" s="490">
        <f>'Future Type Share'!AI13*0.5*'Future EndUse Share'!P74</f>
        <v>0</v>
      </c>
      <c r="N11" s="490">
        <f>'Future Type Share'!AG13*'Future EndUse Share'!P74</f>
        <v>0</v>
      </c>
      <c r="O11" s="490">
        <f t="shared" si="2"/>
        <v>0</v>
      </c>
      <c r="P11" s="489">
        <v>0</v>
      </c>
      <c r="Q11" s="489">
        <v>0</v>
      </c>
      <c r="U11" s="52">
        <v>2012</v>
      </c>
      <c r="V11" s="52">
        <v>0</v>
      </c>
      <c r="W11" s="52">
        <v>0</v>
      </c>
      <c r="X11" s="52">
        <v>0</v>
      </c>
      <c r="Y11" s="52">
        <v>0</v>
      </c>
      <c r="Z11" s="52">
        <v>0</v>
      </c>
      <c r="AA11" s="52">
        <v>0</v>
      </c>
      <c r="AE11" s="52">
        <v>2012</v>
      </c>
      <c r="AF11" s="107">
        <f>'Future Type Share'!AK13*('Future EndUse Share'!AC74+'Future EndUse Share'!AE74+'Future EndUse Share'!AF74+'Future EndUse Share'!AA74)</f>
        <v>5700.9999999999991</v>
      </c>
      <c r="AG11" s="107">
        <f>'Future Type Share'!AI13*0.5*('Future EndUse Share'!Q74+'Future EndUse Share'!S74+'Future EndUse Share'!T74+'Future EndUse Share'!O74)</f>
        <v>0</v>
      </c>
      <c r="AH11" s="107">
        <f>'Future Type Share'!AG13*('Future EndUse Share'!Q74+'Future EndUse Share'!S74+'Future EndUse Share'!T74+'Future EndUse Share'!O74)</f>
        <v>6170.9999999999991</v>
      </c>
      <c r="AI11" s="107">
        <f t="shared" si="3"/>
        <v>0</v>
      </c>
      <c r="AJ11" s="52">
        <v>0</v>
      </c>
      <c r="AK11" s="52">
        <v>0</v>
      </c>
      <c r="AO11" s="52">
        <v>2012</v>
      </c>
      <c r="AP11" s="107">
        <f>'Future Type Share'!AK13*('Future EndUse Share'!AG74)</f>
        <v>974</v>
      </c>
      <c r="AQ11" s="107">
        <f>'Future Type Share'!AI13*0.5*('Future EndUse Share'!U74)</f>
        <v>0</v>
      </c>
      <c r="AR11" s="107">
        <f>'Future Type Share'!AG13*'Future EndUse Share'!U74</f>
        <v>21</v>
      </c>
      <c r="AS11" s="107">
        <f t="shared" si="4"/>
        <v>0</v>
      </c>
      <c r="AT11" s="52">
        <v>0</v>
      </c>
      <c r="AU11" s="52">
        <v>0</v>
      </c>
    </row>
    <row r="12" spans="1:47">
      <c r="A12" s="52">
        <v>2013</v>
      </c>
      <c r="B12" s="107">
        <f>'Future Type Share'!AK14*'Future EndUse Share'!AD75</f>
        <v>823</v>
      </c>
      <c r="C12" s="52">
        <f>'Future Type Share'!AG14*0.5*'Future EndUse Share'!R75</f>
        <v>0</v>
      </c>
      <c r="D12" s="52">
        <f>'Future Type Share'!AG14*'Future EndUse Share'!R75</f>
        <v>0</v>
      </c>
      <c r="E12" s="107">
        <f t="shared" si="0"/>
        <v>0</v>
      </c>
      <c r="F12" s="52">
        <v>0</v>
      </c>
      <c r="G12" s="52">
        <v>0</v>
      </c>
      <c r="K12" s="489">
        <v>2013</v>
      </c>
      <c r="L12" s="107">
        <f>'Future Type Share'!AK14*'Future EndUse Share'!AB75</f>
        <v>2883</v>
      </c>
      <c r="M12" s="490">
        <f>'Future Type Share'!AI14*0.5*'Future EndUse Share'!P75</f>
        <v>0</v>
      </c>
      <c r="N12" s="490">
        <f>'Future Type Share'!AG14*'Future EndUse Share'!P75</f>
        <v>0</v>
      </c>
      <c r="O12" s="490">
        <f t="shared" si="2"/>
        <v>0</v>
      </c>
      <c r="P12" s="489">
        <v>0</v>
      </c>
      <c r="Q12" s="489">
        <v>0</v>
      </c>
      <c r="U12" s="52">
        <v>2013</v>
      </c>
      <c r="V12" s="52">
        <v>0</v>
      </c>
      <c r="W12" s="52">
        <v>0</v>
      </c>
      <c r="X12" s="52">
        <v>0</v>
      </c>
      <c r="Y12" s="52">
        <v>0</v>
      </c>
      <c r="Z12" s="52">
        <v>0</v>
      </c>
      <c r="AA12" s="52">
        <v>0</v>
      </c>
      <c r="AE12" s="52">
        <v>2013</v>
      </c>
      <c r="AF12" s="107">
        <f>'Future Type Share'!AK14*('Future EndUse Share'!AC75+'Future EndUse Share'!AE75+'Future EndUse Share'!AF75+'Future EndUse Share'!AA75)</f>
        <v>5776</v>
      </c>
      <c r="AG12" s="107">
        <f>'Future Type Share'!AI14*0.5*('Future EndUse Share'!Q75+'Future EndUse Share'!S75+'Future EndUse Share'!T75+'Future EndUse Share'!O75)</f>
        <v>0</v>
      </c>
      <c r="AH12" s="107">
        <f>'Future Type Share'!AG14*('Future EndUse Share'!Q75+'Future EndUse Share'!S75+'Future EndUse Share'!T75+'Future EndUse Share'!O75)</f>
        <v>6087</v>
      </c>
      <c r="AI12" s="107">
        <f t="shared" si="3"/>
        <v>0</v>
      </c>
      <c r="AJ12" s="52">
        <v>0</v>
      </c>
      <c r="AK12" s="52">
        <v>0</v>
      </c>
      <c r="AO12" s="52">
        <v>2013</v>
      </c>
      <c r="AP12" s="107">
        <f>'Future Type Share'!AK14*('Future EndUse Share'!AG75)</f>
        <v>1013</v>
      </c>
      <c r="AQ12" s="107">
        <f>'Future Type Share'!AI14*0.5*('Future EndUse Share'!U75)</f>
        <v>0</v>
      </c>
      <c r="AR12" s="107">
        <f>'Future Type Share'!AG14*'Future EndUse Share'!U75</f>
        <v>22</v>
      </c>
      <c r="AS12" s="107">
        <f t="shared" si="4"/>
        <v>0</v>
      </c>
      <c r="AT12" s="52">
        <v>0</v>
      </c>
      <c r="AU12" s="52">
        <v>0</v>
      </c>
    </row>
    <row r="13" spans="1:47">
      <c r="A13" s="52">
        <v>2014</v>
      </c>
      <c r="B13" s="107">
        <f>'Future Type Share'!AK15*'Future EndUse Share'!AD76</f>
        <v>775</v>
      </c>
      <c r="C13" s="52">
        <f>'Future Type Share'!AG15*0.5*'Future EndUse Share'!R76</f>
        <v>0</v>
      </c>
      <c r="D13" s="52">
        <f>'Future Type Share'!AG15*'Future EndUse Share'!R76</f>
        <v>0</v>
      </c>
      <c r="E13" s="107">
        <f t="shared" si="0"/>
        <v>0</v>
      </c>
      <c r="F13" s="52">
        <v>0</v>
      </c>
      <c r="G13" s="52">
        <v>0</v>
      </c>
      <c r="K13" s="489">
        <v>2014</v>
      </c>
      <c r="L13" s="107">
        <f>'Future Type Share'!AK15*'Future EndUse Share'!AB76</f>
        <v>3496</v>
      </c>
      <c r="M13" s="490">
        <f>'Future Type Share'!AI15*0.5*'Future EndUse Share'!P76</f>
        <v>0</v>
      </c>
      <c r="N13" s="490">
        <f>'Future Type Share'!AG15*'Future EndUse Share'!P76</f>
        <v>0</v>
      </c>
      <c r="O13" s="490">
        <f t="shared" si="2"/>
        <v>0</v>
      </c>
      <c r="P13" s="489">
        <v>0</v>
      </c>
      <c r="Q13" s="489">
        <v>0</v>
      </c>
      <c r="U13" s="52">
        <v>2014</v>
      </c>
      <c r="V13" s="52">
        <v>0</v>
      </c>
      <c r="W13" s="52">
        <v>0</v>
      </c>
      <c r="X13" s="52">
        <v>0</v>
      </c>
      <c r="Y13" s="52">
        <v>0</v>
      </c>
      <c r="Z13" s="52">
        <v>0</v>
      </c>
      <c r="AA13" s="52">
        <v>0</v>
      </c>
      <c r="AE13" s="52">
        <v>2014</v>
      </c>
      <c r="AF13" s="107">
        <f>'Future Type Share'!AK15*('Future EndUse Share'!AC76+'Future EndUse Share'!AE76+'Future EndUse Share'!AF76+'Future EndUse Share'!AA76)</f>
        <v>5857.9999999999991</v>
      </c>
      <c r="AG13" s="107">
        <f>'Future Type Share'!AI15*0.5*('Future EndUse Share'!Q76+'Future EndUse Share'!S76+'Future EndUse Share'!T76+'Future EndUse Share'!O76)</f>
        <v>0</v>
      </c>
      <c r="AH13" s="107">
        <f>'Future Type Share'!AG15*('Future EndUse Share'!Q76+'Future EndUse Share'!S76+'Future EndUse Share'!T76+'Future EndUse Share'!O76)</f>
        <v>6075</v>
      </c>
      <c r="AI13" s="107">
        <f t="shared" si="3"/>
        <v>0</v>
      </c>
      <c r="AJ13" s="52">
        <v>0</v>
      </c>
      <c r="AK13" s="52">
        <v>0</v>
      </c>
      <c r="AO13" s="52">
        <v>2014</v>
      </c>
      <c r="AP13" s="107">
        <f>'Future Type Share'!AK15*('Future EndUse Share'!AG76)</f>
        <v>1145</v>
      </c>
      <c r="AQ13" s="107">
        <f>'Future Type Share'!AI15*0.5*('Future EndUse Share'!U76)</f>
        <v>0</v>
      </c>
      <c r="AR13" s="107">
        <f>'Future Type Share'!AG15*'Future EndUse Share'!U76</f>
        <v>23</v>
      </c>
      <c r="AS13" s="107">
        <f t="shared" si="4"/>
        <v>0</v>
      </c>
      <c r="AT13" s="52">
        <v>0</v>
      </c>
      <c r="AU13" s="52">
        <v>0</v>
      </c>
    </row>
    <row r="14" spans="1:47">
      <c r="A14" s="52">
        <v>2015</v>
      </c>
      <c r="B14" s="107">
        <f>'Future Type Share'!AK16*'Future EndUse Share'!AD77</f>
        <v>691</v>
      </c>
      <c r="C14" s="52">
        <f>'Future Type Share'!AG16*0.5*'Future EndUse Share'!R77</f>
        <v>0</v>
      </c>
      <c r="D14" s="52">
        <f>'Future Type Share'!AG16*'Future EndUse Share'!R77</f>
        <v>0</v>
      </c>
      <c r="E14" s="107">
        <f t="shared" si="0"/>
        <v>0</v>
      </c>
      <c r="F14" s="52">
        <v>0</v>
      </c>
      <c r="G14" s="52">
        <v>0</v>
      </c>
      <c r="K14" s="489">
        <v>2015</v>
      </c>
      <c r="L14" s="107">
        <f>'Future Type Share'!AK16*'Future EndUse Share'!AB77</f>
        <v>3580</v>
      </c>
      <c r="M14" s="490">
        <f>'Future Type Share'!AI16*0.5*'Future EndUse Share'!P77</f>
        <v>0</v>
      </c>
      <c r="N14" s="490">
        <f>'Future Type Share'!AG16*'Future EndUse Share'!P77</f>
        <v>0</v>
      </c>
      <c r="O14" s="490">
        <f t="shared" si="2"/>
        <v>0</v>
      </c>
      <c r="P14" s="489">
        <v>0</v>
      </c>
      <c r="Q14" s="489">
        <v>0</v>
      </c>
      <c r="U14" s="52">
        <v>2015</v>
      </c>
      <c r="V14" s="52">
        <v>0</v>
      </c>
      <c r="W14" s="52">
        <v>0</v>
      </c>
      <c r="X14" s="52">
        <v>0</v>
      </c>
      <c r="Y14" s="52">
        <v>0</v>
      </c>
      <c r="Z14" s="52">
        <v>0</v>
      </c>
      <c r="AA14" s="52">
        <v>0</v>
      </c>
      <c r="AE14" s="52">
        <v>2015</v>
      </c>
      <c r="AF14" s="107">
        <f>'Future Type Share'!AK16*('Future EndUse Share'!AC77+'Future EndUse Share'!AE77+'Future EndUse Share'!AF77+'Future EndUse Share'!AA77)</f>
        <v>5550</v>
      </c>
      <c r="AG14" s="107">
        <f>'Future Type Share'!AI16*0.5*('Future EndUse Share'!Q77+'Future EndUse Share'!S77+'Future EndUse Share'!T77+'Future EndUse Share'!O77)</f>
        <v>0</v>
      </c>
      <c r="AH14" s="107">
        <f>'Future Type Share'!AG16*('Future EndUse Share'!Q77+'Future EndUse Share'!S77+'Future EndUse Share'!T77+'Future EndUse Share'!O77)</f>
        <v>5915</v>
      </c>
      <c r="AI14" s="107">
        <f t="shared" si="3"/>
        <v>0</v>
      </c>
      <c r="AJ14" s="52">
        <v>0</v>
      </c>
      <c r="AK14" s="52">
        <v>0</v>
      </c>
      <c r="AO14" s="52">
        <v>2015</v>
      </c>
      <c r="AP14" s="107">
        <f>'Future Type Share'!AK16*('Future EndUse Share'!AG77)</f>
        <v>1212</v>
      </c>
      <c r="AQ14" s="107">
        <f>'Future Type Share'!AI16*0.5*('Future EndUse Share'!U77)</f>
        <v>0</v>
      </c>
      <c r="AR14" s="107">
        <f>'Future Type Share'!AG16*'Future EndUse Share'!U77</f>
        <v>23</v>
      </c>
      <c r="AS14" s="107">
        <f t="shared" si="4"/>
        <v>0</v>
      </c>
      <c r="AT14" s="52">
        <v>0</v>
      </c>
      <c r="AU14" s="52">
        <v>0</v>
      </c>
    </row>
    <row r="15" spans="1:47">
      <c r="A15" s="52">
        <v>2016</v>
      </c>
      <c r="B15" s="107">
        <f>'Future Type Share'!AK17*'Future EndUse Share'!AD78</f>
        <v>633</v>
      </c>
      <c r="C15" s="52">
        <f>'Future Type Share'!AG17*0.5*'Future EndUse Share'!R78</f>
        <v>0</v>
      </c>
      <c r="D15" s="52">
        <f>'Future Type Share'!AG17*'Future EndUse Share'!R78</f>
        <v>0</v>
      </c>
      <c r="E15" s="107">
        <f t="shared" si="0"/>
        <v>0</v>
      </c>
      <c r="F15" s="52">
        <v>0</v>
      </c>
      <c r="G15" s="52">
        <v>0</v>
      </c>
      <c r="K15" s="489">
        <v>2016</v>
      </c>
      <c r="L15" s="107">
        <f>'Future Type Share'!AK17*'Future EndUse Share'!AB78</f>
        <v>3758</v>
      </c>
      <c r="M15" s="490">
        <f>'Future Type Share'!AI17*0.5*'Future EndUse Share'!P78</f>
        <v>0</v>
      </c>
      <c r="N15" s="490">
        <f>'Future Type Share'!AG17*'Future EndUse Share'!P78</f>
        <v>0</v>
      </c>
      <c r="O15" s="490">
        <f t="shared" si="2"/>
        <v>0</v>
      </c>
      <c r="P15" s="489">
        <v>0</v>
      </c>
      <c r="Q15" s="489">
        <v>0</v>
      </c>
      <c r="U15" s="52">
        <v>2016</v>
      </c>
      <c r="V15" s="52">
        <v>0</v>
      </c>
      <c r="W15" s="52">
        <v>0</v>
      </c>
      <c r="X15" s="52">
        <v>0</v>
      </c>
      <c r="Y15" s="52">
        <v>0</v>
      </c>
      <c r="Z15" s="52">
        <v>0</v>
      </c>
      <c r="AA15" s="52">
        <v>0</v>
      </c>
      <c r="AE15" s="52">
        <v>2016</v>
      </c>
      <c r="AF15" s="107">
        <f>'Future Type Share'!AK17*('Future EndUse Share'!AC78+'Future EndUse Share'!AE78+'Future EndUse Share'!AF78+'Future EndUse Share'!AA78)</f>
        <v>5443</v>
      </c>
      <c r="AG15" s="107">
        <f>'Future Type Share'!AI17*0.5*('Future EndUse Share'!Q78+'Future EndUse Share'!S78+'Future EndUse Share'!T78+'Future EndUse Share'!O78)</f>
        <v>0</v>
      </c>
      <c r="AH15" s="107">
        <f>'Future Type Share'!AG17*('Future EndUse Share'!Q78+'Future EndUse Share'!S78+'Future EndUse Share'!T78+'Future EndUse Share'!O78)</f>
        <v>6035</v>
      </c>
      <c r="AI15" s="107">
        <f t="shared" si="3"/>
        <v>0</v>
      </c>
      <c r="AJ15" s="52">
        <v>0</v>
      </c>
      <c r="AK15" s="52">
        <v>0</v>
      </c>
      <c r="AO15" s="52">
        <v>2016</v>
      </c>
      <c r="AP15" s="107">
        <f>'Future Type Share'!AK17*('Future EndUse Share'!AG78)</f>
        <v>1297</v>
      </c>
      <c r="AQ15" s="107">
        <f>'Future Type Share'!AI17*0.5*('Future EndUse Share'!U78)</f>
        <v>0</v>
      </c>
      <c r="AR15" s="107">
        <f>'Future Type Share'!AG17*'Future EndUse Share'!U78</f>
        <v>23</v>
      </c>
      <c r="AS15" s="107">
        <f t="shared" si="4"/>
        <v>0</v>
      </c>
      <c r="AT15" s="52">
        <v>0</v>
      </c>
      <c r="AU15" s="52">
        <v>0</v>
      </c>
    </row>
    <row r="16" spans="1:47">
      <c r="A16">
        <v>2017</v>
      </c>
      <c r="B16" s="50">
        <f>'Future Type Share'!AK18*'Future EndUse Share'!AD79</f>
        <v>570</v>
      </c>
      <c r="C16" s="50">
        <f>'Future Type Share'!AG18*0.5*'Future EndUse Share'!R79</f>
        <v>0</v>
      </c>
      <c r="D16" s="50">
        <f>'Future Type Share'!AG18*'Future EndUse Share'!R79</f>
        <v>0</v>
      </c>
      <c r="E16" s="50">
        <f t="shared" ref="E16:E49" si="5">C16</f>
        <v>0</v>
      </c>
      <c r="F16">
        <f>F15</f>
        <v>0</v>
      </c>
      <c r="G16">
        <f>G15</f>
        <v>0</v>
      </c>
      <c r="K16">
        <v>2017</v>
      </c>
      <c r="L16" s="50">
        <f>'Future Type Share'!AK18*'Future EndUse Share'!AB79</f>
        <v>3821</v>
      </c>
      <c r="M16" s="50">
        <f>'Future Type Share'!AI18*0.5*'Future EndUse Share'!P79</f>
        <v>0</v>
      </c>
      <c r="N16" s="50">
        <f>'Future Type Share'!AG18*'Future EndUse Share'!P79</f>
        <v>0</v>
      </c>
      <c r="O16" s="50">
        <f>O15</f>
        <v>0</v>
      </c>
      <c r="P16" s="50">
        <f>P15</f>
        <v>0</v>
      </c>
      <c r="Q16" s="50">
        <f>Q15</f>
        <v>0</v>
      </c>
      <c r="U16">
        <v>2017</v>
      </c>
      <c r="V16" s="50">
        <f t="shared" ref="V16:Z31" si="6">V15</f>
        <v>0</v>
      </c>
      <c r="W16" s="50">
        <f>W15</f>
        <v>0</v>
      </c>
      <c r="X16" s="50">
        <f>X15</f>
        <v>0</v>
      </c>
      <c r="Y16" s="50">
        <f>Y15</f>
        <v>0</v>
      </c>
      <c r="Z16" s="50">
        <f>Z15</f>
        <v>0</v>
      </c>
      <c r="AA16" s="50">
        <f t="shared" ref="AA16:AA49" si="7">AA15</f>
        <v>0</v>
      </c>
      <c r="AE16">
        <v>2017</v>
      </c>
      <c r="AF16" s="50">
        <f>'Future Type Share'!AK18*('Future EndUse Share'!AC79+'Future EndUse Share'!AE79+'Future EndUse Share'!AF79+'Future EndUse Share'!AA79)</f>
        <v>5046.0000000000009</v>
      </c>
      <c r="AG16" s="50">
        <f>'Future Type Share'!AI18*0.5*('Future EndUse Share'!Q79+'Future EndUse Share'!S79+'Future EndUse Share'!T79+'Future EndUse Share'!O79)</f>
        <v>0</v>
      </c>
      <c r="AH16" s="50">
        <f>'Future Type Share'!AG18*('Future EndUse Share'!Q79+'Future EndUse Share'!S79+'Future EndUse Share'!T79+'Future EndUse Share'!O79)</f>
        <v>5905</v>
      </c>
      <c r="AI16">
        <f t="shared" si="3"/>
        <v>0</v>
      </c>
      <c r="AJ16">
        <f>AJ15</f>
        <v>0</v>
      </c>
      <c r="AK16">
        <f>AK15</f>
        <v>0</v>
      </c>
      <c r="AO16">
        <v>2017</v>
      </c>
      <c r="AP16" s="50">
        <f>'Future Type Share'!AK18*('Future EndUse Share'!AG79)</f>
        <v>1315</v>
      </c>
      <c r="AQ16" s="50">
        <f>'Future Type Share'!AI18*0.5*('Future EndUse Share'!U79)</f>
        <v>0</v>
      </c>
      <c r="AR16" s="50">
        <f>'Future Type Share'!AG18*'Future EndUse Share'!U79</f>
        <v>23.999999999999996</v>
      </c>
      <c r="AS16">
        <f t="shared" si="4"/>
        <v>0</v>
      </c>
      <c r="AT16">
        <f>AT15</f>
        <v>0</v>
      </c>
      <c r="AU16">
        <f>AU15</f>
        <v>0</v>
      </c>
    </row>
    <row r="17" spans="1:47">
      <c r="A17">
        <v>2018</v>
      </c>
      <c r="B17" s="50">
        <f>'Future Type Share'!AK19*'Future EndUse Share'!AD80</f>
        <v>568</v>
      </c>
      <c r="C17" s="50">
        <f>'Future Type Share'!AG19*0.5*'Future EndUse Share'!R80</f>
        <v>0</v>
      </c>
      <c r="D17" s="50">
        <f>'Future Type Share'!AG19*'Future EndUse Share'!R80</f>
        <v>0</v>
      </c>
      <c r="E17" s="50">
        <f t="shared" si="5"/>
        <v>0</v>
      </c>
      <c r="F17">
        <f t="shared" ref="F17:G32" si="8">F16</f>
        <v>0</v>
      </c>
      <c r="G17">
        <f t="shared" si="8"/>
        <v>0</v>
      </c>
      <c r="K17">
        <v>2018</v>
      </c>
      <c r="L17" s="50">
        <f>'Future Type Share'!AK19*'Future EndUse Share'!AB80</f>
        <v>3766.9999999999995</v>
      </c>
      <c r="M17" s="50">
        <f>'Future Type Share'!AI19*0.5*'Future EndUse Share'!P80</f>
        <v>0</v>
      </c>
      <c r="N17" s="50">
        <f>'Future Type Share'!AG19*'Future EndUse Share'!P80</f>
        <v>0</v>
      </c>
      <c r="O17" s="50">
        <f t="shared" ref="O17:Q32" si="9">O16</f>
        <v>0</v>
      </c>
      <c r="P17" s="50">
        <f t="shared" si="9"/>
        <v>0</v>
      </c>
      <c r="Q17" s="50">
        <f t="shared" si="9"/>
        <v>0</v>
      </c>
      <c r="U17">
        <v>2018</v>
      </c>
      <c r="V17" s="50">
        <f t="shared" si="6"/>
        <v>0</v>
      </c>
      <c r="W17" s="50">
        <f t="shared" si="6"/>
        <v>0</v>
      </c>
      <c r="X17" s="50">
        <f t="shared" si="6"/>
        <v>0</v>
      </c>
      <c r="Y17" s="50">
        <f t="shared" si="6"/>
        <v>0</v>
      </c>
      <c r="Z17" s="50">
        <f t="shared" si="6"/>
        <v>0</v>
      </c>
      <c r="AA17" s="50">
        <f t="shared" si="7"/>
        <v>0</v>
      </c>
      <c r="AE17">
        <v>2018</v>
      </c>
      <c r="AF17" s="50">
        <f>'Future Type Share'!AK19*('Future EndUse Share'!AC80+'Future EndUse Share'!AE80+'Future EndUse Share'!AF80+'Future EndUse Share'!AA80)</f>
        <v>5020</v>
      </c>
      <c r="AG17" s="50">
        <f>'Future Type Share'!AI19*0.5*('Future EndUse Share'!Q80+'Future EndUse Share'!S80+'Future EndUse Share'!T80+'Future EndUse Share'!O80)</f>
        <v>0</v>
      </c>
      <c r="AH17" s="50">
        <f>'Future Type Share'!AG19*('Future EndUse Share'!Q80+'Future EndUse Share'!S80+'Future EndUse Share'!T80+'Future EndUse Share'!O80)</f>
        <v>6171</v>
      </c>
      <c r="AI17">
        <f t="shared" si="3"/>
        <v>0</v>
      </c>
      <c r="AJ17">
        <f t="shared" ref="AJ17:AK32" si="10">AJ16</f>
        <v>0</v>
      </c>
      <c r="AK17">
        <f t="shared" si="10"/>
        <v>0</v>
      </c>
      <c r="AO17">
        <v>2018</v>
      </c>
      <c r="AP17" s="50">
        <f>'Future Type Share'!AK19*('Future EndUse Share'!AG80)</f>
        <v>1310</v>
      </c>
      <c r="AQ17" s="50">
        <f>'Future Type Share'!AI19*0.5*('Future EndUse Share'!U80)</f>
        <v>0</v>
      </c>
      <c r="AR17" s="50">
        <f>'Future Type Share'!AG19*'Future EndUse Share'!U80</f>
        <v>24</v>
      </c>
      <c r="AS17">
        <f t="shared" si="4"/>
        <v>0</v>
      </c>
      <c r="AT17">
        <f t="shared" ref="AT17:AU32" si="11">AT16</f>
        <v>0</v>
      </c>
      <c r="AU17">
        <f t="shared" si="11"/>
        <v>0</v>
      </c>
    </row>
    <row r="18" spans="1:47">
      <c r="A18">
        <v>2019</v>
      </c>
      <c r="B18" s="50">
        <f>'Future Type Share'!AK20*'Future EndUse Share'!AD81</f>
        <v>584</v>
      </c>
      <c r="C18" s="50">
        <f>'Future Type Share'!AG20*0.5*'Future EndUse Share'!R81</f>
        <v>0</v>
      </c>
      <c r="D18" s="50">
        <f>'Future Type Share'!AG20*'Future EndUse Share'!R81</f>
        <v>0</v>
      </c>
      <c r="E18" s="50">
        <f t="shared" si="5"/>
        <v>0</v>
      </c>
      <c r="F18">
        <f t="shared" si="8"/>
        <v>0</v>
      </c>
      <c r="G18">
        <f t="shared" si="8"/>
        <v>0</v>
      </c>
      <c r="K18">
        <v>2019</v>
      </c>
      <c r="L18" s="50">
        <f>'Future Type Share'!AK20*'Future EndUse Share'!AB81</f>
        <v>3818.9999999999995</v>
      </c>
      <c r="M18" s="50">
        <f>'Future Type Share'!AI20*0.5*'Future EndUse Share'!P81</f>
        <v>0</v>
      </c>
      <c r="N18" s="50">
        <f>'Future Type Share'!AG20*'Future EndUse Share'!P81</f>
        <v>0</v>
      </c>
      <c r="O18" s="50">
        <f t="shared" si="9"/>
        <v>0</v>
      </c>
      <c r="P18" s="50">
        <f t="shared" si="9"/>
        <v>0</v>
      </c>
      <c r="Q18" s="50">
        <f t="shared" si="9"/>
        <v>0</v>
      </c>
      <c r="U18">
        <v>2019</v>
      </c>
      <c r="V18" s="50">
        <f t="shared" si="6"/>
        <v>0</v>
      </c>
      <c r="W18" s="50">
        <f t="shared" si="6"/>
        <v>0</v>
      </c>
      <c r="X18" s="50">
        <f t="shared" si="6"/>
        <v>0</v>
      </c>
      <c r="Y18" s="50">
        <f t="shared" si="6"/>
        <v>0</v>
      </c>
      <c r="Z18" s="50">
        <f t="shared" si="6"/>
        <v>0</v>
      </c>
      <c r="AA18" s="50">
        <f t="shared" si="7"/>
        <v>0</v>
      </c>
      <c r="AE18">
        <v>2019</v>
      </c>
      <c r="AF18" s="50">
        <f>'Future Type Share'!AK20*('Future EndUse Share'!AC81+'Future EndUse Share'!AE81+'Future EndUse Share'!AF81+'Future EndUse Share'!AA81)</f>
        <v>5133.9999999999991</v>
      </c>
      <c r="AG18" s="50">
        <f>'Future Type Share'!AI20*0.5*('Future EndUse Share'!Q81+'Future EndUse Share'!S81+'Future EndUse Share'!T81+'Future EndUse Share'!O81)</f>
        <v>0</v>
      </c>
      <c r="AH18" s="50">
        <f>'Future Type Share'!AG20*('Future EndUse Share'!Q81+'Future EndUse Share'!S81+'Future EndUse Share'!T81+'Future EndUse Share'!O81)</f>
        <v>5794</v>
      </c>
      <c r="AI18">
        <f t="shared" si="3"/>
        <v>0</v>
      </c>
      <c r="AJ18">
        <f t="shared" si="10"/>
        <v>0</v>
      </c>
      <c r="AK18">
        <f t="shared" si="10"/>
        <v>0</v>
      </c>
      <c r="AO18">
        <v>2019</v>
      </c>
      <c r="AP18" s="50">
        <f>'Future Type Share'!AK20*('Future EndUse Share'!AG81)</f>
        <v>1348</v>
      </c>
      <c r="AQ18" s="50">
        <f>'Future Type Share'!AI20*0.5*('Future EndUse Share'!U81)</f>
        <v>0</v>
      </c>
      <c r="AR18" s="50">
        <f>'Future Type Share'!AG20*'Future EndUse Share'!U81</f>
        <v>23</v>
      </c>
      <c r="AS18">
        <f t="shared" si="4"/>
        <v>0</v>
      </c>
      <c r="AT18">
        <f t="shared" si="11"/>
        <v>0</v>
      </c>
      <c r="AU18">
        <f t="shared" si="11"/>
        <v>0</v>
      </c>
    </row>
    <row r="19" spans="1:47">
      <c r="A19">
        <v>2020</v>
      </c>
      <c r="B19" s="50">
        <f>'Future Type Share'!AK21*'Future EndUse Share'!AD82</f>
        <v>617</v>
      </c>
      <c r="C19" s="50">
        <f>'Future Type Share'!AG21*0.5*'Future EndUse Share'!R82</f>
        <v>0</v>
      </c>
      <c r="D19" s="50">
        <f>'Future Type Share'!AG21*'Future EndUse Share'!R82</f>
        <v>0</v>
      </c>
      <c r="E19" s="50">
        <f t="shared" si="5"/>
        <v>0</v>
      </c>
      <c r="F19">
        <f t="shared" si="8"/>
        <v>0</v>
      </c>
      <c r="G19">
        <f t="shared" si="8"/>
        <v>0</v>
      </c>
      <c r="K19">
        <v>2020</v>
      </c>
      <c r="L19" s="50">
        <f>'Future Type Share'!AK21*'Future EndUse Share'!AB82</f>
        <v>4280</v>
      </c>
      <c r="M19" s="50">
        <f>'Future Type Share'!AI21*0.5*'Future EndUse Share'!P82</f>
        <v>0</v>
      </c>
      <c r="N19" s="50">
        <f>'Future Type Share'!AG21*'Future EndUse Share'!P82</f>
        <v>0</v>
      </c>
      <c r="O19" s="50">
        <f t="shared" si="9"/>
        <v>0</v>
      </c>
      <c r="P19" s="50">
        <f t="shared" si="9"/>
        <v>0</v>
      </c>
      <c r="Q19" s="50">
        <f t="shared" si="9"/>
        <v>0</v>
      </c>
      <c r="U19">
        <v>2020</v>
      </c>
      <c r="V19" s="50">
        <f t="shared" si="6"/>
        <v>0</v>
      </c>
      <c r="W19" s="50">
        <f t="shared" si="6"/>
        <v>0</v>
      </c>
      <c r="X19" s="50">
        <f t="shared" si="6"/>
        <v>0</v>
      </c>
      <c r="Y19" s="50">
        <f t="shared" si="6"/>
        <v>0</v>
      </c>
      <c r="Z19" s="50">
        <f t="shared" si="6"/>
        <v>0</v>
      </c>
      <c r="AA19" s="50">
        <f t="shared" si="7"/>
        <v>0</v>
      </c>
      <c r="AE19">
        <v>2020</v>
      </c>
      <c r="AF19" s="50">
        <f>'Future Type Share'!AK21*('Future EndUse Share'!AC82+'Future EndUse Share'!AE82+'Future EndUse Share'!AF82+'Future EndUse Share'!AA82)</f>
        <v>5434</v>
      </c>
      <c r="AG19" s="50">
        <f>'Future Type Share'!AI21*0.5*('Future EndUse Share'!Q82+'Future EndUse Share'!S82+'Future EndUse Share'!T82+'Future EndUse Share'!O82)</f>
        <v>0</v>
      </c>
      <c r="AH19" s="50">
        <f>'Future Type Share'!AG21*('Future EndUse Share'!Q82+'Future EndUse Share'!S82+'Future EndUse Share'!T82+'Future EndUse Share'!O82)</f>
        <v>6336.9999999999991</v>
      </c>
      <c r="AI19">
        <f t="shared" si="3"/>
        <v>0</v>
      </c>
      <c r="AJ19">
        <f t="shared" si="10"/>
        <v>0</v>
      </c>
      <c r="AK19">
        <f t="shared" si="10"/>
        <v>0</v>
      </c>
      <c r="AO19">
        <v>2020</v>
      </c>
      <c r="AP19" s="50">
        <f>'Future Type Share'!AK21*('Future EndUse Share'!AG82)</f>
        <v>1425</v>
      </c>
      <c r="AQ19" s="50">
        <f>'Future Type Share'!AI21*0.5*('Future EndUse Share'!U82)</f>
        <v>0</v>
      </c>
      <c r="AR19" s="50">
        <f>'Future Type Share'!AG21*'Future EndUse Share'!U82</f>
        <v>25.000000000000004</v>
      </c>
      <c r="AS19">
        <f t="shared" si="4"/>
        <v>0</v>
      </c>
      <c r="AT19">
        <f t="shared" si="11"/>
        <v>0</v>
      </c>
      <c r="AU19">
        <f t="shared" si="11"/>
        <v>0</v>
      </c>
    </row>
    <row r="20" spans="1:47">
      <c r="A20">
        <v>2021</v>
      </c>
      <c r="B20" s="50">
        <f>'Future Type Share'!AK22*'Future EndUse Share'!AD83</f>
        <v>630</v>
      </c>
      <c r="C20" s="50">
        <f>'Future Type Share'!AG22*0.5*'Future EndUse Share'!R83</f>
        <v>0</v>
      </c>
      <c r="D20" s="50">
        <f>'Future Type Share'!AG22*'Future EndUse Share'!R83</f>
        <v>0</v>
      </c>
      <c r="E20" s="50">
        <f t="shared" si="5"/>
        <v>0</v>
      </c>
      <c r="F20">
        <f t="shared" si="8"/>
        <v>0</v>
      </c>
      <c r="G20">
        <f t="shared" si="8"/>
        <v>0</v>
      </c>
      <c r="K20">
        <v>2021</v>
      </c>
      <c r="L20" s="50">
        <f>'Future Type Share'!AK22*'Future EndUse Share'!AB83</f>
        <v>4446</v>
      </c>
      <c r="M20" s="50">
        <f>'Future Type Share'!AI22*0.5*'Future EndUse Share'!P83</f>
        <v>0</v>
      </c>
      <c r="N20" s="50">
        <f>'Future Type Share'!AG22*'Future EndUse Share'!P83</f>
        <v>0</v>
      </c>
      <c r="O20" s="50">
        <f t="shared" si="9"/>
        <v>0</v>
      </c>
      <c r="P20" s="50">
        <f t="shared" si="9"/>
        <v>0</v>
      </c>
      <c r="Q20" s="50">
        <f t="shared" si="9"/>
        <v>0</v>
      </c>
      <c r="U20">
        <v>2021</v>
      </c>
      <c r="V20" s="50">
        <f t="shared" si="6"/>
        <v>0</v>
      </c>
      <c r="W20" s="50">
        <f t="shared" si="6"/>
        <v>0</v>
      </c>
      <c r="X20" s="50">
        <f t="shared" si="6"/>
        <v>0</v>
      </c>
      <c r="Y20" s="50">
        <f t="shared" si="6"/>
        <v>0</v>
      </c>
      <c r="Z20" s="50">
        <f t="shared" si="6"/>
        <v>0</v>
      </c>
      <c r="AA20" s="50">
        <f t="shared" si="7"/>
        <v>0</v>
      </c>
      <c r="AE20">
        <v>2021</v>
      </c>
      <c r="AF20" s="50">
        <f>'Future Type Share'!AK22*('Future EndUse Share'!AC83+'Future EndUse Share'!AE83+'Future EndUse Share'!AF83+'Future EndUse Share'!AA83)</f>
        <v>5532</v>
      </c>
      <c r="AG20" s="50">
        <f>'Future Type Share'!AI22*0.5*('Future EndUse Share'!Q83+'Future EndUse Share'!S83+'Future EndUse Share'!T83+'Future EndUse Share'!O83)</f>
        <v>0</v>
      </c>
      <c r="AH20" s="50">
        <f>'Future Type Share'!AG22*('Future EndUse Share'!Q83+'Future EndUse Share'!S83+'Future EndUse Share'!T83+'Future EndUse Share'!O83)</f>
        <v>6214</v>
      </c>
      <c r="AI20">
        <f t="shared" si="3"/>
        <v>0</v>
      </c>
      <c r="AJ20">
        <f t="shared" si="10"/>
        <v>0</v>
      </c>
      <c r="AK20">
        <f t="shared" si="10"/>
        <v>0</v>
      </c>
      <c r="AO20">
        <v>2021</v>
      </c>
      <c r="AP20" s="50">
        <f>'Future Type Share'!AK22*('Future EndUse Share'!AG83)</f>
        <v>1453</v>
      </c>
      <c r="AQ20" s="50">
        <f>'Future Type Share'!AI22*0.5*('Future EndUse Share'!U83)</f>
        <v>0</v>
      </c>
      <c r="AR20" s="50">
        <f>'Future Type Share'!AG22*'Future EndUse Share'!U83</f>
        <v>25.000000000000004</v>
      </c>
      <c r="AS20">
        <f t="shared" si="4"/>
        <v>0</v>
      </c>
      <c r="AT20">
        <f t="shared" si="11"/>
        <v>0</v>
      </c>
      <c r="AU20">
        <f t="shared" si="11"/>
        <v>0</v>
      </c>
    </row>
    <row r="21" spans="1:47">
      <c r="A21">
        <v>2022</v>
      </c>
      <c r="B21" s="50">
        <f>'Future Type Share'!AK23*'Future EndUse Share'!AD84</f>
        <v>677.50454854915199</v>
      </c>
      <c r="C21" s="50">
        <f>'Future Type Share'!AG23*0.5*'Future EndUse Share'!R84</f>
        <v>0</v>
      </c>
      <c r="D21" s="50">
        <f>'Future Type Share'!AG23*'Future EndUse Share'!R84</f>
        <v>0</v>
      </c>
      <c r="E21" s="50">
        <f t="shared" si="5"/>
        <v>0</v>
      </c>
      <c r="F21">
        <f t="shared" si="8"/>
        <v>0</v>
      </c>
      <c r="G21">
        <f t="shared" si="8"/>
        <v>0</v>
      </c>
      <c r="K21">
        <v>2022</v>
      </c>
      <c r="L21" s="50">
        <f>'Future Type Share'!AK23*'Future EndUse Share'!AB84</f>
        <v>3796.1279522669383</v>
      </c>
      <c r="M21" s="50">
        <f>'Future Type Share'!AI23*0.5*'Future EndUse Share'!P84</f>
        <v>0</v>
      </c>
      <c r="N21" s="50">
        <f>'Future Type Share'!AG23*'Future EndUse Share'!P84</f>
        <v>0</v>
      </c>
      <c r="O21" s="50">
        <f t="shared" si="9"/>
        <v>0</v>
      </c>
      <c r="P21" s="50">
        <f t="shared" si="9"/>
        <v>0</v>
      </c>
      <c r="Q21" s="50">
        <f t="shared" si="9"/>
        <v>0</v>
      </c>
      <c r="U21">
        <v>2022</v>
      </c>
      <c r="V21" s="50">
        <f t="shared" si="6"/>
        <v>0</v>
      </c>
      <c r="W21" s="50">
        <f t="shared" si="6"/>
        <v>0</v>
      </c>
      <c r="X21" s="50">
        <f t="shared" si="6"/>
        <v>0</v>
      </c>
      <c r="Y21" s="50">
        <f t="shared" si="6"/>
        <v>0</v>
      </c>
      <c r="Z21" s="50">
        <f t="shared" si="6"/>
        <v>0</v>
      </c>
      <c r="AA21" s="50">
        <f t="shared" si="7"/>
        <v>0</v>
      </c>
      <c r="AE21">
        <v>2022</v>
      </c>
      <c r="AF21" s="50">
        <f>'Future Type Share'!AK23*('Future EndUse Share'!AC84+'Future EndUse Share'!AE84+'Future EndUse Share'!AF84+'Future EndUse Share'!AA84)</f>
        <v>6238.3028215568129</v>
      </c>
      <c r="AG21" s="50">
        <f>'Future Type Share'!AI23*0.5*('Future EndUse Share'!Q84+'Future EndUse Share'!S84+'Future EndUse Share'!T84+'Future EndUse Share'!O84)</f>
        <v>0</v>
      </c>
      <c r="AH21" s="50">
        <f>'Future Type Share'!AG23*('Future EndUse Share'!Q84+'Future EndUse Share'!S84+'Future EndUse Share'!T84+'Future EndUse Share'!O84)</f>
        <v>6186.2660629985439</v>
      </c>
      <c r="AI21">
        <f t="shared" si="3"/>
        <v>0</v>
      </c>
      <c r="AJ21">
        <f t="shared" si="10"/>
        <v>0</v>
      </c>
      <c r="AK21">
        <f t="shared" si="10"/>
        <v>0</v>
      </c>
      <c r="AO21">
        <v>2022</v>
      </c>
      <c r="AP21" s="50">
        <f>'Future Type Share'!AK23*('Future EndUse Share'!AG84)</f>
        <v>1471.0176863082938</v>
      </c>
      <c r="AQ21" s="50">
        <f>'Future Type Share'!AI23*0.5*('Future EndUse Share'!U84)</f>
        <v>0</v>
      </c>
      <c r="AR21" s="50">
        <f>'Future Type Share'!AG23*'Future EndUse Share'!U84</f>
        <v>28.2938588279582</v>
      </c>
      <c r="AS21">
        <f t="shared" si="4"/>
        <v>0</v>
      </c>
      <c r="AT21">
        <f t="shared" si="11"/>
        <v>0</v>
      </c>
      <c r="AU21">
        <f t="shared" si="11"/>
        <v>0</v>
      </c>
    </row>
    <row r="22" spans="1:47">
      <c r="A22">
        <v>2023</v>
      </c>
      <c r="B22" s="50">
        <f>'Future Type Share'!AK24*'Future EndUse Share'!AD85</f>
        <v>680.12567109366012</v>
      </c>
      <c r="C22" s="50">
        <f>'Future Type Share'!AG24*0.5*'Future EndUse Share'!R85</f>
        <v>0</v>
      </c>
      <c r="D22" s="50">
        <f>'Future Type Share'!AG24*'Future EndUse Share'!R85</f>
        <v>0</v>
      </c>
      <c r="E22" s="50">
        <f t="shared" si="5"/>
        <v>0</v>
      </c>
      <c r="F22">
        <f t="shared" si="8"/>
        <v>0</v>
      </c>
      <c r="G22">
        <f t="shared" si="8"/>
        <v>0</v>
      </c>
      <c r="K22">
        <v>2023</v>
      </c>
      <c r="L22" s="50">
        <f>'Future Type Share'!AK24*'Future EndUse Share'!AB85</f>
        <v>3776.5760827405929</v>
      </c>
      <c r="M22" s="50">
        <f>'Future Type Share'!AI24*0.5*'Future EndUse Share'!P85</f>
        <v>0</v>
      </c>
      <c r="N22" s="50">
        <f>'Future Type Share'!AG24*'Future EndUse Share'!P85</f>
        <v>0</v>
      </c>
      <c r="O22" s="50">
        <f t="shared" si="9"/>
        <v>0</v>
      </c>
      <c r="P22" s="50">
        <f t="shared" si="9"/>
        <v>0</v>
      </c>
      <c r="Q22" s="50">
        <f t="shared" si="9"/>
        <v>0</v>
      </c>
      <c r="U22">
        <v>2023</v>
      </c>
      <c r="V22" s="50">
        <f t="shared" si="6"/>
        <v>0</v>
      </c>
      <c r="W22" s="50">
        <f t="shared" si="6"/>
        <v>0</v>
      </c>
      <c r="X22" s="50">
        <f t="shared" si="6"/>
        <v>0</v>
      </c>
      <c r="Y22" s="50">
        <f t="shared" si="6"/>
        <v>0</v>
      </c>
      <c r="Z22" s="50">
        <f t="shared" si="6"/>
        <v>0</v>
      </c>
      <c r="AA22" s="50">
        <f t="shared" si="7"/>
        <v>0</v>
      </c>
      <c r="AE22">
        <v>2023</v>
      </c>
      <c r="AF22" s="50">
        <f>'Future Type Share'!AK24*('Future EndUse Share'!AC85+'Future EndUse Share'!AE85+'Future EndUse Share'!AF85+'Future EndUse Share'!AA85)</f>
        <v>6353.0075337386907</v>
      </c>
      <c r="AG22" s="50">
        <f>'Future Type Share'!AI24*0.5*('Future EndUse Share'!Q85+'Future EndUse Share'!S85+'Future EndUse Share'!T85+'Future EndUse Share'!O85)</f>
        <v>0</v>
      </c>
      <c r="AH22" s="50">
        <f>'Future Type Share'!AG24*('Future EndUse Share'!Q85+'Future EndUse Share'!S85+'Future EndUse Share'!T85+'Future EndUse Share'!O85)</f>
        <v>6151.885820634343</v>
      </c>
      <c r="AI22">
        <f t="shared" si="3"/>
        <v>0</v>
      </c>
      <c r="AJ22">
        <f t="shared" si="10"/>
        <v>0</v>
      </c>
      <c r="AK22">
        <f t="shared" si="10"/>
        <v>0</v>
      </c>
      <c r="AO22">
        <v>2023</v>
      </c>
      <c r="AP22" s="50">
        <f>'Future Type Share'!AK24*('Future EndUse Share'!AG85)</f>
        <v>1478.2852345714141</v>
      </c>
      <c r="AQ22" s="50">
        <f>'Future Type Share'!AI24*0.5*('Future EndUse Share'!U85)</f>
        <v>0</v>
      </c>
      <c r="AR22" s="50">
        <f>'Future Type Share'!AG24*'Future EndUse Share'!U85</f>
        <v>28.808694233811487</v>
      </c>
      <c r="AS22">
        <f t="shared" si="4"/>
        <v>0</v>
      </c>
      <c r="AT22">
        <f t="shared" si="11"/>
        <v>0</v>
      </c>
      <c r="AU22">
        <f t="shared" si="11"/>
        <v>0</v>
      </c>
    </row>
    <row r="23" spans="1:47">
      <c r="A23">
        <v>2024</v>
      </c>
      <c r="B23" s="50">
        <f>'Future Type Share'!AK25*'Future EndUse Share'!AD86</f>
        <v>685.72050664217772</v>
      </c>
      <c r="C23" s="50">
        <f>'Future Type Share'!AG25*0.5*'Future EndUse Share'!R86</f>
        <v>0</v>
      </c>
      <c r="D23" s="50">
        <f>'Future Type Share'!AG25*'Future EndUse Share'!R86</f>
        <v>0</v>
      </c>
      <c r="E23" s="50">
        <f t="shared" si="5"/>
        <v>0</v>
      </c>
      <c r="F23">
        <f t="shared" si="8"/>
        <v>0</v>
      </c>
      <c r="G23">
        <f t="shared" si="8"/>
        <v>0</v>
      </c>
      <c r="K23">
        <v>2024</v>
      </c>
      <c r="L23" s="50">
        <f>'Future Type Share'!AK25*'Future EndUse Share'!AB86</f>
        <v>3773.1229336696206</v>
      </c>
      <c r="M23" s="50">
        <f>'Future Type Share'!AI25*0.5*'Future EndUse Share'!P86</f>
        <v>0</v>
      </c>
      <c r="N23" s="50">
        <f>'Future Type Share'!AG25*'Future EndUse Share'!P86</f>
        <v>0</v>
      </c>
      <c r="O23" s="50">
        <f t="shared" si="9"/>
        <v>0</v>
      </c>
      <c r="P23" s="50">
        <f t="shared" si="9"/>
        <v>0</v>
      </c>
      <c r="Q23" s="50">
        <f t="shared" si="9"/>
        <v>0</v>
      </c>
      <c r="U23">
        <v>2024</v>
      </c>
      <c r="V23" s="50">
        <f t="shared" si="6"/>
        <v>0</v>
      </c>
      <c r="W23" s="50">
        <f t="shared" si="6"/>
        <v>0</v>
      </c>
      <c r="X23" s="50">
        <f t="shared" si="6"/>
        <v>0</v>
      </c>
      <c r="Y23" s="50">
        <f t="shared" si="6"/>
        <v>0</v>
      </c>
      <c r="Z23" s="50">
        <f t="shared" si="6"/>
        <v>0</v>
      </c>
      <c r="AA23" s="50">
        <f t="shared" si="7"/>
        <v>0</v>
      </c>
      <c r="AE23">
        <v>2024</v>
      </c>
      <c r="AF23" s="50">
        <f>'Future Type Share'!AK25*('Future EndUse Share'!AC86+'Future EndUse Share'!AE86+'Future EndUse Share'!AF86+'Future EndUse Share'!AA86)</f>
        <v>6496.5709482063685</v>
      </c>
      <c r="AG23" s="50">
        <f>'Future Type Share'!AI25*0.5*('Future EndUse Share'!Q86+'Future EndUse Share'!S86+'Future EndUse Share'!T86+'Future EndUse Share'!O86)</f>
        <v>0</v>
      </c>
      <c r="AH23" s="50">
        <f>'Future Type Share'!AG25*('Future EndUse Share'!Q86+'Future EndUse Share'!S86+'Future EndUse Share'!T86+'Future EndUse Share'!O86)</f>
        <v>6143.7116721335269</v>
      </c>
      <c r="AI23">
        <f t="shared" si="3"/>
        <v>0</v>
      </c>
      <c r="AJ23">
        <f t="shared" si="10"/>
        <v>0</v>
      </c>
      <c r="AK23">
        <f t="shared" si="10"/>
        <v>0</v>
      </c>
      <c r="AO23">
        <v>2024</v>
      </c>
      <c r="AP23" s="50">
        <f>'Future Type Share'!AK25*('Future EndUse Share'!AG86)</f>
        <v>1492.0479719315963</v>
      </c>
      <c r="AQ23" s="50">
        <f>'Future Type Share'!AI25*0.5*('Future EndUse Share'!U86)</f>
        <v>0</v>
      </c>
      <c r="AR23" s="50">
        <f>'Future Type Share'!AG25*'Future EndUse Share'!U86</f>
        <v>29.441747309904379</v>
      </c>
      <c r="AS23">
        <f t="shared" si="4"/>
        <v>0</v>
      </c>
      <c r="AT23">
        <f t="shared" si="11"/>
        <v>0</v>
      </c>
      <c r="AU23">
        <f t="shared" si="11"/>
        <v>0</v>
      </c>
    </row>
    <row r="24" spans="1:47">
      <c r="A24">
        <v>2025</v>
      </c>
      <c r="B24" s="50">
        <f>'Future Type Share'!AK26*'Future EndUse Share'!AD87</f>
        <v>696.83248443109403</v>
      </c>
      <c r="C24" s="50">
        <f>'Future Type Share'!AG26*0.5*'Future EndUse Share'!R87</f>
        <v>0</v>
      </c>
      <c r="D24" s="50">
        <f>'Future Type Share'!AG26*'Future EndUse Share'!R87</f>
        <v>0</v>
      </c>
      <c r="E24" s="50">
        <f t="shared" si="5"/>
        <v>0</v>
      </c>
      <c r="F24">
        <f t="shared" si="8"/>
        <v>0</v>
      </c>
      <c r="G24">
        <f t="shared" si="8"/>
        <v>0</v>
      </c>
      <c r="K24">
        <v>2025</v>
      </c>
      <c r="L24" s="50">
        <f>'Future Type Share'!AK26*'Future EndUse Share'!AB87</f>
        <v>3799.1863843259403</v>
      </c>
      <c r="M24" s="50">
        <f>'Future Type Share'!AI26*0.5*'Future EndUse Share'!P87</f>
        <v>0</v>
      </c>
      <c r="N24" s="50">
        <f>'Future Type Share'!AG26*'Future EndUse Share'!P87</f>
        <v>0</v>
      </c>
      <c r="O24" s="50">
        <f t="shared" si="9"/>
        <v>0</v>
      </c>
      <c r="P24" s="50">
        <f t="shared" si="9"/>
        <v>0</v>
      </c>
      <c r="Q24" s="50">
        <f t="shared" si="9"/>
        <v>0</v>
      </c>
      <c r="U24">
        <v>2025</v>
      </c>
      <c r="V24" s="50">
        <f t="shared" si="6"/>
        <v>0</v>
      </c>
      <c r="W24" s="50">
        <f t="shared" si="6"/>
        <v>0</v>
      </c>
      <c r="X24" s="50">
        <f t="shared" si="6"/>
        <v>0</v>
      </c>
      <c r="Y24" s="50">
        <f t="shared" si="6"/>
        <v>0</v>
      </c>
      <c r="Z24" s="50">
        <f t="shared" si="6"/>
        <v>0</v>
      </c>
      <c r="AA24" s="50">
        <f t="shared" si="7"/>
        <v>0</v>
      </c>
      <c r="AE24">
        <v>2025</v>
      </c>
      <c r="AF24" s="50">
        <f>'Future Type Share'!AK26*('Future EndUse Share'!AC87+'Future EndUse Share'!AE87+'Future EndUse Share'!AF87+'Future EndUse Share'!AA87)</f>
        <v>6694.6158471874833</v>
      </c>
      <c r="AG24" s="50">
        <f>'Future Type Share'!AI26*0.5*('Future EndUse Share'!Q87+'Future EndUse Share'!S87+'Future EndUse Share'!T87+'Future EndUse Share'!O87)</f>
        <v>0</v>
      </c>
      <c r="AH24" s="50">
        <f>'Future Type Share'!AG26*('Future EndUse Share'!Q87+'Future EndUse Share'!S87+'Future EndUse Share'!T87+'Future EndUse Share'!O87)</f>
        <v>6183.5490690133656</v>
      </c>
      <c r="AI24">
        <f t="shared" si="3"/>
        <v>0</v>
      </c>
      <c r="AJ24">
        <f t="shared" si="10"/>
        <v>0</v>
      </c>
      <c r="AK24">
        <f t="shared" si="10"/>
        <v>0</v>
      </c>
      <c r="AO24">
        <v>2025</v>
      </c>
      <c r="AP24" s="50">
        <f>'Future Type Share'!AK26*('Future EndUse Share'!AG87)</f>
        <v>1517.8672459900808</v>
      </c>
      <c r="AQ24" s="50">
        <f>'Future Type Share'!AI26*0.5*('Future EndUse Share'!U87)</f>
        <v>0</v>
      </c>
      <c r="AR24" s="50">
        <f>'Future Type Share'!AG26*'Future EndUse Share'!U87</f>
        <v>30.308487039516361</v>
      </c>
      <c r="AS24">
        <f t="shared" si="4"/>
        <v>0</v>
      </c>
      <c r="AT24">
        <f t="shared" si="11"/>
        <v>0</v>
      </c>
      <c r="AU24">
        <f t="shared" si="11"/>
        <v>0</v>
      </c>
    </row>
    <row r="25" spans="1:47">
      <c r="A25">
        <v>2026</v>
      </c>
      <c r="B25" s="50">
        <f>'Future Type Share'!AK27*'Future EndUse Share'!AD88</f>
        <v>705.39534272097694</v>
      </c>
      <c r="C25" s="50">
        <f>'Future Type Share'!AG27*0.5*'Future EndUse Share'!R88</f>
        <v>0</v>
      </c>
      <c r="D25" s="50">
        <f>'Future Type Share'!AG27*'Future EndUse Share'!R88</f>
        <v>0</v>
      </c>
      <c r="E25" s="50">
        <f t="shared" si="5"/>
        <v>0</v>
      </c>
      <c r="F25">
        <f t="shared" si="8"/>
        <v>0</v>
      </c>
      <c r="G25">
        <f t="shared" si="8"/>
        <v>0</v>
      </c>
      <c r="K25">
        <v>2026</v>
      </c>
      <c r="L25" s="50">
        <f>'Future Type Share'!AK27*'Future EndUse Share'!AB88</f>
        <v>3810.3613784542213</v>
      </c>
      <c r="M25" s="50">
        <f>'Future Type Share'!AI27*0.5*'Future EndUse Share'!P88</f>
        <v>0</v>
      </c>
      <c r="N25" s="50">
        <f>'Future Type Share'!AG27*'Future EndUse Share'!P88</f>
        <v>0</v>
      </c>
      <c r="O25" s="50">
        <f t="shared" si="9"/>
        <v>0</v>
      </c>
      <c r="P25" s="50">
        <f t="shared" si="9"/>
        <v>0</v>
      </c>
      <c r="Q25" s="50">
        <f t="shared" si="9"/>
        <v>0</v>
      </c>
      <c r="U25">
        <v>2026</v>
      </c>
      <c r="V25" s="50">
        <f t="shared" si="6"/>
        <v>0</v>
      </c>
      <c r="W25" s="50">
        <f t="shared" si="6"/>
        <v>0</v>
      </c>
      <c r="X25" s="50">
        <f t="shared" si="6"/>
        <v>0</v>
      </c>
      <c r="Y25" s="50">
        <f t="shared" si="6"/>
        <v>0</v>
      </c>
      <c r="Z25" s="50">
        <f t="shared" si="6"/>
        <v>0</v>
      </c>
      <c r="AA25" s="50">
        <f t="shared" si="7"/>
        <v>0</v>
      </c>
      <c r="AE25">
        <v>2026</v>
      </c>
      <c r="AF25" s="50">
        <f>'Future Type Share'!AK27*('Future EndUse Share'!AC88+'Future EndUse Share'!AE88+'Future EndUse Share'!AF88+'Future EndUse Share'!AA88)</f>
        <v>6870.7771242380477</v>
      </c>
      <c r="AG25" s="50">
        <f>'Future Type Share'!AI27*0.5*('Future EndUse Share'!Q88+'Future EndUse Share'!S88+'Future EndUse Share'!T88+'Future EndUse Share'!O88)</f>
        <v>0</v>
      </c>
      <c r="AH25" s="50">
        <f>'Future Type Share'!AG27*('Future EndUse Share'!Q88+'Future EndUse Share'!S88+'Future EndUse Share'!T88+'Future EndUse Share'!O88)</f>
        <v>6199.092918107508</v>
      </c>
      <c r="AI25">
        <f t="shared" si="3"/>
        <v>0</v>
      </c>
      <c r="AJ25">
        <f t="shared" si="10"/>
        <v>0</v>
      </c>
      <c r="AK25">
        <f t="shared" si="10"/>
        <v>0</v>
      </c>
      <c r="AO25">
        <v>2026</v>
      </c>
      <c r="AP25" s="50">
        <f>'Future Type Share'!AK27*('Future EndUse Share'!AG88)</f>
        <v>1538.1932627152714</v>
      </c>
      <c r="AQ25" s="50">
        <f>'Future Type Share'!AI27*0.5*('Future EndUse Share'!U88)</f>
        <v>0</v>
      </c>
      <c r="AR25" s="50">
        <f>'Future Type Share'!AG27*'Future EndUse Share'!U88</f>
        <v>31.062352959663869</v>
      </c>
      <c r="AS25">
        <f t="shared" si="4"/>
        <v>0</v>
      </c>
      <c r="AT25">
        <f t="shared" si="11"/>
        <v>0</v>
      </c>
      <c r="AU25">
        <f t="shared" si="11"/>
        <v>0</v>
      </c>
    </row>
    <row r="26" spans="1:47">
      <c r="A26">
        <v>2027</v>
      </c>
      <c r="B26" s="50">
        <f>'Future Type Share'!AK28*'Future EndUse Share'!AD89</f>
        <v>715.47814487871392</v>
      </c>
      <c r="C26" s="50">
        <f>'Future Type Share'!AG28*0.5*'Future EndUse Share'!R89</f>
        <v>0</v>
      </c>
      <c r="D26" s="50">
        <f>'Future Type Share'!AG28*'Future EndUse Share'!R89</f>
        <v>0</v>
      </c>
      <c r="E26" s="50">
        <f t="shared" si="5"/>
        <v>0</v>
      </c>
      <c r="F26">
        <f t="shared" si="8"/>
        <v>0</v>
      </c>
      <c r="G26">
        <f t="shared" si="8"/>
        <v>0</v>
      </c>
      <c r="K26">
        <v>2027</v>
      </c>
      <c r="L26" s="50">
        <f>'Future Type Share'!AK28*'Future EndUse Share'!AB89</f>
        <v>3828.808068838292</v>
      </c>
      <c r="M26" s="50">
        <f>'Future Type Share'!AI28*0.5*'Future EndUse Share'!P89</f>
        <v>0</v>
      </c>
      <c r="N26" s="50">
        <f>'Future Type Share'!AG28*'Future EndUse Share'!P89</f>
        <v>0</v>
      </c>
      <c r="O26" s="50">
        <f t="shared" si="9"/>
        <v>0</v>
      </c>
      <c r="P26" s="50">
        <f t="shared" si="9"/>
        <v>0</v>
      </c>
      <c r="Q26" s="50">
        <f t="shared" si="9"/>
        <v>0</v>
      </c>
      <c r="U26">
        <v>2027</v>
      </c>
      <c r="V26" s="50">
        <f t="shared" si="6"/>
        <v>0</v>
      </c>
      <c r="W26" s="50">
        <f t="shared" si="6"/>
        <v>0</v>
      </c>
      <c r="X26" s="50">
        <f t="shared" si="6"/>
        <v>0</v>
      </c>
      <c r="Y26" s="50">
        <f t="shared" si="6"/>
        <v>0</v>
      </c>
      <c r="Z26" s="50">
        <f t="shared" si="6"/>
        <v>0</v>
      </c>
      <c r="AA26" s="50">
        <f t="shared" si="7"/>
        <v>0</v>
      </c>
      <c r="AE26">
        <v>2027</v>
      </c>
      <c r="AF26" s="50">
        <f>'Future Type Share'!AK28*('Future EndUse Share'!AC89+'Future EndUse Share'!AE89+'Future EndUse Share'!AF89+'Future EndUse Share'!AA89)</f>
        <v>7064.2119029601799</v>
      </c>
      <c r="AG26" s="50">
        <f>'Future Type Share'!AI28*0.5*('Future EndUse Share'!Q89+'Future EndUse Share'!S89+'Future EndUse Share'!T89+'Future EndUse Share'!O89)</f>
        <v>0</v>
      </c>
      <c r="AH26" s="50">
        <f>'Future Type Share'!AG28*('Future EndUse Share'!Q89+'Future EndUse Share'!S89+'Future EndUse Share'!T89+'Future EndUse Share'!O89)</f>
        <v>6226.4097536623203</v>
      </c>
      <c r="AI26">
        <f t="shared" si="3"/>
        <v>0</v>
      </c>
      <c r="AJ26">
        <f t="shared" si="10"/>
        <v>0</v>
      </c>
      <c r="AK26">
        <f t="shared" si="10"/>
        <v>0</v>
      </c>
      <c r="AO26">
        <v>2027</v>
      </c>
      <c r="AP26" s="50">
        <f>'Future Type Share'!AK28*('Future EndUse Share'!AG89)</f>
        <v>1561.891125224535</v>
      </c>
      <c r="AQ26" s="50">
        <f>'Future Type Share'!AI28*0.5*('Future EndUse Share'!U89)</f>
        <v>0</v>
      </c>
      <c r="AR26" s="50">
        <f>'Future Type Share'!AG28*'Future EndUse Share'!U89</f>
        <v>31.880044436291854</v>
      </c>
      <c r="AS26">
        <f t="shared" si="4"/>
        <v>0</v>
      </c>
      <c r="AT26">
        <f t="shared" si="11"/>
        <v>0</v>
      </c>
      <c r="AU26">
        <f t="shared" si="11"/>
        <v>0</v>
      </c>
    </row>
    <row r="27" spans="1:47">
      <c r="A27">
        <v>2028</v>
      </c>
      <c r="B27" s="50">
        <f>'Future Type Share'!AK29*'Future EndUse Share'!AD90</f>
        <v>724.45072830855429</v>
      </c>
      <c r="C27" s="50">
        <f>'Future Type Share'!AG29*0.5*'Future EndUse Share'!R90</f>
        <v>0</v>
      </c>
      <c r="D27" s="50">
        <f>'Future Type Share'!AG29*'Future EndUse Share'!R90</f>
        <v>0</v>
      </c>
      <c r="E27" s="50">
        <f t="shared" si="5"/>
        <v>0</v>
      </c>
      <c r="F27">
        <f t="shared" si="8"/>
        <v>0</v>
      </c>
      <c r="G27">
        <f t="shared" si="8"/>
        <v>0</v>
      </c>
      <c r="K27">
        <v>2028</v>
      </c>
      <c r="L27" s="50">
        <f>'Future Type Share'!AK29*'Future EndUse Share'!AB90</f>
        <v>3840.3542678189333</v>
      </c>
      <c r="M27" s="50">
        <f>'Future Type Share'!AI29*0.5*'Future EndUse Share'!P90</f>
        <v>0</v>
      </c>
      <c r="N27" s="50">
        <f>'Future Type Share'!AG29*'Future EndUse Share'!P90</f>
        <v>0</v>
      </c>
      <c r="O27" s="50">
        <f t="shared" si="9"/>
        <v>0</v>
      </c>
      <c r="P27" s="50">
        <f t="shared" si="9"/>
        <v>0</v>
      </c>
      <c r="Q27" s="50">
        <f t="shared" si="9"/>
        <v>0</v>
      </c>
      <c r="U27">
        <v>2028</v>
      </c>
      <c r="V27" s="50">
        <f t="shared" si="6"/>
        <v>0</v>
      </c>
      <c r="W27" s="50">
        <f t="shared" si="6"/>
        <v>0</v>
      </c>
      <c r="X27" s="50">
        <f t="shared" si="6"/>
        <v>0</v>
      </c>
      <c r="Y27" s="50">
        <f t="shared" si="6"/>
        <v>0</v>
      </c>
      <c r="Z27" s="50">
        <f t="shared" si="6"/>
        <v>0</v>
      </c>
      <c r="AA27" s="50">
        <f t="shared" si="7"/>
        <v>0</v>
      </c>
      <c r="AE27">
        <v>2028</v>
      </c>
      <c r="AF27" s="50">
        <f>'Future Type Share'!AK29*('Future EndUse Share'!AC90+'Future EndUse Share'!AE90+'Future EndUse Share'!AF90+'Future EndUse Share'!AA90)</f>
        <v>7249.2078154053752</v>
      </c>
      <c r="AG27" s="50">
        <f>'Future Type Share'!AI29*0.5*('Future EndUse Share'!Q90+'Future EndUse Share'!S90+'Future EndUse Share'!T90+'Future EndUse Share'!O90)</f>
        <v>0</v>
      </c>
      <c r="AH27" s="50">
        <f>'Future Type Share'!AG29*('Future EndUse Share'!Q90+'Future EndUse Share'!S90+'Future EndUse Share'!T90+'Future EndUse Share'!O90)</f>
        <v>6242.4459309050535</v>
      </c>
      <c r="AI27">
        <f t="shared" si="3"/>
        <v>0</v>
      </c>
      <c r="AJ27">
        <f t="shared" si="10"/>
        <v>0</v>
      </c>
      <c r="AK27">
        <f t="shared" si="10"/>
        <v>0</v>
      </c>
      <c r="AO27">
        <v>2028</v>
      </c>
      <c r="AP27" s="50">
        <f>'Future Type Share'!AK29*('Future EndUse Share'!AG90)</f>
        <v>1583.2243041892566</v>
      </c>
      <c r="AQ27" s="50">
        <f>'Future Type Share'!AI29*0.5*('Future EndUse Share'!U90)</f>
        <v>0</v>
      </c>
      <c r="AR27" s="50">
        <f>'Future Type Share'!AG29*'Future EndUse Share'!U90</f>
        <v>32.644866320279625</v>
      </c>
      <c r="AS27">
        <f t="shared" si="4"/>
        <v>0</v>
      </c>
      <c r="AT27">
        <f t="shared" si="11"/>
        <v>0</v>
      </c>
      <c r="AU27">
        <f t="shared" si="11"/>
        <v>0</v>
      </c>
    </row>
    <row r="28" spans="1:47">
      <c r="A28">
        <v>2029</v>
      </c>
      <c r="B28" s="50">
        <f>'Future Type Share'!AK30*'Future EndUse Share'!AD91</f>
        <v>730.09463619073654</v>
      </c>
      <c r="C28" s="50">
        <f>'Future Type Share'!AG30*0.5*'Future EndUse Share'!R91</f>
        <v>0</v>
      </c>
      <c r="D28" s="50">
        <f>'Future Type Share'!AG30*'Future EndUse Share'!R91</f>
        <v>0</v>
      </c>
      <c r="E28" s="50">
        <f t="shared" si="5"/>
        <v>0</v>
      </c>
      <c r="F28">
        <f t="shared" si="8"/>
        <v>0</v>
      </c>
      <c r="G28">
        <f t="shared" si="8"/>
        <v>0</v>
      </c>
      <c r="K28">
        <v>2029</v>
      </c>
      <c r="L28" s="50">
        <f>'Future Type Share'!AK30*'Future EndUse Share'!AB91</f>
        <v>3833.519158951759</v>
      </c>
      <c r="M28" s="50">
        <f>'Future Type Share'!AI30*0.5*'Future EndUse Share'!P91</f>
        <v>0</v>
      </c>
      <c r="N28" s="50">
        <f>'Future Type Share'!AG30*'Future EndUse Share'!P91</f>
        <v>0</v>
      </c>
      <c r="O28" s="50">
        <f t="shared" si="9"/>
        <v>0</v>
      </c>
      <c r="P28" s="50">
        <f t="shared" si="9"/>
        <v>0</v>
      </c>
      <c r="Q28" s="50">
        <f t="shared" si="9"/>
        <v>0</v>
      </c>
      <c r="U28">
        <v>2029</v>
      </c>
      <c r="V28" s="50">
        <f t="shared" si="6"/>
        <v>0</v>
      </c>
      <c r="W28" s="50">
        <f t="shared" si="6"/>
        <v>0</v>
      </c>
      <c r="X28" s="50">
        <f t="shared" si="6"/>
        <v>0</v>
      </c>
      <c r="Y28" s="50">
        <f t="shared" si="6"/>
        <v>0</v>
      </c>
      <c r="Z28" s="50">
        <f t="shared" si="6"/>
        <v>0</v>
      </c>
      <c r="AA28" s="50">
        <f t="shared" si="7"/>
        <v>0</v>
      </c>
      <c r="AE28">
        <v>2029</v>
      </c>
      <c r="AF28" s="50">
        <f>'Future Type Share'!AK30*('Future EndUse Share'!AC91+'Future EndUse Share'!AE91+'Future EndUse Share'!AF91+'Future EndUse Share'!AA91)</f>
        <v>7402.8269986951827</v>
      </c>
      <c r="AG28" s="50">
        <f>'Future Type Share'!AI30*0.5*('Future EndUse Share'!Q91+'Future EndUse Share'!S91+'Future EndUse Share'!T91+'Future EndUse Share'!O91)</f>
        <v>0</v>
      </c>
      <c r="AH28" s="50">
        <f>'Future Type Share'!AG30*('Future EndUse Share'!Q91+'Future EndUse Share'!S91+'Future EndUse Share'!T91+'Future EndUse Share'!O91)</f>
        <v>6228.5611762666513</v>
      </c>
      <c r="AI28">
        <f t="shared" si="3"/>
        <v>0</v>
      </c>
      <c r="AJ28">
        <f t="shared" si="10"/>
        <v>0</v>
      </c>
      <c r="AK28">
        <f t="shared" si="10"/>
        <v>0</v>
      </c>
      <c r="AO28">
        <v>2029</v>
      </c>
      <c r="AP28" s="50">
        <f>'Future Type Share'!AK30*('Future EndUse Share'!AG91)</f>
        <v>1597.3316357651083</v>
      </c>
      <c r="AQ28" s="50">
        <f>'Future Type Share'!AI30*0.5*('Future EndUse Share'!U91)</f>
        <v>0</v>
      </c>
      <c r="AR28" s="50">
        <f>'Future Type Share'!AG30*'Future EndUse Share'!U91</f>
        <v>33.253600264164369</v>
      </c>
      <c r="AS28">
        <f t="shared" si="4"/>
        <v>0</v>
      </c>
      <c r="AT28">
        <f t="shared" si="11"/>
        <v>0</v>
      </c>
      <c r="AU28">
        <f t="shared" si="11"/>
        <v>0</v>
      </c>
    </row>
    <row r="29" spans="1:47">
      <c r="A29">
        <v>2030</v>
      </c>
      <c r="B29" s="50">
        <f>'Future Type Share'!AK31*'Future EndUse Share'!AD92</f>
        <v>730.2313504356722</v>
      </c>
      <c r="C29" s="50">
        <f>'Future Type Share'!AG31*0.5*'Future EndUse Share'!R92</f>
        <v>0</v>
      </c>
      <c r="D29" s="50">
        <f>'Future Type Share'!AG31*'Future EndUse Share'!R92</f>
        <v>0</v>
      </c>
      <c r="E29" s="50">
        <f t="shared" si="5"/>
        <v>0</v>
      </c>
      <c r="F29">
        <f t="shared" si="8"/>
        <v>0</v>
      </c>
      <c r="G29">
        <f t="shared" si="8"/>
        <v>0</v>
      </c>
      <c r="K29">
        <v>2030</v>
      </c>
      <c r="L29" s="50">
        <f>'Future Type Share'!AK31*'Future EndUse Share'!AB92</f>
        <v>3797.4763405654321</v>
      </c>
      <c r="M29" s="50">
        <f>'Future Type Share'!AI31*0.5*'Future EndUse Share'!P92</f>
        <v>0</v>
      </c>
      <c r="N29" s="50">
        <f>'Future Type Share'!AG31*'Future EndUse Share'!P92</f>
        <v>0</v>
      </c>
      <c r="O29" s="50">
        <f t="shared" si="9"/>
        <v>0</v>
      </c>
      <c r="P29" s="50">
        <f t="shared" si="9"/>
        <v>0</v>
      </c>
      <c r="Q29" s="50">
        <f t="shared" si="9"/>
        <v>0</v>
      </c>
      <c r="U29">
        <v>2030</v>
      </c>
      <c r="V29" s="50">
        <f t="shared" si="6"/>
        <v>0</v>
      </c>
      <c r="W29" s="50">
        <f t="shared" si="6"/>
        <v>0</v>
      </c>
      <c r="X29" s="50">
        <f t="shared" si="6"/>
        <v>0</v>
      </c>
      <c r="Y29" s="50">
        <f t="shared" si="6"/>
        <v>0</v>
      </c>
      <c r="Z29" s="50">
        <f t="shared" si="6"/>
        <v>0</v>
      </c>
      <c r="AA29" s="50">
        <f t="shared" si="7"/>
        <v>0</v>
      </c>
      <c r="AE29">
        <v>2030</v>
      </c>
      <c r="AF29" s="50">
        <f>'Future Type Share'!AK31*('Future EndUse Share'!AC92+'Future EndUse Share'!AE92+'Future EndUse Share'!AF92+'Future EndUse Share'!AA92)</f>
        <v>7501.3614340670729</v>
      </c>
      <c r="AG29" s="50">
        <f>'Future Type Share'!AI31*0.5*('Future EndUse Share'!Q92+'Future EndUse Share'!S92+'Future EndUse Share'!T92+'Future EndUse Share'!O92)</f>
        <v>0</v>
      </c>
      <c r="AH29" s="50">
        <f>'Future Type Share'!AG31*('Future EndUse Share'!Q92+'Future EndUse Share'!S92+'Future EndUse Share'!T92+'Future EndUse Share'!O92)</f>
        <v>6167.2120904522217</v>
      </c>
      <c r="AI29">
        <f t="shared" si="3"/>
        <v>0</v>
      </c>
      <c r="AJ29">
        <f t="shared" si="10"/>
        <v>0</v>
      </c>
      <c r="AK29">
        <f t="shared" si="10"/>
        <v>0</v>
      </c>
      <c r="AO29">
        <v>2030</v>
      </c>
      <c r="AP29" s="50">
        <f>'Future Type Share'!AK31*('Future EndUse Share'!AG92)</f>
        <v>1599.4175967198121</v>
      </c>
      <c r="AQ29" s="50">
        <f>'Future Type Share'!AI31*0.5*('Future EndUse Share'!U92)</f>
        <v>0</v>
      </c>
      <c r="AR29" s="50">
        <f>'Future Type Share'!AG31*'Future EndUse Share'!U92</f>
        <v>33.600844377115756</v>
      </c>
      <c r="AS29">
        <f t="shared" si="4"/>
        <v>0</v>
      </c>
      <c r="AT29">
        <f t="shared" si="11"/>
        <v>0</v>
      </c>
      <c r="AU29">
        <f t="shared" si="11"/>
        <v>0</v>
      </c>
    </row>
    <row r="30" spans="1:47">
      <c r="A30">
        <v>2031</v>
      </c>
      <c r="B30" s="50">
        <f>'Future Type Share'!AK32*'Future EndUse Share'!AD93</f>
        <v>738.43611331207842</v>
      </c>
      <c r="C30" s="50">
        <f>'Future Type Share'!AG32*0.5*'Future EndUse Share'!R93</f>
        <v>0</v>
      </c>
      <c r="D30" s="50">
        <f>'Future Type Share'!AG32*'Future EndUse Share'!R93</f>
        <v>0</v>
      </c>
      <c r="E30" s="50">
        <f t="shared" si="5"/>
        <v>0</v>
      </c>
      <c r="F30">
        <f t="shared" si="8"/>
        <v>0</v>
      </c>
      <c r="G30">
        <f t="shared" si="8"/>
        <v>0</v>
      </c>
      <c r="K30">
        <v>2031</v>
      </c>
      <c r="L30" s="50">
        <f>'Future Type Share'!AK32*'Future EndUse Share'!AB93</f>
        <v>3802.9704755298585</v>
      </c>
      <c r="M30" s="50">
        <f>'Future Type Share'!AI32*0.5*'Future EndUse Share'!P93</f>
        <v>0</v>
      </c>
      <c r="N30" s="50">
        <f>'Future Type Share'!AG32*'Future EndUse Share'!P93</f>
        <v>0</v>
      </c>
      <c r="O30" s="50">
        <f t="shared" si="9"/>
        <v>0</v>
      </c>
      <c r="P30" s="50">
        <f t="shared" si="9"/>
        <v>0</v>
      </c>
      <c r="Q30" s="50">
        <f t="shared" si="9"/>
        <v>0</v>
      </c>
      <c r="U30">
        <v>2031</v>
      </c>
      <c r="V30" s="50">
        <f t="shared" si="6"/>
        <v>0</v>
      </c>
      <c r="W30" s="50">
        <f t="shared" si="6"/>
        <v>0</v>
      </c>
      <c r="X30" s="50">
        <f t="shared" si="6"/>
        <v>0</v>
      </c>
      <c r="Y30" s="50">
        <f t="shared" si="6"/>
        <v>0</v>
      </c>
      <c r="Z30" s="50">
        <f t="shared" si="6"/>
        <v>0</v>
      </c>
      <c r="AA30" s="50">
        <f t="shared" si="7"/>
        <v>0</v>
      </c>
      <c r="AE30">
        <v>2031</v>
      </c>
      <c r="AF30" s="50">
        <f>'Future Type Share'!AK32*('Future EndUse Share'!AC93+'Future EndUse Share'!AE93+'Future EndUse Share'!AF93+'Future EndUse Share'!AA93)</f>
        <v>7683.8716794788224</v>
      </c>
      <c r="AG30" s="50">
        <f>'Future Type Share'!AI32*0.5*('Future EndUse Share'!Q93+'Future EndUse Share'!S93+'Future EndUse Share'!T93+'Future EndUse Share'!O93)</f>
        <v>0</v>
      </c>
      <c r="AH30" s="50">
        <f>'Future Type Share'!AG32*('Future EndUse Share'!Q93+'Future EndUse Share'!S93+'Future EndUse Share'!T93+'Future EndUse Share'!O93)</f>
        <v>6173.3016806185469</v>
      </c>
      <c r="AI30">
        <f t="shared" si="3"/>
        <v>0</v>
      </c>
      <c r="AJ30">
        <f t="shared" si="10"/>
        <v>0</v>
      </c>
      <c r="AK30">
        <f t="shared" si="10"/>
        <v>0</v>
      </c>
      <c r="AO30">
        <v>2031</v>
      </c>
      <c r="AP30" s="50">
        <f>'Future Type Share'!AK32*('Future EndUse Share'!AG93)</f>
        <v>1619.2089372444477</v>
      </c>
      <c r="AQ30" s="50">
        <f>'Future Type Share'!AI32*0.5*('Future EndUse Share'!U93)</f>
        <v>0</v>
      </c>
      <c r="AR30" s="50">
        <f>'Future Type Share'!AG32*'Future EndUse Share'!U93</f>
        <v>34.309615745650973</v>
      </c>
      <c r="AS30">
        <f t="shared" si="4"/>
        <v>0</v>
      </c>
      <c r="AT30">
        <f t="shared" si="11"/>
        <v>0</v>
      </c>
      <c r="AU30">
        <f t="shared" si="11"/>
        <v>0</v>
      </c>
    </row>
    <row r="31" spans="1:47">
      <c r="A31">
        <v>2032</v>
      </c>
      <c r="B31" s="50">
        <f>'Future Type Share'!AK33*'Future EndUse Share'!AD94</f>
        <v>748.92682373360128</v>
      </c>
      <c r="C31" s="50">
        <f>'Future Type Share'!AG33*0.5*'Future EndUse Share'!R94</f>
        <v>0</v>
      </c>
      <c r="D31" s="50">
        <f>'Future Type Share'!AG33*'Future EndUse Share'!R94</f>
        <v>0</v>
      </c>
      <c r="E31" s="50">
        <f t="shared" si="5"/>
        <v>0</v>
      </c>
      <c r="F31">
        <f t="shared" si="8"/>
        <v>0</v>
      </c>
      <c r="G31">
        <f t="shared" si="8"/>
        <v>0</v>
      </c>
      <c r="K31">
        <v>2032</v>
      </c>
      <c r="L31" s="50">
        <f>'Future Type Share'!AK33*'Future EndUse Share'!AB94</f>
        <v>3819.2961650560719</v>
      </c>
      <c r="M31" s="50">
        <f>'Future Type Share'!AI33*0.5*'Future EndUse Share'!P94</f>
        <v>0</v>
      </c>
      <c r="N31" s="50">
        <f>'Future Type Share'!AG33*'Future EndUse Share'!P94</f>
        <v>0</v>
      </c>
      <c r="O31" s="50">
        <f t="shared" si="9"/>
        <v>0</v>
      </c>
      <c r="P31" s="50">
        <f t="shared" si="9"/>
        <v>0</v>
      </c>
      <c r="Q31" s="50">
        <f t="shared" si="9"/>
        <v>0</v>
      </c>
      <c r="U31">
        <v>2032</v>
      </c>
      <c r="V31" s="50">
        <f t="shared" si="6"/>
        <v>0</v>
      </c>
      <c r="W31" s="50">
        <f t="shared" si="6"/>
        <v>0</v>
      </c>
      <c r="X31" s="50">
        <f t="shared" si="6"/>
        <v>0</v>
      </c>
      <c r="Y31" s="50">
        <f t="shared" si="6"/>
        <v>0</v>
      </c>
      <c r="Z31" s="50">
        <f t="shared" si="6"/>
        <v>0</v>
      </c>
      <c r="AA31" s="50">
        <f t="shared" si="7"/>
        <v>0</v>
      </c>
      <c r="AE31">
        <v>2032</v>
      </c>
      <c r="AF31" s="50">
        <f>'Future Type Share'!AK33*('Future EndUse Share'!AC94+'Future EndUse Share'!AE94+'Future EndUse Share'!AF94+'Future EndUse Share'!AA94)</f>
        <v>7892.6416348045668</v>
      </c>
      <c r="AG31" s="50">
        <f>'Future Type Share'!AI33*0.5*('Future EndUse Share'!Q94+'Future EndUse Share'!S94+'Future EndUse Share'!T94+'Future EndUse Share'!O94)</f>
        <v>0</v>
      </c>
      <c r="AH31" s="50">
        <f>'Future Type Share'!AG33*('Future EndUse Share'!Q94+'Future EndUse Share'!S94+'Future EndUse Share'!T94+'Future EndUse Share'!O94)</f>
        <v>6196.9153389339017</v>
      </c>
      <c r="AI31">
        <f t="shared" si="3"/>
        <v>0</v>
      </c>
      <c r="AJ31">
        <f t="shared" si="10"/>
        <v>0</v>
      </c>
      <c r="AK31">
        <f t="shared" si="10"/>
        <v>0</v>
      </c>
      <c r="AO31">
        <v>2032</v>
      </c>
      <c r="AP31" s="50">
        <f>'Future Type Share'!AK33*('Future EndUse Share'!AG94)</f>
        <v>1644.0726953343474</v>
      </c>
      <c r="AQ31" s="50">
        <f>'Future Type Share'!AI33*0.5*('Future EndUse Share'!U94)</f>
        <v>0</v>
      </c>
      <c r="AR31" s="50">
        <f>'Future Type Share'!AG33*'Future EndUse Share'!U94</f>
        <v>35.119179668115159</v>
      </c>
      <c r="AS31">
        <f t="shared" si="4"/>
        <v>0</v>
      </c>
      <c r="AT31">
        <f t="shared" si="11"/>
        <v>0</v>
      </c>
      <c r="AU31">
        <f t="shared" si="11"/>
        <v>0</v>
      </c>
    </row>
    <row r="32" spans="1:47">
      <c r="A32">
        <v>2033</v>
      </c>
      <c r="B32" s="50">
        <f>'Future Type Share'!AK34*'Future EndUse Share'!AD95</f>
        <v>756.21476797535388</v>
      </c>
      <c r="C32" s="50">
        <f>'Future Type Share'!AG34*0.5*'Future EndUse Share'!R95</f>
        <v>0</v>
      </c>
      <c r="D32" s="50">
        <f>'Future Type Share'!AG34*'Future EndUse Share'!R95</f>
        <v>0</v>
      </c>
      <c r="E32" s="50">
        <f t="shared" si="5"/>
        <v>0</v>
      </c>
      <c r="F32">
        <f t="shared" si="8"/>
        <v>0</v>
      </c>
      <c r="G32">
        <f t="shared" si="8"/>
        <v>0</v>
      </c>
      <c r="K32">
        <v>2033</v>
      </c>
      <c r="L32" s="50">
        <f>'Future Type Share'!AK34*'Future EndUse Share'!AB95</f>
        <v>3818.393735939223</v>
      </c>
      <c r="M32" s="50">
        <f>'Future Type Share'!AI34*0.5*'Future EndUse Share'!P95</f>
        <v>0</v>
      </c>
      <c r="N32" s="50">
        <f>'Future Type Share'!AG34*'Future EndUse Share'!P95</f>
        <v>0</v>
      </c>
      <c r="O32" s="50">
        <f t="shared" si="9"/>
        <v>0</v>
      </c>
      <c r="P32" s="50">
        <f t="shared" si="9"/>
        <v>0</v>
      </c>
      <c r="Q32" s="50">
        <f t="shared" si="9"/>
        <v>0</v>
      </c>
      <c r="U32">
        <v>2033</v>
      </c>
      <c r="V32" s="50">
        <f t="shared" ref="V32:Z47" si="12">V31</f>
        <v>0</v>
      </c>
      <c r="W32" s="50">
        <f t="shared" si="12"/>
        <v>0</v>
      </c>
      <c r="X32" s="50">
        <f t="shared" si="12"/>
        <v>0</v>
      </c>
      <c r="Y32" s="50">
        <f t="shared" si="12"/>
        <v>0</v>
      </c>
      <c r="Z32" s="50">
        <f t="shared" si="12"/>
        <v>0</v>
      </c>
      <c r="AA32" s="50">
        <f t="shared" si="7"/>
        <v>0</v>
      </c>
      <c r="AE32">
        <v>2033</v>
      </c>
      <c r="AF32" s="50">
        <f>'Future Type Share'!AK34*('Future EndUse Share'!AC95+'Future EndUse Share'!AE95+'Future EndUse Share'!AF95+'Future EndUse Share'!AA95)</f>
        <v>8070.0095474418049</v>
      </c>
      <c r="AG32" s="50">
        <f>'Future Type Share'!AI34*0.5*('Future EndUse Share'!Q95+'Future EndUse Share'!S95+'Future EndUse Share'!T95+'Future EndUse Share'!O95)</f>
        <v>0</v>
      </c>
      <c r="AH32" s="50">
        <f>'Future Type Share'!AG34*('Future EndUse Share'!Q95+'Future EndUse Share'!S95+'Future EndUse Share'!T95+'Future EndUse Share'!O95)</f>
        <v>6192.5206052196108</v>
      </c>
      <c r="AI32">
        <f t="shared" si="3"/>
        <v>0</v>
      </c>
      <c r="AJ32">
        <f t="shared" si="10"/>
        <v>0</v>
      </c>
      <c r="AK32">
        <f t="shared" si="10"/>
        <v>0</v>
      </c>
      <c r="AO32">
        <v>2033</v>
      </c>
      <c r="AP32" s="50">
        <f>'Future Type Share'!AK34*('Future EndUse Share'!AG95)</f>
        <v>1661.963717139804</v>
      </c>
      <c r="AQ32" s="50">
        <f>'Future Type Share'!AI34*0.5*('Future EndUse Share'!U95)</f>
        <v>0</v>
      </c>
      <c r="AR32" s="50">
        <f>'Future Type Share'!AG34*'Future EndUse Share'!U95</f>
        <v>35.772265665496292</v>
      </c>
      <c r="AS32">
        <f t="shared" si="4"/>
        <v>0</v>
      </c>
      <c r="AT32">
        <f t="shared" si="11"/>
        <v>0</v>
      </c>
      <c r="AU32">
        <f t="shared" si="11"/>
        <v>0</v>
      </c>
    </row>
    <row r="33" spans="1:47">
      <c r="A33">
        <v>2034</v>
      </c>
      <c r="B33" s="50">
        <f>'Future Type Share'!AK35*'Future EndUse Share'!AD96</f>
        <v>763.31549671637401</v>
      </c>
      <c r="C33" s="50">
        <f>'Future Type Share'!AG35*0.5*'Future EndUse Share'!R96</f>
        <v>0</v>
      </c>
      <c r="D33" s="50">
        <f>'Future Type Share'!AG35*'Future EndUse Share'!R96</f>
        <v>0</v>
      </c>
      <c r="E33" s="50">
        <f t="shared" si="5"/>
        <v>0</v>
      </c>
      <c r="F33">
        <f t="shared" ref="F33:G48" si="13">F32</f>
        <v>0</v>
      </c>
      <c r="G33">
        <f t="shared" si="13"/>
        <v>0</v>
      </c>
      <c r="K33">
        <v>2034</v>
      </c>
      <c r="L33" s="50">
        <f>'Future Type Share'!AK35*'Future EndUse Share'!AB96</f>
        <v>3815.8216481096465</v>
      </c>
      <c r="M33" s="50">
        <f>'Future Type Share'!AI35*0.5*'Future EndUse Share'!P96</f>
        <v>0</v>
      </c>
      <c r="N33" s="50">
        <f>'Future Type Share'!AG35*'Future EndUse Share'!P96</f>
        <v>0</v>
      </c>
      <c r="O33" s="50">
        <f t="shared" ref="O33:Q48" si="14">O32</f>
        <v>0</v>
      </c>
      <c r="P33" s="50">
        <f t="shared" si="14"/>
        <v>0</v>
      </c>
      <c r="Q33" s="50">
        <f t="shared" si="14"/>
        <v>0</v>
      </c>
      <c r="U33">
        <v>2034</v>
      </c>
      <c r="V33" s="50">
        <f t="shared" si="12"/>
        <v>0</v>
      </c>
      <c r="W33" s="50">
        <f t="shared" si="12"/>
        <v>0</v>
      </c>
      <c r="X33" s="50">
        <f t="shared" si="12"/>
        <v>0</v>
      </c>
      <c r="Y33" s="50">
        <f t="shared" si="12"/>
        <v>0</v>
      </c>
      <c r="Z33" s="50">
        <f t="shared" si="12"/>
        <v>0</v>
      </c>
      <c r="AA33" s="50">
        <f t="shared" si="7"/>
        <v>0</v>
      </c>
      <c r="AE33">
        <v>2034</v>
      </c>
      <c r="AF33" s="50">
        <f>'Future Type Share'!AK35*('Future EndUse Share'!AC96+'Future EndUse Share'!AE96+'Future EndUse Share'!AF96+'Future EndUse Share'!AA96)</f>
        <v>8247.27894300343</v>
      </c>
      <c r="AG33" s="50">
        <f>'Future Type Share'!AI35*0.5*('Future EndUse Share'!Q96+'Future EndUse Share'!S96+'Future EndUse Share'!T96+'Future EndUse Share'!O96)</f>
        <v>0</v>
      </c>
      <c r="AH33" s="50">
        <f>'Future Type Share'!AG35*('Future EndUse Share'!Q96+'Future EndUse Share'!S96+'Future EndUse Share'!T96+'Future EndUse Share'!O96)</f>
        <v>6185.3758389610884</v>
      </c>
      <c r="AI33">
        <f t="shared" si="3"/>
        <v>0</v>
      </c>
      <c r="AJ33">
        <f t="shared" ref="AJ33:AK48" si="15">AJ32</f>
        <v>0</v>
      </c>
      <c r="AK33">
        <f t="shared" si="15"/>
        <v>0</v>
      </c>
      <c r="AO33">
        <v>2034</v>
      </c>
      <c r="AP33" s="50">
        <f>'Future Type Share'!AK35*('Future EndUse Share'!AG96)</f>
        <v>1679.4933618905141</v>
      </c>
      <c r="AQ33" s="50">
        <f>'Future Type Share'!AI35*0.5*('Future EndUse Share'!U96)</f>
        <v>0</v>
      </c>
      <c r="AR33" s="50">
        <f>'Future Type Share'!AG35*'Future EndUse Share'!U96</f>
        <v>36.408349640830963</v>
      </c>
      <c r="AS33">
        <f t="shared" si="4"/>
        <v>0</v>
      </c>
      <c r="AT33">
        <f t="shared" ref="AT33:AU48" si="16">AT32</f>
        <v>0</v>
      </c>
      <c r="AU33">
        <f t="shared" si="16"/>
        <v>0</v>
      </c>
    </row>
    <row r="34" spans="1:47">
      <c r="A34">
        <v>2035</v>
      </c>
      <c r="B34" s="50">
        <f>'Future Type Share'!AK36*'Future EndUse Share'!AD97</f>
        <v>769.19633478168191</v>
      </c>
      <c r="C34" s="50">
        <f>'Future Type Share'!AG36*0.5*'Future EndUse Share'!R97</f>
        <v>0</v>
      </c>
      <c r="D34" s="50">
        <f>'Future Type Share'!AG36*'Future EndUse Share'!R97</f>
        <v>0</v>
      </c>
      <c r="E34" s="50">
        <f t="shared" si="5"/>
        <v>0</v>
      </c>
      <c r="F34">
        <f t="shared" si="13"/>
        <v>0</v>
      </c>
      <c r="G34">
        <f t="shared" si="13"/>
        <v>0</v>
      </c>
      <c r="K34">
        <v>2035</v>
      </c>
      <c r="L34" s="50">
        <f>'Future Type Share'!AK36*'Future EndUse Share'!AB97</f>
        <v>3806.4978081911545</v>
      </c>
      <c r="M34" s="50">
        <f>'Future Type Share'!AI36*0.5*'Future EndUse Share'!P97</f>
        <v>0</v>
      </c>
      <c r="N34" s="50">
        <f>'Future Type Share'!AG36*'Future EndUse Share'!P97</f>
        <v>0</v>
      </c>
      <c r="O34" s="50">
        <f t="shared" si="14"/>
        <v>0</v>
      </c>
      <c r="P34" s="50">
        <f t="shared" si="14"/>
        <v>0</v>
      </c>
      <c r="Q34" s="50">
        <f t="shared" si="14"/>
        <v>0</v>
      </c>
      <c r="U34">
        <v>2035</v>
      </c>
      <c r="V34" s="50">
        <f t="shared" si="12"/>
        <v>0</v>
      </c>
      <c r="W34" s="50">
        <f t="shared" si="12"/>
        <v>0</v>
      </c>
      <c r="X34" s="50">
        <f t="shared" si="12"/>
        <v>0</v>
      </c>
      <c r="Y34" s="50">
        <f t="shared" si="12"/>
        <v>0</v>
      </c>
      <c r="Z34" s="50">
        <f t="shared" si="12"/>
        <v>0</v>
      </c>
      <c r="AA34" s="50">
        <f t="shared" si="7"/>
        <v>0</v>
      </c>
      <c r="AE34">
        <v>2035</v>
      </c>
      <c r="AF34" s="50">
        <f>'Future Type Share'!AK36*('Future EndUse Share'!AC97+'Future EndUse Share'!AE97+'Future EndUse Share'!AF97+'Future EndUse Share'!AA97)</f>
        <v>8413.0798721938827</v>
      </c>
      <c r="AG34" s="50">
        <f>'Future Type Share'!AI36*0.5*('Future EndUse Share'!Q97+'Future EndUse Share'!S97+'Future EndUse Share'!T97+'Future EndUse Share'!O97)</f>
        <v>0</v>
      </c>
      <c r="AH34" s="50">
        <f>'Future Type Share'!AG36*('Future EndUse Share'!Q97+'Future EndUse Share'!S97+'Future EndUse Share'!T97+'Future EndUse Share'!O97)</f>
        <v>6167.2497081813954</v>
      </c>
      <c r="AI34">
        <f t="shared" si="3"/>
        <v>0</v>
      </c>
      <c r="AJ34">
        <f t="shared" si="15"/>
        <v>0</v>
      </c>
      <c r="AK34">
        <f t="shared" si="15"/>
        <v>0</v>
      </c>
      <c r="AO34">
        <v>2035</v>
      </c>
      <c r="AP34" s="50">
        <f>'Future Type Share'!AK36*('Future EndUse Share'!AG97)</f>
        <v>1694.3858294292991</v>
      </c>
      <c r="AQ34" s="50">
        <f>'Future Type Share'!AI36*0.5*('Future EndUse Share'!U97)</f>
        <v>0</v>
      </c>
      <c r="AR34" s="50">
        <f>'Future Type Share'!AG36*'Future EndUse Share'!U97</f>
        <v>36.977174809206851</v>
      </c>
      <c r="AS34">
        <f t="shared" si="4"/>
        <v>0</v>
      </c>
      <c r="AT34">
        <f t="shared" si="16"/>
        <v>0</v>
      </c>
      <c r="AU34">
        <f t="shared" si="16"/>
        <v>0</v>
      </c>
    </row>
    <row r="35" spans="1:47">
      <c r="A35">
        <v>2036</v>
      </c>
      <c r="B35" s="50">
        <f>'Future Type Share'!AK37*'Future EndUse Share'!AD98</f>
        <v>771.6367110117817</v>
      </c>
      <c r="C35" s="50">
        <f>'Future Type Share'!AG37*0.5*'Future EndUse Share'!R98</f>
        <v>0</v>
      </c>
      <c r="D35" s="50">
        <f>'Future Type Share'!AG37*'Future EndUse Share'!R98</f>
        <v>0</v>
      </c>
      <c r="E35" s="50">
        <f t="shared" si="5"/>
        <v>0</v>
      </c>
      <c r="F35">
        <f t="shared" si="13"/>
        <v>0</v>
      </c>
      <c r="G35">
        <f t="shared" si="13"/>
        <v>0</v>
      </c>
      <c r="K35">
        <v>2036</v>
      </c>
      <c r="L35" s="50">
        <f>'Future Type Share'!AK37*'Future EndUse Share'!AB98</f>
        <v>3779.7293632857736</v>
      </c>
      <c r="M35" s="50">
        <f>'Future Type Share'!AI37*0.5*'Future EndUse Share'!P98</f>
        <v>0</v>
      </c>
      <c r="N35" s="50">
        <f>'Future Type Share'!AG37*'Future EndUse Share'!P98</f>
        <v>0</v>
      </c>
      <c r="O35" s="50">
        <f t="shared" si="14"/>
        <v>0</v>
      </c>
      <c r="P35" s="50">
        <f t="shared" si="14"/>
        <v>0</v>
      </c>
      <c r="Q35" s="50">
        <f t="shared" si="14"/>
        <v>0</v>
      </c>
      <c r="U35">
        <v>2036</v>
      </c>
      <c r="V35" s="50">
        <f t="shared" si="12"/>
        <v>0</v>
      </c>
      <c r="W35" s="50">
        <f t="shared" si="12"/>
        <v>0</v>
      </c>
      <c r="X35" s="50">
        <f t="shared" si="12"/>
        <v>0</v>
      </c>
      <c r="Y35" s="50">
        <f t="shared" si="12"/>
        <v>0</v>
      </c>
      <c r="Z35" s="50">
        <f t="shared" si="12"/>
        <v>0</v>
      </c>
      <c r="AA35" s="50">
        <f t="shared" si="7"/>
        <v>0</v>
      </c>
      <c r="AE35">
        <v>2036</v>
      </c>
      <c r="AF35" s="50">
        <f>'Future Type Share'!AK37*('Future EndUse Share'!AC98+'Future EndUse Share'!AE98+'Future EndUse Share'!AF98+'Future EndUse Share'!AA98)</f>
        <v>8542.342816824661</v>
      </c>
      <c r="AG35" s="50">
        <f>'Future Type Share'!AI37*0.5*('Future EndUse Share'!Q98+'Future EndUse Share'!S98+'Future EndUse Share'!T98+'Future EndUse Share'!O98)</f>
        <v>0</v>
      </c>
      <c r="AH35" s="50">
        <f>'Future Type Share'!AG37*('Future EndUse Share'!Q98+'Future EndUse Share'!S98+'Future EndUse Share'!T98+'Future EndUse Share'!O98)</f>
        <v>6120.8413064620718</v>
      </c>
      <c r="AI35">
        <f t="shared" si="3"/>
        <v>0</v>
      </c>
      <c r="AJ35">
        <f t="shared" si="15"/>
        <v>0</v>
      </c>
      <c r="AK35">
        <f t="shared" si="15"/>
        <v>0</v>
      </c>
      <c r="AO35">
        <v>2036</v>
      </c>
      <c r="AP35" s="50">
        <f>'Future Type Share'!AK37*('Future EndUse Share'!AG98)</f>
        <v>1701.7349987616183</v>
      </c>
      <c r="AQ35" s="50">
        <f>'Future Type Share'!AI37*0.5*('Future EndUse Share'!U98)</f>
        <v>0</v>
      </c>
      <c r="AR35" s="50">
        <f>'Future Type Share'!AG37*'Future EndUse Share'!U98</f>
        <v>37.369504414780295</v>
      </c>
      <c r="AS35">
        <f t="shared" si="4"/>
        <v>0</v>
      </c>
      <c r="AT35">
        <f t="shared" si="16"/>
        <v>0</v>
      </c>
      <c r="AU35">
        <f t="shared" si="16"/>
        <v>0</v>
      </c>
    </row>
    <row r="36" spans="1:47">
      <c r="A36">
        <v>2037</v>
      </c>
      <c r="B36" s="50">
        <f>'Future Type Share'!AK38*'Future EndUse Share'!AD99</f>
        <v>776.78413233875528</v>
      </c>
      <c r="C36" s="50">
        <f>'Future Type Share'!AG38*0.5*'Future EndUse Share'!R99</f>
        <v>0</v>
      </c>
      <c r="D36" s="50">
        <f>'Future Type Share'!AG38*'Future EndUse Share'!R99</f>
        <v>0</v>
      </c>
      <c r="E36" s="50">
        <f t="shared" si="5"/>
        <v>0</v>
      </c>
      <c r="F36">
        <f t="shared" si="13"/>
        <v>0</v>
      </c>
      <c r="G36">
        <f t="shared" si="13"/>
        <v>0</v>
      </c>
      <c r="K36">
        <v>2037</v>
      </c>
      <c r="L36" s="50">
        <f>'Future Type Share'!AK38*'Future EndUse Share'!AB99</f>
        <v>3765.838933721031</v>
      </c>
      <c r="M36" s="50">
        <f>'Future Type Share'!AI38*0.5*'Future EndUse Share'!P99</f>
        <v>0</v>
      </c>
      <c r="N36" s="50">
        <f>'Future Type Share'!AG38*'Future EndUse Share'!P99</f>
        <v>0</v>
      </c>
      <c r="O36" s="50">
        <f t="shared" si="14"/>
        <v>0</v>
      </c>
      <c r="P36" s="50">
        <f t="shared" si="14"/>
        <v>0</v>
      </c>
      <c r="Q36" s="50">
        <f t="shared" si="14"/>
        <v>0</v>
      </c>
      <c r="U36">
        <v>2037</v>
      </c>
      <c r="V36" s="50">
        <f t="shared" si="12"/>
        <v>0</v>
      </c>
      <c r="W36" s="50">
        <f t="shared" si="12"/>
        <v>0</v>
      </c>
      <c r="X36" s="50">
        <f t="shared" si="12"/>
        <v>0</v>
      </c>
      <c r="Y36" s="50">
        <f t="shared" si="12"/>
        <v>0</v>
      </c>
      <c r="Z36" s="50">
        <f t="shared" si="12"/>
        <v>0</v>
      </c>
      <c r="AA36" s="50">
        <f t="shared" si="7"/>
        <v>0</v>
      </c>
      <c r="AE36">
        <v>2037</v>
      </c>
      <c r="AF36" s="50">
        <f>'Future Type Share'!AK38*('Future EndUse Share'!AC99+'Future EndUse Share'!AE99+'Future EndUse Share'!AF99+'Future EndUse Share'!AA99)</f>
        <v>8702.5681939074839</v>
      </c>
      <c r="AG36" s="50">
        <f>'Future Type Share'!AI38*0.5*('Future EndUse Share'!Q99+'Future EndUse Share'!S99+'Future EndUse Share'!T99+'Future EndUse Share'!O99)</f>
        <v>0</v>
      </c>
      <c r="AH36" s="50">
        <f>'Future Type Share'!AG38*('Future EndUse Share'!Q99+'Future EndUse Share'!S99+'Future EndUse Share'!T99+'Future EndUse Share'!O99)</f>
        <v>6095.2715170283918</v>
      </c>
      <c r="AI36">
        <f t="shared" si="3"/>
        <v>0</v>
      </c>
      <c r="AJ36">
        <f t="shared" si="15"/>
        <v>0</v>
      </c>
      <c r="AK36">
        <f t="shared" si="15"/>
        <v>0</v>
      </c>
      <c r="AO36">
        <v>2037</v>
      </c>
      <c r="AP36" s="50">
        <f>'Future Type Share'!AK38*('Future EndUse Share'!AG99)</f>
        <v>1715.0878952365497</v>
      </c>
      <c r="AQ36" s="50">
        <f>'Future Type Share'!AI38*0.5*('Future EndUse Share'!U99)</f>
        <v>0</v>
      </c>
      <c r="AR36" s="50">
        <f>'Future Type Share'!AG38*'Future EndUse Share'!U99</f>
        <v>37.881319506908753</v>
      </c>
      <c r="AS36">
        <f t="shared" si="4"/>
        <v>0</v>
      </c>
      <c r="AT36">
        <f t="shared" si="16"/>
        <v>0</v>
      </c>
      <c r="AU36">
        <f t="shared" si="16"/>
        <v>0</v>
      </c>
    </row>
    <row r="37" spans="1:47">
      <c r="A37">
        <v>2038</v>
      </c>
      <c r="B37" s="50">
        <f>'Future Type Share'!AK39*'Future EndUse Share'!AD100</f>
        <v>782.48942290097625</v>
      </c>
      <c r="C37" s="50">
        <f>'Future Type Share'!AG39*0.5*'Future EndUse Share'!R100</f>
        <v>0</v>
      </c>
      <c r="D37" s="50">
        <f>'Future Type Share'!AG39*'Future EndUse Share'!R100</f>
        <v>0</v>
      </c>
      <c r="E37" s="50">
        <f t="shared" si="5"/>
        <v>0</v>
      </c>
      <c r="F37">
        <f t="shared" si="13"/>
        <v>0</v>
      </c>
      <c r="G37">
        <f t="shared" si="13"/>
        <v>0</v>
      </c>
      <c r="K37">
        <v>2038</v>
      </c>
      <c r="L37" s="50">
        <f>'Future Type Share'!AK39*'Future EndUse Share'!AB100</f>
        <v>3754.106708938923</v>
      </c>
      <c r="M37" s="50">
        <f>'Future Type Share'!AI39*0.5*'Future EndUse Share'!P100</f>
        <v>0</v>
      </c>
      <c r="N37" s="50">
        <f>'Future Type Share'!AG39*'Future EndUse Share'!P100</f>
        <v>0</v>
      </c>
      <c r="O37" s="50">
        <f t="shared" si="14"/>
        <v>0</v>
      </c>
      <c r="P37" s="50">
        <f t="shared" si="14"/>
        <v>0</v>
      </c>
      <c r="Q37" s="50">
        <f t="shared" si="14"/>
        <v>0</v>
      </c>
      <c r="U37">
        <v>2038</v>
      </c>
      <c r="V37" s="50">
        <f t="shared" si="12"/>
        <v>0</v>
      </c>
      <c r="W37" s="50">
        <f t="shared" si="12"/>
        <v>0</v>
      </c>
      <c r="X37" s="50">
        <f t="shared" si="12"/>
        <v>0</v>
      </c>
      <c r="Y37" s="50">
        <f t="shared" si="12"/>
        <v>0</v>
      </c>
      <c r="Z37" s="50">
        <f t="shared" si="12"/>
        <v>0</v>
      </c>
      <c r="AA37" s="50">
        <f t="shared" si="7"/>
        <v>0</v>
      </c>
      <c r="AE37">
        <v>2038</v>
      </c>
      <c r="AF37" s="50">
        <f>'Future Type Share'!AK39*('Future EndUse Share'!AC100+'Future EndUse Share'!AE100+'Future EndUse Share'!AF100+'Future EndUse Share'!AA100)</f>
        <v>8870.4715586847342</v>
      </c>
      <c r="AG37" s="50">
        <f>'Future Type Share'!AI39*0.5*('Future EndUse Share'!Q100+'Future EndUse Share'!S100+'Future EndUse Share'!T100+'Future EndUse Share'!O100)</f>
        <v>0</v>
      </c>
      <c r="AH37" s="50">
        <f>'Future Type Share'!AG39*('Future EndUse Share'!Q100+'Future EndUse Share'!S100+'Future EndUse Share'!T100+'Future EndUse Share'!O100)</f>
        <v>6073.1659353504783</v>
      </c>
      <c r="AI37">
        <f t="shared" si="3"/>
        <v>0</v>
      </c>
      <c r="AJ37">
        <f t="shared" si="15"/>
        <v>0</v>
      </c>
      <c r="AK37">
        <f t="shared" si="15"/>
        <v>0</v>
      </c>
      <c r="AO37">
        <v>2038</v>
      </c>
      <c r="AP37" s="50">
        <f>'Future Type Share'!AK39*('Future EndUse Share'!AG100)</f>
        <v>1729.7149097071012</v>
      </c>
      <c r="AQ37" s="50">
        <f>'Future Type Share'!AI39*0.5*('Future EndUse Share'!U100)</f>
        <v>0</v>
      </c>
      <c r="AR37" s="50">
        <f>'Future Type Share'!AG39*'Future EndUse Share'!U100</f>
        <v>38.40958486783174</v>
      </c>
      <c r="AS37">
        <f t="shared" si="4"/>
        <v>0</v>
      </c>
      <c r="AT37">
        <f t="shared" si="16"/>
        <v>0</v>
      </c>
      <c r="AU37">
        <f t="shared" si="16"/>
        <v>0</v>
      </c>
    </row>
    <row r="38" spans="1:47">
      <c r="A38">
        <v>2039</v>
      </c>
      <c r="B38" s="50">
        <f>'Future Type Share'!AK40*'Future EndUse Share'!AD101</f>
        <v>788.6558214475042</v>
      </c>
      <c r="C38" s="50">
        <f>'Future Type Share'!AG40*0.5*'Future EndUse Share'!R101</f>
        <v>0</v>
      </c>
      <c r="D38" s="50">
        <f>'Future Type Share'!AG40*'Future EndUse Share'!R101</f>
        <v>0</v>
      </c>
      <c r="E38" s="50">
        <f t="shared" si="5"/>
        <v>0</v>
      </c>
      <c r="F38">
        <f t="shared" si="13"/>
        <v>0</v>
      </c>
      <c r="G38">
        <f t="shared" si="13"/>
        <v>0</v>
      </c>
      <c r="K38">
        <v>2039</v>
      </c>
      <c r="L38" s="50">
        <f>'Future Type Share'!AK40*'Future EndUse Share'!AB101</f>
        <v>3743.9890825569987</v>
      </c>
      <c r="M38" s="50">
        <f>'Future Type Share'!AI40*0.5*'Future EndUse Share'!P101</f>
        <v>0</v>
      </c>
      <c r="N38" s="50">
        <f>'Future Type Share'!AG40*'Future EndUse Share'!P101</f>
        <v>0</v>
      </c>
      <c r="O38" s="50">
        <f t="shared" si="14"/>
        <v>0</v>
      </c>
      <c r="P38" s="50">
        <f t="shared" si="14"/>
        <v>0</v>
      </c>
      <c r="Q38" s="50">
        <f t="shared" si="14"/>
        <v>0</v>
      </c>
      <c r="U38">
        <v>2039</v>
      </c>
      <c r="V38" s="50">
        <f t="shared" si="12"/>
        <v>0</v>
      </c>
      <c r="W38" s="50">
        <f t="shared" si="12"/>
        <v>0</v>
      </c>
      <c r="X38" s="50">
        <f t="shared" si="12"/>
        <v>0</v>
      </c>
      <c r="Y38" s="50">
        <f t="shared" si="12"/>
        <v>0</v>
      </c>
      <c r="Z38" s="50">
        <f t="shared" si="12"/>
        <v>0</v>
      </c>
      <c r="AA38" s="50">
        <f t="shared" si="7"/>
        <v>0</v>
      </c>
      <c r="AE38">
        <v>2039</v>
      </c>
      <c r="AF38" s="50">
        <f>'Future Type Share'!AK40*('Future EndUse Share'!AC101+'Future EndUse Share'!AE101+'Future EndUse Share'!AF101+'Future EndUse Share'!AA101)</f>
        <v>9045.1652380331707</v>
      </c>
      <c r="AG38" s="50">
        <f>'Future Type Share'!AI40*0.5*('Future EndUse Share'!Q101+'Future EndUse Share'!S101+'Future EndUse Share'!T101+'Future EndUse Share'!O101)</f>
        <v>0</v>
      </c>
      <c r="AH38" s="50">
        <f>'Future Type Share'!AG40*('Future EndUse Share'!Q101+'Future EndUse Share'!S101+'Future EndUse Share'!T101+'Future EndUse Share'!O101)</f>
        <v>6053.6391162501623</v>
      </c>
      <c r="AI38">
        <f t="shared" si="3"/>
        <v>0</v>
      </c>
      <c r="AJ38">
        <f t="shared" si="15"/>
        <v>0</v>
      </c>
      <c r="AK38">
        <f t="shared" si="15"/>
        <v>0</v>
      </c>
      <c r="AO38">
        <v>2039</v>
      </c>
      <c r="AP38" s="50">
        <f>'Future Type Share'!AK40*('Future EndUse Share'!AG101)</f>
        <v>1745.4065534174447</v>
      </c>
      <c r="AQ38" s="50">
        <f>'Future Type Share'!AI40*0.5*('Future EndUse Share'!U101)</f>
        <v>0</v>
      </c>
      <c r="AR38" s="50">
        <f>'Future Type Share'!AG40*'Future EndUse Share'!U101</f>
        <v>38.949740997956845</v>
      </c>
      <c r="AS38">
        <f t="shared" si="4"/>
        <v>0</v>
      </c>
      <c r="AT38">
        <f t="shared" si="16"/>
        <v>0</v>
      </c>
      <c r="AU38">
        <f t="shared" si="16"/>
        <v>0</v>
      </c>
    </row>
    <row r="39" spans="1:47">
      <c r="A39">
        <v>2040</v>
      </c>
      <c r="B39" s="50">
        <f>'Future Type Share'!AK41*'Future EndUse Share'!AD102</f>
        <v>794.78970176368398</v>
      </c>
      <c r="C39" s="50">
        <f>'Future Type Share'!AG41*0.5*'Future EndUse Share'!R102</f>
        <v>0</v>
      </c>
      <c r="D39" s="50">
        <f>'Future Type Share'!AG41*'Future EndUse Share'!R102</f>
        <v>0</v>
      </c>
      <c r="E39" s="50">
        <f t="shared" si="5"/>
        <v>0</v>
      </c>
      <c r="F39">
        <f t="shared" si="13"/>
        <v>0</v>
      </c>
      <c r="G39">
        <f t="shared" si="13"/>
        <v>0</v>
      </c>
      <c r="K39">
        <v>2040</v>
      </c>
      <c r="L39" s="50">
        <f>'Future Type Share'!AK41*'Future EndUse Share'!AB102</f>
        <v>3733.0978723970866</v>
      </c>
      <c r="M39" s="50">
        <f>'Future Type Share'!AI41*0.5*'Future EndUse Share'!P102</f>
        <v>0</v>
      </c>
      <c r="N39" s="50">
        <f>'Future Type Share'!AG41*'Future EndUse Share'!P102</f>
        <v>0</v>
      </c>
      <c r="O39" s="50">
        <f t="shared" si="14"/>
        <v>0</v>
      </c>
      <c r="P39" s="50">
        <f t="shared" si="14"/>
        <v>0</v>
      </c>
      <c r="Q39" s="50">
        <f t="shared" si="14"/>
        <v>0</v>
      </c>
      <c r="U39">
        <v>2040</v>
      </c>
      <c r="V39" s="50">
        <f t="shared" si="12"/>
        <v>0</v>
      </c>
      <c r="W39" s="50">
        <f t="shared" si="12"/>
        <v>0</v>
      </c>
      <c r="X39" s="50">
        <f t="shared" si="12"/>
        <v>0</v>
      </c>
      <c r="Y39" s="50">
        <f t="shared" si="12"/>
        <v>0</v>
      </c>
      <c r="Z39" s="50">
        <f t="shared" si="12"/>
        <v>0</v>
      </c>
      <c r="AA39" s="50">
        <f t="shared" si="7"/>
        <v>0</v>
      </c>
      <c r="AE39">
        <v>2040</v>
      </c>
      <c r="AF39" s="50">
        <f>'Future Type Share'!AK41*('Future EndUse Share'!AC102+'Future EndUse Share'!AE102+'Future EndUse Share'!AF102+'Future EndUse Share'!AA102)</f>
        <v>9221.1056718267719</v>
      </c>
      <c r="AG39" s="50">
        <f>'Future Type Share'!AI41*0.5*('Future EndUse Share'!Q102+'Future EndUse Share'!S102+'Future EndUse Share'!T102+'Future EndUse Share'!O102)</f>
        <v>0</v>
      </c>
      <c r="AH39" s="50">
        <f>'Future Type Share'!AG41*('Future EndUse Share'!Q102+'Future EndUse Share'!S102+'Future EndUse Share'!T102+'Future EndUse Share'!O102)</f>
        <v>6032.8263489106812</v>
      </c>
      <c r="AI39">
        <f t="shared" si="3"/>
        <v>0</v>
      </c>
      <c r="AJ39">
        <f t="shared" si="15"/>
        <v>0</v>
      </c>
      <c r="AK39">
        <f t="shared" si="15"/>
        <v>0</v>
      </c>
      <c r="AO39">
        <v>2040</v>
      </c>
      <c r="AP39" s="50">
        <f>'Future Type Share'!AK41*('Future EndUse Share'!AG102)</f>
        <v>1761.073018481108</v>
      </c>
      <c r="AQ39" s="50">
        <f>'Future Type Share'!AI41*0.5*('Future EndUse Share'!U102)</f>
        <v>0</v>
      </c>
      <c r="AR39" s="50">
        <f>'Future Type Share'!AG41*'Future EndUse Share'!U102</f>
        <v>39.477344939722911</v>
      </c>
      <c r="AS39">
        <f t="shared" si="4"/>
        <v>0</v>
      </c>
      <c r="AT39">
        <f t="shared" si="16"/>
        <v>0</v>
      </c>
      <c r="AU39">
        <f t="shared" si="16"/>
        <v>0</v>
      </c>
    </row>
    <row r="40" spans="1:47">
      <c r="A40">
        <v>2041</v>
      </c>
      <c r="B40" s="50">
        <f>'Future Type Share'!AK42*'Future EndUse Share'!AD103</f>
        <v>799.23676424678058</v>
      </c>
      <c r="C40" s="50">
        <f>'Future Type Share'!AG42*0.5*'Future EndUse Share'!R103</f>
        <v>0</v>
      </c>
      <c r="D40" s="50">
        <f>'Future Type Share'!AG42*'Future EndUse Share'!R103</f>
        <v>0</v>
      </c>
      <c r="E40" s="50">
        <f t="shared" si="5"/>
        <v>0</v>
      </c>
      <c r="F40">
        <f t="shared" si="13"/>
        <v>0</v>
      </c>
      <c r="G40">
        <f t="shared" si="13"/>
        <v>0</v>
      </c>
      <c r="K40">
        <v>2041</v>
      </c>
      <c r="L40" s="50">
        <f>'Future Type Share'!AK42*'Future EndUse Share'!AB103</f>
        <v>3713.7510846411383</v>
      </c>
      <c r="M40" s="50">
        <f>'Future Type Share'!AI42*0.5*'Future EndUse Share'!P103</f>
        <v>0</v>
      </c>
      <c r="N40" s="50">
        <f>'Future Type Share'!AG42*'Future EndUse Share'!P103</f>
        <v>0</v>
      </c>
      <c r="O40" s="50">
        <f t="shared" si="14"/>
        <v>0</v>
      </c>
      <c r="P40" s="50">
        <f t="shared" si="14"/>
        <v>0</v>
      </c>
      <c r="Q40" s="50">
        <f t="shared" si="14"/>
        <v>0</v>
      </c>
      <c r="U40">
        <v>2041</v>
      </c>
      <c r="V40" s="50">
        <f t="shared" si="12"/>
        <v>0</v>
      </c>
      <c r="W40" s="50">
        <f t="shared" si="12"/>
        <v>0</v>
      </c>
      <c r="X40" s="50">
        <f t="shared" si="12"/>
        <v>0</v>
      </c>
      <c r="Y40" s="50">
        <f t="shared" si="12"/>
        <v>0</v>
      </c>
      <c r="Z40" s="50">
        <f t="shared" si="12"/>
        <v>0</v>
      </c>
      <c r="AA40" s="50">
        <f t="shared" si="7"/>
        <v>0</v>
      </c>
      <c r="AE40">
        <v>2041</v>
      </c>
      <c r="AF40" s="50">
        <f>'Future Type Share'!AK42*('Future EndUse Share'!AC103+'Future EndUse Share'!AE103+'Future EndUse Share'!AF103+'Future EndUse Share'!AA103)</f>
        <v>9378.8667203410841</v>
      </c>
      <c r="AG40" s="50">
        <f>'Future Type Share'!AI42*0.5*('Future EndUse Share'!Q103+'Future EndUse Share'!S103+'Future EndUse Share'!T103+'Future EndUse Share'!O103)</f>
        <v>0</v>
      </c>
      <c r="AH40" s="50">
        <f>'Future Type Share'!AG42*('Future EndUse Share'!Q103+'Future EndUse Share'!S103+'Future EndUse Share'!T103+'Future EndUse Share'!O103)</f>
        <v>5998.320686768514</v>
      </c>
      <c r="AI40">
        <f t="shared" si="3"/>
        <v>0</v>
      </c>
      <c r="AJ40">
        <f t="shared" si="15"/>
        <v>0</v>
      </c>
      <c r="AK40">
        <f t="shared" si="15"/>
        <v>0</v>
      </c>
      <c r="AO40">
        <v>2041</v>
      </c>
      <c r="AP40" s="50">
        <f>'Future Type Share'!AK42*('Future EndUse Share'!AG103)</f>
        <v>1773.0444526911795</v>
      </c>
      <c r="AQ40" s="50">
        <f>'Future Type Share'!AI42*0.5*('Future EndUse Share'!U103)</f>
        <v>0</v>
      </c>
      <c r="AR40" s="50">
        <f>'Future Type Share'!AG42*'Future EndUse Share'!U103</f>
        <v>39.909423440706206</v>
      </c>
      <c r="AS40">
        <f t="shared" si="4"/>
        <v>0</v>
      </c>
      <c r="AT40">
        <f t="shared" si="16"/>
        <v>0</v>
      </c>
      <c r="AU40">
        <f t="shared" si="16"/>
        <v>0</v>
      </c>
    </row>
    <row r="41" spans="1:47">
      <c r="A41">
        <v>2042</v>
      </c>
      <c r="B41" s="50">
        <f>'Future Type Share'!AK43*'Future EndUse Share'!AD104</f>
        <v>803.16727376207348</v>
      </c>
      <c r="C41" s="50">
        <f>'Future Type Share'!AG43*0.5*'Future EndUse Share'!R104</f>
        <v>0</v>
      </c>
      <c r="D41" s="50">
        <f>'Future Type Share'!AG43*'Future EndUse Share'!R104</f>
        <v>0</v>
      </c>
      <c r="E41" s="50">
        <f t="shared" si="5"/>
        <v>0</v>
      </c>
      <c r="F41">
        <f t="shared" si="13"/>
        <v>0</v>
      </c>
      <c r="G41">
        <f t="shared" si="13"/>
        <v>0</v>
      </c>
      <c r="K41">
        <v>2042</v>
      </c>
      <c r="L41" s="50">
        <f>'Future Type Share'!AK43*'Future EndUse Share'!AB104</f>
        <v>3691.5823341518767</v>
      </c>
      <c r="M41" s="50">
        <f>'Future Type Share'!AI43*0.5*'Future EndUse Share'!P104</f>
        <v>0</v>
      </c>
      <c r="N41" s="50">
        <f>'Future Type Share'!AG43*'Future EndUse Share'!P104</f>
        <v>0</v>
      </c>
      <c r="O41" s="50">
        <f t="shared" si="14"/>
        <v>0</v>
      </c>
      <c r="P41" s="50">
        <f t="shared" si="14"/>
        <v>0</v>
      </c>
      <c r="Q41" s="50">
        <f t="shared" si="14"/>
        <v>0</v>
      </c>
      <c r="U41">
        <v>2042</v>
      </c>
      <c r="V41" s="50">
        <f t="shared" si="12"/>
        <v>0</v>
      </c>
      <c r="W41" s="50">
        <f t="shared" si="12"/>
        <v>0</v>
      </c>
      <c r="X41" s="50">
        <f t="shared" si="12"/>
        <v>0</v>
      </c>
      <c r="Y41" s="50">
        <f t="shared" si="12"/>
        <v>0</v>
      </c>
      <c r="Z41" s="50">
        <f t="shared" si="12"/>
        <v>0</v>
      </c>
      <c r="AA41" s="50">
        <f t="shared" si="7"/>
        <v>0</v>
      </c>
      <c r="AE41">
        <v>2042</v>
      </c>
      <c r="AF41" s="50">
        <f>'Future Type Share'!AK43*('Future EndUse Share'!AC104+'Future EndUse Share'!AE104+'Future EndUse Share'!AF104+'Future EndUse Share'!AA104)</f>
        <v>9531.6641630090999</v>
      </c>
      <c r="AG41" s="50">
        <f>'Future Type Share'!AI43*0.5*('Future EndUse Share'!Q104+'Future EndUse Share'!S104+'Future EndUse Share'!T104+'Future EndUse Share'!O104)</f>
        <v>0</v>
      </c>
      <c r="AH41" s="50">
        <f>'Future Type Share'!AG43*('Future EndUse Share'!Q104+'Future EndUse Share'!S104+'Future EndUse Share'!T104+'Future EndUse Share'!O104)</f>
        <v>5959.2375584821566</v>
      </c>
      <c r="AI41">
        <f t="shared" si="3"/>
        <v>0</v>
      </c>
      <c r="AJ41">
        <f t="shared" si="15"/>
        <v>0</v>
      </c>
      <c r="AK41">
        <f t="shared" si="15"/>
        <v>0</v>
      </c>
      <c r="AO41">
        <v>2042</v>
      </c>
      <c r="AP41" s="50">
        <f>'Future Type Share'!AK43*('Future EndUse Share'!AG104)</f>
        <v>1783.906956974708</v>
      </c>
      <c r="AQ41" s="50">
        <f>'Future Type Share'!AI43*0.5*('Future EndUse Share'!U104)</f>
        <v>0</v>
      </c>
      <c r="AR41" s="50">
        <f>'Future Type Share'!AG43*'Future EndUse Share'!U104</f>
        <v>40.303117563650524</v>
      </c>
      <c r="AS41">
        <f t="shared" si="4"/>
        <v>0</v>
      </c>
      <c r="AT41">
        <f t="shared" si="16"/>
        <v>0</v>
      </c>
      <c r="AU41">
        <f t="shared" si="16"/>
        <v>0</v>
      </c>
    </row>
    <row r="42" spans="1:47">
      <c r="A42">
        <v>2043</v>
      </c>
      <c r="B42" s="50">
        <f>'Future Type Share'!AK44*'Future EndUse Share'!AD105</f>
        <v>807.3957308125872</v>
      </c>
      <c r="C42" s="50">
        <f>'Future Type Share'!AG44*0.5*'Future EndUse Share'!R105</f>
        <v>0</v>
      </c>
      <c r="D42" s="50">
        <f>'Future Type Share'!AG44*'Future EndUse Share'!R105</f>
        <v>0</v>
      </c>
      <c r="E42" s="50">
        <f t="shared" si="5"/>
        <v>0</v>
      </c>
      <c r="F42">
        <f t="shared" si="13"/>
        <v>0</v>
      </c>
      <c r="G42">
        <f t="shared" si="13"/>
        <v>0</v>
      </c>
      <c r="K42">
        <v>2043</v>
      </c>
      <c r="L42" s="50">
        <f>'Future Type Share'!AK44*'Future EndUse Share'!AB105</f>
        <v>3670.3723026669454</v>
      </c>
      <c r="M42" s="50">
        <f>'Future Type Share'!AI44*0.5*'Future EndUse Share'!P105</f>
        <v>0</v>
      </c>
      <c r="N42" s="50">
        <f>'Future Type Share'!AG44*'Future EndUse Share'!P105</f>
        <v>0</v>
      </c>
      <c r="O42" s="50">
        <f t="shared" si="14"/>
        <v>0</v>
      </c>
      <c r="P42" s="50">
        <f t="shared" si="14"/>
        <v>0</v>
      </c>
      <c r="Q42" s="50">
        <f t="shared" si="14"/>
        <v>0</v>
      </c>
      <c r="U42">
        <v>2043</v>
      </c>
      <c r="V42" s="50">
        <f t="shared" si="12"/>
        <v>0</v>
      </c>
      <c r="W42" s="50">
        <f t="shared" si="12"/>
        <v>0</v>
      </c>
      <c r="X42" s="50">
        <f t="shared" si="12"/>
        <v>0</v>
      </c>
      <c r="Y42" s="50">
        <f t="shared" si="12"/>
        <v>0</v>
      </c>
      <c r="Z42" s="50">
        <f t="shared" si="12"/>
        <v>0</v>
      </c>
      <c r="AA42" s="50">
        <f t="shared" si="7"/>
        <v>0</v>
      </c>
      <c r="AE42">
        <v>2043</v>
      </c>
      <c r="AF42" s="50">
        <f>'Future Type Share'!AK44*('Future EndUse Share'!AC105+'Future EndUse Share'!AE105+'Future EndUse Share'!AF105+'Future EndUse Share'!AA105)</f>
        <v>9689.0662887235248</v>
      </c>
      <c r="AG42" s="50">
        <f>'Future Type Share'!AI44*0.5*('Future EndUse Share'!Q105+'Future EndUse Share'!S105+'Future EndUse Share'!T105+'Future EndUse Share'!O105)</f>
        <v>0</v>
      </c>
      <c r="AH42" s="50">
        <f>'Future Type Share'!AG44*('Future EndUse Share'!Q105+'Future EndUse Share'!S105+'Future EndUse Share'!T105+'Future EndUse Share'!O105)</f>
        <v>5921.6832974271401</v>
      </c>
      <c r="AI42">
        <f t="shared" si="3"/>
        <v>0</v>
      </c>
      <c r="AJ42">
        <f t="shared" si="15"/>
        <v>0</v>
      </c>
      <c r="AK42">
        <f t="shared" si="15"/>
        <v>0</v>
      </c>
      <c r="AO42">
        <v>2043</v>
      </c>
      <c r="AP42" s="50">
        <f>'Future Type Share'!AK44*('Future EndUse Share'!AG105)</f>
        <v>1795.4678812555671</v>
      </c>
      <c r="AQ42" s="50">
        <f>'Future Type Share'!AI44*0.5*('Future EndUse Share'!U105)</f>
        <v>0</v>
      </c>
      <c r="AR42" s="50">
        <f>'Future Type Share'!AG44*'Future EndUse Share'!U105</f>
        <v>40.698886061406881</v>
      </c>
      <c r="AS42">
        <f t="shared" si="4"/>
        <v>0</v>
      </c>
      <c r="AT42">
        <f t="shared" si="16"/>
        <v>0</v>
      </c>
      <c r="AU42">
        <f t="shared" si="16"/>
        <v>0</v>
      </c>
    </row>
    <row r="43" spans="1:47">
      <c r="A43">
        <v>2044</v>
      </c>
      <c r="B43" s="50">
        <f>'Future Type Share'!AK45*'Future EndUse Share'!AD106</f>
        <v>811.4540008394132</v>
      </c>
      <c r="C43" s="50">
        <f>'Future Type Share'!AG45*0.5*'Future EndUse Share'!R106</f>
        <v>0</v>
      </c>
      <c r="D43" s="50">
        <f>'Future Type Share'!AG45*'Future EndUse Share'!R106</f>
        <v>0</v>
      </c>
      <c r="E43" s="50">
        <f t="shared" si="5"/>
        <v>0</v>
      </c>
      <c r="F43">
        <f t="shared" si="13"/>
        <v>0</v>
      </c>
      <c r="G43">
        <f t="shared" si="13"/>
        <v>0</v>
      </c>
      <c r="K43">
        <v>2044</v>
      </c>
      <c r="L43" s="50">
        <f>'Future Type Share'!AK45*'Future EndUse Share'!AB106</f>
        <v>3647.9714480911489</v>
      </c>
      <c r="M43" s="50">
        <f>'Future Type Share'!AI45*0.5*'Future EndUse Share'!P106</f>
        <v>0</v>
      </c>
      <c r="N43" s="50">
        <f>'Future Type Share'!AG45*'Future EndUse Share'!P106</f>
        <v>0</v>
      </c>
      <c r="O43" s="50">
        <f t="shared" si="14"/>
        <v>0</v>
      </c>
      <c r="P43" s="50">
        <f t="shared" si="14"/>
        <v>0</v>
      </c>
      <c r="Q43" s="50">
        <f t="shared" si="14"/>
        <v>0</v>
      </c>
      <c r="U43">
        <v>2044</v>
      </c>
      <c r="V43" s="50">
        <f t="shared" si="12"/>
        <v>0</v>
      </c>
      <c r="W43" s="50">
        <f t="shared" si="12"/>
        <v>0</v>
      </c>
      <c r="X43" s="50">
        <f t="shared" si="12"/>
        <v>0</v>
      </c>
      <c r="Y43" s="50">
        <f t="shared" si="12"/>
        <v>0</v>
      </c>
      <c r="Z43" s="50">
        <f t="shared" si="12"/>
        <v>0</v>
      </c>
      <c r="AA43" s="50">
        <f t="shared" si="7"/>
        <v>0</v>
      </c>
      <c r="AE43">
        <v>2044</v>
      </c>
      <c r="AF43" s="50">
        <f>'Future Type Share'!AK45*('Future EndUse Share'!AC106+'Future EndUse Share'!AE106+'Future EndUse Share'!AF106+'Future EndUse Share'!AA106)</f>
        <v>9845.511606645774</v>
      </c>
      <c r="AG43" s="50">
        <f>'Future Type Share'!AI45*0.5*('Future EndUse Share'!Q106+'Future EndUse Share'!S106+'Future EndUse Share'!T106+'Future EndUse Share'!O106)</f>
        <v>0</v>
      </c>
      <c r="AH43" s="50">
        <f>'Future Type Share'!AG45*('Future EndUse Share'!Q106+'Future EndUse Share'!S106+'Future EndUse Share'!T106+'Future EndUse Share'!O106)</f>
        <v>5882.1883460046829</v>
      </c>
      <c r="AI43">
        <f t="shared" si="3"/>
        <v>0</v>
      </c>
      <c r="AJ43">
        <f t="shared" si="15"/>
        <v>0</v>
      </c>
      <c r="AK43">
        <f t="shared" si="15"/>
        <v>0</v>
      </c>
      <c r="AO43">
        <v>2044</v>
      </c>
      <c r="AP43" s="50">
        <f>'Future Type Share'!AK45*('Future EndUse Share'!AG106)</f>
        <v>1806.6875676654997</v>
      </c>
      <c r="AQ43" s="50">
        <f>'Future Type Share'!AI45*0.5*('Future EndUse Share'!U106)</f>
        <v>0</v>
      </c>
      <c r="AR43" s="50">
        <f>'Future Type Share'!AG45*'Future EndUse Share'!U106</f>
        <v>41.073002994667718</v>
      </c>
      <c r="AS43">
        <f t="shared" si="4"/>
        <v>0</v>
      </c>
      <c r="AT43">
        <f t="shared" si="16"/>
        <v>0</v>
      </c>
      <c r="AU43">
        <f t="shared" si="16"/>
        <v>0</v>
      </c>
    </row>
    <row r="44" spans="1:47">
      <c r="A44">
        <v>2045</v>
      </c>
      <c r="B44" s="50">
        <f>'Future Type Share'!AK46*'Future EndUse Share'!AD107</f>
        <v>815.3651928881427</v>
      </c>
      <c r="C44" s="50">
        <f>'Future Type Share'!AG46*0.5*'Future EndUse Share'!R107</f>
        <v>0</v>
      </c>
      <c r="D44" s="50">
        <f>'Future Type Share'!AG46*'Future EndUse Share'!R107</f>
        <v>0</v>
      </c>
      <c r="E44" s="50">
        <f t="shared" si="5"/>
        <v>0</v>
      </c>
      <c r="F44">
        <f t="shared" si="13"/>
        <v>0</v>
      </c>
      <c r="G44">
        <f t="shared" si="13"/>
        <v>0</v>
      </c>
      <c r="K44">
        <v>2045</v>
      </c>
      <c r="L44" s="50">
        <f>'Future Type Share'!AK46*'Future EndUse Share'!AB107</f>
        <v>3624.5081982990805</v>
      </c>
      <c r="M44" s="50">
        <f>'Future Type Share'!AI46*0.5*'Future EndUse Share'!P107</f>
        <v>0</v>
      </c>
      <c r="N44" s="50">
        <f>'Future Type Share'!AG46*'Future EndUse Share'!P107</f>
        <v>0</v>
      </c>
      <c r="O44" s="50">
        <f t="shared" si="14"/>
        <v>0</v>
      </c>
      <c r="P44" s="50">
        <f t="shared" si="14"/>
        <v>0</v>
      </c>
      <c r="Q44" s="50">
        <f t="shared" si="14"/>
        <v>0</v>
      </c>
      <c r="U44">
        <v>2045</v>
      </c>
      <c r="V44" s="50">
        <f t="shared" si="12"/>
        <v>0</v>
      </c>
      <c r="W44" s="50">
        <f t="shared" si="12"/>
        <v>0</v>
      </c>
      <c r="X44" s="50">
        <f t="shared" si="12"/>
        <v>0</v>
      </c>
      <c r="Y44" s="50">
        <f t="shared" si="12"/>
        <v>0</v>
      </c>
      <c r="Z44" s="50">
        <f t="shared" si="12"/>
        <v>0</v>
      </c>
      <c r="AA44" s="50">
        <f t="shared" si="7"/>
        <v>0</v>
      </c>
      <c r="AE44">
        <v>2045</v>
      </c>
      <c r="AF44" s="50">
        <f>'Future Type Share'!AK46*('Future EndUse Share'!AC107+'Future EndUse Share'!AE107+'Future EndUse Share'!AF107+'Future EndUse Share'!AA107)</f>
        <v>10001.2155543307</v>
      </c>
      <c r="AG44" s="50">
        <f>'Future Type Share'!AI46*0.5*('Future EndUse Share'!Q107+'Future EndUse Share'!S107+'Future EndUse Share'!T107+'Future EndUse Share'!O107)</f>
        <v>0</v>
      </c>
      <c r="AH44" s="50">
        <f>'Future Type Share'!AG46*('Future EndUse Share'!Q107+'Future EndUse Share'!S107+'Future EndUse Share'!T107+'Future EndUse Share'!O107)</f>
        <v>5840.9620505231587</v>
      </c>
      <c r="AI44">
        <f t="shared" si="3"/>
        <v>0</v>
      </c>
      <c r="AJ44">
        <f t="shared" si="15"/>
        <v>0</v>
      </c>
      <c r="AK44">
        <f t="shared" si="15"/>
        <v>0</v>
      </c>
      <c r="AO44">
        <v>2045</v>
      </c>
      <c r="AP44" s="50">
        <f>'Future Type Share'!AK46*('Future EndUse Share'!AG107)</f>
        <v>1817.6163743434124</v>
      </c>
      <c r="AQ44" s="50">
        <f>'Future Type Share'!AI46*0.5*('Future EndUse Share'!U107)</f>
        <v>0</v>
      </c>
      <c r="AR44" s="50">
        <f>'Future Type Share'!AG46*'Future EndUse Share'!U107</f>
        <v>41.426311375825982</v>
      </c>
      <c r="AS44">
        <f t="shared" si="4"/>
        <v>0</v>
      </c>
      <c r="AT44">
        <f t="shared" si="16"/>
        <v>0</v>
      </c>
      <c r="AU44">
        <f t="shared" si="16"/>
        <v>0</v>
      </c>
    </row>
    <row r="45" spans="1:47">
      <c r="A45">
        <v>2046</v>
      </c>
      <c r="B45" s="50">
        <f>'Future Type Share'!AK47*'Future EndUse Share'!AD108</f>
        <v>818.91091523234979</v>
      </c>
      <c r="C45" s="50">
        <f>'Future Type Share'!AG47*0.5*'Future EndUse Share'!R108</f>
        <v>0</v>
      </c>
      <c r="D45" s="50">
        <f>'Future Type Share'!AG47*'Future EndUse Share'!R108</f>
        <v>0</v>
      </c>
      <c r="E45" s="50">
        <f t="shared" si="5"/>
        <v>0</v>
      </c>
      <c r="F45">
        <f t="shared" si="13"/>
        <v>0</v>
      </c>
      <c r="G45">
        <f t="shared" si="13"/>
        <v>0</v>
      </c>
      <c r="K45">
        <v>2046</v>
      </c>
      <c r="L45" s="50">
        <f>'Future Type Share'!AK47*'Future EndUse Share'!AB108</f>
        <v>3599.0449521380933</v>
      </c>
      <c r="M45" s="50">
        <f>'Future Type Share'!AI47*0.5*'Future EndUse Share'!P108</f>
        <v>0</v>
      </c>
      <c r="N45" s="50">
        <f>'Future Type Share'!AG47*'Future EndUse Share'!P108</f>
        <v>0</v>
      </c>
      <c r="O45" s="50">
        <f t="shared" si="14"/>
        <v>0</v>
      </c>
      <c r="P45" s="50">
        <f t="shared" si="14"/>
        <v>0</v>
      </c>
      <c r="Q45" s="50">
        <f t="shared" si="14"/>
        <v>0</v>
      </c>
      <c r="U45">
        <v>2046</v>
      </c>
      <c r="V45" s="50">
        <f t="shared" si="12"/>
        <v>0</v>
      </c>
      <c r="W45" s="50">
        <f t="shared" si="12"/>
        <v>0</v>
      </c>
      <c r="X45" s="50">
        <f t="shared" si="12"/>
        <v>0</v>
      </c>
      <c r="Y45" s="50">
        <f t="shared" si="12"/>
        <v>0</v>
      </c>
      <c r="Z45" s="50">
        <f t="shared" si="12"/>
        <v>0</v>
      </c>
      <c r="AA45" s="50">
        <f t="shared" si="7"/>
        <v>0</v>
      </c>
      <c r="AE45">
        <v>2046</v>
      </c>
      <c r="AF45" s="50">
        <f>'Future Type Share'!AK47*('Future EndUse Share'!AC108+'Future EndUse Share'!AE108+'Future EndUse Share'!AF108+'Future EndUse Share'!AA108)</f>
        <v>10153.411568419178</v>
      </c>
      <c r="AG45" s="50">
        <f>'Future Type Share'!AI47*0.5*('Future EndUse Share'!Q108+'Future EndUse Share'!S108+'Future EndUse Share'!T108+'Future EndUse Share'!O108)</f>
        <v>0</v>
      </c>
      <c r="AH45" s="50">
        <f>'Future Type Share'!AG47*('Future EndUse Share'!Q108+'Future EndUse Share'!S108+'Future EndUse Share'!T108+'Future EndUse Share'!O108)</f>
        <v>5796.4964375193422</v>
      </c>
      <c r="AI45">
        <f t="shared" si="3"/>
        <v>0</v>
      </c>
      <c r="AJ45">
        <f t="shared" si="15"/>
        <v>0</v>
      </c>
      <c r="AK45">
        <f t="shared" si="15"/>
        <v>0</v>
      </c>
      <c r="AO45">
        <v>2046</v>
      </c>
      <c r="AP45" s="50">
        <f>'Future Type Share'!AK47*('Future EndUse Share'!AG108)</f>
        <v>1827.7658770978999</v>
      </c>
      <c r="AQ45" s="50">
        <f>'Future Type Share'!AI47*0.5*('Future EndUse Share'!U108)</f>
        <v>0</v>
      </c>
      <c r="AR45" s="50">
        <f>'Future Type Share'!AG47*'Future EndUse Share'!U108</f>
        <v>41.747377442833432</v>
      </c>
      <c r="AS45">
        <f t="shared" si="4"/>
        <v>0</v>
      </c>
      <c r="AT45">
        <f t="shared" si="16"/>
        <v>0</v>
      </c>
      <c r="AU45">
        <f t="shared" si="16"/>
        <v>0</v>
      </c>
    </row>
    <row r="46" spans="1:47">
      <c r="A46">
        <v>2047</v>
      </c>
      <c r="B46" s="50">
        <f>'Future Type Share'!AK48*'Future EndUse Share'!AD109</f>
        <v>821.91045940093181</v>
      </c>
      <c r="C46" s="50">
        <f>'Future Type Share'!AG48*0.5*'Future EndUse Share'!R109</f>
        <v>0</v>
      </c>
      <c r="D46" s="50">
        <f>'Future Type Share'!AG48*'Future EndUse Share'!R109</f>
        <v>0</v>
      </c>
      <c r="E46" s="50">
        <f t="shared" si="5"/>
        <v>0</v>
      </c>
      <c r="F46">
        <f t="shared" si="13"/>
        <v>0</v>
      </c>
      <c r="G46">
        <f t="shared" si="13"/>
        <v>0</v>
      </c>
      <c r="K46">
        <v>2047</v>
      </c>
      <c r="L46" s="50">
        <f>'Future Type Share'!AK48*'Future EndUse Share'!AB109</f>
        <v>3570.8518025309713</v>
      </c>
      <c r="M46" s="50">
        <f>'Future Type Share'!AI48*0.5*'Future EndUse Share'!P109</f>
        <v>0</v>
      </c>
      <c r="N46" s="50">
        <f>'Future Type Share'!AG48*'Future EndUse Share'!P109</f>
        <v>0</v>
      </c>
      <c r="O46" s="50">
        <f t="shared" si="14"/>
        <v>0</v>
      </c>
      <c r="P46" s="50">
        <f t="shared" si="14"/>
        <v>0</v>
      </c>
      <c r="Q46" s="50">
        <f t="shared" si="14"/>
        <v>0</v>
      </c>
      <c r="U46">
        <v>2047</v>
      </c>
      <c r="V46" s="50">
        <f t="shared" si="12"/>
        <v>0</v>
      </c>
      <c r="W46" s="50">
        <f t="shared" si="12"/>
        <v>0</v>
      </c>
      <c r="X46" s="50">
        <f t="shared" si="12"/>
        <v>0</v>
      </c>
      <c r="Y46" s="50">
        <f t="shared" si="12"/>
        <v>0</v>
      </c>
      <c r="Z46" s="50">
        <f t="shared" si="12"/>
        <v>0</v>
      </c>
      <c r="AA46" s="50">
        <f t="shared" si="7"/>
        <v>0</v>
      </c>
      <c r="AE46">
        <v>2047</v>
      </c>
      <c r="AF46" s="50">
        <f>'Future Type Share'!AK48*('Future EndUse Share'!AC109+'Future EndUse Share'!AE109+'Future EndUse Share'!AF109+'Future EndUse Share'!AA109)</f>
        <v>10299.689382295683</v>
      </c>
      <c r="AG46" s="50">
        <f>'Future Type Share'!AI48*0.5*('Future EndUse Share'!Q109+'Future EndUse Share'!S109+'Future EndUse Share'!T109+'Future EndUse Share'!O109)</f>
        <v>0</v>
      </c>
      <c r="AH46" s="50">
        <f>'Future Type Share'!AG48*('Future EndUse Share'!Q109+'Future EndUse Share'!S109+'Future EndUse Share'!T109+'Future EndUse Share'!O109)</f>
        <v>5747.6215490499008</v>
      </c>
      <c r="AI46">
        <f t="shared" si="3"/>
        <v>0</v>
      </c>
      <c r="AJ46">
        <f t="shared" si="15"/>
        <v>0</v>
      </c>
      <c r="AK46">
        <f t="shared" si="15"/>
        <v>0</v>
      </c>
      <c r="AO46">
        <v>2047</v>
      </c>
      <c r="AP46" s="50">
        <f>'Future Type Share'!AK48*('Future EndUse Share'!AG109)</f>
        <v>1836.7294352010579</v>
      </c>
      <c r="AQ46" s="50">
        <f>'Future Type Share'!AI48*0.5*('Future EndUse Share'!U109)</f>
        <v>0</v>
      </c>
      <c r="AR46" s="50">
        <f>'Future Type Share'!AG48*'Future EndUse Share'!U109</f>
        <v>42.026576328114707</v>
      </c>
      <c r="AS46">
        <f t="shared" si="4"/>
        <v>0</v>
      </c>
      <c r="AT46">
        <f t="shared" si="16"/>
        <v>0</v>
      </c>
      <c r="AU46">
        <f t="shared" si="16"/>
        <v>0</v>
      </c>
    </row>
    <row r="47" spans="1:47">
      <c r="A47">
        <v>2048</v>
      </c>
      <c r="B47" s="50">
        <f>'Future Type Share'!AK49*'Future EndUse Share'!AD110</f>
        <v>824.51658068462018</v>
      </c>
      <c r="C47" s="50">
        <f>'Future Type Share'!AG49*0.5*'Future EndUse Share'!R110</f>
        <v>0</v>
      </c>
      <c r="D47" s="50">
        <f>'Future Type Share'!AG49*'Future EndUse Share'!R110</f>
        <v>0</v>
      </c>
      <c r="E47" s="50">
        <f t="shared" si="5"/>
        <v>0</v>
      </c>
      <c r="F47">
        <f t="shared" si="13"/>
        <v>0</v>
      </c>
      <c r="G47">
        <f t="shared" si="13"/>
        <v>0</v>
      </c>
      <c r="K47">
        <v>2048</v>
      </c>
      <c r="L47" s="50">
        <f>'Future Type Share'!AK49*'Future EndUse Share'!AB110</f>
        <v>3540.6672021210179</v>
      </c>
      <c r="M47" s="50">
        <f>'Future Type Share'!AI49*0.5*'Future EndUse Share'!P110</f>
        <v>0</v>
      </c>
      <c r="N47" s="50">
        <f>'Future Type Share'!AG49*'Future EndUse Share'!P110</f>
        <v>0</v>
      </c>
      <c r="O47" s="50">
        <f t="shared" si="14"/>
        <v>0</v>
      </c>
      <c r="P47" s="50">
        <f t="shared" si="14"/>
        <v>0</v>
      </c>
      <c r="Q47" s="50">
        <f t="shared" si="14"/>
        <v>0</v>
      </c>
      <c r="U47">
        <v>2048</v>
      </c>
      <c r="V47" s="50">
        <f t="shared" si="12"/>
        <v>0</v>
      </c>
      <c r="W47" s="50">
        <f t="shared" si="12"/>
        <v>0</v>
      </c>
      <c r="X47" s="50">
        <f t="shared" si="12"/>
        <v>0</v>
      </c>
      <c r="Y47" s="50">
        <f t="shared" si="12"/>
        <v>0</v>
      </c>
      <c r="Z47" s="50">
        <f t="shared" si="12"/>
        <v>0</v>
      </c>
      <c r="AA47" s="50">
        <f t="shared" si="7"/>
        <v>0</v>
      </c>
      <c r="AE47">
        <v>2048</v>
      </c>
      <c r="AF47" s="50">
        <f>'Future Type Share'!AK49*('Future EndUse Share'!AC110+'Future EndUse Share'!AE110+'Future EndUse Share'!AF110+'Future EndUse Share'!AA110)</f>
        <v>10441.765866138699</v>
      </c>
      <c r="AG47" s="50">
        <f>'Future Type Share'!AI49*0.5*('Future EndUse Share'!Q110+'Future EndUse Share'!S110+'Future EndUse Share'!T110+'Future EndUse Share'!O110)</f>
        <v>0</v>
      </c>
      <c r="AH47" s="50">
        <f>'Future Type Share'!AG49*('Future EndUse Share'!Q110+'Future EndUse Share'!S110+'Future EndUse Share'!T110+'Future EndUse Share'!O110)</f>
        <v>5695.5325044876327</v>
      </c>
      <c r="AI47">
        <f t="shared" si="3"/>
        <v>0</v>
      </c>
      <c r="AJ47">
        <f t="shared" si="15"/>
        <v>0</v>
      </c>
      <c r="AK47">
        <f t="shared" si="15"/>
        <v>0</v>
      </c>
      <c r="AO47">
        <v>2048</v>
      </c>
      <c r="AP47" s="50">
        <f>'Future Type Share'!AK49*('Future EndUse Share'!AG110)</f>
        <v>1844.8444794999925</v>
      </c>
      <c r="AQ47" s="50">
        <f>'Future Type Share'!AI49*0.5*('Future EndUse Share'!U110)</f>
        <v>0</v>
      </c>
      <c r="AR47" s="50">
        <f>'Future Type Share'!AG49*'Future EndUse Share'!U110</f>
        <v>42.271321867303321</v>
      </c>
      <c r="AS47">
        <f t="shared" si="4"/>
        <v>0</v>
      </c>
      <c r="AT47">
        <f t="shared" si="16"/>
        <v>0</v>
      </c>
      <c r="AU47">
        <f t="shared" si="16"/>
        <v>0</v>
      </c>
    </row>
    <row r="48" spans="1:47">
      <c r="A48">
        <v>2049</v>
      </c>
      <c r="B48" s="50">
        <f>'Future Type Share'!AK50*'Future EndUse Share'!AD111</f>
        <v>826.65131500750613</v>
      </c>
      <c r="C48" s="50">
        <f>'Future Type Share'!AG50*0.5*'Future EndUse Share'!R111</f>
        <v>0</v>
      </c>
      <c r="D48" s="50">
        <f>'Future Type Share'!AG50*'Future EndUse Share'!R111</f>
        <v>0</v>
      </c>
      <c r="E48" s="50">
        <f t="shared" si="5"/>
        <v>0</v>
      </c>
      <c r="F48">
        <f t="shared" si="13"/>
        <v>0</v>
      </c>
      <c r="G48">
        <f t="shared" si="13"/>
        <v>0</v>
      </c>
      <c r="K48">
        <v>2049</v>
      </c>
      <c r="L48" s="50">
        <f>'Future Type Share'!AK50*'Future EndUse Share'!AB111</f>
        <v>3508.2196957644924</v>
      </c>
      <c r="M48" s="50">
        <f>'Future Type Share'!AI50*0.5*'Future EndUse Share'!P111</f>
        <v>0</v>
      </c>
      <c r="N48" s="50">
        <f>'Future Type Share'!AG50*'Future EndUse Share'!P111</f>
        <v>0</v>
      </c>
      <c r="O48" s="50">
        <f t="shared" si="14"/>
        <v>0</v>
      </c>
      <c r="P48" s="50">
        <f t="shared" si="14"/>
        <v>0</v>
      </c>
      <c r="Q48" s="50">
        <f t="shared" si="14"/>
        <v>0</v>
      </c>
      <c r="U48">
        <v>2049</v>
      </c>
      <c r="V48" s="50">
        <f t="shared" ref="V48:Z49" si="17">V47</f>
        <v>0</v>
      </c>
      <c r="W48" s="50">
        <f t="shared" si="17"/>
        <v>0</v>
      </c>
      <c r="X48" s="50">
        <f t="shared" si="17"/>
        <v>0</v>
      </c>
      <c r="Y48" s="50">
        <f t="shared" si="17"/>
        <v>0</v>
      </c>
      <c r="Z48" s="50">
        <f t="shared" si="17"/>
        <v>0</v>
      </c>
      <c r="AA48" s="50">
        <f t="shared" si="7"/>
        <v>0</v>
      </c>
      <c r="AE48">
        <v>2049</v>
      </c>
      <c r="AF48" s="50">
        <f>'Future Type Share'!AK50*('Future EndUse Share'!AC111+'Future EndUse Share'!AE111+'Future EndUse Share'!AF111+'Future EndUse Share'!AA111)</f>
        <v>10578.48655712345</v>
      </c>
      <c r="AG48" s="50">
        <f>'Future Type Share'!AI50*0.5*('Future EndUse Share'!Q111+'Future EndUse Share'!S111+'Future EndUse Share'!T111+'Future EndUse Share'!O111)</f>
        <v>0</v>
      </c>
      <c r="AH48" s="50">
        <f>'Future Type Share'!AG50*('Future EndUse Share'!Q111+'Future EndUse Share'!S111+'Future EndUse Share'!T111+'Future EndUse Share'!O111)</f>
        <v>5639.7981926141165</v>
      </c>
      <c r="AI48">
        <f t="shared" si="3"/>
        <v>0</v>
      </c>
      <c r="AJ48">
        <f t="shared" si="15"/>
        <v>0</v>
      </c>
      <c r="AK48">
        <f t="shared" si="15"/>
        <v>0</v>
      </c>
      <c r="AO48">
        <v>2049</v>
      </c>
      <c r="AP48" s="50">
        <f>'Future Type Share'!AK50*('Future EndUse Share'!AG111)</f>
        <v>1851.9332128097631</v>
      </c>
      <c r="AQ48" s="50">
        <f>'Future Type Share'!AI50*0.5*('Future EndUse Share'!U111)</f>
        <v>0</v>
      </c>
      <c r="AR48" s="50">
        <f>'Future Type Share'!AG50*'Future EndUse Share'!U111</f>
        <v>42.477304190973612</v>
      </c>
      <c r="AS48">
        <f t="shared" si="4"/>
        <v>0</v>
      </c>
      <c r="AT48">
        <f t="shared" si="16"/>
        <v>0</v>
      </c>
      <c r="AU48">
        <f t="shared" si="16"/>
        <v>0</v>
      </c>
    </row>
    <row r="49" spans="1:50">
      <c r="A49">
        <v>2050</v>
      </c>
      <c r="B49" s="50">
        <f>'Future Type Share'!AK51*'Future EndUse Share'!AD112</f>
        <v>834.75138663302266</v>
      </c>
      <c r="C49" s="50">
        <f>'Future Type Share'!AG51*0.5*'Future EndUse Share'!R112</f>
        <v>0</v>
      </c>
      <c r="D49" s="50">
        <f>'Future Type Share'!AG51*'Future EndUse Share'!R112</f>
        <v>0</v>
      </c>
      <c r="E49" s="50">
        <f t="shared" si="5"/>
        <v>0</v>
      </c>
      <c r="F49">
        <f t="shared" ref="F49:G49" si="18">F48</f>
        <v>0</v>
      </c>
      <c r="G49">
        <f t="shared" si="18"/>
        <v>0</v>
      </c>
      <c r="K49">
        <v>2050</v>
      </c>
      <c r="L49" s="50">
        <f>'Future Type Share'!AK51*'Future EndUse Share'!AB112</f>
        <v>3500.573210766343</v>
      </c>
      <c r="M49" s="50">
        <f>'Future Type Share'!AI51*0.5*'Future EndUse Share'!P112</f>
        <v>0</v>
      </c>
      <c r="N49" s="50">
        <f>'Future Type Share'!AG51*'Future EndUse Share'!P112</f>
        <v>0</v>
      </c>
      <c r="O49" s="50">
        <f t="shared" ref="O49:Q49" si="19">O48</f>
        <v>0</v>
      </c>
      <c r="P49" s="50">
        <f t="shared" si="19"/>
        <v>0</v>
      </c>
      <c r="Q49" s="50">
        <f t="shared" si="19"/>
        <v>0</v>
      </c>
      <c r="U49">
        <v>2050</v>
      </c>
      <c r="V49" s="50">
        <f t="shared" si="17"/>
        <v>0</v>
      </c>
      <c r="W49" s="50">
        <f t="shared" si="17"/>
        <v>0</v>
      </c>
      <c r="X49" s="50">
        <f t="shared" si="17"/>
        <v>0</v>
      </c>
      <c r="Y49" s="50">
        <f t="shared" si="17"/>
        <v>0</v>
      </c>
      <c r="Z49" s="50">
        <f t="shared" si="17"/>
        <v>0</v>
      </c>
      <c r="AA49" s="50">
        <f t="shared" si="7"/>
        <v>0</v>
      </c>
      <c r="AE49">
        <v>2050</v>
      </c>
      <c r="AF49" s="50">
        <f>'Future Type Share'!AK51*('Future EndUse Share'!AC112+'Future EndUse Share'!AE112+'Future EndUse Share'!AF112+'Future EndUse Share'!AA112)</f>
        <v>10792.887083474381</v>
      </c>
      <c r="AG49" s="50">
        <f>'Future Type Share'!AI51*0.5*('Future EndUse Share'!Q112+'Future EndUse Share'!S112+'Future EndUse Share'!T112+'Future EndUse Share'!O112)</f>
        <v>0</v>
      </c>
      <c r="AH49" s="50">
        <f>'Future Type Share'!AG51*('Future EndUse Share'!Q112+'Future EndUse Share'!S112+'Future EndUse Share'!T112+'Future EndUse Share'!O112)</f>
        <v>5623.9049398473671</v>
      </c>
      <c r="AI49">
        <f t="shared" si="3"/>
        <v>0</v>
      </c>
      <c r="AJ49">
        <f t="shared" ref="AJ49:AK49" si="20">AJ48</f>
        <v>0</v>
      </c>
      <c r="AK49">
        <f t="shared" si="20"/>
        <v>0</v>
      </c>
      <c r="AO49">
        <v>2050</v>
      </c>
      <c r="AP49" s="50">
        <f>'Future Type Share'!AK51*('Future EndUse Share'!AG112)</f>
        <v>1872.4300073194099</v>
      </c>
      <c r="AQ49" s="50">
        <f>'Future Type Share'!AI51*0.5*('Future EndUse Share'!U112)</f>
        <v>0</v>
      </c>
      <c r="AR49" s="50">
        <f>'Future Type Share'!AG51*'Future EndUse Share'!U112</f>
        <v>42.975622883685865</v>
      </c>
      <c r="AS49">
        <f t="shared" si="4"/>
        <v>0</v>
      </c>
      <c r="AT49">
        <f t="shared" ref="AT49:AU49" si="21">AT48</f>
        <v>0</v>
      </c>
      <c r="AU49">
        <f t="shared" si="21"/>
        <v>0</v>
      </c>
      <c r="AX49" s="50"/>
    </row>
    <row r="60" spans="1:50">
      <c r="U60" s="50"/>
      <c r="V60" s="50"/>
    </row>
    <row r="61" spans="1:50">
      <c r="S61" s="488"/>
      <c r="T61" s="50"/>
      <c r="U61" s="50"/>
      <c r="V61" s="50"/>
    </row>
    <row r="62" spans="1:50">
      <c r="S62" s="488"/>
      <c r="T62" s="50"/>
      <c r="U62" s="50"/>
      <c r="V62" s="50"/>
    </row>
    <row r="63" spans="1:50">
      <c r="S63" s="488"/>
      <c r="T63" s="50"/>
      <c r="U63" s="50"/>
      <c r="V63" s="50"/>
    </row>
    <row r="64" spans="1:50">
      <c r="S64" s="488"/>
      <c r="T64" s="50"/>
    </row>
  </sheetData>
  <phoneticPr fontId="3"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tint="0.79998168889431442"/>
  </sheetPr>
  <dimension ref="A1:AU51"/>
  <sheetViews>
    <sheetView zoomScale="85" workbookViewId="0">
      <selection activeCell="F23" sqref="F23"/>
    </sheetView>
  </sheetViews>
  <sheetFormatPr baseColWidth="10" defaultColWidth="8.796875" defaultRowHeight="14"/>
  <cols>
    <col min="1" max="1" width="28.3984375" customWidth="1"/>
    <col min="2" max="2" width="20.3984375" customWidth="1"/>
    <col min="3" max="3" width="12.796875" bestFit="1" customWidth="1"/>
    <col min="4" max="10" width="11" bestFit="1" customWidth="1"/>
    <col min="11" max="11" width="8.796875" bestFit="1" customWidth="1"/>
    <col min="12" max="47" width="11" bestFit="1" customWidth="1"/>
  </cols>
  <sheetData>
    <row r="1" spans="1:47" ht="22">
      <c r="A1" s="100" t="s">
        <v>964</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Private_2!C5*'BTU Conversion Factor'!$F$4</f>
        <v>1954880138373.8901</v>
      </c>
      <c r="D5" s="137">
        <f>Private_2!D5*'BTU Conversion Factor'!$F$4</f>
        <v>1915117653601.9341</v>
      </c>
      <c r="E5" s="137">
        <f>Private_2!E5*'BTU Conversion Factor'!$F$4</f>
        <v>1847261870578.4094</v>
      </c>
      <c r="F5" s="137">
        <f>Private_2!F5*'BTU Conversion Factor'!$F$4</f>
        <v>1977563220169.2546</v>
      </c>
      <c r="G5" s="137">
        <f>Private_2!G5*'BTU Conversion Factor'!$F$4</f>
        <v>1959179510030.5688</v>
      </c>
      <c r="H5" s="137">
        <f>Private_2!H5*'BTU Conversion Factor'!$F$4</f>
        <v>1995489796872.752</v>
      </c>
      <c r="I5" s="137">
        <f>Private_2!I5*'BTU Conversion Factor'!$F$4</f>
        <v>1997932568427.688</v>
      </c>
      <c r="J5" s="137">
        <f>Private_2!J5*'BTU Conversion Factor'!$F$4</f>
        <v>1684216931674.4165</v>
      </c>
      <c r="K5" s="137">
        <f>Private_2!K5*'BTU Conversion Factor'!$F$4</f>
        <v>1583925546086.1804</v>
      </c>
      <c r="L5" s="137">
        <f>Private_2!L5*'BTU Conversion Factor'!$F$4</f>
        <v>1354592477422.9585</v>
      </c>
      <c r="M5" s="137">
        <f>Private_2!M5*'BTU Conversion Factor'!$F$4</f>
        <v>1249890977009.4546</v>
      </c>
      <c r="N5" s="137">
        <f>Private_2!N5*'BTU Conversion Factor'!$F$4</f>
        <v>1156316000000</v>
      </c>
      <c r="O5" s="137">
        <f>Private_2!O5*'BTU Conversion Factor'!$F$4</f>
        <v>1139255600000</v>
      </c>
      <c r="P5" s="137">
        <f>Private_2!P5*'BTU Conversion Factor'!$F$4</f>
        <v>1174324200000</v>
      </c>
      <c r="Q5" s="137">
        <f>Private_2!Q5*'BTU Conversion Factor'!$F$4</f>
        <v>1221050148616.6489</v>
      </c>
      <c r="R5" s="137">
        <f>Private_2!R5*'BTU Conversion Factor'!$F$4</f>
        <v>1203063639595.3176</v>
      </c>
      <c r="S5" s="137">
        <f>Private_2!S5*'BTU Conversion Factor'!$F$4</f>
        <v>1226804175874.019</v>
      </c>
      <c r="T5" s="137">
        <f>Private_2!T5*'BTU Conversion Factor'!$F$4</f>
        <v>1252013546869.9822</v>
      </c>
      <c r="U5" s="137">
        <f>Private_2!U5*'BTU Conversion Factor'!$F$4</f>
        <v>1264923970629.5483</v>
      </c>
      <c r="V5" s="137">
        <f>Private_2!V5*'BTU Conversion Factor'!$F$4</f>
        <v>1278933168335.9612</v>
      </c>
      <c r="W5" s="137">
        <f>Private_2!W5*'BTU Conversion Factor'!$F$4</f>
        <v>1294332218056.8538</v>
      </c>
      <c r="X5" s="137">
        <f>Private_2!X5*'BTU Conversion Factor'!$F$4</f>
        <v>1308674807065.179</v>
      </c>
      <c r="Y5" s="137">
        <f>Private_2!Y5*'BTU Conversion Factor'!$F$4</f>
        <v>1323381935204.3052</v>
      </c>
      <c r="Z5" s="137">
        <f>Private_2!Z5*'BTU Conversion Factor'!$F$4</f>
        <v>1345728429419.1172</v>
      </c>
      <c r="AA5" s="137">
        <f>Private_2!AA5*'BTU Conversion Factor'!$F$4</f>
        <v>1358591200285.2583</v>
      </c>
      <c r="AB5" s="137">
        <f>Private_2!AB5*'BTU Conversion Factor'!$F$4</f>
        <v>1380693450233.8438</v>
      </c>
      <c r="AC5" s="137">
        <f>Private_2!AC5*'BTU Conversion Factor'!$F$4</f>
        <v>1395347828273.1279</v>
      </c>
      <c r="AD5" s="137">
        <f>Private_2!AD5*'BTU Conversion Factor'!$F$4</f>
        <v>1415069387732.3044</v>
      </c>
      <c r="AE5" s="137">
        <f>Private_2!AE5*'BTU Conversion Factor'!$F$4</f>
        <v>1428303799939.5161</v>
      </c>
      <c r="AF5" s="137">
        <f>Private_2!AF5*'BTU Conversion Factor'!$F$4</f>
        <v>1440595975858.3086</v>
      </c>
      <c r="AG5" s="137">
        <f>Private_2!AG5*'BTU Conversion Factor'!$F$4</f>
        <v>1441606355292.4832</v>
      </c>
      <c r="AH5" s="137">
        <f>Private_2!AH5*'BTU Conversion Factor'!$F$4</f>
        <v>1459573352981.3977</v>
      </c>
      <c r="AI5" s="137">
        <f>Private_2!AI5*'BTU Conversion Factor'!$F$4</f>
        <v>1474069093425.1431</v>
      </c>
      <c r="AJ5" s="137">
        <f>Private_2!AJ5*'BTU Conversion Factor'!$F$4</f>
        <v>1488218556142.342</v>
      </c>
      <c r="AK5" s="137">
        <f>Private_2!AK5*'BTU Conversion Factor'!$F$4</f>
        <v>1501878094084.1917</v>
      </c>
      <c r="AL5" s="137">
        <f>Private_2!AL5*'BTU Conversion Factor'!$F$4</f>
        <v>1514455617400.8042</v>
      </c>
      <c r="AM5" s="137">
        <f>Private_2!AM5*'BTU Conversion Factor'!$F$4</f>
        <v>1526006359148.427</v>
      </c>
      <c r="AN5" s="137">
        <f>Private_2!AN5*'BTU Conversion Factor'!$F$4</f>
        <v>1536965773593.2715</v>
      </c>
      <c r="AO5" s="137">
        <f>Private_2!AO5*'BTU Conversion Factor'!$F$4</f>
        <v>1547063688040.2051</v>
      </c>
      <c r="AP5" s="137">
        <f>Private_2!AP5*'BTU Conversion Factor'!$F$4</f>
        <v>1556183375099.0364</v>
      </c>
      <c r="AQ5" s="137">
        <f>Private_2!AQ5*'BTU Conversion Factor'!$F$4</f>
        <v>1565277944546.873</v>
      </c>
      <c r="AR5" s="137">
        <f>Private_2!AR5*'BTU Conversion Factor'!$F$4</f>
        <v>1572951888636.5718</v>
      </c>
      <c r="AS5" s="137">
        <f>Private_2!AS5*'BTU Conversion Factor'!$F$4</f>
        <v>1580884259036.094</v>
      </c>
      <c r="AT5" s="137">
        <f>Private_2!AT5*'BTU Conversion Factor'!$F$4</f>
        <v>1588047283984.8569</v>
      </c>
      <c r="AU5" s="137">
        <f>Private_2!AU5*'BTU Conversion Factor'!$F$4</f>
        <v>1594783117144.2817</v>
      </c>
    </row>
    <row r="6" spans="1:47">
      <c r="B6" s="48" t="s">
        <v>953</v>
      </c>
      <c r="C6" s="137">
        <f>Private_2!C6*'BTU Conversion Factor'!$F$4</f>
        <v>0</v>
      </c>
      <c r="D6" s="137">
        <f>Private_2!D6*'BTU Conversion Factor'!$F$4</f>
        <v>0</v>
      </c>
      <c r="E6" s="137">
        <f>Private_2!E6*'BTU Conversion Factor'!$F$4</f>
        <v>0</v>
      </c>
      <c r="F6" s="137">
        <f>Private_2!F6*'BTU Conversion Factor'!$F$4</f>
        <v>0</v>
      </c>
      <c r="G6" s="137">
        <f>Private_2!G6*'BTU Conversion Factor'!$F$4</f>
        <v>0</v>
      </c>
      <c r="H6" s="137">
        <f>Private_2!H6*'BTU Conversion Factor'!$F$4</f>
        <v>0</v>
      </c>
      <c r="I6" s="137">
        <f>Private_2!I6*'BTU Conversion Factor'!$F$4</f>
        <v>0</v>
      </c>
      <c r="J6" s="137">
        <f>Private_2!J6*'BTU Conversion Factor'!$F$4</f>
        <v>0</v>
      </c>
      <c r="K6" s="137">
        <f>Private_2!K6*'BTU Conversion Factor'!$F$4</f>
        <v>0</v>
      </c>
      <c r="L6" s="137">
        <f>Private_2!L6*'BTU Conversion Factor'!$F$4</f>
        <v>0</v>
      </c>
      <c r="M6" s="137">
        <f>Private_2!M6*'BTU Conversion Factor'!$F$4</f>
        <v>0</v>
      </c>
      <c r="N6" s="137">
        <f>Private_2!N6*'BTU Conversion Factor'!$F$4</f>
        <v>0</v>
      </c>
      <c r="O6" s="137">
        <f>Private_2!O6*'BTU Conversion Factor'!$F$4</f>
        <v>0</v>
      </c>
      <c r="P6" s="137">
        <f>Private_2!P6*'BTU Conversion Factor'!$F$4</f>
        <v>0</v>
      </c>
      <c r="Q6" s="137">
        <f>Private_2!Q6*'BTU Conversion Factor'!$F$4</f>
        <v>0</v>
      </c>
      <c r="R6" s="137">
        <f>Private_2!R6*'BTU Conversion Factor'!$F$4</f>
        <v>0</v>
      </c>
      <c r="S6" s="137">
        <f>Private_2!S6*'BTU Conversion Factor'!$F$4</f>
        <v>0</v>
      </c>
      <c r="T6" s="137">
        <f>Private_2!T6*'BTU Conversion Factor'!$F$4</f>
        <v>0</v>
      </c>
      <c r="U6" s="137">
        <f>Private_2!U6*'BTU Conversion Factor'!$F$4</f>
        <v>0</v>
      </c>
      <c r="V6" s="137">
        <f>Private_2!V6*'BTU Conversion Factor'!$F$4</f>
        <v>0</v>
      </c>
      <c r="W6" s="137">
        <f>Private_2!W6*'BTU Conversion Factor'!$F$4</f>
        <v>0</v>
      </c>
      <c r="X6" s="137">
        <f>Private_2!X6*'BTU Conversion Factor'!$F$4</f>
        <v>0</v>
      </c>
      <c r="Y6" s="137">
        <f>Private_2!Y6*'BTU Conversion Factor'!$F$4</f>
        <v>0</v>
      </c>
      <c r="Z6" s="137">
        <f>Private_2!Z6*'BTU Conversion Factor'!$F$4</f>
        <v>0</v>
      </c>
      <c r="AA6" s="137">
        <f>Private_2!AA6*'BTU Conversion Factor'!$F$4</f>
        <v>0</v>
      </c>
      <c r="AB6" s="137">
        <f>Private_2!AB6*'BTU Conversion Factor'!$F$4</f>
        <v>0</v>
      </c>
      <c r="AC6" s="137">
        <f>Private_2!AC6*'BTU Conversion Factor'!$F$4</f>
        <v>0</v>
      </c>
      <c r="AD6" s="137">
        <f>Private_2!AD6*'BTU Conversion Factor'!$F$4</f>
        <v>0</v>
      </c>
      <c r="AE6" s="137">
        <f>Private_2!AE6*'BTU Conversion Factor'!$F$4</f>
        <v>0</v>
      </c>
      <c r="AF6" s="137">
        <f>Private_2!AF6*'BTU Conversion Factor'!$F$4</f>
        <v>0</v>
      </c>
      <c r="AG6" s="137">
        <f>Private_2!AG6*'BTU Conversion Factor'!$F$4</f>
        <v>0</v>
      </c>
      <c r="AH6" s="137">
        <f>Private_2!AH6*'BTU Conversion Factor'!$F$4</f>
        <v>0</v>
      </c>
      <c r="AI6" s="137">
        <f>Private_2!AI6*'BTU Conversion Factor'!$F$4</f>
        <v>0</v>
      </c>
      <c r="AJ6" s="137">
        <f>Private_2!AJ6*'BTU Conversion Factor'!$F$4</f>
        <v>0</v>
      </c>
      <c r="AK6" s="137">
        <f>Private_2!AK6*'BTU Conversion Factor'!$F$4</f>
        <v>0</v>
      </c>
      <c r="AL6" s="137">
        <f>Private_2!AL6*'BTU Conversion Factor'!$F$4</f>
        <v>0</v>
      </c>
      <c r="AM6" s="137">
        <f>Private_2!AM6*'BTU Conversion Factor'!$F$4</f>
        <v>0</v>
      </c>
      <c r="AN6" s="137">
        <f>Private_2!AN6*'BTU Conversion Factor'!$F$4</f>
        <v>0</v>
      </c>
      <c r="AO6" s="137">
        <f>Private_2!AO6*'BTU Conversion Factor'!$F$4</f>
        <v>0</v>
      </c>
      <c r="AP6" s="137">
        <f>Private_2!AP6*'BTU Conversion Factor'!$F$4</f>
        <v>0</v>
      </c>
      <c r="AQ6" s="137">
        <f>Private_2!AQ6*'BTU Conversion Factor'!$F$4</f>
        <v>0</v>
      </c>
      <c r="AR6" s="137">
        <f>Private_2!AR6*'BTU Conversion Factor'!$F$4</f>
        <v>0</v>
      </c>
      <c r="AS6" s="137">
        <f>Private_2!AS6*'BTU Conversion Factor'!$F$4</f>
        <v>0</v>
      </c>
      <c r="AT6" s="137">
        <f>Private_2!AT6*'BTU Conversion Factor'!$F$4</f>
        <v>0</v>
      </c>
      <c r="AU6" s="137">
        <f>Private_2!AU6*'BTU Conversion Factor'!$F$4</f>
        <v>0</v>
      </c>
    </row>
    <row r="7" spans="1:47">
      <c r="B7" s="48" t="s">
        <v>954</v>
      </c>
      <c r="C7" s="137">
        <f>Private_2!C7*'BTU Conversion Factor'!$F$4</f>
        <v>0</v>
      </c>
      <c r="D7" s="137">
        <f>Private_2!D7*'BTU Conversion Factor'!$F$4</f>
        <v>0</v>
      </c>
      <c r="E7" s="137">
        <f>Private_2!E7*'BTU Conversion Factor'!$F$4</f>
        <v>0</v>
      </c>
      <c r="F7" s="137">
        <f>Private_2!F7*'BTU Conversion Factor'!$F$4</f>
        <v>0</v>
      </c>
      <c r="G7" s="137">
        <f>Private_2!G7*'BTU Conversion Factor'!$F$4</f>
        <v>0</v>
      </c>
      <c r="H7" s="137">
        <f>Private_2!H7*'BTU Conversion Factor'!$F$4</f>
        <v>0</v>
      </c>
      <c r="I7" s="137">
        <f>Private_2!I7*'BTU Conversion Factor'!$F$4</f>
        <v>0</v>
      </c>
      <c r="J7" s="137">
        <f>Private_2!J7*'BTU Conversion Factor'!$F$4</f>
        <v>0</v>
      </c>
      <c r="K7" s="137">
        <f>Private_2!K7*'BTU Conversion Factor'!$F$4</f>
        <v>0</v>
      </c>
      <c r="L7" s="137">
        <f>Private_2!L7*'BTU Conversion Factor'!$F$4</f>
        <v>0</v>
      </c>
      <c r="M7" s="137">
        <f>Private_2!M7*'BTU Conversion Factor'!$F$4</f>
        <v>0</v>
      </c>
      <c r="N7" s="137">
        <f>Private_2!N7*'BTU Conversion Factor'!$F$4</f>
        <v>0</v>
      </c>
      <c r="O7" s="137">
        <f>Private_2!O7*'BTU Conversion Factor'!$F$4</f>
        <v>0</v>
      </c>
      <c r="P7" s="137">
        <f>Private_2!P7*'BTU Conversion Factor'!$F$4</f>
        <v>0</v>
      </c>
      <c r="Q7" s="137">
        <f>Private_2!Q7*'BTU Conversion Factor'!$F$4</f>
        <v>0</v>
      </c>
      <c r="R7" s="137">
        <f>Private_2!R7*'BTU Conversion Factor'!$F$4</f>
        <v>0</v>
      </c>
      <c r="S7" s="137">
        <f>Private_2!S7*'BTU Conversion Factor'!$F$4</f>
        <v>0</v>
      </c>
      <c r="T7" s="137">
        <f>Private_2!T7*'BTU Conversion Factor'!$F$4</f>
        <v>0</v>
      </c>
      <c r="U7" s="137">
        <f>Private_2!U7*'BTU Conversion Factor'!$F$4</f>
        <v>0</v>
      </c>
      <c r="V7" s="137">
        <f>Private_2!V7*'BTU Conversion Factor'!$F$4</f>
        <v>0</v>
      </c>
      <c r="W7" s="137">
        <f>Private_2!W7*'BTU Conversion Factor'!$F$4</f>
        <v>0</v>
      </c>
      <c r="X7" s="137">
        <f>Private_2!X7*'BTU Conversion Factor'!$F$4</f>
        <v>0</v>
      </c>
      <c r="Y7" s="137">
        <f>Private_2!Y7*'BTU Conversion Factor'!$F$4</f>
        <v>0</v>
      </c>
      <c r="Z7" s="137">
        <f>Private_2!Z7*'BTU Conversion Factor'!$F$4</f>
        <v>0</v>
      </c>
      <c r="AA7" s="137">
        <f>Private_2!AA7*'BTU Conversion Factor'!$F$4</f>
        <v>0</v>
      </c>
      <c r="AB7" s="137">
        <f>Private_2!AB7*'BTU Conversion Factor'!$F$4</f>
        <v>0</v>
      </c>
      <c r="AC7" s="137">
        <f>Private_2!AC7*'BTU Conversion Factor'!$F$4</f>
        <v>0</v>
      </c>
      <c r="AD7" s="137">
        <f>Private_2!AD7*'BTU Conversion Factor'!$F$4</f>
        <v>0</v>
      </c>
      <c r="AE7" s="137">
        <f>Private_2!AE7*'BTU Conversion Factor'!$F$4</f>
        <v>0</v>
      </c>
      <c r="AF7" s="137">
        <f>Private_2!AF7*'BTU Conversion Factor'!$F$4</f>
        <v>0</v>
      </c>
      <c r="AG7" s="137">
        <f>Private_2!AG7*'BTU Conversion Factor'!$F$4</f>
        <v>0</v>
      </c>
      <c r="AH7" s="137">
        <f>Private_2!AH7*'BTU Conversion Factor'!$F$4</f>
        <v>0</v>
      </c>
      <c r="AI7" s="137">
        <f>Private_2!AI7*'BTU Conversion Factor'!$F$4</f>
        <v>0</v>
      </c>
      <c r="AJ7" s="137">
        <f>Private_2!AJ7*'BTU Conversion Factor'!$F$4</f>
        <v>0</v>
      </c>
      <c r="AK7" s="137">
        <f>Private_2!AK7*'BTU Conversion Factor'!$F$4</f>
        <v>0</v>
      </c>
      <c r="AL7" s="137">
        <f>Private_2!AL7*'BTU Conversion Factor'!$F$4</f>
        <v>0</v>
      </c>
      <c r="AM7" s="137">
        <f>Private_2!AM7*'BTU Conversion Factor'!$F$4</f>
        <v>0</v>
      </c>
      <c r="AN7" s="137">
        <f>Private_2!AN7*'BTU Conversion Factor'!$F$4</f>
        <v>0</v>
      </c>
      <c r="AO7" s="137">
        <f>Private_2!AO7*'BTU Conversion Factor'!$F$4</f>
        <v>0</v>
      </c>
      <c r="AP7" s="137">
        <f>Private_2!AP7*'BTU Conversion Factor'!$F$4</f>
        <v>0</v>
      </c>
      <c r="AQ7" s="137">
        <f>Private_2!AQ7*'BTU Conversion Factor'!$F$4</f>
        <v>0</v>
      </c>
      <c r="AR7" s="137">
        <f>Private_2!AR7*'BTU Conversion Factor'!$F$4</f>
        <v>0</v>
      </c>
      <c r="AS7" s="137">
        <f>Private_2!AS7*'BTU Conversion Factor'!$F$4</f>
        <v>0</v>
      </c>
      <c r="AT7" s="137">
        <f>Private_2!AT7*'BTU Conversion Factor'!$F$4</f>
        <v>0</v>
      </c>
      <c r="AU7" s="137">
        <f>Private_2!AU7*'BTU Conversion Factor'!$F$4</f>
        <v>0</v>
      </c>
    </row>
    <row r="8" spans="1:47">
      <c r="B8" s="48" t="s">
        <v>955</v>
      </c>
      <c r="C8" s="137">
        <f>Private_2!C8*'BTU Conversion Factor'!$F$4</f>
        <v>0</v>
      </c>
      <c r="D8" s="137">
        <f>Private_2!D8*'BTU Conversion Factor'!$F$4</f>
        <v>0</v>
      </c>
      <c r="E8" s="137">
        <f>Private_2!E8*'BTU Conversion Factor'!$F$4</f>
        <v>0</v>
      </c>
      <c r="F8" s="137">
        <f>Private_2!F8*'BTU Conversion Factor'!$F$4</f>
        <v>0</v>
      </c>
      <c r="G8" s="137">
        <f>Private_2!G8*'BTU Conversion Factor'!$F$4</f>
        <v>0</v>
      </c>
      <c r="H8" s="137">
        <f>Private_2!H8*'BTU Conversion Factor'!$F$4</f>
        <v>0</v>
      </c>
      <c r="I8" s="137">
        <f>Private_2!I8*'BTU Conversion Factor'!$F$4</f>
        <v>0</v>
      </c>
      <c r="J8" s="137">
        <f>Private_2!J8*'BTU Conversion Factor'!$F$4</f>
        <v>0</v>
      </c>
      <c r="K8" s="137">
        <f>Private_2!K8*'BTU Conversion Factor'!$F$4</f>
        <v>0</v>
      </c>
      <c r="L8" s="137">
        <f>Private_2!L8*'BTU Conversion Factor'!$F$4</f>
        <v>0</v>
      </c>
      <c r="M8" s="137">
        <f>Private_2!M8*'BTU Conversion Factor'!$F$4</f>
        <v>0</v>
      </c>
      <c r="N8" s="137">
        <f>Private_2!N8*'BTU Conversion Factor'!$F$4</f>
        <v>0</v>
      </c>
      <c r="O8" s="137">
        <f>Private_2!O8*'BTU Conversion Factor'!$F$4</f>
        <v>0</v>
      </c>
      <c r="P8" s="137">
        <f>Private_2!P8*'BTU Conversion Factor'!$F$4</f>
        <v>0</v>
      </c>
      <c r="Q8" s="137">
        <f>Private_2!Q8*'BTU Conversion Factor'!$F$4</f>
        <v>0</v>
      </c>
      <c r="R8" s="137">
        <f>Private_2!R8*'BTU Conversion Factor'!$F$4</f>
        <v>0</v>
      </c>
      <c r="S8" s="137">
        <f>Private_2!S8*'BTU Conversion Factor'!$F$4</f>
        <v>0</v>
      </c>
      <c r="T8" s="137">
        <f>Private_2!T8*'BTU Conversion Factor'!$F$4</f>
        <v>0</v>
      </c>
      <c r="U8" s="137">
        <f>Private_2!U8*'BTU Conversion Factor'!$F$4</f>
        <v>0</v>
      </c>
      <c r="V8" s="137">
        <f>Private_2!V8*'BTU Conversion Factor'!$F$4</f>
        <v>0</v>
      </c>
      <c r="W8" s="137">
        <f>Private_2!W8*'BTU Conversion Factor'!$F$4</f>
        <v>0</v>
      </c>
      <c r="X8" s="137">
        <f>Private_2!X8*'BTU Conversion Factor'!$F$4</f>
        <v>0</v>
      </c>
      <c r="Y8" s="137">
        <f>Private_2!Y8*'BTU Conversion Factor'!$F$4</f>
        <v>0</v>
      </c>
      <c r="Z8" s="137">
        <f>Private_2!Z8*'BTU Conversion Factor'!$F$4</f>
        <v>0</v>
      </c>
      <c r="AA8" s="137">
        <f>Private_2!AA8*'BTU Conversion Factor'!$F$4</f>
        <v>0</v>
      </c>
      <c r="AB8" s="137">
        <f>Private_2!AB8*'BTU Conversion Factor'!$F$4</f>
        <v>0</v>
      </c>
      <c r="AC8" s="137">
        <f>Private_2!AC8*'BTU Conversion Factor'!$F$4</f>
        <v>0</v>
      </c>
      <c r="AD8" s="137">
        <f>Private_2!AD8*'BTU Conversion Factor'!$F$4</f>
        <v>0</v>
      </c>
      <c r="AE8" s="137">
        <f>Private_2!AE8*'BTU Conversion Factor'!$F$4</f>
        <v>0</v>
      </c>
      <c r="AF8" s="137">
        <f>Private_2!AF8*'BTU Conversion Factor'!$F$4</f>
        <v>0</v>
      </c>
      <c r="AG8" s="137">
        <f>Private_2!AG8*'BTU Conversion Factor'!$F$4</f>
        <v>0</v>
      </c>
      <c r="AH8" s="137">
        <f>Private_2!AH8*'BTU Conversion Factor'!$F$4</f>
        <v>0</v>
      </c>
      <c r="AI8" s="137">
        <f>Private_2!AI8*'BTU Conversion Factor'!$F$4</f>
        <v>0</v>
      </c>
      <c r="AJ8" s="137">
        <f>Private_2!AJ8*'BTU Conversion Factor'!$F$4</f>
        <v>0</v>
      </c>
      <c r="AK8" s="137">
        <f>Private_2!AK8*'BTU Conversion Factor'!$F$4</f>
        <v>0</v>
      </c>
      <c r="AL8" s="137">
        <f>Private_2!AL8*'BTU Conversion Factor'!$F$4</f>
        <v>0</v>
      </c>
      <c r="AM8" s="137">
        <f>Private_2!AM8*'BTU Conversion Factor'!$F$4</f>
        <v>0</v>
      </c>
      <c r="AN8" s="137">
        <f>Private_2!AN8*'BTU Conversion Factor'!$F$4</f>
        <v>0</v>
      </c>
      <c r="AO8" s="137">
        <f>Private_2!AO8*'BTU Conversion Factor'!$F$4</f>
        <v>0</v>
      </c>
      <c r="AP8" s="137">
        <f>Private_2!AP8*'BTU Conversion Factor'!$F$4</f>
        <v>0</v>
      </c>
      <c r="AQ8" s="137">
        <f>Private_2!AQ8*'BTU Conversion Factor'!$F$4</f>
        <v>0</v>
      </c>
      <c r="AR8" s="137">
        <f>Private_2!AR8*'BTU Conversion Factor'!$F$4</f>
        <v>0</v>
      </c>
      <c r="AS8" s="137">
        <f>Private_2!AS8*'BTU Conversion Factor'!$F$4</f>
        <v>0</v>
      </c>
      <c r="AT8" s="137">
        <f>Private_2!AT8*'BTU Conversion Factor'!$F$4</f>
        <v>0</v>
      </c>
      <c r="AU8" s="137">
        <f>Private_2!AU8*'BTU Conversion Factor'!$F$4</f>
        <v>0</v>
      </c>
    </row>
    <row r="9" spans="1:47">
      <c r="B9" s="48" t="s">
        <v>956</v>
      </c>
      <c r="C9" s="137">
        <f>Private_2!C9*'BTU Conversion Factor'!$F$4</f>
        <v>0</v>
      </c>
      <c r="D9" s="137">
        <f>Private_2!D9*'BTU Conversion Factor'!$F$4</f>
        <v>0</v>
      </c>
      <c r="E9" s="137">
        <f>Private_2!E9*'BTU Conversion Factor'!$F$4</f>
        <v>0</v>
      </c>
      <c r="F9" s="137">
        <f>Private_2!F9*'BTU Conversion Factor'!$F$4</f>
        <v>0</v>
      </c>
      <c r="G9" s="137">
        <f>Private_2!G9*'BTU Conversion Factor'!$F$4</f>
        <v>0</v>
      </c>
      <c r="H9" s="137">
        <f>Private_2!H9*'BTU Conversion Factor'!$F$4</f>
        <v>0</v>
      </c>
      <c r="I9" s="137">
        <f>Private_2!I9*'BTU Conversion Factor'!$F$4</f>
        <v>0</v>
      </c>
      <c r="J9" s="137">
        <f>Private_2!J9*'BTU Conversion Factor'!$F$4</f>
        <v>0</v>
      </c>
      <c r="K9" s="137">
        <f>Private_2!K9*'BTU Conversion Factor'!$F$4</f>
        <v>0</v>
      </c>
      <c r="L9" s="137">
        <f>Private_2!L9*'BTU Conversion Factor'!$F$4</f>
        <v>0</v>
      </c>
      <c r="M9" s="137">
        <f>Private_2!M9*'BTU Conversion Factor'!$F$4</f>
        <v>0</v>
      </c>
      <c r="N9" s="137">
        <f>Private_2!N9*'BTU Conversion Factor'!$F$4</f>
        <v>0</v>
      </c>
      <c r="O9" s="137">
        <f>Private_2!O9*'BTU Conversion Factor'!$F$4</f>
        <v>0</v>
      </c>
      <c r="P9" s="137">
        <f>Private_2!P9*'BTU Conversion Factor'!$F$4</f>
        <v>0</v>
      </c>
      <c r="Q9" s="137">
        <f>Private_2!Q9*'BTU Conversion Factor'!$F$4</f>
        <v>0</v>
      </c>
      <c r="R9" s="137">
        <f>Private_2!R9*'BTU Conversion Factor'!$F$4</f>
        <v>0</v>
      </c>
      <c r="S9" s="137">
        <f>Private_2!S9*'BTU Conversion Factor'!$F$4</f>
        <v>0</v>
      </c>
      <c r="T9" s="137">
        <f>Private_2!T9*'BTU Conversion Factor'!$F$4</f>
        <v>0</v>
      </c>
      <c r="U9" s="137">
        <f>Private_2!U9*'BTU Conversion Factor'!$F$4</f>
        <v>0</v>
      </c>
      <c r="V9" s="137">
        <f>Private_2!V9*'BTU Conversion Factor'!$F$4</f>
        <v>0</v>
      </c>
      <c r="W9" s="137">
        <f>Private_2!W9*'BTU Conversion Factor'!$F$4</f>
        <v>0</v>
      </c>
      <c r="X9" s="137">
        <f>Private_2!X9*'BTU Conversion Factor'!$F$4</f>
        <v>0</v>
      </c>
      <c r="Y9" s="137">
        <f>Private_2!Y9*'BTU Conversion Factor'!$F$4</f>
        <v>0</v>
      </c>
      <c r="Z9" s="137">
        <f>Private_2!Z9*'BTU Conversion Factor'!$F$4</f>
        <v>0</v>
      </c>
      <c r="AA9" s="137">
        <f>Private_2!AA9*'BTU Conversion Factor'!$F$4</f>
        <v>0</v>
      </c>
      <c r="AB9" s="137">
        <f>Private_2!AB9*'BTU Conversion Factor'!$F$4</f>
        <v>0</v>
      </c>
      <c r="AC9" s="137">
        <f>Private_2!AC9*'BTU Conversion Factor'!$F$4</f>
        <v>0</v>
      </c>
      <c r="AD9" s="137">
        <f>Private_2!AD9*'BTU Conversion Factor'!$F$4</f>
        <v>0</v>
      </c>
      <c r="AE9" s="137">
        <f>Private_2!AE9*'BTU Conversion Factor'!$F$4</f>
        <v>0</v>
      </c>
      <c r="AF9" s="137">
        <f>Private_2!AF9*'BTU Conversion Factor'!$F$4</f>
        <v>0</v>
      </c>
      <c r="AG9" s="137">
        <f>Private_2!AG9*'BTU Conversion Factor'!$F$4</f>
        <v>0</v>
      </c>
      <c r="AH9" s="137">
        <f>Private_2!AH9*'BTU Conversion Factor'!$F$4</f>
        <v>0</v>
      </c>
      <c r="AI9" s="137">
        <f>Private_2!AI9*'BTU Conversion Factor'!$F$4</f>
        <v>0</v>
      </c>
      <c r="AJ9" s="137">
        <f>Private_2!AJ9*'BTU Conversion Factor'!$F$4</f>
        <v>0</v>
      </c>
      <c r="AK9" s="137">
        <f>Private_2!AK9*'BTU Conversion Factor'!$F$4</f>
        <v>0</v>
      </c>
      <c r="AL9" s="137">
        <f>Private_2!AL9*'BTU Conversion Factor'!$F$4</f>
        <v>0</v>
      </c>
      <c r="AM9" s="137">
        <f>Private_2!AM9*'BTU Conversion Factor'!$F$4</f>
        <v>0</v>
      </c>
      <c r="AN9" s="137">
        <f>Private_2!AN9*'BTU Conversion Factor'!$F$4</f>
        <v>0</v>
      </c>
      <c r="AO9" s="137">
        <f>Private_2!AO9*'BTU Conversion Factor'!$F$4</f>
        <v>0</v>
      </c>
      <c r="AP9" s="137">
        <f>Private_2!AP9*'BTU Conversion Factor'!$F$4</f>
        <v>0</v>
      </c>
      <c r="AQ9" s="137">
        <f>Private_2!AQ9*'BTU Conversion Factor'!$F$4</f>
        <v>0</v>
      </c>
      <c r="AR9" s="137">
        <f>Private_2!AR9*'BTU Conversion Factor'!$F$4</f>
        <v>0</v>
      </c>
      <c r="AS9" s="137">
        <f>Private_2!AS9*'BTU Conversion Factor'!$F$4</f>
        <v>0</v>
      </c>
      <c r="AT9" s="137">
        <f>Private_2!AT9*'BTU Conversion Factor'!$F$4</f>
        <v>0</v>
      </c>
      <c r="AU9" s="137">
        <f>Private_2!AU9*'BTU Conversion Factor'!$F$4</f>
        <v>0</v>
      </c>
    </row>
    <row r="10" spans="1:47">
      <c r="B10" s="48" t="s">
        <v>957</v>
      </c>
      <c r="C10" s="137">
        <f>Private_2!C10*'BTU Conversion Factor'!$F$4</f>
        <v>0</v>
      </c>
      <c r="D10" s="137">
        <f>Private_2!D10*'BTU Conversion Factor'!$F$4</f>
        <v>0</v>
      </c>
      <c r="E10" s="137">
        <f>Private_2!E10*'BTU Conversion Factor'!$F$4</f>
        <v>0</v>
      </c>
      <c r="F10" s="137">
        <f>Private_2!F10*'BTU Conversion Factor'!$F$4</f>
        <v>0</v>
      </c>
      <c r="G10" s="137">
        <f>Private_2!G10*'BTU Conversion Factor'!$F$4</f>
        <v>0</v>
      </c>
      <c r="H10" s="137">
        <f>Private_2!H10*'BTU Conversion Factor'!$F$4</f>
        <v>0</v>
      </c>
      <c r="I10" s="137">
        <f>Private_2!I10*'BTU Conversion Factor'!$F$4</f>
        <v>0</v>
      </c>
      <c r="J10" s="137">
        <f>Private_2!J10*'BTU Conversion Factor'!$F$4</f>
        <v>0</v>
      </c>
      <c r="K10" s="137">
        <f>Private_2!K10*'BTU Conversion Factor'!$F$4</f>
        <v>0</v>
      </c>
      <c r="L10" s="137">
        <f>Private_2!L10*'BTU Conversion Factor'!$F$4</f>
        <v>0</v>
      </c>
      <c r="M10" s="137">
        <f>Private_2!M10*'BTU Conversion Factor'!$F$4</f>
        <v>0</v>
      </c>
      <c r="N10" s="137">
        <f>Private_2!N10*'BTU Conversion Factor'!$F$4</f>
        <v>0</v>
      </c>
      <c r="O10" s="137">
        <f>Private_2!O10*'BTU Conversion Factor'!$F$4</f>
        <v>0</v>
      </c>
      <c r="P10" s="137">
        <f>Private_2!P10*'BTU Conversion Factor'!$F$4</f>
        <v>0</v>
      </c>
      <c r="Q10" s="137">
        <f>Private_2!Q10*'BTU Conversion Factor'!$F$4</f>
        <v>0</v>
      </c>
      <c r="R10" s="137">
        <f>Private_2!R10*'BTU Conversion Factor'!$F$4</f>
        <v>0</v>
      </c>
      <c r="S10" s="137">
        <f>Private_2!S10*'BTU Conversion Factor'!$F$4</f>
        <v>0</v>
      </c>
      <c r="T10" s="137">
        <f>Private_2!T10*'BTU Conversion Factor'!$F$4</f>
        <v>0</v>
      </c>
      <c r="U10" s="137">
        <f>Private_2!U10*'BTU Conversion Factor'!$F$4</f>
        <v>0</v>
      </c>
      <c r="V10" s="137">
        <f>Private_2!V10*'BTU Conversion Factor'!$F$4</f>
        <v>0</v>
      </c>
      <c r="W10" s="137">
        <f>Private_2!W10*'BTU Conversion Factor'!$F$4</f>
        <v>0</v>
      </c>
      <c r="X10" s="137">
        <f>Private_2!X10*'BTU Conversion Factor'!$F$4</f>
        <v>0</v>
      </c>
      <c r="Y10" s="137">
        <f>Private_2!Y10*'BTU Conversion Factor'!$F$4</f>
        <v>0</v>
      </c>
      <c r="Z10" s="137">
        <f>Private_2!Z10*'BTU Conversion Factor'!$F$4</f>
        <v>0</v>
      </c>
      <c r="AA10" s="137">
        <f>Private_2!AA10*'BTU Conversion Factor'!$F$4</f>
        <v>0</v>
      </c>
      <c r="AB10" s="137">
        <f>Private_2!AB10*'BTU Conversion Factor'!$F$4</f>
        <v>0</v>
      </c>
      <c r="AC10" s="137">
        <f>Private_2!AC10*'BTU Conversion Factor'!$F$4</f>
        <v>0</v>
      </c>
      <c r="AD10" s="137">
        <f>Private_2!AD10*'BTU Conversion Factor'!$F$4</f>
        <v>0</v>
      </c>
      <c r="AE10" s="137">
        <f>Private_2!AE10*'BTU Conversion Factor'!$F$4</f>
        <v>0</v>
      </c>
      <c r="AF10" s="137">
        <f>Private_2!AF10*'BTU Conversion Factor'!$F$4</f>
        <v>0</v>
      </c>
      <c r="AG10" s="137">
        <f>Private_2!AG10*'BTU Conversion Factor'!$F$4</f>
        <v>0</v>
      </c>
      <c r="AH10" s="137">
        <f>Private_2!AH10*'BTU Conversion Factor'!$F$4</f>
        <v>0</v>
      </c>
      <c r="AI10" s="137">
        <f>Private_2!AI10*'BTU Conversion Factor'!$F$4</f>
        <v>0</v>
      </c>
      <c r="AJ10" s="137">
        <f>Private_2!AJ10*'BTU Conversion Factor'!$F$4</f>
        <v>0</v>
      </c>
      <c r="AK10" s="137">
        <f>Private_2!AK10*'BTU Conversion Factor'!$F$4</f>
        <v>0</v>
      </c>
      <c r="AL10" s="137">
        <f>Private_2!AL10*'BTU Conversion Factor'!$F$4</f>
        <v>0</v>
      </c>
      <c r="AM10" s="137">
        <f>Private_2!AM10*'BTU Conversion Factor'!$F$4</f>
        <v>0</v>
      </c>
      <c r="AN10" s="137">
        <f>Private_2!AN10*'BTU Conversion Factor'!$F$4</f>
        <v>0</v>
      </c>
      <c r="AO10" s="137">
        <f>Private_2!AO10*'BTU Conversion Factor'!$F$4</f>
        <v>0</v>
      </c>
      <c r="AP10" s="137">
        <f>Private_2!AP10*'BTU Conversion Factor'!$F$4</f>
        <v>0</v>
      </c>
      <c r="AQ10" s="137">
        <f>Private_2!AQ10*'BTU Conversion Factor'!$F$4</f>
        <v>0</v>
      </c>
      <c r="AR10" s="137">
        <f>Private_2!AR10*'BTU Conversion Factor'!$F$4</f>
        <v>0</v>
      </c>
      <c r="AS10" s="137">
        <f>Private_2!AS10*'BTU Conversion Factor'!$F$4</f>
        <v>0</v>
      </c>
      <c r="AT10" s="137">
        <f>Private_2!AT10*'BTU Conversion Factor'!$F$4</f>
        <v>0</v>
      </c>
      <c r="AU10" s="137">
        <f>Private_2!AU10*'BTU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Private_2!C14*'BTU Conversion Factor'!$F$4</f>
        <v>5571590413000.4443</v>
      </c>
      <c r="D14" s="137">
        <f>Private_2!D14*'BTU Conversion Factor'!$F$4</f>
        <v>5632269823164.5439</v>
      </c>
      <c r="E14" s="137">
        <f>Private_2!E14*'BTU Conversion Factor'!$F$4</f>
        <v>5609203928179.6963</v>
      </c>
      <c r="F14" s="137">
        <f>Private_2!F14*'BTU Conversion Factor'!$F$4</f>
        <v>6150796540812.54</v>
      </c>
      <c r="G14" s="137">
        <f>Private_2!G14*'BTU Conversion Factor'!$F$4</f>
        <v>6250844084114.9795</v>
      </c>
      <c r="H14" s="137">
        <f>Private_2!H14*'BTU Conversion Factor'!$F$4</f>
        <v>6519746836334.25</v>
      </c>
      <c r="I14" s="137">
        <f>Private_2!I14*'BTU Conversion Factor'!$F$4</f>
        <v>6663394671151.041</v>
      </c>
      <c r="J14" s="137">
        <f>Private_2!J14*'BTU Conversion Factor'!$F$4</f>
        <v>6213807825825.4609</v>
      </c>
      <c r="K14" s="137">
        <f>Private_2!K14*'BTU Conversion Factor'!$F$4</f>
        <v>7523646343909.3584</v>
      </c>
      <c r="L14" s="137">
        <f>Private_2!L14*'BTU Conversion Factor'!$F$4</f>
        <v>7266034048896.75</v>
      </c>
      <c r="M14" s="137">
        <f>Private_2!M14*'BTU Conversion Factor'!$F$4</f>
        <v>7543758231798.1807</v>
      </c>
      <c r="N14" s="137">
        <f>Private_2!N14*'BTU Conversion Factor'!$F$4</f>
        <v>7773855600000</v>
      </c>
      <c r="O14" s="137">
        <f>Private_2!O14*'BTU Conversion Factor'!$F$4</f>
        <v>7582399999999.999</v>
      </c>
      <c r="P14" s="137">
        <f>Private_2!P14*'BTU Conversion Factor'!$F$4</f>
        <v>7774803400000</v>
      </c>
      <c r="Q14" s="137">
        <f>Private_2!Q14*'BTU Conversion Factor'!$F$4</f>
        <v>8553826306256.1768</v>
      </c>
      <c r="R14" s="137">
        <f>Private_2!R14*'BTU Conversion Factor'!$F$4</f>
        <v>8608239370478.7168</v>
      </c>
      <c r="S14" s="137">
        <f>Private_2!S14*'BTU Conversion Factor'!$F$4</f>
        <v>8900074401234.6816</v>
      </c>
      <c r="T14" s="137">
        <f>Private_2!T14*'BTU Conversion Factor'!$F$4</f>
        <v>9061333323663.873</v>
      </c>
      <c r="U14" s="137">
        <f>Private_2!U14*'BTU Conversion Factor'!$F$4</f>
        <v>9132921268080.4082</v>
      </c>
      <c r="V14" s="137">
        <f>Private_2!V14*'BTU Conversion Factor'!$F$4</f>
        <v>9211977503635.584</v>
      </c>
      <c r="W14" s="137">
        <f>Private_2!W14*'BTU Conversion Factor'!$F$4</f>
        <v>9300536657026.4668</v>
      </c>
      <c r="X14" s="137">
        <f>Private_2!X14*'BTU Conversion Factor'!$F$4</f>
        <v>9380990768528.9531</v>
      </c>
      <c r="Y14" s="137">
        <f>Private_2!Y14*'BTU Conversion Factor'!$F$4</f>
        <v>9463556211176.1484</v>
      </c>
      <c r="Z14" s="137">
        <f>Private_2!Z14*'BTU Conversion Factor'!$F$4</f>
        <v>9600111003289.6777</v>
      </c>
      <c r="AA14" s="137">
        <f>Private_2!AA14*'BTU Conversion Factor'!$F$4</f>
        <v>9668402938856.5059</v>
      </c>
      <c r="AB14" s="137">
        <f>Private_2!AB14*'BTU Conversion Factor'!$F$4</f>
        <v>9801843570852.7852</v>
      </c>
      <c r="AC14" s="137">
        <f>Private_2!AC14*'BTU Conversion Factor'!$F$4</f>
        <v>9881775210487.3965</v>
      </c>
      <c r="AD14" s="137">
        <f>Private_2!AD14*'BTU Conversion Factor'!$F$4</f>
        <v>9996998541648.3672</v>
      </c>
      <c r="AE14" s="137">
        <f>Private_2!AE14*'BTU Conversion Factor'!$F$4</f>
        <v>10065823041495.002</v>
      </c>
      <c r="AF14" s="137">
        <f>Private_2!AF14*'BTU Conversion Factor'!$F$4</f>
        <v>10127566287126.113</v>
      </c>
      <c r="AG14" s="137">
        <f>Private_2!AG14*'BTU Conversion Factor'!$F$4</f>
        <v>10109767334736.883</v>
      </c>
      <c r="AH14" s="137">
        <f>Private_2!AH14*'BTU Conversion Factor'!$F$4</f>
        <v>10210554769843.922</v>
      </c>
      <c r="AI14" s="137">
        <f>Private_2!AI14*'BTU Conversion Factor'!$F$4</f>
        <v>10286498009377.801</v>
      </c>
      <c r="AJ14" s="137">
        <f>Private_2!AJ14*'BTU Conversion Factor'!$F$4</f>
        <v>10359530006680.607</v>
      </c>
      <c r="AK14" s="137">
        <f>Private_2!AK14*'BTU Conversion Factor'!$F$4</f>
        <v>10428671256669.703</v>
      </c>
      <c r="AL14" s="137">
        <f>Private_2!AL14*'BTU Conversion Factor'!$F$4</f>
        <v>10489846049647.215</v>
      </c>
      <c r="AM14" s="137">
        <f>Private_2!AM14*'BTU Conversion Factor'!$F$4</f>
        <v>10543492073735.115</v>
      </c>
      <c r="AN14" s="137">
        <f>Private_2!AN14*'BTU Conversion Factor'!$F$4</f>
        <v>10592663659451.936</v>
      </c>
      <c r="AO14" s="137">
        <f>Private_2!AO14*'BTU Conversion Factor'!$F$4</f>
        <v>10635534105295.307</v>
      </c>
      <c r="AP14" s="137">
        <f>Private_2!AP14*'BTU Conversion Factor'!$F$4</f>
        <v>10671347610858.455</v>
      </c>
      <c r="AQ14" s="137">
        <f>Private_2!AQ14*'BTU Conversion Factor'!$F$4</f>
        <v>10706674245582.936</v>
      </c>
      <c r="AR14" s="137">
        <f>Private_2!AR14*'BTU Conversion Factor'!$F$4</f>
        <v>10731993989524.166</v>
      </c>
      <c r="AS14" s="137">
        <f>Private_2!AS14*'BTU Conversion Factor'!$F$4</f>
        <v>10758807353382.574</v>
      </c>
      <c r="AT14" s="137">
        <f>Private_2!AT14*'BTU Conversion Factor'!$F$4</f>
        <v>10780124133250.439</v>
      </c>
      <c r="AU14" s="137">
        <f>Private_2!AU14*'BTU Conversion Factor'!$F$4</f>
        <v>10798300925409.035</v>
      </c>
    </row>
    <row r="15" spans="1:47">
      <c r="B15" s="48" t="s">
        <v>953</v>
      </c>
      <c r="C15" s="137">
        <f>Private_2!C15*'BTU Conversion Factor'!$F$4</f>
        <v>0</v>
      </c>
      <c r="D15" s="137">
        <f>Private_2!D15*'BTU Conversion Factor'!$F$4</f>
        <v>0</v>
      </c>
      <c r="E15" s="137">
        <f>Private_2!E15*'BTU Conversion Factor'!$F$4</f>
        <v>0</v>
      </c>
      <c r="F15" s="137">
        <f>Private_2!F15*'BTU Conversion Factor'!$F$4</f>
        <v>0</v>
      </c>
      <c r="G15" s="137">
        <f>Private_2!G15*'BTU Conversion Factor'!$F$4</f>
        <v>0</v>
      </c>
      <c r="H15" s="137">
        <f>Private_2!H15*'BTU Conversion Factor'!$F$4</f>
        <v>0</v>
      </c>
      <c r="I15" s="137">
        <f>Private_2!I15*'BTU Conversion Factor'!$F$4</f>
        <v>0</v>
      </c>
      <c r="J15" s="137">
        <f>Private_2!J15*'BTU Conversion Factor'!$F$4</f>
        <v>0</v>
      </c>
      <c r="K15" s="137">
        <f>Private_2!K15*'BTU Conversion Factor'!$F$4</f>
        <v>0</v>
      </c>
      <c r="L15" s="137">
        <f>Private_2!L15*'BTU Conversion Factor'!$F$4</f>
        <v>0</v>
      </c>
      <c r="M15" s="137">
        <f>Private_2!M15*'BTU Conversion Factor'!$F$4</f>
        <v>0</v>
      </c>
      <c r="N15" s="137">
        <f>Private_2!N15*'BTU Conversion Factor'!$F$4</f>
        <v>0</v>
      </c>
      <c r="O15" s="137">
        <f>Private_2!O15*'BTU Conversion Factor'!$F$4</f>
        <v>0</v>
      </c>
      <c r="P15" s="137">
        <f>Private_2!P15*'BTU Conversion Factor'!$F$4</f>
        <v>0</v>
      </c>
      <c r="Q15" s="137">
        <f>Private_2!Q15*'BTU Conversion Factor'!$F$4</f>
        <v>0</v>
      </c>
      <c r="R15" s="137">
        <f>Private_2!R15*'BTU Conversion Factor'!$F$4</f>
        <v>0</v>
      </c>
      <c r="S15" s="137">
        <f>Private_2!S15*'BTU Conversion Factor'!$F$4</f>
        <v>0</v>
      </c>
      <c r="T15" s="137">
        <f>Private_2!T15*'BTU Conversion Factor'!$F$4</f>
        <v>0</v>
      </c>
      <c r="U15" s="137">
        <f>Private_2!U15*'BTU Conversion Factor'!$F$4</f>
        <v>0</v>
      </c>
      <c r="V15" s="137">
        <f>Private_2!V15*'BTU Conversion Factor'!$F$4</f>
        <v>0</v>
      </c>
      <c r="W15" s="137">
        <f>Private_2!W15*'BTU Conversion Factor'!$F$4</f>
        <v>0</v>
      </c>
      <c r="X15" s="137">
        <f>Private_2!X15*'BTU Conversion Factor'!$F$4</f>
        <v>0</v>
      </c>
      <c r="Y15" s="137">
        <f>Private_2!Y15*'BTU Conversion Factor'!$F$4</f>
        <v>0</v>
      </c>
      <c r="Z15" s="137">
        <f>Private_2!Z15*'BTU Conversion Factor'!$F$4</f>
        <v>0</v>
      </c>
      <c r="AA15" s="137">
        <f>Private_2!AA15*'BTU Conversion Factor'!$F$4</f>
        <v>0</v>
      </c>
      <c r="AB15" s="137">
        <f>Private_2!AB15*'BTU Conversion Factor'!$F$4</f>
        <v>0</v>
      </c>
      <c r="AC15" s="137">
        <f>Private_2!AC15*'BTU Conversion Factor'!$F$4</f>
        <v>0</v>
      </c>
      <c r="AD15" s="137">
        <f>Private_2!AD15*'BTU Conversion Factor'!$F$4</f>
        <v>0</v>
      </c>
      <c r="AE15" s="137">
        <f>Private_2!AE15*'BTU Conversion Factor'!$F$4</f>
        <v>0</v>
      </c>
      <c r="AF15" s="137">
        <f>Private_2!AF15*'BTU Conversion Factor'!$F$4</f>
        <v>0</v>
      </c>
      <c r="AG15" s="137">
        <f>Private_2!AG15*'BTU Conversion Factor'!$F$4</f>
        <v>0</v>
      </c>
      <c r="AH15" s="137">
        <f>Private_2!AH15*'BTU Conversion Factor'!$F$4</f>
        <v>0</v>
      </c>
      <c r="AI15" s="137">
        <f>Private_2!AI15*'BTU Conversion Factor'!$F$4</f>
        <v>0</v>
      </c>
      <c r="AJ15" s="137">
        <f>Private_2!AJ15*'BTU Conversion Factor'!$F$4</f>
        <v>0</v>
      </c>
      <c r="AK15" s="137">
        <f>Private_2!AK15*'BTU Conversion Factor'!$F$4</f>
        <v>0</v>
      </c>
      <c r="AL15" s="137">
        <f>Private_2!AL15*'BTU Conversion Factor'!$F$4</f>
        <v>0</v>
      </c>
      <c r="AM15" s="137">
        <f>Private_2!AM15*'BTU Conversion Factor'!$F$4</f>
        <v>0</v>
      </c>
      <c r="AN15" s="137">
        <f>Private_2!AN15*'BTU Conversion Factor'!$F$4</f>
        <v>0</v>
      </c>
      <c r="AO15" s="137">
        <f>Private_2!AO15*'BTU Conversion Factor'!$F$4</f>
        <v>0</v>
      </c>
      <c r="AP15" s="137">
        <f>Private_2!AP15*'BTU Conversion Factor'!$F$4</f>
        <v>0</v>
      </c>
      <c r="AQ15" s="137">
        <f>Private_2!AQ15*'BTU Conversion Factor'!$F$4</f>
        <v>0</v>
      </c>
      <c r="AR15" s="137">
        <f>Private_2!AR15*'BTU Conversion Factor'!$F$4</f>
        <v>0</v>
      </c>
      <c r="AS15" s="137">
        <f>Private_2!AS15*'BTU Conversion Factor'!$F$4</f>
        <v>0</v>
      </c>
      <c r="AT15" s="137">
        <f>Private_2!AT15*'BTU Conversion Factor'!$F$4</f>
        <v>0</v>
      </c>
      <c r="AU15" s="137">
        <f>Private_2!AU15*'BTU Conversion Factor'!$F$4</f>
        <v>0</v>
      </c>
    </row>
    <row r="16" spans="1:47">
      <c r="B16" s="48" t="s">
        <v>954</v>
      </c>
      <c r="C16" s="137">
        <f>Private_2!C16*'BTU Conversion Factor'!$F$4</f>
        <v>0</v>
      </c>
      <c r="D16" s="137">
        <f>Private_2!D16*'BTU Conversion Factor'!$F$4</f>
        <v>0</v>
      </c>
      <c r="E16" s="137">
        <f>Private_2!E16*'BTU Conversion Factor'!$F$4</f>
        <v>0</v>
      </c>
      <c r="F16" s="137">
        <f>Private_2!F16*'BTU Conversion Factor'!$F$4</f>
        <v>0</v>
      </c>
      <c r="G16" s="137">
        <f>Private_2!G16*'BTU Conversion Factor'!$F$4</f>
        <v>0</v>
      </c>
      <c r="H16" s="137">
        <f>Private_2!H16*'BTU Conversion Factor'!$F$4</f>
        <v>0</v>
      </c>
      <c r="I16" s="137">
        <f>Private_2!I16*'BTU Conversion Factor'!$F$4</f>
        <v>0</v>
      </c>
      <c r="J16" s="137">
        <f>Private_2!J16*'BTU Conversion Factor'!$F$4</f>
        <v>0</v>
      </c>
      <c r="K16" s="137">
        <f>Private_2!K16*'BTU Conversion Factor'!$F$4</f>
        <v>0</v>
      </c>
      <c r="L16" s="137">
        <f>Private_2!L16*'BTU Conversion Factor'!$F$4</f>
        <v>0</v>
      </c>
      <c r="M16" s="137">
        <f>Private_2!M16*'BTU Conversion Factor'!$F$4</f>
        <v>0</v>
      </c>
      <c r="N16" s="137">
        <f>Private_2!N16*'BTU Conversion Factor'!$F$4</f>
        <v>0</v>
      </c>
      <c r="O16" s="137">
        <f>Private_2!O16*'BTU Conversion Factor'!$F$4</f>
        <v>0</v>
      </c>
      <c r="P16" s="137">
        <f>Private_2!P16*'BTU Conversion Factor'!$F$4</f>
        <v>0</v>
      </c>
      <c r="Q16" s="137">
        <f>Private_2!Q16*'BTU Conversion Factor'!$F$4</f>
        <v>0</v>
      </c>
      <c r="R16" s="137">
        <f>Private_2!R16*'BTU Conversion Factor'!$F$4</f>
        <v>0</v>
      </c>
      <c r="S16" s="137">
        <f>Private_2!S16*'BTU Conversion Factor'!$F$4</f>
        <v>0</v>
      </c>
      <c r="T16" s="137">
        <f>Private_2!T16*'BTU Conversion Factor'!$F$4</f>
        <v>0</v>
      </c>
      <c r="U16" s="137">
        <f>Private_2!U16*'BTU Conversion Factor'!$F$4</f>
        <v>0</v>
      </c>
      <c r="V16" s="137">
        <f>Private_2!V16*'BTU Conversion Factor'!$F$4</f>
        <v>0</v>
      </c>
      <c r="W16" s="137">
        <f>Private_2!W16*'BTU Conversion Factor'!$F$4</f>
        <v>0</v>
      </c>
      <c r="X16" s="137">
        <f>Private_2!X16*'BTU Conversion Factor'!$F$4</f>
        <v>0</v>
      </c>
      <c r="Y16" s="137">
        <f>Private_2!Y16*'BTU Conversion Factor'!$F$4</f>
        <v>0</v>
      </c>
      <c r="Z16" s="137">
        <f>Private_2!Z16*'BTU Conversion Factor'!$F$4</f>
        <v>0</v>
      </c>
      <c r="AA16" s="137">
        <f>Private_2!AA16*'BTU Conversion Factor'!$F$4</f>
        <v>0</v>
      </c>
      <c r="AB16" s="137">
        <f>Private_2!AB16*'BTU Conversion Factor'!$F$4</f>
        <v>0</v>
      </c>
      <c r="AC16" s="137">
        <f>Private_2!AC16*'BTU Conversion Factor'!$F$4</f>
        <v>0</v>
      </c>
      <c r="AD16" s="137">
        <f>Private_2!AD16*'BTU Conversion Factor'!$F$4</f>
        <v>0</v>
      </c>
      <c r="AE16" s="137">
        <f>Private_2!AE16*'BTU Conversion Factor'!$F$4</f>
        <v>0</v>
      </c>
      <c r="AF16" s="137">
        <f>Private_2!AF16*'BTU Conversion Factor'!$F$4</f>
        <v>0</v>
      </c>
      <c r="AG16" s="137">
        <f>Private_2!AG16*'BTU Conversion Factor'!$F$4</f>
        <v>0</v>
      </c>
      <c r="AH16" s="137">
        <f>Private_2!AH16*'BTU Conversion Factor'!$F$4</f>
        <v>0</v>
      </c>
      <c r="AI16" s="137">
        <f>Private_2!AI16*'BTU Conversion Factor'!$F$4</f>
        <v>0</v>
      </c>
      <c r="AJ16" s="137">
        <f>Private_2!AJ16*'BTU Conversion Factor'!$F$4</f>
        <v>0</v>
      </c>
      <c r="AK16" s="137">
        <f>Private_2!AK16*'BTU Conversion Factor'!$F$4</f>
        <v>0</v>
      </c>
      <c r="AL16" s="137">
        <f>Private_2!AL16*'BTU Conversion Factor'!$F$4</f>
        <v>0</v>
      </c>
      <c r="AM16" s="137">
        <f>Private_2!AM16*'BTU Conversion Factor'!$F$4</f>
        <v>0</v>
      </c>
      <c r="AN16" s="137">
        <f>Private_2!AN16*'BTU Conversion Factor'!$F$4</f>
        <v>0</v>
      </c>
      <c r="AO16" s="137">
        <f>Private_2!AO16*'BTU Conversion Factor'!$F$4</f>
        <v>0</v>
      </c>
      <c r="AP16" s="137">
        <f>Private_2!AP16*'BTU Conversion Factor'!$F$4</f>
        <v>0</v>
      </c>
      <c r="AQ16" s="137">
        <f>Private_2!AQ16*'BTU Conversion Factor'!$F$4</f>
        <v>0</v>
      </c>
      <c r="AR16" s="137">
        <f>Private_2!AR16*'BTU Conversion Factor'!$F$4</f>
        <v>0</v>
      </c>
      <c r="AS16" s="137">
        <f>Private_2!AS16*'BTU Conversion Factor'!$F$4</f>
        <v>0</v>
      </c>
      <c r="AT16" s="137">
        <f>Private_2!AT16*'BTU Conversion Factor'!$F$4</f>
        <v>0</v>
      </c>
      <c r="AU16" s="137">
        <f>Private_2!AU16*'BTU Conversion Factor'!$F$4</f>
        <v>0</v>
      </c>
    </row>
    <row r="17" spans="1:47">
      <c r="B17" s="48" t="s">
        <v>955</v>
      </c>
      <c r="C17" s="137">
        <f>Private_2!C17*'BTU Conversion Factor'!$F$4</f>
        <v>0</v>
      </c>
      <c r="D17" s="137">
        <f>Private_2!D17*'BTU Conversion Factor'!$F$4</f>
        <v>0</v>
      </c>
      <c r="E17" s="137">
        <f>Private_2!E17*'BTU Conversion Factor'!$F$4</f>
        <v>0</v>
      </c>
      <c r="F17" s="137">
        <f>Private_2!F17*'BTU Conversion Factor'!$F$4</f>
        <v>0</v>
      </c>
      <c r="G17" s="137">
        <f>Private_2!G17*'BTU Conversion Factor'!$F$4</f>
        <v>0</v>
      </c>
      <c r="H17" s="137">
        <f>Private_2!H17*'BTU Conversion Factor'!$F$4</f>
        <v>0</v>
      </c>
      <c r="I17" s="137">
        <f>Private_2!I17*'BTU Conversion Factor'!$F$4</f>
        <v>0</v>
      </c>
      <c r="J17" s="137">
        <f>Private_2!J17*'BTU Conversion Factor'!$F$4</f>
        <v>0</v>
      </c>
      <c r="K17" s="137">
        <f>Private_2!K17*'BTU Conversion Factor'!$F$4</f>
        <v>0</v>
      </c>
      <c r="L17" s="137">
        <f>Private_2!L17*'BTU Conversion Factor'!$F$4</f>
        <v>0</v>
      </c>
      <c r="M17" s="137">
        <f>Private_2!M17*'BTU Conversion Factor'!$F$4</f>
        <v>0</v>
      </c>
      <c r="N17" s="137">
        <f>Private_2!N17*'BTU Conversion Factor'!$F$4</f>
        <v>0</v>
      </c>
      <c r="O17" s="137">
        <f>Private_2!O17*'BTU Conversion Factor'!$F$4</f>
        <v>0</v>
      </c>
      <c r="P17" s="137">
        <f>Private_2!P17*'BTU Conversion Factor'!$F$4</f>
        <v>0</v>
      </c>
      <c r="Q17" s="137">
        <f>Private_2!Q17*'BTU Conversion Factor'!$F$4</f>
        <v>0</v>
      </c>
      <c r="R17" s="137">
        <f>Private_2!R17*'BTU Conversion Factor'!$F$4</f>
        <v>0</v>
      </c>
      <c r="S17" s="137">
        <f>Private_2!S17*'BTU Conversion Factor'!$F$4</f>
        <v>0</v>
      </c>
      <c r="T17" s="137">
        <f>Private_2!T17*'BTU Conversion Factor'!$F$4</f>
        <v>0</v>
      </c>
      <c r="U17" s="137">
        <f>Private_2!U17*'BTU Conversion Factor'!$F$4</f>
        <v>0</v>
      </c>
      <c r="V17" s="137">
        <f>Private_2!V17*'BTU Conversion Factor'!$F$4</f>
        <v>0</v>
      </c>
      <c r="W17" s="137">
        <f>Private_2!W17*'BTU Conversion Factor'!$F$4</f>
        <v>0</v>
      </c>
      <c r="X17" s="137">
        <f>Private_2!X17*'BTU Conversion Factor'!$F$4</f>
        <v>0</v>
      </c>
      <c r="Y17" s="137">
        <f>Private_2!Y17*'BTU Conversion Factor'!$F$4</f>
        <v>0</v>
      </c>
      <c r="Z17" s="137">
        <f>Private_2!Z17*'BTU Conversion Factor'!$F$4</f>
        <v>0</v>
      </c>
      <c r="AA17" s="137">
        <f>Private_2!AA17*'BTU Conversion Factor'!$F$4</f>
        <v>0</v>
      </c>
      <c r="AB17" s="137">
        <f>Private_2!AB17*'BTU Conversion Factor'!$F$4</f>
        <v>0</v>
      </c>
      <c r="AC17" s="137">
        <f>Private_2!AC17*'BTU Conversion Factor'!$F$4</f>
        <v>0</v>
      </c>
      <c r="AD17" s="137">
        <f>Private_2!AD17*'BTU Conversion Factor'!$F$4</f>
        <v>0</v>
      </c>
      <c r="AE17" s="137">
        <f>Private_2!AE17*'BTU Conversion Factor'!$F$4</f>
        <v>0</v>
      </c>
      <c r="AF17" s="137">
        <f>Private_2!AF17*'BTU Conversion Factor'!$F$4</f>
        <v>0</v>
      </c>
      <c r="AG17" s="137">
        <f>Private_2!AG17*'BTU Conversion Factor'!$F$4</f>
        <v>0</v>
      </c>
      <c r="AH17" s="137">
        <f>Private_2!AH17*'BTU Conversion Factor'!$F$4</f>
        <v>0</v>
      </c>
      <c r="AI17" s="137">
        <f>Private_2!AI17*'BTU Conversion Factor'!$F$4</f>
        <v>0</v>
      </c>
      <c r="AJ17" s="137">
        <f>Private_2!AJ17*'BTU Conversion Factor'!$F$4</f>
        <v>0</v>
      </c>
      <c r="AK17" s="137">
        <f>Private_2!AK17*'BTU Conversion Factor'!$F$4</f>
        <v>0</v>
      </c>
      <c r="AL17" s="137">
        <f>Private_2!AL17*'BTU Conversion Factor'!$F$4</f>
        <v>0</v>
      </c>
      <c r="AM17" s="137">
        <f>Private_2!AM17*'BTU Conversion Factor'!$F$4</f>
        <v>0</v>
      </c>
      <c r="AN17" s="137">
        <f>Private_2!AN17*'BTU Conversion Factor'!$F$4</f>
        <v>0</v>
      </c>
      <c r="AO17" s="137">
        <f>Private_2!AO17*'BTU Conversion Factor'!$F$4</f>
        <v>0</v>
      </c>
      <c r="AP17" s="137">
        <f>Private_2!AP17*'BTU Conversion Factor'!$F$4</f>
        <v>0</v>
      </c>
      <c r="AQ17" s="137">
        <f>Private_2!AQ17*'BTU Conversion Factor'!$F$4</f>
        <v>0</v>
      </c>
      <c r="AR17" s="137">
        <f>Private_2!AR17*'BTU Conversion Factor'!$F$4</f>
        <v>0</v>
      </c>
      <c r="AS17" s="137">
        <f>Private_2!AS17*'BTU Conversion Factor'!$F$4</f>
        <v>0</v>
      </c>
      <c r="AT17" s="137">
        <f>Private_2!AT17*'BTU Conversion Factor'!$F$4</f>
        <v>0</v>
      </c>
      <c r="AU17" s="137">
        <f>Private_2!AU17*'BTU Conversion Factor'!$F$4</f>
        <v>0</v>
      </c>
    </row>
    <row r="18" spans="1:47">
      <c r="B18" s="48" t="s">
        <v>956</v>
      </c>
      <c r="C18" s="137">
        <f>Private_2!C18*'BTU Conversion Factor'!$F$4</f>
        <v>0</v>
      </c>
      <c r="D18" s="137">
        <f>Private_2!D18*'BTU Conversion Factor'!$F$4</f>
        <v>0</v>
      </c>
      <c r="E18" s="137">
        <f>Private_2!E18*'BTU Conversion Factor'!$F$4</f>
        <v>0</v>
      </c>
      <c r="F18" s="137">
        <f>Private_2!F18*'BTU Conversion Factor'!$F$4</f>
        <v>0</v>
      </c>
      <c r="G18" s="137">
        <f>Private_2!G18*'BTU Conversion Factor'!$F$4</f>
        <v>0</v>
      </c>
      <c r="H18" s="137">
        <f>Private_2!H18*'BTU Conversion Factor'!$F$4</f>
        <v>0</v>
      </c>
      <c r="I18" s="137">
        <f>Private_2!I18*'BTU Conversion Factor'!$F$4</f>
        <v>0</v>
      </c>
      <c r="J18" s="137">
        <f>Private_2!J18*'BTU Conversion Factor'!$F$4</f>
        <v>0</v>
      </c>
      <c r="K18" s="137">
        <f>Private_2!K18*'BTU Conversion Factor'!$F$4</f>
        <v>0</v>
      </c>
      <c r="L18" s="137">
        <f>Private_2!L18*'BTU Conversion Factor'!$F$4</f>
        <v>0</v>
      </c>
      <c r="M18" s="137">
        <f>Private_2!M18*'BTU Conversion Factor'!$F$4</f>
        <v>0</v>
      </c>
      <c r="N18" s="137">
        <f>Private_2!N18*'BTU Conversion Factor'!$F$4</f>
        <v>0</v>
      </c>
      <c r="O18" s="137">
        <f>Private_2!O18*'BTU Conversion Factor'!$F$4</f>
        <v>0</v>
      </c>
      <c r="P18" s="137">
        <f>Private_2!P18*'BTU Conversion Factor'!$F$4</f>
        <v>0</v>
      </c>
      <c r="Q18" s="137">
        <f>Private_2!Q18*'BTU Conversion Factor'!$F$4</f>
        <v>0</v>
      </c>
      <c r="R18" s="137">
        <f>Private_2!R18*'BTU Conversion Factor'!$F$4</f>
        <v>0</v>
      </c>
      <c r="S18" s="137">
        <f>Private_2!S18*'BTU Conversion Factor'!$F$4</f>
        <v>0</v>
      </c>
      <c r="T18" s="137">
        <f>Private_2!T18*'BTU Conversion Factor'!$F$4</f>
        <v>0</v>
      </c>
      <c r="U18" s="137">
        <f>Private_2!U18*'BTU Conversion Factor'!$F$4</f>
        <v>0</v>
      </c>
      <c r="V18" s="137">
        <f>Private_2!V18*'BTU Conversion Factor'!$F$4</f>
        <v>0</v>
      </c>
      <c r="W18" s="137">
        <f>Private_2!W18*'BTU Conversion Factor'!$F$4</f>
        <v>0</v>
      </c>
      <c r="X18" s="137">
        <f>Private_2!X18*'BTU Conversion Factor'!$F$4</f>
        <v>0</v>
      </c>
      <c r="Y18" s="137">
        <f>Private_2!Y18*'BTU Conversion Factor'!$F$4</f>
        <v>0</v>
      </c>
      <c r="Z18" s="137">
        <f>Private_2!Z18*'BTU Conversion Factor'!$F$4</f>
        <v>0</v>
      </c>
      <c r="AA18" s="137">
        <f>Private_2!AA18*'BTU Conversion Factor'!$F$4</f>
        <v>0</v>
      </c>
      <c r="AB18" s="137">
        <f>Private_2!AB18*'BTU Conversion Factor'!$F$4</f>
        <v>0</v>
      </c>
      <c r="AC18" s="137">
        <f>Private_2!AC18*'BTU Conversion Factor'!$F$4</f>
        <v>0</v>
      </c>
      <c r="AD18" s="137">
        <f>Private_2!AD18*'BTU Conversion Factor'!$F$4</f>
        <v>0</v>
      </c>
      <c r="AE18" s="137">
        <f>Private_2!AE18*'BTU Conversion Factor'!$F$4</f>
        <v>0</v>
      </c>
      <c r="AF18" s="137">
        <f>Private_2!AF18*'BTU Conversion Factor'!$F$4</f>
        <v>0</v>
      </c>
      <c r="AG18" s="137">
        <f>Private_2!AG18*'BTU Conversion Factor'!$F$4</f>
        <v>0</v>
      </c>
      <c r="AH18" s="137">
        <f>Private_2!AH18*'BTU Conversion Factor'!$F$4</f>
        <v>0</v>
      </c>
      <c r="AI18" s="137">
        <f>Private_2!AI18*'BTU Conversion Factor'!$F$4</f>
        <v>0</v>
      </c>
      <c r="AJ18" s="137">
        <f>Private_2!AJ18*'BTU Conversion Factor'!$F$4</f>
        <v>0</v>
      </c>
      <c r="AK18" s="137">
        <f>Private_2!AK18*'BTU Conversion Factor'!$F$4</f>
        <v>0</v>
      </c>
      <c r="AL18" s="137">
        <f>Private_2!AL18*'BTU Conversion Factor'!$F$4</f>
        <v>0</v>
      </c>
      <c r="AM18" s="137">
        <f>Private_2!AM18*'BTU Conversion Factor'!$F$4</f>
        <v>0</v>
      </c>
      <c r="AN18" s="137">
        <f>Private_2!AN18*'BTU Conversion Factor'!$F$4</f>
        <v>0</v>
      </c>
      <c r="AO18" s="137">
        <f>Private_2!AO18*'BTU Conversion Factor'!$F$4</f>
        <v>0</v>
      </c>
      <c r="AP18" s="137">
        <f>Private_2!AP18*'BTU Conversion Factor'!$F$4</f>
        <v>0</v>
      </c>
      <c r="AQ18" s="137">
        <f>Private_2!AQ18*'BTU Conversion Factor'!$F$4</f>
        <v>0</v>
      </c>
      <c r="AR18" s="137">
        <f>Private_2!AR18*'BTU Conversion Factor'!$F$4</f>
        <v>0</v>
      </c>
      <c r="AS18" s="137">
        <f>Private_2!AS18*'BTU Conversion Factor'!$F$4</f>
        <v>0</v>
      </c>
      <c r="AT18" s="137">
        <f>Private_2!AT18*'BTU Conversion Factor'!$F$4</f>
        <v>0</v>
      </c>
      <c r="AU18" s="137">
        <f>Private_2!AU18*'BTU Conversion Factor'!$F$4</f>
        <v>0</v>
      </c>
    </row>
    <row r="19" spans="1:47">
      <c r="B19" s="48" t="s">
        <v>957</v>
      </c>
      <c r="C19" s="137">
        <f>Private_2!C19*'BTU Conversion Factor'!$F$4</f>
        <v>0</v>
      </c>
      <c r="D19" s="137">
        <f>Private_2!D19*'BTU Conversion Factor'!$F$4</f>
        <v>0</v>
      </c>
      <c r="E19" s="137">
        <f>Private_2!E19*'BTU Conversion Factor'!$F$4</f>
        <v>0</v>
      </c>
      <c r="F19" s="137">
        <f>Private_2!F19*'BTU Conversion Factor'!$F$4</f>
        <v>0</v>
      </c>
      <c r="G19" s="137">
        <f>Private_2!G19*'BTU Conversion Factor'!$F$4</f>
        <v>0</v>
      </c>
      <c r="H19" s="137">
        <f>Private_2!H19*'BTU Conversion Factor'!$F$4</f>
        <v>0</v>
      </c>
      <c r="I19" s="137">
        <f>Private_2!I19*'BTU Conversion Factor'!$F$4</f>
        <v>0</v>
      </c>
      <c r="J19" s="137">
        <f>Private_2!J19*'BTU Conversion Factor'!$F$4</f>
        <v>0</v>
      </c>
      <c r="K19" s="137">
        <f>Private_2!K19*'BTU Conversion Factor'!$F$4</f>
        <v>0</v>
      </c>
      <c r="L19" s="137">
        <f>Private_2!L19*'BTU Conversion Factor'!$F$4</f>
        <v>0</v>
      </c>
      <c r="M19" s="137">
        <f>Private_2!M19*'BTU Conversion Factor'!$F$4</f>
        <v>0</v>
      </c>
      <c r="N19" s="137">
        <f>Private_2!N19*'BTU Conversion Factor'!$F$4</f>
        <v>0</v>
      </c>
      <c r="O19" s="137">
        <f>Private_2!O19*'BTU Conversion Factor'!$F$4</f>
        <v>0</v>
      </c>
      <c r="P19" s="137">
        <f>Private_2!P19*'BTU Conversion Factor'!$F$4</f>
        <v>0</v>
      </c>
      <c r="Q19" s="137">
        <f>Private_2!Q19*'BTU Conversion Factor'!$F$4</f>
        <v>0</v>
      </c>
      <c r="R19" s="137">
        <f>Private_2!R19*'BTU Conversion Factor'!$F$4</f>
        <v>0</v>
      </c>
      <c r="S19" s="137">
        <f>Private_2!S19*'BTU Conversion Factor'!$F$4</f>
        <v>0</v>
      </c>
      <c r="T19" s="137">
        <f>Private_2!T19*'BTU Conversion Factor'!$F$4</f>
        <v>0</v>
      </c>
      <c r="U19" s="137">
        <f>Private_2!U19*'BTU Conversion Factor'!$F$4</f>
        <v>0</v>
      </c>
      <c r="V19" s="137">
        <f>Private_2!V19*'BTU Conversion Factor'!$F$4</f>
        <v>0</v>
      </c>
      <c r="W19" s="137">
        <f>Private_2!W19*'BTU Conversion Factor'!$F$4</f>
        <v>0</v>
      </c>
      <c r="X19" s="137">
        <f>Private_2!X19*'BTU Conversion Factor'!$F$4</f>
        <v>0</v>
      </c>
      <c r="Y19" s="137">
        <f>Private_2!Y19*'BTU Conversion Factor'!$F$4</f>
        <v>0</v>
      </c>
      <c r="Z19" s="137">
        <f>Private_2!Z19*'BTU Conversion Factor'!$F$4</f>
        <v>0</v>
      </c>
      <c r="AA19" s="137">
        <f>Private_2!AA19*'BTU Conversion Factor'!$F$4</f>
        <v>0</v>
      </c>
      <c r="AB19" s="137">
        <f>Private_2!AB19*'BTU Conversion Factor'!$F$4</f>
        <v>0</v>
      </c>
      <c r="AC19" s="137">
        <f>Private_2!AC19*'BTU Conversion Factor'!$F$4</f>
        <v>0</v>
      </c>
      <c r="AD19" s="137">
        <f>Private_2!AD19*'BTU Conversion Factor'!$F$4</f>
        <v>0</v>
      </c>
      <c r="AE19" s="137">
        <f>Private_2!AE19*'BTU Conversion Factor'!$F$4</f>
        <v>0</v>
      </c>
      <c r="AF19" s="137">
        <f>Private_2!AF19*'BTU Conversion Factor'!$F$4</f>
        <v>0</v>
      </c>
      <c r="AG19" s="137">
        <f>Private_2!AG19*'BTU Conversion Factor'!$F$4</f>
        <v>0</v>
      </c>
      <c r="AH19" s="137">
        <f>Private_2!AH19*'BTU Conversion Factor'!$F$4</f>
        <v>0</v>
      </c>
      <c r="AI19" s="137">
        <f>Private_2!AI19*'BTU Conversion Factor'!$F$4</f>
        <v>0</v>
      </c>
      <c r="AJ19" s="137">
        <f>Private_2!AJ19*'BTU Conversion Factor'!$F$4</f>
        <v>0</v>
      </c>
      <c r="AK19" s="137">
        <f>Private_2!AK19*'BTU Conversion Factor'!$F$4</f>
        <v>0</v>
      </c>
      <c r="AL19" s="137">
        <f>Private_2!AL19*'BTU Conversion Factor'!$F$4</f>
        <v>0</v>
      </c>
      <c r="AM19" s="137">
        <f>Private_2!AM19*'BTU Conversion Factor'!$F$4</f>
        <v>0</v>
      </c>
      <c r="AN19" s="137">
        <f>Private_2!AN19*'BTU Conversion Factor'!$F$4</f>
        <v>0</v>
      </c>
      <c r="AO19" s="137">
        <f>Private_2!AO19*'BTU Conversion Factor'!$F$4</f>
        <v>0</v>
      </c>
      <c r="AP19" s="137">
        <f>Private_2!AP19*'BTU Conversion Factor'!$F$4</f>
        <v>0</v>
      </c>
      <c r="AQ19" s="137">
        <f>Private_2!AQ19*'BTU Conversion Factor'!$F$4</f>
        <v>0</v>
      </c>
      <c r="AR19" s="137">
        <f>Private_2!AR19*'BTU Conversion Factor'!$F$4</f>
        <v>0</v>
      </c>
      <c r="AS19" s="137">
        <f>Private_2!AS19*'BTU Conversion Factor'!$F$4</f>
        <v>0</v>
      </c>
      <c r="AT19" s="137">
        <f>Private_2!AT19*'BTU Conversion Factor'!$F$4</f>
        <v>0</v>
      </c>
      <c r="AU19" s="137">
        <f>Private_2!AU19*'BTU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f>Private_2!C23*'BTU Conversion Factor'!$F$4</f>
        <v>0</v>
      </c>
      <c r="D23">
        <f>Private_2!D23*'BTU Conversion Factor'!$F$4</f>
        <v>0</v>
      </c>
      <c r="E23">
        <f>Private_2!E23*'BTU Conversion Factor'!$F$4</f>
        <v>0</v>
      </c>
      <c r="F23">
        <f>Private_2!F23*'BTU Conversion Factor'!$F$4</f>
        <v>0</v>
      </c>
      <c r="G23">
        <f>Private_2!G23*'BTU Conversion Factor'!$F$4</f>
        <v>0</v>
      </c>
      <c r="H23">
        <f>Private_2!H23*'BTU Conversion Factor'!$F$4</f>
        <v>0</v>
      </c>
      <c r="I23">
        <f>Private_2!I23*'BTU Conversion Factor'!$F$4</f>
        <v>0</v>
      </c>
      <c r="J23">
        <f>Private_2!J23*'BTU Conversion Factor'!$F$4</f>
        <v>0</v>
      </c>
      <c r="K23">
        <f>Private_2!K23*'BTU Conversion Factor'!$F$4</f>
        <v>0</v>
      </c>
      <c r="L23">
        <f>Private_2!L23*'BTU Conversion Factor'!$F$4</f>
        <v>0</v>
      </c>
      <c r="M23">
        <f>Private_2!M23*'BTU Conversion Factor'!$F$4</f>
        <v>0</v>
      </c>
      <c r="N23">
        <f>Private_2!N23*'BTU Conversion Factor'!$F$4</f>
        <v>0</v>
      </c>
      <c r="O23">
        <f>Private_2!O23*'BTU Conversion Factor'!$F$4</f>
        <v>0</v>
      </c>
      <c r="P23">
        <f>Private_2!P23*'BTU Conversion Factor'!$F$4</f>
        <v>0</v>
      </c>
      <c r="Q23">
        <f>Private_2!Q23*'BTU Conversion Factor'!$F$4</f>
        <v>0</v>
      </c>
      <c r="R23">
        <f>Private_2!R23*'BTU Conversion Factor'!$F$4</f>
        <v>0</v>
      </c>
      <c r="S23">
        <f>Private_2!S23*'BTU Conversion Factor'!$F$4</f>
        <v>0</v>
      </c>
      <c r="T23">
        <f>Private_2!T23*'BTU Conversion Factor'!$F$4</f>
        <v>0</v>
      </c>
      <c r="U23">
        <f>Private_2!U23*'BTU Conversion Factor'!$F$4</f>
        <v>0</v>
      </c>
      <c r="V23">
        <f>Private_2!V23*'BTU Conversion Factor'!$F$4</f>
        <v>0</v>
      </c>
      <c r="W23">
        <f>Private_2!W23*'BTU Conversion Factor'!$F$4</f>
        <v>0</v>
      </c>
      <c r="X23">
        <f>Private_2!X23*'BTU Conversion Factor'!$F$4</f>
        <v>0</v>
      </c>
      <c r="Y23">
        <f>Private_2!Y23*'BTU Conversion Factor'!$F$4</f>
        <v>0</v>
      </c>
      <c r="Z23">
        <f>Private_2!Z23*'BTU Conversion Factor'!$F$4</f>
        <v>0</v>
      </c>
      <c r="AA23">
        <f>Private_2!AA23*'BTU Conversion Factor'!$F$4</f>
        <v>0</v>
      </c>
      <c r="AB23">
        <f>Private_2!AB23*'BTU Conversion Factor'!$F$4</f>
        <v>0</v>
      </c>
      <c r="AC23">
        <f>Private_2!AC23*'BTU Conversion Factor'!$F$4</f>
        <v>0</v>
      </c>
      <c r="AD23">
        <f>Private_2!AD23*'BTU Conversion Factor'!$F$4</f>
        <v>0</v>
      </c>
      <c r="AE23">
        <f>Private_2!AE23*'BTU Conversion Factor'!$F$4</f>
        <v>0</v>
      </c>
      <c r="AF23">
        <f>Private_2!AF23*'BTU Conversion Factor'!$F$4</f>
        <v>0</v>
      </c>
      <c r="AG23">
        <f>Private_2!AG23*'BTU Conversion Factor'!$F$4</f>
        <v>0</v>
      </c>
      <c r="AH23">
        <f>Private_2!AH23*'BTU Conversion Factor'!$F$4</f>
        <v>0</v>
      </c>
      <c r="AI23">
        <f>Private_2!AI23*'BTU Conversion Factor'!$F$4</f>
        <v>0</v>
      </c>
      <c r="AJ23">
        <f>Private_2!AJ23*'BTU Conversion Factor'!$F$4</f>
        <v>0</v>
      </c>
      <c r="AK23">
        <f>Private_2!AK23*'BTU Conversion Factor'!$F$4</f>
        <v>0</v>
      </c>
      <c r="AL23">
        <f>Private_2!AL23*'BTU Conversion Factor'!$F$4</f>
        <v>0</v>
      </c>
      <c r="AM23">
        <f>Private_2!AM23*'BTU Conversion Factor'!$F$4</f>
        <v>0</v>
      </c>
      <c r="AN23">
        <f>Private_2!AN23*'BTU Conversion Factor'!$F$4</f>
        <v>0</v>
      </c>
      <c r="AO23">
        <f>Private_2!AO23*'BTU Conversion Factor'!$F$4</f>
        <v>0</v>
      </c>
      <c r="AP23">
        <f>Private_2!AP23*'BTU Conversion Factor'!$F$4</f>
        <v>0</v>
      </c>
      <c r="AQ23">
        <f>Private_2!AQ23*'BTU Conversion Factor'!$F$4</f>
        <v>0</v>
      </c>
      <c r="AR23">
        <f>Private_2!AR23*'BTU Conversion Factor'!$F$4</f>
        <v>0</v>
      </c>
      <c r="AS23">
        <f>Private_2!AS23*'BTU Conversion Factor'!$F$4</f>
        <v>0</v>
      </c>
      <c r="AT23">
        <f>Private_2!AT23*'BTU Conversion Factor'!$F$4</f>
        <v>0</v>
      </c>
      <c r="AU23">
        <f>Private_2!AU23*'BTU Conversion Factor'!$F$4</f>
        <v>0</v>
      </c>
    </row>
    <row r="24" spans="1:47">
      <c r="B24" s="48" t="s">
        <v>953</v>
      </c>
      <c r="C24">
        <f>Private_2!C24*'BTU Conversion Factor'!$F$4</f>
        <v>0</v>
      </c>
      <c r="D24">
        <f>Private_2!D24*'BTU Conversion Factor'!$F$4</f>
        <v>0</v>
      </c>
      <c r="E24">
        <f>Private_2!E24*'BTU Conversion Factor'!$F$4</f>
        <v>0</v>
      </c>
      <c r="F24">
        <f>Private_2!F24*'BTU Conversion Factor'!$F$4</f>
        <v>0</v>
      </c>
      <c r="G24">
        <f>Private_2!G24*'BTU Conversion Factor'!$F$4</f>
        <v>0</v>
      </c>
      <c r="H24">
        <f>Private_2!H24*'BTU Conversion Factor'!$F$4</f>
        <v>0</v>
      </c>
      <c r="I24">
        <f>Private_2!I24*'BTU Conversion Factor'!$F$4</f>
        <v>0</v>
      </c>
      <c r="J24">
        <f>Private_2!J24*'BTU Conversion Factor'!$F$4</f>
        <v>0</v>
      </c>
      <c r="K24">
        <f>Private_2!K24*'BTU Conversion Factor'!$F$4</f>
        <v>0</v>
      </c>
      <c r="L24">
        <f>Private_2!L24*'BTU Conversion Factor'!$F$4</f>
        <v>0</v>
      </c>
      <c r="M24">
        <f>Private_2!M24*'BTU Conversion Factor'!$F$4</f>
        <v>0</v>
      </c>
      <c r="N24">
        <f>Private_2!N24*'BTU Conversion Factor'!$F$4</f>
        <v>0</v>
      </c>
      <c r="O24">
        <f>Private_2!O24*'BTU Conversion Factor'!$F$4</f>
        <v>0</v>
      </c>
      <c r="P24">
        <f>Private_2!P24*'BTU Conversion Factor'!$F$4</f>
        <v>0</v>
      </c>
      <c r="Q24">
        <f>Private_2!Q24*'BTU Conversion Factor'!$F$4</f>
        <v>0</v>
      </c>
      <c r="R24">
        <f>Private_2!R24*'BTU Conversion Factor'!$F$4</f>
        <v>0</v>
      </c>
      <c r="S24">
        <f>Private_2!S24*'BTU Conversion Factor'!$F$4</f>
        <v>0</v>
      </c>
      <c r="T24">
        <f>Private_2!T24*'BTU Conversion Factor'!$F$4</f>
        <v>0</v>
      </c>
      <c r="U24">
        <f>Private_2!U24*'BTU Conversion Factor'!$F$4</f>
        <v>0</v>
      </c>
      <c r="V24">
        <f>Private_2!V24*'BTU Conversion Factor'!$F$4</f>
        <v>0</v>
      </c>
      <c r="W24">
        <f>Private_2!W24*'BTU Conversion Factor'!$F$4</f>
        <v>0</v>
      </c>
      <c r="X24">
        <f>Private_2!X24*'BTU Conversion Factor'!$F$4</f>
        <v>0</v>
      </c>
      <c r="Y24">
        <f>Private_2!Y24*'BTU Conversion Factor'!$F$4</f>
        <v>0</v>
      </c>
      <c r="Z24">
        <f>Private_2!Z24*'BTU Conversion Factor'!$F$4</f>
        <v>0</v>
      </c>
      <c r="AA24">
        <f>Private_2!AA24*'BTU Conversion Factor'!$F$4</f>
        <v>0</v>
      </c>
      <c r="AB24">
        <f>Private_2!AB24*'BTU Conversion Factor'!$F$4</f>
        <v>0</v>
      </c>
      <c r="AC24">
        <f>Private_2!AC24*'BTU Conversion Factor'!$F$4</f>
        <v>0</v>
      </c>
      <c r="AD24">
        <f>Private_2!AD24*'BTU Conversion Factor'!$F$4</f>
        <v>0</v>
      </c>
      <c r="AE24">
        <f>Private_2!AE24*'BTU Conversion Factor'!$F$4</f>
        <v>0</v>
      </c>
      <c r="AF24">
        <f>Private_2!AF24*'BTU Conversion Factor'!$F$4</f>
        <v>0</v>
      </c>
      <c r="AG24">
        <f>Private_2!AG24*'BTU Conversion Factor'!$F$4</f>
        <v>0</v>
      </c>
      <c r="AH24">
        <f>Private_2!AH24*'BTU Conversion Factor'!$F$4</f>
        <v>0</v>
      </c>
      <c r="AI24">
        <f>Private_2!AI24*'BTU Conversion Factor'!$F$4</f>
        <v>0</v>
      </c>
      <c r="AJ24">
        <f>Private_2!AJ24*'BTU Conversion Factor'!$F$4</f>
        <v>0</v>
      </c>
      <c r="AK24">
        <f>Private_2!AK24*'BTU Conversion Factor'!$F$4</f>
        <v>0</v>
      </c>
      <c r="AL24">
        <f>Private_2!AL24*'BTU Conversion Factor'!$F$4</f>
        <v>0</v>
      </c>
      <c r="AM24">
        <f>Private_2!AM24*'BTU Conversion Factor'!$F$4</f>
        <v>0</v>
      </c>
      <c r="AN24">
        <f>Private_2!AN24*'BTU Conversion Factor'!$F$4</f>
        <v>0</v>
      </c>
      <c r="AO24">
        <f>Private_2!AO24*'BTU Conversion Factor'!$F$4</f>
        <v>0</v>
      </c>
      <c r="AP24">
        <f>Private_2!AP24*'BTU Conversion Factor'!$F$4</f>
        <v>0</v>
      </c>
      <c r="AQ24">
        <f>Private_2!AQ24*'BTU Conversion Factor'!$F$4</f>
        <v>0</v>
      </c>
      <c r="AR24">
        <f>Private_2!AR24*'BTU Conversion Factor'!$F$4</f>
        <v>0</v>
      </c>
      <c r="AS24">
        <f>Private_2!AS24*'BTU Conversion Factor'!$F$4</f>
        <v>0</v>
      </c>
      <c r="AT24">
        <f>Private_2!AT24*'BTU Conversion Factor'!$F$4</f>
        <v>0</v>
      </c>
      <c r="AU24">
        <f>Private_2!AU24*'BTU Conversion Factor'!$F$4</f>
        <v>0</v>
      </c>
    </row>
    <row r="25" spans="1:47">
      <c r="B25" s="48" t="s">
        <v>954</v>
      </c>
      <c r="C25">
        <f>Private_2!C25*'BTU Conversion Factor'!$F$4</f>
        <v>0</v>
      </c>
      <c r="D25">
        <f>Private_2!D25*'BTU Conversion Factor'!$F$4</f>
        <v>0</v>
      </c>
      <c r="E25">
        <f>Private_2!E25*'BTU Conversion Factor'!$F$4</f>
        <v>0</v>
      </c>
      <c r="F25">
        <f>Private_2!F25*'BTU Conversion Factor'!$F$4</f>
        <v>0</v>
      </c>
      <c r="G25">
        <f>Private_2!G25*'BTU Conversion Factor'!$F$4</f>
        <v>0</v>
      </c>
      <c r="H25">
        <f>Private_2!H25*'BTU Conversion Factor'!$F$4</f>
        <v>0</v>
      </c>
      <c r="I25">
        <f>Private_2!I25*'BTU Conversion Factor'!$F$4</f>
        <v>0</v>
      </c>
      <c r="J25">
        <f>Private_2!J25*'BTU Conversion Factor'!$F$4</f>
        <v>0</v>
      </c>
      <c r="K25">
        <f>Private_2!K25*'BTU Conversion Factor'!$F$4</f>
        <v>0</v>
      </c>
      <c r="L25">
        <f>Private_2!L25*'BTU Conversion Factor'!$F$4</f>
        <v>0</v>
      </c>
      <c r="M25">
        <f>Private_2!M25*'BTU Conversion Factor'!$F$4</f>
        <v>0</v>
      </c>
      <c r="N25">
        <f>Private_2!N25*'BTU Conversion Factor'!$F$4</f>
        <v>0</v>
      </c>
      <c r="O25">
        <f>Private_2!O25*'BTU Conversion Factor'!$F$4</f>
        <v>0</v>
      </c>
      <c r="P25">
        <f>Private_2!P25*'BTU Conversion Factor'!$F$4</f>
        <v>0</v>
      </c>
      <c r="Q25">
        <f>Private_2!Q25*'BTU Conversion Factor'!$F$4</f>
        <v>0</v>
      </c>
      <c r="R25">
        <f>Private_2!R25*'BTU Conversion Factor'!$F$4</f>
        <v>0</v>
      </c>
      <c r="S25">
        <f>Private_2!S25*'BTU Conversion Factor'!$F$4</f>
        <v>0</v>
      </c>
      <c r="T25">
        <f>Private_2!T25*'BTU Conversion Factor'!$F$4</f>
        <v>0</v>
      </c>
      <c r="U25">
        <f>Private_2!U25*'BTU Conversion Factor'!$F$4</f>
        <v>0</v>
      </c>
      <c r="V25">
        <f>Private_2!V25*'BTU Conversion Factor'!$F$4</f>
        <v>0</v>
      </c>
      <c r="W25">
        <f>Private_2!W25*'BTU Conversion Factor'!$F$4</f>
        <v>0</v>
      </c>
      <c r="X25">
        <f>Private_2!X25*'BTU Conversion Factor'!$F$4</f>
        <v>0</v>
      </c>
      <c r="Y25">
        <f>Private_2!Y25*'BTU Conversion Factor'!$F$4</f>
        <v>0</v>
      </c>
      <c r="Z25">
        <f>Private_2!Z25*'BTU Conversion Factor'!$F$4</f>
        <v>0</v>
      </c>
      <c r="AA25">
        <f>Private_2!AA25*'BTU Conversion Factor'!$F$4</f>
        <v>0</v>
      </c>
      <c r="AB25">
        <f>Private_2!AB25*'BTU Conversion Factor'!$F$4</f>
        <v>0</v>
      </c>
      <c r="AC25">
        <f>Private_2!AC25*'BTU Conversion Factor'!$F$4</f>
        <v>0</v>
      </c>
      <c r="AD25">
        <f>Private_2!AD25*'BTU Conversion Factor'!$F$4</f>
        <v>0</v>
      </c>
      <c r="AE25">
        <f>Private_2!AE25*'BTU Conversion Factor'!$F$4</f>
        <v>0</v>
      </c>
      <c r="AF25">
        <f>Private_2!AF25*'BTU Conversion Factor'!$F$4</f>
        <v>0</v>
      </c>
      <c r="AG25">
        <f>Private_2!AG25*'BTU Conversion Factor'!$F$4</f>
        <v>0</v>
      </c>
      <c r="AH25">
        <f>Private_2!AH25*'BTU Conversion Factor'!$F$4</f>
        <v>0</v>
      </c>
      <c r="AI25">
        <f>Private_2!AI25*'BTU Conversion Factor'!$F$4</f>
        <v>0</v>
      </c>
      <c r="AJ25">
        <f>Private_2!AJ25*'BTU Conversion Factor'!$F$4</f>
        <v>0</v>
      </c>
      <c r="AK25">
        <f>Private_2!AK25*'BTU Conversion Factor'!$F$4</f>
        <v>0</v>
      </c>
      <c r="AL25">
        <f>Private_2!AL25*'BTU Conversion Factor'!$F$4</f>
        <v>0</v>
      </c>
      <c r="AM25">
        <f>Private_2!AM25*'BTU Conversion Factor'!$F$4</f>
        <v>0</v>
      </c>
      <c r="AN25">
        <f>Private_2!AN25*'BTU Conversion Factor'!$F$4</f>
        <v>0</v>
      </c>
      <c r="AO25">
        <f>Private_2!AO25*'BTU Conversion Factor'!$F$4</f>
        <v>0</v>
      </c>
      <c r="AP25">
        <f>Private_2!AP25*'BTU Conversion Factor'!$F$4</f>
        <v>0</v>
      </c>
      <c r="AQ25">
        <f>Private_2!AQ25*'BTU Conversion Factor'!$F$4</f>
        <v>0</v>
      </c>
      <c r="AR25">
        <f>Private_2!AR25*'BTU Conversion Factor'!$F$4</f>
        <v>0</v>
      </c>
      <c r="AS25">
        <f>Private_2!AS25*'BTU Conversion Factor'!$F$4</f>
        <v>0</v>
      </c>
      <c r="AT25">
        <f>Private_2!AT25*'BTU Conversion Factor'!$F$4</f>
        <v>0</v>
      </c>
      <c r="AU25">
        <f>Private_2!AU25*'BTU Conversion Factor'!$F$4</f>
        <v>0</v>
      </c>
    </row>
    <row r="26" spans="1:47">
      <c r="B26" s="48" t="s">
        <v>955</v>
      </c>
      <c r="C26">
        <f>Private_2!C26*'BTU Conversion Factor'!$F$4</f>
        <v>0</v>
      </c>
      <c r="D26">
        <f>Private_2!D26*'BTU Conversion Factor'!$F$4</f>
        <v>0</v>
      </c>
      <c r="E26">
        <f>Private_2!E26*'BTU Conversion Factor'!$F$4</f>
        <v>0</v>
      </c>
      <c r="F26">
        <f>Private_2!F26*'BTU Conversion Factor'!$F$4</f>
        <v>0</v>
      </c>
      <c r="G26">
        <f>Private_2!G26*'BTU Conversion Factor'!$F$4</f>
        <v>0</v>
      </c>
      <c r="H26">
        <f>Private_2!H26*'BTU Conversion Factor'!$F$4</f>
        <v>0</v>
      </c>
      <c r="I26">
        <f>Private_2!I26*'BTU Conversion Factor'!$F$4</f>
        <v>0</v>
      </c>
      <c r="J26">
        <f>Private_2!J26*'BTU Conversion Factor'!$F$4</f>
        <v>0</v>
      </c>
      <c r="K26">
        <f>Private_2!K26*'BTU Conversion Factor'!$F$4</f>
        <v>0</v>
      </c>
      <c r="L26">
        <f>Private_2!L26*'BTU Conversion Factor'!$F$4</f>
        <v>0</v>
      </c>
      <c r="M26">
        <f>Private_2!M26*'BTU Conversion Factor'!$F$4</f>
        <v>0</v>
      </c>
      <c r="N26">
        <f>Private_2!N26*'BTU Conversion Factor'!$F$4</f>
        <v>0</v>
      </c>
      <c r="O26">
        <f>Private_2!O26*'BTU Conversion Factor'!$F$4</f>
        <v>0</v>
      </c>
      <c r="P26">
        <f>Private_2!P26*'BTU Conversion Factor'!$F$4</f>
        <v>0</v>
      </c>
      <c r="Q26">
        <f>Private_2!Q26*'BTU Conversion Factor'!$F$4</f>
        <v>0</v>
      </c>
      <c r="R26">
        <f>Private_2!R26*'BTU Conversion Factor'!$F$4</f>
        <v>0</v>
      </c>
      <c r="S26">
        <f>Private_2!S26*'BTU Conversion Factor'!$F$4</f>
        <v>0</v>
      </c>
      <c r="T26">
        <f>Private_2!T26*'BTU Conversion Factor'!$F$4</f>
        <v>0</v>
      </c>
      <c r="U26">
        <f>Private_2!U26*'BTU Conversion Factor'!$F$4</f>
        <v>0</v>
      </c>
      <c r="V26">
        <f>Private_2!V26*'BTU Conversion Factor'!$F$4</f>
        <v>0</v>
      </c>
      <c r="W26">
        <f>Private_2!W26*'BTU Conversion Factor'!$F$4</f>
        <v>0</v>
      </c>
      <c r="X26">
        <f>Private_2!X26*'BTU Conversion Factor'!$F$4</f>
        <v>0</v>
      </c>
      <c r="Y26">
        <f>Private_2!Y26*'BTU Conversion Factor'!$F$4</f>
        <v>0</v>
      </c>
      <c r="Z26">
        <f>Private_2!Z26*'BTU Conversion Factor'!$F$4</f>
        <v>0</v>
      </c>
      <c r="AA26">
        <f>Private_2!AA26*'BTU Conversion Factor'!$F$4</f>
        <v>0</v>
      </c>
      <c r="AB26">
        <f>Private_2!AB26*'BTU Conversion Factor'!$F$4</f>
        <v>0</v>
      </c>
      <c r="AC26">
        <f>Private_2!AC26*'BTU Conversion Factor'!$F$4</f>
        <v>0</v>
      </c>
      <c r="AD26">
        <f>Private_2!AD26*'BTU Conversion Factor'!$F$4</f>
        <v>0</v>
      </c>
      <c r="AE26">
        <f>Private_2!AE26*'BTU Conversion Factor'!$F$4</f>
        <v>0</v>
      </c>
      <c r="AF26">
        <f>Private_2!AF26*'BTU Conversion Factor'!$F$4</f>
        <v>0</v>
      </c>
      <c r="AG26">
        <f>Private_2!AG26*'BTU Conversion Factor'!$F$4</f>
        <v>0</v>
      </c>
      <c r="AH26">
        <f>Private_2!AH26*'BTU Conversion Factor'!$F$4</f>
        <v>0</v>
      </c>
      <c r="AI26">
        <f>Private_2!AI26*'BTU Conversion Factor'!$F$4</f>
        <v>0</v>
      </c>
      <c r="AJ26">
        <f>Private_2!AJ26*'BTU Conversion Factor'!$F$4</f>
        <v>0</v>
      </c>
      <c r="AK26">
        <f>Private_2!AK26*'BTU Conversion Factor'!$F$4</f>
        <v>0</v>
      </c>
      <c r="AL26">
        <f>Private_2!AL26*'BTU Conversion Factor'!$F$4</f>
        <v>0</v>
      </c>
      <c r="AM26">
        <f>Private_2!AM26*'BTU Conversion Factor'!$F$4</f>
        <v>0</v>
      </c>
      <c r="AN26">
        <f>Private_2!AN26*'BTU Conversion Factor'!$F$4</f>
        <v>0</v>
      </c>
      <c r="AO26">
        <f>Private_2!AO26*'BTU Conversion Factor'!$F$4</f>
        <v>0</v>
      </c>
      <c r="AP26">
        <f>Private_2!AP26*'BTU Conversion Factor'!$F$4</f>
        <v>0</v>
      </c>
      <c r="AQ26">
        <f>Private_2!AQ26*'BTU Conversion Factor'!$F$4</f>
        <v>0</v>
      </c>
      <c r="AR26">
        <f>Private_2!AR26*'BTU Conversion Factor'!$F$4</f>
        <v>0</v>
      </c>
      <c r="AS26">
        <f>Private_2!AS26*'BTU Conversion Factor'!$F$4</f>
        <v>0</v>
      </c>
      <c r="AT26">
        <f>Private_2!AT26*'BTU Conversion Factor'!$F$4</f>
        <v>0</v>
      </c>
      <c r="AU26">
        <f>Private_2!AU26*'BTU Conversion Factor'!$F$4</f>
        <v>0</v>
      </c>
    </row>
    <row r="27" spans="1:47">
      <c r="B27" s="48" t="s">
        <v>956</v>
      </c>
      <c r="C27">
        <f>Private_2!C27*'BTU Conversion Factor'!$F$4</f>
        <v>0</v>
      </c>
      <c r="D27">
        <f>Private_2!D27*'BTU Conversion Factor'!$F$4</f>
        <v>0</v>
      </c>
      <c r="E27">
        <f>Private_2!E27*'BTU Conversion Factor'!$F$4</f>
        <v>0</v>
      </c>
      <c r="F27">
        <f>Private_2!F27*'BTU Conversion Factor'!$F$4</f>
        <v>0</v>
      </c>
      <c r="G27">
        <f>Private_2!G27*'BTU Conversion Factor'!$F$4</f>
        <v>0</v>
      </c>
      <c r="H27">
        <f>Private_2!H27*'BTU Conversion Factor'!$F$4</f>
        <v>0</v>
      </c>
      <c r="I27">
        <f>Private_2!I27*'BTU Conversion Factor'!$F$4</f>
        <v>0</v>
      </c>
      <c r="J27">
        <f>Private_2!J27*'BTU Conversion Factor'!$F$4</f>
        <v>0</v>
      </c>
      <c r="K27">
        <f>Private_2!K27*'BTU Conversion Factor'!$F$4</f>
        <v>0</v>
      </c>
      <c r="L27">
        <f>Private_2!L27*'BTU Conversion Factor'!$F$4</f>
        <v>0</v>
      </c>
      <c r="M27">
        <f>Private_2!M27*'BTU Conversion Factor'!$F$4</f>
        <v>0</v>
      </c>
      <c r="N27">
        <f>Private_2!N27*'BTU Conversion Factor'!$F$4</f>
        <v>0</v>
      </c>
      <c r="O27">
        <f>Private_2!O27*'BTU Conversion Factor'!$F$4</f>
        <v>0</v>
      </c>
      <c r="P27">
        <f>Private_2!P27*'BTU Conversion Factor'!$F$4</f>
        <v>0</v>
      </c>
      <c r="Q27">
        <f>Private_2!Q27*'BTU Conversion Factor'!$F$4</f>
        <v>0</v>
      </c>
      <c r="R27">
        <f>Private_2!R27*'BTU Conversion Factor'!$F$4</f>
        <v>0</v>
      </c>
      <c r="S27">
        <f>Private_2!S27*'BTU Conversion Factor'!$F$4</f>
        <v>0</v>
      </c>
      <c r="T27">
        <f>Private_2!T27*'BTU Conversion Factor'!$F$4</f>
        <v>0</v>
      </c>
      <c r="U27">
        <f>Private_2!U27*'BTU Conversion Factor'!$F$4</f>
        <v>0</v>
      </c>
      <c r="V27">
        <f>Private_2!V27*'BTU Conversion Factor'!$F$4</f>
        <v>0</v>
      </c>
      <c r="W27">
        <f>Private_2!W27*'BTU Conversion Factor'!$F$4</f>
        <v>0</v>
      </c>
      <c r="X27">
        <f>Private_2!X27*'BTU Conversion Factor'!$F$4</f>
        <v>0</v>
      </c>
      <c r="Y27">
        <f>Private_2!Y27*'BTU Conversion Factor'!$F$4</f>
        <v>0</v>
      </c>
      <c r="Z27">
        <f>Private_2!Z27*'BTU Conversion Factor'!$F$4</f>
        <v>0</v>
      </c>
      <c r="AA27">
        <f>Private_2!AA27*'BTU Conversion Factor'!$F$4</f>
        <v>0</v>
      </c>
      <c r="AB27">
        <f>Private_2!AB27*'BTU Conversion Factor'!$F$4</f>
        <v>0</v>
      </c>
      <c r="AC27">
        <f>Private_2!AC27*'BTU Conversion Factor'!$F$4</f>
        <v>0</v>
      </c>
      <c r="AD27">
        <f>Private_2!AD27*'BTU Conversion Factor'!$F$4</f>
        <v>0</v>
      </c>
      <c r="AE27">
        <f>Private_2!AE27*'BTU Conversion Factor'!$F$4</f>
        <v>0</v>
      </c>
      <c r="AF27">
        <f>Private_2!AF27*'BTU Conversion Factor'!$F$4</f>
        <v>0</v>
      </c>
      <c r="AG27">
        <f>Private_2!AG27*'BTU Conversion Factor'!$F$4</f>
        <v>0</v>
      </c>
      <c r="AH27">
        <f>Private_2!AH27*'BTU Conversion Factor'!$F$4</f>
        <v>0</v>
      </c>
      <c r="AI27">
        <f>Private_2!AI27*'BTU Conversion Factor'!$F$4</f>
        <v>0</v>
      </c>
      <c r="AJ27">
        <f>Private_2!AJ27*'BTU Conversion Factor'!$F$4</f>
        <v>0</v>
      </c>
      <c r="AK27">
        <f>Private_2!AK27*'BTU Conversion Factor'!$F$4</f>
        <v>0</v>
      </c>
      <c r="AL27">
        <f>Private_2!AL27*'BTU Conversion Factor'!$F$4</f>
        <v>0</v>
      </c>
      <c r="AM27">
        <f>Private_2!AM27*'BTU Conversion Factor'!$F$4</f>
        <v>0</v>
      </c>
      <c r="AN27">
        <f>Private_2!AN27*'BTU Conversion Factor'!$F$4</f>
        <v>0</v>
      </c>
      <c r="AO27">
        <f>Private_2!AO27*'BTU Conversion Factor'!$F$4</f>
        <v>0</v>
      </c>
      <c r="AP27">
        <f>Private_2!AP27*'BTU Conversion Factor'!$F$4</f>
        <v>0</v>
      </c>
      <c r="AQ27">
        <f>Private_2!AQ27*'BTU Conversion Factor'!$F$4</f>
        <v>0</v>
      </c>
      <c r="AR27">
        <f>Private_2!AR27*'BTU Conversion Factor'!$F$4</f>
        <v>0</v>
      </c>
      <c r="AS27">
        <f>Private_2!AS27*'BTU Conversion Factor'!$F$4</f>
        <v>0</v>
      </c>
      <c r="AT27">
        <f>Private_2!AT27*'BTU Conversion Factor'!$F$4</f>
        <v>0</v>
      </c>
      <c r="AU27">
        <f>Private_2!AU27*'BTU Conversion Factor'!$F$4</f>
        <v>0</v>
      </c>
    </row>
    <row r="28" spans="1:47">
      <c r="B28" s="48" t="s">
        <v>957</v>
      </c>
      <c r="C28">
        <f>Private_2!C28*'BTU Conversion Factor'!$F$4</f>
        <v>0</v>
      </c>
      <c r="D28">
        <f>Private_2!D28*'BTU Conversion Factor'!$F$4</f>
        <v>0</v>
      </c>
      <c r="E28">
        <f>Private_2!E28*'BTU Conversion Factor'!$F$4</f>
        <v>0</v>
      </c>
      <c r="F28">
        <f>Private_2!F28*'BTU Conversion Factor'!$F$4</f>
        <v>0</v>
      </c>
      <c r="G28">
        <f>Private_2!G28*'BTU Conversion Factor'!$F$4</f>
        <v>0</v>
      </c>
      <c r="H28">
        <f>Private_2!H28*'BTU Conversion Factor'!$F$4</f>
        <v>0</v>
      </c>
      <c r="I28">
        <f>Private_2!I28*'BTU Conversion Factor'!$F$4</f>
        <v>0</v>
      </c>
      <c r="J28">
        <f>Private_2!J28*'BTU Conversion Factor'!$F$4</f>
        <v>0</v>
      </c>
      <c r="K28">
        <f>Private_2!K28*'BTU Conversion Factor'!$F$4</f>
        <v>0</v>
      </c>
      <c r="L28">
        <f>Private_2!L28*'BTU Conversion Factor'!$F$4</f>
        <v>0</v>
      </c>
      <c r="M28">
        <f>Private_2!M28*'BTU Conversion Factor'!$F$4</f>
        <v>0</v>
      </c>
      <c r="N28">
        <f>Private_2!N28*'BTU Conversion Factor'!$F$4</f>
        <v>0</v>
      </c>
      <c r="O28">
        <f>Private_2!O28*'BTU Conversion Factor'!$F$4</f>
        <v>0</v>
      </c>
      <c r="P28">
        <f>Private_2!P28*'BTU Conversion Factor'!$F$4</f>
        <v>0</v>
      </c>
      <c r="Q28">
        <f>Private_2!Q28*'BTU Conversion Factor'!$F$4</f>
        <v>0</v>
      </c>
      <c r="R28">
        <f>Private_2!R28*'BTU Conversion Factor'!$F$4</f>
        <v>0</v>
      </c>
      <c r="S28">
        <f>Private_2!S28*'BTU Conversion Factor'!$F$4</f>
        <v>0</v>
      </c>
      <c r="T28">
        <f>Private_2!T28*'BTU Conversion Factor'!$F$4</f>
        <v>0</v>
      </c>
      <c r="U28">
        <f>Private_2!U28*'BTU Conversion Factor'!$F$4</f>
        <v>0</v>
      </c>
      <c r="V28">
        <f>Private_2!V28*'BTU Conversion Factor'!$F$4</f>
        <v>0</v>
      </c>
      <c r="W28">
        <f>Private_2!W28*'BTU Conversion Factor'!$F$4</f>
        <v>0</v>
      </c>
      <c r="X28">
        <f>Private_2!X28*'BTU Conversion Factor'!$F$4</f>
        <v>0</v>
      </c>
      <c r="Y28">
        <f>Private_2!Y28*'BTU Conversion Factor'!$F$4</f>
        <v>0</v>
      </c>
      <c r="Z28">
        <f>Private_2!Z28*'BTU Conversion Factor'!$F$4</f>
        <v>0</v>
      </c>
      <c r="AA28">
        <f>Private_2!AA28*'BTU Conversion Factor'!$F$4</f>
        <v>0</v>
      </c>
      <c r="AB28">
        <f>Private_2!AB28*'BTU Conversion Factor'!$F$4</f>
        <v>0</v>
      </c>
      <c r="AC28">
        <f>Private_2!AC28*'BTU Conversion Factor'!$F$4</f>
        <v>0</v>
      </c>
      <c r="AD28">
        <f>Private_2!AD28*'BTU Conversion Factor'!$F$4</f>
        <v>0</v>
      </c>
      <c r="AE28">
        <f>Private_2!AE28*'BTU Conversion Factor'!$F$4</f>
        <v>0</v>
      </c>
      <c r="AF28">
        <f>Private_2!AF28*'BTU Conversion Factor'!$F$4</f>
        <v>0</v>
      </c>
      <c r="AG28">
        <f>Private_2!AG28*'BTU Conversion Factor'!$F$4</f>
        <v>0</v>
      </c>
      <c r="AH28">
        <f>Private_2!AH28*'BTU Conversion Factor'!$F$4</f>
        <v>0</v>
      </c>
      <c r="AI28">
        <f>Private_2!AI28*'BTU Conversion Factor'!$F$4</f>
        <v>0</v>
      </c>
      <c r="AJ28">
        <f>Private_2!AJ28*'BTU Conversion Factor'!$F$4</f>
        <v>0</v>
      </c>
      <c r="AK28">
        <f>Private_2!AK28*'BTU Conversion Factor'!$F$4</f>
        <v>0</v>
      </c>
      <c r="AL28">
        <f>Private_2!AL28*'BTU Conversion Factor'!$F$4</f>
        <v>0</v>
      </c>
      <c r="AM28">
        <f>Private_2!AM28*'BTU Conversion Factor'!$F$4</f>
        <v>0</v>
      </c>
      <c r="AN28">
        <f>Private_2!AN28*'BTU Conversion Factor'!$F$4</f>
        <v>0</v>
      </c>
      <c r="AO28">
        <f>Private_2!AO28*'BTU Conversion Factor'!$F$4</f>
        <v>0</v>
      </c>
      <c r="AP28">
        <f>Private_2!AP28*'BTU Conversion Factor'!$F$4</f>
        <v>0</v>
      </c>
      <c r="AQ28">
        <f>Private_2!AQ28*'BTU Conversion Factor'!$F$4</f>
        <v>0</v>
      </c>
      <c r="AR28">
        <f>Private_2!AR28*'BTU Conversion Factor'!$F$4</f>
        <v>0</v>
      </c>
      <c r="AS28">
        <f>Private_2!AS28*'BTU Conversion Factor'!$F$4</f>
        <v>0</v>
      </c>
      <c r="AT28">
        <f>Private_2!AT28*'BTU Conversion Factor'!$F$4</f>
        <v>0</v>
      </c>
      <c r="AU28">
        <f>Private_2!AU28*'BTU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Private_2!C32*'BTU Conversion Factor'!$F$4</f>
        <v>8059785151507.9941</v>
      </c>
      <c r="D32" s="137">
        <f>Private_2!D32*'BTU Conversion Factor'!$F$4</f>
        <v>8572431401837.2266</v>
      </c>
      <c r="E32" s="137">
        <f>Private_2!E32*'BTU Conversion Factor'!$F$4</f>
        <v>8980119750403.0703</v>
      </c>
      <c r="F32" s="137">
        <f>Private_2!F32*'BTU Conversion Factor'!$F$4</f>
        <v>9211593513792.5488</v>
      </c>
      <c r="G32" s="137">
        <f>Private_2!G32*'BTU Conversion Factor'!$F$4</f>
        <v>8837896550069.0254</v>
      </c>
      <c r="H32" s="137">
        <f>Private_2!H32*'BTU Conversion Factor'!$F$4</f>
        <v>8809489892727.7129</v>
      </c>
      <c r="I32" s="137">
        <f>Private_2!I32*'BTU Conversion Factor'!$F$4</f>
        <v>8699331391695.5586</v>
      </c>
      <c r="J32" s="137">
        <f>Private_2!J32*'BTU Conversion Factor'!$F$4</f>
        <v>8630488364391.3672</v>
      </c>
      <c r="K32" s="137">
        <f>Private_2!K32*'BTU Conversion Factor'!$F$4</f>
        <v>9110284091273.084</v>
      </c>
      <c r="L32" s="137">
        <f>Private_2!L32*'BTU Conversion Factor'!$F$4</f>
        <v>8713641876436.084</v>
      </c>
      <c r="M32" s="137">
        <f>Private_2!M32*'BTU Conversion Factor'!$F$4</f>
        <v>9216926283690.4609</v>
      </c>
      <c r="N32" s="137">
        <f>Private_2!N32*'BTU Conversion Factor'!$F$4</f>
        <v>9616378799999.998</v>
      </c>
      <c r="O32" s="137">
        <f>Private_2!O32*'BTU Conversion Factor'!$F$4</f>
        <v>9457148400000</v>
      </c>
      <c r="P32" s="137">
        <f>Private_2!P32*'BTU Conversion Factor'!$F$4</f>
        <v>9659029800000</v>
      </c>
      <c r="Q32" s="137">
        <f>Private_2!Q32*'BTU Conversion Factor'!$F$4</f>
        <v>10064413346173.59</v>
      </c>
      <c r="R32" s="137">
        <f>Private_2!R32*'BTU Conversion Factor'!$F$4</f>
        <v>9877883011650.4121</v>
      </c>
      <c r="S32" s="137">
        <f>Private_2!S32*'BTU Conversion Factor'!$F$4</f>
        <v>10170078641382.49</v>
      </c>
      <c r="T32" s="137">
        <f>Private_2!T32*'BTU Conversion Factor'!$F$4</f>
        <v>10461785583435.463</v>
      </c>
      <c r="U32" s="137">
        <f>Private_2!U32*'BTU Conversion Factor'!$F$4</f>
        <v>10653241588398.207</v>
      </c>
      <c r="V32" s="137">
        <f>Private_2!V32*'BTU Conversion Factor'!$F$4</f>
        <v>10855730164075.99</v>
      </c>
      <c r="W32" s="137">
        <f>Private_2!W32*'BTU Conversion Factor'!$F$4</f>
        <v>11071959043320.369</v>
      </c>
      <c r="X32" s="137">
        <f>Private_2!X32*'BTU Conversion Factor'!$F$4</f>
        <v>11281115870395.461</v>
      </c>
      <c r="Y32" s="137">
        <f>Private_2!Y32*'BTU Conversion Factor'!$F$4</f>
        <v>11495334511786.193</v>
      </c>
      <c r="Z32" s="137">
        <f>Private_2!Z32*'BTU Conversion Factor'!$F$4</f>
        <v>11778359453225.094</v>
      </c>
      <c r="AA32" s="137">
        <f>Private_2!AA32*'BTU Conversion Factor'!$F$4</f>
        <v>11980705382900.223</v>
      </c>
      <c r="AB32" s="137">
        <f>Private_2!AB32*'BTU Conversion Factor'!$F$4</f>
        <v>12266839679760.223</v>
      </c>
      <c r="AC32" s="137">
        <f>Private_2!AC32*'BTU Conversion Factor'!$F$4</f>
        <v>12489231596735.982</v>
      </c>
      <c r="AD32" s="137">
        <f>Private_2!AD32*'BTU Conversion Factor'!$F$4</f>
        <v>12759249251688.275</v>
      </c>
      <c r="AE32" s="137">
        <f>Private_2!AE32*'BTU Conversion Factor'!$F$4</f>
        <v>12972951766890.551</v>
      </c>
      <c r="AF32" s="137">
        <f>Private_2!AF32*'BTU Conversion Factor'!$F$4</f>
        <v>13179782778673.242</v>
      </c>
      <c r="AG32" s="137">
        <f>Private_2!AG32*'BTU Conversion Factor'!$F$4</f>
        <v>13284277369533.629</v>
      </c>
      <c r="AH32" s="137">
        <f>Private_2!AH32*'BTU Conversion Factor'!$F$4</f>
        <v>13546279611137.918</v>
      </c>
      <c r="AI32" s="137">
        <f>Private_2!AI32*'BTU Conversion Factor'!$F$4</f>
        <v>13778210063427.66</v>
      </c>
      <c r="AJ32" s="137">
        <f>Private_2!AJ32*'BTU Conversion Factor'!$F$4</f>
        <v>14008796502793.34</v>
      </c>
      <c r="AK32" s="137">
        <f>Private_2!AK32*'BTU Conversion Factor'!$F$4</f>
        <v>14236608631086.199</v>
      </c>
      <c r="AL32" s="137">
        <f>Private_2!AL32*'BTU Conversion Factor'!$F$4</f>
        <v>14455897675028.947</v>
      </c>
      <c r="AM32" s="137">
        <f>Private_2!AM32*'BTU Conversion Factor'!$F$4</f>
        <v>14666980024006.078</v>
      </c>
      <c r="AN32" s="137">
        <f>Private_2!AN32*'BTU Conversion Factor'!$F$4</f>
        <v>14873866226046.91</v>
      </c>
      <c r="AO32" s="137">
        <f>Private_2!AO32*'BTU Conversion Factor'!$F$4</f>
        <v>15073806643230.467</v>
      </c>
      <c r="AP32" s="137">
        <f>Private_2!AP32*'BTU Conversion Factor'!$F$4</f>
        <v>15265485465540.875</v>
      </c>
      <c r="AQ32" s="137">
        <f>Private_2!AQ32*'BTU Conversion Factor'!$F$4</f>
        <v>15458121359638.047</v>
      </c>
      <c r="AR32" s="137">
        <f>Private_2!AR32*'BTU Conversion Factor'!$F$4</f>
        <v>15637835609805.955</v>
      </c>
      <c r="AS32" s="137">
        <f>Private_2!AS32*'BTU Conversion Factor'!$F$4</f>
        <v>15821150211045.564</v>
      </c>
      <c r="AT32" s="137">
        <f>Private_2!AT32*'BTU Conversion Factor'!$F$4</f>
        <v>15997762761386.697</v>
      </c>
      <c r="AU32" s="137">
        <f>Private_2!AU32*'BTU Conversion Factor'!$F$4</f>
        <v>16170990177081.139</v>
      </c>
    </row>
    <row r="33" spans="1:47">
      <c r="B33" s="48" t="s">
        <v>953</v>
      </c>
      <c r="C33" s="137">
        <f>Private_2!C33*'BTU Conversion Factor'!$F$4</f>
        <v>0</v>
      </c>
      <c r="D33" s="137">
        <f>Private_2!D33*'BTU Conversion Factor'!$F$4</f>
        <v>0</v>
      </c>
      <c r="E33" s="137">
        <f>Private_2!E33*'BTU Conversion Factor'!$F$4</f>
        <v>0</v>
      </c>
      <c r="F33" s="137">
        <f>Private_2!F33*'BTU Conversion Factor'!$F$4</f>
        <v>0</v>
      </c>
      <c r="G33" s="137">
        <f>Private_2!G33*'BTU Conversion Factor'!$F$4</f>
        <v>0</v>
      </c>
      <c r="H33" s="137">
        <f>Private_2!H33*'BTU Conversion Factor'!$F$4</f>
        <v>0</v>
      </c>
      <c r="I33" s="137">
        <f>Private_2!I33*'BTU Conversion Factor'!$F$4</f>
        <v>0</v>
      </c>
      <c r="J33" s="137">
        <f>Private_2!J33*'BTU Conversion Factor'!$F$4</f>
        <v>0</v>
      </c>
      <c r="K33" s="137">
        <f>Private_2!K33*'BTU Conversion Factor'!$F$4</f>
        <v>0</v>
      </c>
      <c r="L33" s="137">
        <f>Private_2!L33*'BTU Conversion Factor'!$F$4</f>
        <v>0</v>
      </c>
      <c r="M33" s="137">
        <f>Private_2!M33*'BTU Conversion Factor'!$F$4</f>
        <v>0</v>
      </c>
      <c r="N33" s="137">
        <f>Private_2!N33*'BTU Conversion Factor'!$F$4</f>
        <v>0</v>
      </c>
      <c r="O33" s="137">
        <f>Private_2!O33*'BTU Conversion Factor'!$F$4</f>
        <v>0</v>
      </c>
      <c r="P33" s="137">
        <f>Private_2!P33*'BTU Conversion Factor'!$F$4</f>
        <v>0</v>
      </c>
      <c r="Q33" s="137">
        <f>Private_2!Q33*'BTU Conversion Factor'!$F$4</f>
        <v>0</v>
      </c>
      <c r="R33" s="137">
        <f>Private_2!R33*'BTU Conversion Factor'!$F$4</f>
        <v>0</v>
      </c>
      <c r="S33" s="137">
        <f>Private_2!S33*'BTU Conversion Factor'!$F$4</f>
        <v>0</v>
      </c>
      <c r="T33" s="137">
        <f>Private_2!T33*'BTU Conversion Factor'!$F$4</f>
        <v>0</v>
      </c>
      <c r="U33" s="137">
        <f>Private_2!U33*'BTU Conversion Factor'!$F$4</f>
        <v>0</v>
      </c>
      <c r="V33" s="137">
        <f>Private_2!V33*'BTU Conversion Factor'!$F$4</f>
        <v>0</v>
      </c>
      <c r="W33" s="137">
        <f>Private_2!W33*'BTU Conversion Factor'!$F$4</f>
        <v>0</v>
      </c>
      <c r="X33" s="137">
        <f>Private_2!X33*'BTU Conversion Factor'!$F$4</f>
        <v>0</v>
      </c>
      <c r="Y33" s="137">
        <f>Private_2!Y33*'BTU Conversion Factor'!$F$4</f>
        <v>0</v>
      </c>
      <c r="Z33" s="137">
        <f>Private_2!Z33*'BTU Conversion Factor'!$F$4</f>
        <v>0</v>
      </c>
      <c r="AA33" s="137">
        <f>Private_2!AA33*'BTU Conversion Factor'!$F$4</f>
        <v>0</v>
      </c>
      <c r="AB33" s="137">
        <f>Private_2!AB33*'BTU Conversion Factor'!$F$4</f>
        <v>0</v>
      </c>
      <c r="AC33" s="137">
        <f>Private_2!AC33*'BTU Conversion Factor'!$F$4</f>
        <v>0</v>
      </c>
      <c r="AD33" s="137">
        <f>Private_2!AD33*'BTU Conversion Factor'!$F$4</f>
        <v>0</v>
      </c>
      <c r="AE33" s="137">
        <f>Private_2!AE33*'BTU Conversion Factor'!$F$4</f>
        <v>0</v>
      </c>
      <c r="AF33" s="137">
        <f>Private_2!AF33*'BTU Conversion Factor'!$F$4</f>
        <v>0</v>
      </c>
      <c r="AG33" s="137">
        <f>Private_2!AG33*'BTU Conversion Factor'!$F$4</f>
        <v>0</v>
      </c>
      <c r="AH33" s="137">
        <f>Private_2!AH33*'BTU Conversion Factor'!$F$4</f>
        <v>0</v>
      </c>
      <c r="AI33" s="137">
        <f>Private_2!AI33*'BTU Conversion Factor'!$F$4</f>
        <v>0</v>
      </c>
      <c r="AJ33" s="137">
        <f>Private_2!AJ33*'BTU Conversion Factor'!$F$4</f>
        <v>0</v>
      </c>
      <c r="AK33" s="137">
        <f>Private_2!AK33*'BTU Conversion Factor'!$F$4</f>
        <v>0</v>
      </c>
      <c r="AL33" s="137">
        <f>Private_2!AL33*'BTU Conversion Factor'!$F$4</f>
        <v>0</v>
      </c>
      <c r="AM33" s="137">
        <f>Private_2!AM33*'BTU Conversion Factor'!$F$4</f>
        <v>0</v>
      </c>
      <c r="AN33" s="137">
        <f>Private_2!AN33*'BTU Conversion Factor'!$F$4</f>
        <v>0</v>
      </c>
      <c r="AO33" s="137">
        <f>Private_2!AO33*'BTU Conversion Factor'!$F$4</f>
        <v>0</v>
      </c>
      <c r="AP33" s="137">
        <f>Private_2!AP33*'BTU Conversion Factor'!$F$4</f>
        <v>0</v>
      </c>
      <c r="AQ33" s="137">
        <f>Private_2!AQ33*'BTU Conversion Factor'!$F$4</f>
        <v>0</v>
      </c>
      <c r="AR33" s="137">
        <f>Private_2!AR33*'BTU Conversion Factor'!$F$4</f>
        <v>0</v>
      </c>
      <c r="AS33" s="137">
        <f>Private_2!AS33*'BTU Conversion Factor'!$F$4</f>
        <v>0</v>
      </c>
      <c r="AT33" s="137">
        <f>Private_2!AT33*'BTU Conversion Factor'!$F$4</f>
        <v>0</v>
      </c>
      <c r="AU33" s="137">
        <f>Private_2!AU33*'BTU Conversion Factor'!$F$4</f>
        <v>0</v>
      </c>
    </row>
    <row r="34" spans="1:47">
      <c r="B34" s="48" t="s">
        <v>954</v>
      </c>
      <c r="C34" s="137">
        <f>Private_2!C34*'BTU Conversion Factor'!$F$4</f>
        <v>8438301610392.1904</v>
      </c>
      <c r="D34" s="137">
        <f>Private_2!D34*'BTU Conversion Factor'!$F$4</f>
        <v>8352117511243.9023</v>
      </c>
      <c r="E34" s="137">
        <f>Private_2!E34*'BTU Conversion Factor'!$F$4</f>
        <v>8653867492596.8662</v>
      </c>
      <c r="F34" s="137">
        <f>Private_2!F34*'BTU Conversion Factor'!$F$4</f>
        <v>8652118662029.8154</v>
      </c>
      <c r="G34" s="137">
        <f>Private_2!G34*'BTU Conversion Factor'!$F$4</f>
        <v>8981742286562.498</v>
      </c>
      <c r="H34" s="137">
        <f>Private_2!H34*'BTU Conversion Factor'!$F$4</f>
        <v>8834120547701.252</v>
      </c>
      <c r="I34" s="137">
        <f>Private_2!I34*'BTU Conversion Factor'!$F$4</f>
        <v>8614565481501.3525</v>
      </c>
      <c r="J34" s="137">
        <f>Private_2!J34*'BTU Conversion Factor'!$F$4</f>
        <v>8638758629269.1416</v>
      </c>
      <c r="K34" s="137">
        <f>Private_2!K34*'BTU Conversion Factor'!$F$4</f>
        <v>8681744756250.9229</v>
      </c>
      <c r="L34" s="137">
        <f>Private_2!L34*'BTU Conversion Factor'!$F$4</f>
        <v>8304456470533.6426</v>
      </c>
      <c r="M34" s="137">
        <f>Private_2!M34*'BTU Conversion Factor'!$F$4</f>
        <v>8648800020051.4014</v>
      </c>
      <c r="N34" s="137">
        <f>Private_2!N34*'BTU Conversion Factor'!$F$4</f>
        <v>7730256800000</v>
      </c>
      <c r="O34" s="137">
        <f>Private_2!O34*'BTU Conversion Factor'!$F$4</f>
        <v>8126437200000</v>
      </c>
      <c r="P34" s="137">
        <f>Private_2!P34*'BTU Conversion Factor'!$F$4</f>
        <v>7527427599999.998</v>
      </c>
      <c r="Q34" s="137">
        <f>Private_2!Q34*'BTU Conversion Factor'!$F$4</f>
        <v>8048755562964.7432</v>
      </c>
      <c r="R34" s="137">
        <f>Private_2!R34*'BTU Conversion Factor'!$F$4</f>
        <v>7654850736794.8047</v>
      </c>
      <c r="S34" s="137">
        <f>Private_2!S34*'BTU Conversion Factor'!$F$4</f>
        <v>7873676636529.7451</v>
      </c>
      <c r="T34" s="137">
        <f>Private_2!T34*'BTU Conversion Factor'!$F$4</f>
        <v>7971015701755.8369</v>
      </c>
      <c r="U34" s="137">
        <f>Private_2!U34*'BTU Conversion Factor'!$F$4</f>
        <v>7988090349688.1738</v>
      </c>
      <c r="V34" s="137">
        <f>Private_2!V34*'BTU Conversion Factor'!$F$4</f>
        <v>8010717973017.5752</v>
      </c>
      <c r="W34" s="137">
        <f>Private_2!W34*'BTU Conversion Factor'!$F$4</f>
        <v>8040537081484.5928</v>
      </c>
      <c r="X34" s="137">
        <f>Private_2!X34*'BTU Conversion Factor'!$F$4</f>
        <v>8062262190415.8008</v>
      </c>
      <c r="Y34" s="137">
        <f>Private_2!Y34*'BTU Conversion Factor'!$F$4</f>
        <v>8084737564575.1748</v>
      </c>
      <c r="Z34" s="137">
        <f>Private_2!Z34*'BTU Conversion Factor'!$F$4</f>
        <v>8151975385629.375</v>
      </c>
      <c r="AA34" s="137">
        <f>Private_2!AA34*'BTU Conversion Factor'!$F$4</f>
        <v>8159951334795.1299</v>
      </c>
      <c r="AB34" s="137">
        <f>Private_2!AB34*'BTU Conversion Factor'!$F$4</f>
        <v>8221621258119.8604</v>
      </c>
      <c r="AC34" s="137">
        <f>Private_2!AC34*'BTU Conversion Factor'!$F$4</f>
        <v>8237049016598.8936</v>
      </c>
      <c r="AD34" s="137">
        <f>Private_2!AD34*'BTU Conversion Factor'!$F$4</f>
        <v>8280619747571.4023</v>
      </c>
      <c r="AE34" s="137">
        <f>Private_2!AE34*'BTU Conversion Factor'!$F$4</f>
        <v>8284532746170.0127</v>
      </c>
      <c r="AF34" s="137">
        <f>Private_2!AF34*'BTU Conversion Factor'!$F$4</f>
        <v>8281666380309.4629</v>
      </c>
      <c r="AG34" s="137">
        <f>Private_2!AG34*'BTU Conversion Factor'!$F$4</f>
        <v>8213258634837.8984</v>
      </c>
      <c r="AH34" s="137">
        <f>Private_2!AH34*'BTU Conversion Factor'!$F$4</f>
        <v>8240480783143.4229</v>
      </c>
      <c r="AI34" s="137">
        <f>Private_2!AI34*'BTU Conversion Factor'!$F$4</f>
        <v>8246433622558.9395</v>
      </c>
      <c r="AJ34" s="137">
        <f>Private_2!AJ34*'BTU Conversion Factor'!$F$4</f>
        <v>8248974568296.0576</v>
      </c>
      <c r="AK34" s="137">
        <f>Private_2!AK34*'BTU Conversion Factor'!$F$4</f>
        <v>8247368282050.5996</v>
      </c>
      <c r="AL34" s="137">
        <f>Private_2!AL34*'BTU Conversion Factor'!$F$4</f>
        <v>8238469527447.9629</v>
      </c>
      <c r="AM34" s="137">
        <f>Private_2!AM34*'BTU Conversion Factor'!$F$4</f>
        <v>8222743034175.1992</v>
      </c>
      <c r="AN34" s="137">
        <f>Private_2!AN34*'BTU Conversion Factor'!$F$4</f>
        <v>8202671370133.8477</v>
      </c>
      <c r="AO34" s="137">
        <f>Private_2!AO34*'BTU Conversion Factor'!$F$4</f>
        <v>8176917880195.1768</v>
      </c>
      <c r="AP34" s="137">
        <f>Private_2!AP34*'BTU Conversion Factor'!$F$4</f>
        <v>8145004671811.167</v>
      </c>
      <c r="AQ34" s="137">
        <f>Private_2!AQ34*'BTU Conversion Factor'!$F$4</f>
        <v>8112022299854.5215</v>
      </c>
      <c r="AR34" s="137">
        <f>Private_2!AR34*'BTU Conversion Factor'!$F$4</f>
        <v>8070814294996.001</v>
      </c>
      <c r="AS34" s="137">
        <f>Private_2!AS34*'BTU Conversion Factor'!$F$4</f>
        <v>8030128837290.1348</v>
      </c>
      <c r="AT34" s="137">
        <f>Private_2!AT34*'BTU Conversion Factor'!$F$4</f>
        <v>7984758341100.71</v>
      </c>
      <c r="AU34" s="137">
        <f>Private_2!AU34*'BTU Conversion Factor'!$F$4</f>
        <v>7936524374005.2939</v>
      </c>
    </row>
    <row r="35" spans="1:47">
      <c r="B35" s="48" t="s">
        <v>955</v>
      </c>
      <c r="C35" s="137">
        <f>Private_2!C35*'BTU Conversion Factor'!$F$4</f>
        <v>0</v>
      </c>
      <c r="D35" s="137">
        <f>Private_2!D35*'BTU Conversion Factor'!$F$4</f>
        <v>0</v>
      </c>
      <c r="E35" s="137">
        <f>Private_2!E35*'BTU Conversion Factor'!$F$4</f>
        <v>0</v>
      </c>
      <c r="F35" s="137">
        <f>Private_2!F35*'BTU Conversion Factor'!$F$4</f>
        <v>0</v>
      </c>
      <c r="G35" s="137">
        <f>Private_2!G35*'BTU Conversion Factor'!$F$4</f>
        <v>0</v>
      </c>
      <c r="H35" s="137">
        <f>Private_2!H35*'BTU Conversion Factor'!$F$4</f>
        <v>0</v>
      </c>
      <c r="I35" s="137">
        <f>Private_2!I35*'BTU Conversion Factor'!$F$4</f>
        <v>0</v>
      </c>
      <c r="J35" s="137">
        <f>Private_2!J35*'BTU Conversion Factor'!$F$4</f>
        <v>0</v>
      </c>
      <c r="K35" s="137">
        <f>Private_2!K35*'BTU Conversion Factor'!$F$4</f>
        <v>0</v>
      </c>
      <c r="L35" s="137">
        <f>Private_2!L35*'BTU Conversion Factor'!$F$4</f>
        <v>0</v>
      </c>
      <c r="M35" s="137">
        <f>Private_2!M35*'BTU Conversion Factor'!$F$4</f>
        <v>0</v>
      </c>
      <c r="N35" s="137">
        <f>Private_2!N35*'BTU Conversion Factor'!$F$4</f>
        <v>0</v>
      </c>
      <c r="O35" s="137">
        <f>Private_2!O35*'BTU Conversion Factor'!$F$4</f>
        <v>0</v>
      </c>
      <c r="P35" s="137">
        <f>Private_2!P35*'BTU Conversion Factor'!$F$4</f>
        <v>0</v>
      </c>
      <c r="Q35" s="137">
        <f>Private_2!Q35*'BTU Conversion Factor'!$F$4</f>
        <v>0</v>
      </c>
      <c r="R35" s="137">
        <f>Private_2!R35*'BTU Conversion Factor'!$F$4</f>
        <v>0</v>
      </c>
      <c r="S35" s="137">
        <f>Private_2!S35*'BTU Conversion Factor'!$F$4</f>
        <v>0</v>
      </c>
      <c r="T35" s="137">
        <f>Private_2!T35*'BTU Conversion Factor'!$F$4</f>
        <v>0</v>
      </c>
      <c r="U35" s="137">
        <f>Private_2!U35*'BTU Conversion Factor'!$F$4</f>
        <v>0</v>
      </c>
      <c r="V35" s="137">
        <f>Private_2!V35*'BTU Conversion Factor'!$F$4</f>
        <v>0</v>
      </c>
      <c r="W35" s="137">
        <f>Private_2!W35*'BTU Conversion Factor'!$F$4</f>
        <v>0</v>
      </c>
      <c r="X35" s="137">
        <f>Private_2!X35*'BTU Conversion Factor'!$F$4</f>
        <v>0</v>
      </c>
      <c r="Y35" s="137">
        <f>Private_2!Y35*'BTU Conversion Factor'!$F$4</f>
        <v>0</v>
      </c>
      <c r="Z35" s="137">
        <f>Private_2!Z35*'BTU Conversion Factor'!$F$4</f>
        <v>0</v>
      </c>
      <c r="AA35" s="137">
        <f>Private_2!AA35*'BTU Conversion Factor'!$F$4</f>
        <v>0</v>
      </c>
      <c r="AB35" s="137">
        <f>Private_2!AB35*'BTU Conversion Factor'!$F$4</f>
        <v>0</v>
      </c>
      <c r="AC35" s="137">
        <f>Private_2!AC35*'BTU Conversion Factor'!$F$4</f>
        <v>0</v>
      </c>
      <c r="AD35" s="137">
        <f>Private_2!AD35*'BTU Conversion Factor'!$F$4</f>
        <v>0</v>
      </c>
      <c r="AE35" s="137">
        <f>Private_2!AE35*'BTU Conversion Factor'!$F$4</f>
        <v>0</v>
      </c>
      <c r="AF35" s="137">
        <f>Private_2!AF35*'BTU Conversion Factor'!$F$4</f>
        <v>0</v>
      </c>
      <c r="AG35" s="137">
        <f>Private_2!AG35*'BTU Conversion Factor'!$F$4</f>
        <v>0</v>
      </c>
      <c r="AH35" s="137">
        <f>Private_2!AH35*'BTU Conversion Factor'!$F$4</f>
        <v>0</v>
      </c>
      <c r="AI35" s="137">
        <f>Private_2!AI35*'BTU Conversion Factor'!$F$4</f>
        <v>0</v>
      </c>
      <c r="AJ35" s="137">
        <f>Private_2!AJ35*'BTU Conversion Factor'!$F$4</f>
        <v>0</v>
      </c>
      <c r="AK35" s="137">
        <f>Private_2!AK35*'BTU Conversion Factor'!$F$4</f>
        <v>0</v>
      </c>
      <c r="AL35" s="137">
        <f>Private_2!AL35*'BTU Conversion Factor'!$F$4</f>
        <v>0</v>
      </c>
      <c r="AM35" s="137">
        <f>Private_2!AM35*'BTU Conversion Factor'!$F$4</f>
        <v>0</v>
      </c>
      <c r="AN35" s="137">
        <f>Private_2!AN35*'BTU Conversion Factor'!$F$4</f>
        <v>0</v>
      </c>
      <c r="AO35" s="137">
        <f>Private_2!AO35*'BTU Conversion Factor'!$F$4</f>
        <v>0</v>
      </c>
      <c r="AP35" s="137">
        <f>Private_2!AP35*'BTU Conversion Factor'!$F$4</f>
        <v>0</v>
      </c>
      <c r="AQ35" s="137">
        <f>Private_2!AQ35*'BTU Conversion Factor'!$F$4</f>
        <v>0</v>
      </c>
      <c r="AR35" s="137">
        <f>Private_2!AR35*'BTU Conversion Factor'!$F$4</f>
        <v>0</v>
      </c>
      <c r="AS35" s="137">
        <f>Private_2!AS35*'BTU Conversion Factor'!$F$4</f>
        <v>0</v>
      </c>
      <c r="AT35" s="137">
        <f>Private_2!AT35*'BTU Conversion Factor'!$F$4</f>
        <v>0</v>
      </c>
      <c r="AU35" s="137">
        <f>Private_2!AU35*'BTU Conversion Factor'!$F$4</f>
        <v>0</v>
      </c>
    </row>
    <row r="36" spans="1:47">
      <c r="B36" s="48" t="s">
        <v>956</v>
      </c>
      <c r="C36" s="137">
        <f>Private_2!C36*'BTU Conversion Factor'!$F$4</f>
        <v>0</v>
      </c>
      <c r="D36" s="137">
        <f>Private_2!D36*'BTU Conversion Factor'!$F$4</f>
        <v>0</v>
      </c>
      <c r="E36" s="137">
        <f>Private_2!E36*'BTU Conversion Factor'!$F$4</f>
        <v>0</v>
      </c>
      <c r="F36" s="137">
        <f>Private_2!F36*'BTU Conversion Factor'!$F$4</f>
        <v>0</v>
      </c>
      <c r="G36" s="137">
        <f>Private_2!G36*'BTU Conversion Factor'!$F$4</f>
        <v>0</v>
      </c>
      <c r="H36" s="137">
        <f>Private_2!H36*'BTU Conversion Factor'!$F$4</f>
        <v>0</v>
      </c>
      <c r="I36" s="137">
        <f>Private_2!I36*'BTU Conversion Factor'!$F$4</f>
        <v>0</v>
      </c>
      <c r="J36" s="137">
        <f>Private_2!J36*'BTU Conversion Factor'!$F$4</f>
        <v>0</v>
      </c>
      <c r="K36" s="137">
        <f>Private_2!K36*'BTU Conversion Factor'!$F$4</f>
        <v>0</v>
      </c>
      <c r="L36" s="137">
        <f>Private_2!L36*'BTU Conversion Factor'!$F$4</f>
        <v>0</v>
      </c>
      <c r="M36" s="137">
        <f>Private_2!M36*'BTU Conversion Factor'!$F$4</f>
        <v>0</v>
      </c>
      <c r="N36" s="137">
        <f>Private_2!N36*'BTU Conversion Factor'!$F$4</f>
        <v>0</v>
      </c>
      <c r="O36" s="137">
        <f>Private_2!O36*'BTU Conversion Factor'!$F$4</f>
        <v>0</v>
      </c>
      <c r="P36" s="137">
        <f>Private_2!P36*'BTU Conversion Factor'!$F$4</f>
        <v>0</v>
      </c>
      <c r="Q36" s="137">
        <f>Private_2!Q36*'BTU Conversion Factor'!$F$4</f>
        <v>0</v>
      </c>
      <c r="R36" s="137">
        <f>Private_2!R36*'BTU Conversion Factor'!$F$4</f>
        <v>0</v>
      </c>
      <c r="S36" s="137">
        <f>Private_2!S36*'BTU Conversion Factor'!$F$4</f>
        <v>0</v>
      </c>
      <c r="T36" s="137">
        <f>Private_2!T36*'BTU Conversion Factor'!$F$4</f>
        <v>0</v>
      </c>
      <c r="U36" s="137">
        <f>Private_2!U36*'BTU Conversion Factor'!$F$4</f>
        <v>0</v>
      </c>
      <c r="V36" s="137">
        <f>Private_2!V36*'BTU Conversion Factor'!$F$4</f>
        <v>0</v>
      </c>
      <c r="W36" s="137">
        <f>Private_2!W36*'BTU Conversion Factor'!$F$4</f>
        <v>0</v>
      </c>
      <c r="X36" s="137">
        <f>Private_2!X36*'BTU Conversion Factor'!$F$4</f>
        <v>0</v>
      </c>
      <c r="Y36" s="137">
        <f>Private_2!Y36*'BTU Conversion Factor'!$F$4</f>
        <v>0</v>
      </c>
      <c r="Z36" s="137">
        <f>Private_2!Z36*'BTU Conversion Factor'!$F$4</f>
        <v>0</v>
      </c>
      <c r="AA36" s="137">
        <f>Private_2!AA36*'BTU Conversion Factor'!$F$4</f>
        <v>0</v>
      </c>
      <c r="AB36" s="137">
        <f>Private_2!AB36*'BTU Conversion Factor'!$F$4</f>
        <v>0</v>
      </c>
      <c r="AC36" s="137">
        <f>Private_2!AC36*'BTU Conversion Factor'!$F$4</f>
        <v>0</v>
      </c>
      <c r="AD36" s="137">
        <f>Private_2!AD36*'BTU Conversion Factor'!$F$4</f>
        <v>0</v>
      </c>
      <c r="AE36" s="137">
        <f>Private_2!AE36*'BTU Conversion Factor'!$F$4</f>
        <v>0</v>
      </c>
      <c r="AF36" s="137">
        <f>Private_2!AF36*'BTU Conversion Factor'!$F$4</f>
        <v>0</v>
      </c>
      <c r="AG36" s="137">
        <f>Private_2!AG36*'BTU Conversion Factor'!$F$4</f>
        <v>0</v>
      </c>
      <c r="AH36" s="137">
        <f>Private_2!AH36*'BTU Conversion Factor'!$F$4</f>
        <v>0</v>
      </c>
      <c r="AI36" s="137">
        <f>Private_2!AI36*'BTU Conversion Factor'!$F$4</f>
        <v>0</v>
      </c>
      <c r="AJ36" s="137">
        <f>Private_2!AJ36*'BTU Conversion Factor'!$F$4</f>
        <v>0</v>
      </c>
      <c r="AK36" s="137">
        <f>Private_2!AK36*'BTU Conversion Factor'!$F$4</f>
        <v>0</v>
      </c>
      <c r="AL36" s="137">
        <f>Private_2!AL36*'BTU Conversion Factor'!$F$4</f>
        <v>0</v>
      </c>
      <c r="AM36" s="137">
        <f>Private_2!AM36*'BTU Conversion Factor'!$F$4</f>
        <v>0</v>
      </c>
      <c r="AN36" s="137">
        <f>Private_2!AN36*'BTU Conversion Factor'!$F$4</f>
        <v>0</v>
      </c>
      <c r="AO36" s="137">
        <f>Private_2!AO36*'BTU Conversion Factor'!$F$4</f>
        <v>0</v>
      </c>
      <c r="AP36" s="137">
        <f>Private_2!AP36*'BTU Conversion Factor'!$F$4</f>
        <v>0</v>
      </c>
      <c r="AQ36" s="137">
        <f>Private_2!AQ36*'BTU Conversion Factor'!$F$4</f>
        <v>0</v>
      </c>
      <c r="AR36" s="137">
        <f>Private_2!AR36*'BTU Conversion Factor'!$F$4</f>
        <v>0</v>
      </c>
      <c r="AS36" s="137">
        <f>Private_2!AS36*'BTU Conversion Factor'!$F$4</f>
        <v>0</v>
      </c>
      <c r="AT36" s="137">
        <f>Private_2!AT36*'BTU Conversion Factor'!$F$4</f>
        <v>0</v>
      </c>
      <c r="AU36" s="137">
        <f>Private_2!AU36*'BTU Conversion Factor'!$F$4</f>
        <v>0</v>
      </c>
    </row>
    <row r="37" spans="1:47">
      <c r="B37" s="48" t="s">
        <v>957</v>
      </c>
      <c r="C37" s="137">
        <f>Private_2!C37*'BTU Conversion Factor'!$F$4</f>
        <v>0</v>
      </c>
      <c r="D37" s="137">
        <f>Private_2!D37*'BTU Conversion Factor'!$F$4</f>
        <v>0</v>
      </c>
      <c r="E37" s="137">
        <f>Private_2!E37*'BTU Conversion Factor'!$F$4</f>
        <v>0</v>
      </c>
      <c r="F37" s="137">
        <f>Private_2!F37*'BTU Conversion Factor'!$F$4</f>
        <v>0</v>
      </c>
      <c r="G37" s="137">
        <f>Private_2!G37*'BTU Conversion Factor'!$F$4</f>
        <v>0</v>
      </c>
      <c r="H37" s="137">
        <f>Private_2!H37*'BTU Conversion Factor'!$F$4</f>
        <v>0</v>
      </c>
      <c r="I37" s="137">
        <f>Private_2!I37*'BTU Conversion Factor'!$F$4</f>
        <v>0</v>
      </c>
      <c r="J37" s="137">
        <f>Private_2!J37*'BTU Conversion Factor'!$F$4</f>
        <v>0</v>
      </c>
      <c r="K37" s="137">
        <f>Private_2!K37*'BTU Conversion Factor'!$F$4</f>
        <v>0</v>
      </c>
      <c r="L37" s="137">
        <f>Private_2!L37*'BTU Conversion Factor'!$F$4</f>
        <v>0</v>
      </c>
      <c r="M37" s="137">
        <f>Private_2!M37*'BTU Conversion Factor'!$F$4</f>
        <v>0</v>
      </c>
      <c r="N37" s="137">
        <f>Private_2!N37*'BTU Conversion Factor'!$F$4</f>
        <v>0</v>
      </c>
      <c r="O37" s="137">
        <f>Private_2!O37*'BTU Conversion Factor'!$F$4</f>
        <v>0</v>
      </c>
      <c r="P37" s="137">
        <f>Private_2!P37*'BTU Conversion Factor'!$F$4</f>
        <v>0</v>
      </c>
      <c r="Q37" s="137">
        <f>Private_2!Q37*'BTU Conversion Factor'!$F$4</f>
        <v>0</v>
      </c>
      <c r="R37" s="137">
        <f>Private_2!R37*'BTU Conversion Factor'!$F$4</f>
        <v>0</v>
      </c>
      <c r="S37" s="137">
        <f>Private_2!S37*'BTU Conversion Factor'!$F$4</f>
        <v>0</v>
      </c>
      <c r="T37" s="137">
        <f>Private_2!T37*'BTU Conversion Factor'!$F$4</f>
        <v>0</v>
      </c>
      <c r="U37" s="137">
        <f>Private_2!U37*'BTU Conversion Factor'!$F$4</f>
        <v>0</v>
      </c>
      <c r="V37" s="137">
        <f>Private_2!V37*'BTU Conversion Factor'!$F$4</f>
        <v>0</v>
      </c>
      <c r="W37" s="137">
        <f>Private_2!W37*'BTU Conversion Factor'!$F$4</f>
        <v>0</v>
      </c>
      <c r="X37" s="137">
        <f>Private_2!X37*'BTU Conversion Factor'!$F$4</f>
        <v>0</v>
      </c>
      <c r="Y37" s="137">
        <f>Private_2!Y37*'BTU Conversion Factor'!$F$4</f>
        <v>0</v>
      </c>
      <c r="Z37" s="137">
        <f>Private_2!Z37*'BTU Conversion Factor'!$F$4</f>
        <v>0</v>
      </c>
      <c r="AA37" s="137">
        <f>Private_2!AA37*'BTU Conversion Factor'!$F$4</f>
        <v>0</v>
      </c>
      <c r="AB37" s="137">
        <f>Private_2!AB37*'BTU Conversion Factor'!$F$4</f>
        <v>0</v>
      </c>
      <c r="AC37" s="137">
        <f>Private_2!AC37*'BTU Conversion Factor'!$F$4</f>
        <v>0</v>
      </c>
      <c r="AD37" s="137">
        <f>Private_2!AD37*'BTU Conversion Factor'!$F$4</f>
        <v>0</v>
      </c>
      <c r="AE37" s="137">
        <f>Private_2!AE37*'BTU Conversion Factor'!$F$4</f>
        <v>0</v>
      </c>
      <c r="AF37" s="137">
        <f>Private_2!AF37*'BTU Conversion Factor'!$F$4</f>
        <v>0</v>
      </c>
      <c r="AG37" s="137">
        <f>Private_2!AG37*'BTU Conversion Factor'!$F$4</f>
        <v>0</v>
      </c>
      <c r="AH37" s="137">
        <f>Private_2!AH37*'BTU Conversion Factor'!$F$4</f>
        <v>0</v>
      </c>
      <c r="AI37" s="137">
        <f>Private_2!AI37*'BTU Conversion Factor'!$F$4</f>
        <v>0</v>
      </c>
      <c r="AJ37" s="137">
        <f>Private_2!AJ37*'BTU Conversion Factor'!$F$4</f>
        <v>0</v>
      </c>
      <c r="AK37" s="137">
        <f>Private_2!AK37*'BTU Conversion Factor'!$F$4</f>
        <v>0</v>
      </c>
      <c r="AL37" s="137">
        <f>Private_2!AL37*'BTU Conversion Factor'!$F$4</f>
        <v>0</v>
      </c>
      <c r="AM37" s="137">
        <f>Private_2!AM37*'BTU Conversion Factor'!$F$4</f>
        <v>0</v>
      </c>
      <c r="AN37" s="137">
        <f>Private_2!AN37*'BTU Conversion Factor'!$F$4</f>
        <v>0</v>
      </c>
      <c r="AO37" s="137">
        <f>Private_2!AO37*'BTU Conversion Factor'!$F$4</f>
        <v>0</v>
      </c>
      <c r="AP37" s="137">
        <f>Private_2!AP37*'BTU Conversion Factor'!$F$4</f>
        <v>0</v>
      </c>
      <c r="AQ37" s="137">
        <f>Private_2!AQ37*'BTU Conversion Factor'!$F$4</f>
        <v>0</v>
      </c>
      <c r="AR37" s="137">
        <f>Private_2!AR37*'BTU Conversion Factor'!$F$4</f>
        <v>0</v>
      </c>
      <c r="AS37" s="137">
        <f>Private_2!AS37*'BTU Conversion Factor'!$F$4</f>
        <v>0</v>
      </c>
      <c r="AT37" s="137">
        <f>Private_2!AT37*'BTU Conversion Factor'!$F$4</f>
        <v>0</v>
      </c>
      <c r="AU37" s="137">
        <f>Private_2!AU37*'BTU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Private_2!C41*'BTU Conversion Factor'!$F$4</f>
        <v>809982925117.67322</v>
      </c>
      <c r="D41" s="137">
        <f>Private_2!D41*'BTU Conversion Factor'!$F$4</f>
        <v>856331179396.29333</v>
      </c>
      <c r="E41" s="137">
        <f>Private_2!E41*'BTU Conversion Factor'!$F$4</f>
        <v>891719598838.82349</v>
      </c>
      <c r="F41" s="137">
        <f>Private_2!F41*'BTU Conversion Factor'!$F$4</f>
        <v>1056768901225.6561</v>
      </c>
      <c r="G41" s="137">
        <f>Private_2!G41*'BTU Conversion Factor'!$F$4</f>
        <v>1196376835785.4255</v>
      </c>
      <c r="H41" s="137">
        <f>Private_2!H41*'BTU Conversion Factor'!$F$4</f>
        <v>1520271200000</v>
      </c>
      <c r="I41" s="137">
        <f>Private_2!I41*'BTU Conversion Factor'!$F$4</f>
        <v>1902234600000</v>
      </c>
      <c r="J41" s="137">
        <f>Private_2!J41*'BTU Conversion Factor'!$F$4</f>
        <v>1933512000000</v>
      </c>
      <c r="K41" s="137">
        <f>Private_2!K41*'BTU Conversion Factor'!$F$4</f>
        <v>2148662600000</v>
      </c>
      <c r="L41" s="137">
        <f>Private_2!L41*'BTU Conversion Factor'!$F$4</f>
        <v>2167618600000</v>
      </c>
      <c r="M41" s="137">
        <f>Private_2!M41*'BTU Conversion Factor'!$F$4</f>
        <v>2318318800000</v>
      </c>
      <c r="N41" s="137">
        <f>Private_2!N41*'BTU Conversion Factor'!$F$4</f>
        <v>2335379200000</v>
      </c>
      <c r="O41" s="137">
        <f>Private_2!O41*'BTU Conversion Factor'!$F$4</f>
        <v>2301258400000</v>
      </c>
      <c r="P41" s="137">
        <f>Private_2!P41*'BTU Conversion Factor'!$F$4</f>
        <v>2372343400000</v>
      </c>
      <c r="Q41" s="137">
        <f>Private_2!Q41*'BTU Conversion Factor'!$F$4</f>
        <v>2526834800000</v>
      </c>
      <c r="R41" s="137">
        <f>Private_2!R41*'BTU Conversion Factor'!$F$4</f>
        <v>2489870600000</v>
      </c>
      <c r="S41" s="137">
        <f>Private_2!S41*'BTU Conversion Factor'!$F$4</f>
        <v>2462375423585.4395</v>
      </c>
      <c r="T41" s="137">
        <f>Private_2!T41*'BTU Conversion Factor'!$F$4</f>
        <v>2516636805904.9897</v>
      </c>
      <c r="U41" s="137">
        <f>Private_2!U41*'BTU Conversion Factor'!$F$4</f>
        <v>2546287935325.8169</v>
      </c>
      <c r="V41" s="137">
        <f>Private_2!V41*'BTU Conversion Factor'!$F$4</f>
        <v>2578229640582.0898</v>
      </c>
      <c r="W41" s="137">
        <f>Private_2!W41*'BTU Conversion Factor'!$F$4</f>
        <v>2613059206524.8652</v>
      </c>
      <c r="X41" s="137">
        <f>Private_2!X41*'BTU Conversion Factor'!$F$4</f>
        <v>2645842942081.2646</v>
      </c>
      <c r="Y41" s="137">
        <f>Private_2!Y41*'BTU Conversion Factor'!$F$4</f>
        <v>2679448671376.626</v>
      </c>
      <c r="Z41" s="137">
        <f>Private_2!Z41*'BTU Conversion Factor'!$F$4</f>
        <v>2728630201527.6753</v>
      </c>
      <c r="AA41" s="137">
        <f>Private_2!AA41*'BTU Conversion Factor'!$F$4</f>
        <v>2758685310954.2832</v>
      </c>
      <c r="AB41" s="137">
        <f>Private_2!AB41*'BTU Conversion Factor'!$F$4</f>
        <v>2807603913082.9702</v>
      </c>
      <c r="AC41" s="137">
        <f>Private_2!AC41*'BTU Conversion Factor'!$F$4</f>
        <v>2841484986401.4014</v>
      </c>
      <c r="AD41" s="137">
        <f>Private_2!AD41*'BTU Conversion Factor'!$F$4</f>
        <v>2885785422295.2837</v>
      </c>
      <c r="AE41" s="137">
        <f>Private_2!AE41*'BTU Conversion Factor'!$F$4</f>
        <v>2916952866377.3765</v>
      </c>
      <c r="AF41" s="137">
        <f>Private_2!AF41*'BTU Conversion Factor'!$F$4</f>
        <v>2946270701135.6592</v>
      </c>
      <c r="AG41" s="137">
        <f>Private_2!AG41*'BTU Conversion Factor'!$F$4</f>
        <v>2952554202798.9995</v>
      </c>
      <c r="AH41" s="137">
        <f>Private_2!AH41*'BTU Conversion Factor'!$F$4</f>
        <v>2993622071073.7783</v>
      </c>
      <c r="AI41" s="137">
        <f>Private_2!AI41*'BTU Conversion Factor'!$F$4</f>
        <v>3027665264973.8672</v>
      </c>
      <c r="AJ41" s="137">
        <f>Private_2!AJ41*'BTU Conversion Factor'!$F$4</f>
        <v>3061081016666.7925</v>
      </c>
      <c r="AK41" s="137">
        <f>Private_2!AK41*'BTU Conversion Factor'!$F$4</f>
        <v>3093570402903.6436</v>
      </c>
      <c r="AL41" s="137">
        <f>Private_2!AL41*'BTU Conversion Factor'!$F$4</f>
        <v>3123907804735.2812</v>
      </c>
      <c r="AM41" s="137">
        <f>Private_2!AM41*'BTU Conversion Factor'!$F$4</f>
        <v>3152197818845.0791</v>
      </c>
      <c r="AN41" s="137">
        <f>Private_2!AN41*'BTU Conversion Factor'!$F$4</f>
        <v>3179332205092.9912</v>
      </c>
      <c r="AO41" s="137">
        <f>Private_2!AO41*'BTU Conversion Factor'!$F$4</f>
        <v>3204746110708.3823</v>
      </c>
      <c r="AP41" s="137">
        <f>Private_2!AP41*'BTU Conversion Factor'!$F$4</f>
        <v>3228189832784.3208</v>
      </c>
      <c r="AQ41" s="137">
        <f>Private_2!AQ41*'BTU Conversion Factor'!$F$4</f>
        <v>3251634731953.0103</v>
      </c>
      <c r="AR41" s="137">
        <f>Private_2!AR41*'BTU Conversion Factor'!$F$4</f>
        <v>3272177543424.5635</v>
      </c>
      <c r="AS41" s="137">
        <f>Private_2!AS41*'BTU Conversion Factor'!$F$4</f>
        <v>3293303606322.875</v>
      </c>
      <c r="AT41" s="137">
        <f>Private_2!AT41*'BTU Conversion Factor'!$F$4</f>
        <v>3312871124317.3105</v>
      </c>
      <c r="AU41" s="137">
        <f>Private_2!AU41*'BTU Conversion Factor'!$F$4</f>
        <v>3331588123251.1548</v>
      </c>
    </row>
    <row r="42" spans="1:47">
      <c r="B42" s="48" t="s">
        <v>953</v>
      </c>
      <c r="C42" s="137">
        <f>Private_2!C42*'BTU Conversion Factor'!$F$4</f>
        <v>0</v>
      </c>
      <c r="D42" s="137">
        <f>Private_2!D42*'BTU Conversion Factor'!$F$4</f>
        <v>0</v>
      </c>
      <c r="E42" s="137">
        <f>Private_2!E42*'BTU Conversion Factor'!$F$4</f>
        <v>0</v>
      </c>
      <c r="F42" s="137">
        <f>Private_2!F42*'BTU Conversion Factor'!$F$4</f>
        <v>0</v>
      </c>
      <c r="G42" s="137">
        <f>Private_2!G42*'BTU Conversion Factor'!$F$4</f>
        <v>0</v>
      </c>
      <c r="H42" s="137">
        <f>Private_2!H42*'BTU Conversion Factor'!$F$4</f>
        <v>0</v>
      </c>
      <c r="I42" s="137">
        <f>Private_2!I42*'BTU Conversion Factor'!$F$4</f>
        <v>0</v>
      </c>
      <c r="J42" s="137">
        <f>Private_2!J42*'BTU Conversion Factor'!$F$4</f>
        <v>0</v>
      </c>
      <c r="K42" s="137">
        <f>Private_2!K42*'BTU Conversion Factor'!$F$4</f>
        <v>0</v>
      </c>
      <c r="L42" s="137">
        <f>Private_2!L42*'BTU Conversion Factor'!$F$4</f>
        <v>0</v>
      </c>
      <c r="M42" s="137">
        <f>Private_2!M42*'BTU Conversion Factor'!$F$4</f>
        <v>0</v>
      </c>
      <c r="N42" s="137">
        <f>Private_2!N42*'BTU Conversion Factor'!$F$4</f>
        <v>0</v>
      </c>
      <c r="O42" s="137">
        <f>Private_2!O42*'BTU Conversion Factor'!$F$4</f>
        <v>0</v>
      </c>
      <c r="P42" s="137">
        <f>Private_2!P42*'BTU Conversion Factor'!$F$4</f>
        <v>0</v>
      </c>
      <c r="Q42" s="137">
        <f>Private_2!Q42*'BTU Conversion Factor'!$F$4</f>
        <v>0</v>
      </c>
      <c r="R42" s="137">
        <f>Private_2!R42*'BTU Conversion Factor'!$F$4</f>
        <v>0</v>
      </c>
      <c r="S42" s="137">
        <f>Private_2!S42*'BTU Conversion Factor'!$F$4</f>
        <v>0</v>
      </c>
      <c r="T42" s="137">
        <f>Private_2!T42*'BTU Conversion Factor'!$F$4</f>
        <v>0</v>
      </c>
      <c r="U42" s="137">
        <f>Private_2!U42*'BTU Conversion Factor'!$F$4</f>
        <v>0</v>
      </c>
      <c r="V42" s="137">
        <f>Private_2!V42*'BTU Conversion Factor'!$F$4</f>
        <v>0</v>
      </c>
      <c r="W42" s="137">
        <f>Private_2!W42*'BTU Conversion Factor'!$F$4</f>
        <v>0</v>
      </c>
      <c r="X42" s="137">
        <f>Private_2!X42*'BTU Conversion Factor'!$F$4</f>
        <v>0</v>
      </c>
      <c r="Y42" s="137">
        <f>Private_2!Y42*'BTU Conversion Factor'!$F$4</f>
        <v>0</v>
      </c>
      <c r="Z42" s="137">
        <f>Private_2!Z42*'BTU Conversion Factor'!$F$4</f>
        <v>0</v>
      </c>
      <c r="AA42" s="137">
        <f>Private_2!AA42*'BTU Conversion Factor'!$F$4</f>
        <v>0</v>
      </c>
      <c r="AB42" s="137">
        <f>Private_2!AB42*'BTU Conversion Factor'!$F$4</f>
        <v>0</v>
      </c>
      <c r="AC42" s="137">
        <f>Private_2!AC42*'BTU Conversion Factor'!$F$4</f>
        <v>0</v>
      </c>
      <c r="AD42" s="137">
        <f>Private_2!AD42*'BTU Conversion Factor'!$F$4</f>
        <v>0</v>
      </c>
      <c r="AE42" s="137">
        <f>Private_2!AE42*'BTU Conversion Factor'!$F$4</f>
        <v>0</v>
      </c>
      <c r="AF42" s="137">
        <f>Private_2!AF42*'BTU Conversion Factor'!$F$4</f>
        <v>0</v>
      </c>
      <c r="AG42" s="137">
        <f>Private_2!AG42*'BTU Conversion Factor'!$F$4</f>
        <v>0</v>
      </c>
      <c r="AH42" s="137">
        <f>Private_2!AH42*'BTU Conversion Factor'!$F$4</f>
        <v>0</v>
      </c>
      <c r="AI42" s="137">
        <f>Private_2!AI42*'BTU Conversion Factor'!$F$4</f>
        <v>0</v>
      </c>
      <c r="AJ42" s="137">
        <f>Private_2!AJ42*'BTU Conversion Factor'!$F$4</f>
        <v>0</v>
      </c>
      <c r="AK42" s="137">
        <f>Private_2!AK42*'BTU Conversion Factor'!$F$4</f>
        <v>0</v>
      </c>
      <c r="AL42" s="137">
        <f>Private_2!AL42*'BTU Conversion Factor'!$F$4</f>
        <v>0</v>
      </c>
      <c r="AM42" s="137">
        <f>Private_2!AM42*'BTU Conversion Factor'!$F$4</f>
        <v>0</v>
      </c>
      <c r="AN42" s="137">
        <f>Private_2!AN42*'BTU Conversion Factor'!$F$4</f>
        <v>0</v>
      </c>
      <c r="AO42" s="137">
        <f>Private_2!AO42*'BTU Conversion Factor'!$F$4</f>
        <v>0</v>
      </c>
      <c r="AP42" s="137">
        <f>Private_2!AP42*'BTU Conversion Factor'!$F$4</f>
        <v>0</v>
      </c>
      <c r="AQ42" s="137">
        <f>Private_2!AQ42*'BTU Conversion Factor'!$F$4</f>
        <v>0</v>
      </c>
      <c r="AR42" s="137">
        <f>Private_2!AR42*'BTU Conversion Factor'!$F$4</f>
        <v>0</v>
      </c>
      <c r="AS42" s="137">
        <f>Private_2!AS42*'BTU Conversion Factor'!$F$4</f>
        <v>0</v>
      </c>
      <c r="AT42" s="137">
        <f>Private_2!AT42*'BTU Conversion Factor'!$F$4</f>
        <v>0</v>
      </c>
      <c r="AU42" s="137">
        <f>Private_2!AU42*'BTU Conversion Factor'!$F$4</f>
        <v>0</v>
      </c>
    </row>
    <row r="43" spans="1:47">
      <c r="B43" s="48" t="s">
        <v>954</v>
      </c>
      <c r="C43" s="137">
        <f>Private_2!C43*'BTU Conversion Factor'!$F$4</f>
        <v>7582400000</v>
      </c>
      <c r="D43" s="137">
        <f>Private_2!D43*'BTU Conversion Factor'!$F$4</f>
        <v>8530200000</v>
      </c>
      <c r="E43" s="137">
        <f>Private_2!E43*'BTU Conversion Factor'!$F$4</f>
        <v>9478000000</v>
      </c>
      <c r="F43" s="137">
        <f>Private_2!F43*'BTU Conversion Factor'!$F$4</f>
        <v>5686800000</v>
      </c>
      <c r="G43" s="137">
        <f>Private_2!G43*'BTU Conversion Factor'!$F$4</f>
        <v>2843400000</v>
      </c>
      <c r="H43" s="137">
        <f>Private_2!H43*'BTU Conversion Factor'!$F$4</f>
        <v>1895600000</v>
      </c>
      <c r="I43" s="137">
        <f>Private_2!I43*'BTU Conversion Factor'!$F$4</f>
        <v>947800000</v>
      </c>
      <c r="J43" s="137">
        <f>Private_2!J43*'BTU Conversion Factor'!$F$4</f>
        <v>1895600000</v>
      </c>
      <c r="K43" s="137">
        <f>Private_2!K43*'BTU Conversion Factor'!$F$4</f>
        <v>3791200000</v>
      </c>
      <c r="L43" s="137">
        <f>Private_2!L43*'BTU Conversion Factor'!$F$4</f>
        <v>8530200000</v>
      </c>
      <c r="M43" s="137">
        <f>Private_2!M43*'BTU Conversion Factor'!$F$4</f>
        <v>18008200000</v>
      </c>
      <c r="N43" s="137">
        <f>Private_2!N43*'BTU Conversion Factor'!$F$4</f>
        <v>35068600000</v>
      </c>
      <c r="O43" s="137">
        <f>Private_2!O43*'BTU Conversion Factor'!$F$4</f>
        <v>36016400000</v>
      </c>
      <c r="P43" s="137">
        <f>Private_2!P43*'BTU Conversion Factor'!$F$4</f>
        <v>35068600000</v>
      </c>
      <c r="Q43" s="137">
        <f>Private_2!Q43*'BTU Conversion Factor'!$F$4</f>
        <v>38859800000</v>
      </c>
      <c r="R43" s="137">
        <f>Private_2!R43*'BTU Conversion Factor'!$F$4</f>
        <v>36964200000</v>
      </c>
      <c r="S43" s="137">
        <f>Private_2!S43*'BTU Conversion Factor'!$F$4</f>
        <v>18547559122.050014</v>
      </c>
      <c r="T43" s="137">
        <f>Private_2!T43*'BTU Conversion Factor'!$F$4</f>
        <v>18776855059.705101</v>
      </c>
      <c r="U43" s="137">
        <f>Private_2!U43*'BTU Conversion Factor'!$F$4</f>
        <v>18817076808.277287</v>
      </c>
      <c r="V43" s="137">
        <f>Private_2!V43*'BTU Conversion Factor'!$F$4</f>
        <v>18870379375.917213</v>
      </c>
      <c r="W43" s="137">
        <f>Private_2!W43*'BTU Conversion Factor'!$F$4</f>
        <v>18940622504.101177</v>
      </c>
      <c r="X43" s="137">
        <f>Private_2!X43*'BTU Conversion Factor'!$F$4</f>
        <v>18991799071.40712</v>
      </c>
      <c r="Y43" s="137">
        <f>Private_2!Y43*'BTU Conversion Factor'!$F$4</f>
        <v>19044742994.589985</v>
      </c>
      <c r="Z43" s="137">
        <f>Private_2!Z43*'BTU Conversion Factor'!$F$4</f>
        <v>19203131193.497562</v>
      </c>
      <c r="AA43" s="137">
        <f>Private_2!AA43*'BTU Conversion Factor'!$F$4</f>
        <v>19221919670.029598</v>
      </c>
      <c r="AB43" s="137">
        <f>Private_2!AB43*'BTU Conversion Factor'!$F$4</f>
        <v>19367191898.204552</v>
      </c>
      <c r="AC43" s="137">
        <f>Private_2!AC43*'BTU Conversion Factor'!$F$4</f>
        <v>19403534165.701672</v>
      </c>
      <c r="AD43" s="137">
        <f>Private_2!AD43*'BTU Conversion Factor'!$F$4</f>
        <v>19506171185.992065</v>
      </c>
      <c r="AE43" s="137">
        <f>Private_2!AE43*'BTU Conversion Factor'!$F$4</f>
        <v>19515388807.721096</v>
      </c>
      <c r="AF43" s="137">
        <f>Private_2!AF43*'BTU Conversion Factor'!$F$4</f>
        <v>19508636677.462494</v>
      </c>
      <c r="AG43" s="137">
        <f>Private_2!AG43*'BTU Conversion Factor'!$F$4</f>
        <v>19347492556.09314</v>
      </c>
      <c r="AH43" s="137">
        <f>Private_2!AH43*'BTU Conversion Factor'!$F$4</f>
        <v>19411618177.252567</v>
      </c>
      <c r="AI43" s="137">
        <f>Private_2!AI43*'BTU Conversion Factor'!$F$4</f>
        <v>19425640932.580254</v>
      </c>
      <c r="AJ43" s="137">
        <f>Private_2!AJ43*'BTU Conversion Factor'!$F$4</f>
        <v>19431626489.704411</v>
      </c>
      <c r="AK43" s="137">
        <f>Private_2!AK43*'BTU Conversion Factor'!$F$4</f>
        <v>19427842655.229126</v>
      </c>
      <c r="AL43" s="137">
        <f>Private_2!AL43*'BTU Conversion Factor'!$F$4</f>
        <v>19406880379.951111</v>
      </c>
      <c r="AM43" s="137">
        <f>Private_2!AM43*'BTU Conversion Factor'!$F$4</f>
        <v>19369834400.38855</v>
      </c>
      <c r="AN43" s="137">
        <f>Private_2!AN43*'BTU Conversion Factor'!$F$4</f>
        <v>19322552756.415806</v>
      </c>
      <c r="AO43" s="137">
        <f>Private_2!AO43*'BTU Conversion Factor'!$F$4</f>
        <v>19261886767.794872</v>
      </c>
      <c r="AP43" s="137">
        <f>Private_2!AP43*'BTU Conversion Factor'!$F$4</f>
        <v>19186710691.026546</v>
      </c>
      <c r="AQ43" s="137">
        <f>Private_2!AQ43*'BTU Conversion Factor'!$F$4</f>
        <v>19109016048.219757</v>
      </c>
      <c r="AR43" s="137">
        <f>Private_2!AR43*'BTU Conversion Factor'!$F$4</f>
        <v>19011944763.520416</v>
      </c>
      <c r="AS43" s="137">
        <f>Private_2!AS43*'BTU Conversion Factor'!$F$4</f>
        <v>18916104412.5583</v>
      </c>
      <c r="AT43" s="137">
        <f>Private_2!AT43*'BTU Conversion Factor'!$F$4</f>
        <v>18809227790.705948</v>
      </c>
      <c r="AU43" s="137">
        <f>Private_2!AU43*'BTU Conversion Factor'!$F$4</f>
        <v>18695605858.069973</v>
      </c>
    </row>
    <row r="44" spans="1:47">
      <c r="B44" s="48" t="s">
        <v>955</v>
      </c>
      <c r="C44" s="137">
        <f>Private_2!C44*'BTU Conversion Factor'!$F$4</f>
        <v>0</v>
      </c>
      <c r="D44" s="137">
        <f>Private_2!D44*'BTU Conversion Factor'!$F$4</f>
        <v>0</v>
      </c>
      <c r="E44" s="137">
        <f>Private_2!E44*'BTU Conversion Factor'!$F$4</f>
        <v>0</v>
      </c>
      <c r="F44" s="137">
        <f>Private_2!F44*'BTU Conversion Factor'!$F$4</f>
        <v>0</v>
      </c>
      <c r="G44" s="137">
        <f>Private_2!G44*'BTU Conversion Factor'!$F$4</f>
        <v>0</v>
      </c>
      <c r="H44" s="137">
        <f>Private_2!H44*'BTU Conversion Factor'!$F$4</f>
        <v>0</v>
      </c>
      <c r="I44" s="137">
        <f>Private_2!I44*'BTU Conversion Factor'!$F$4</f>
        <v>0</v>
      </c>
      <c r="J44" s="137">
        <f>Private_2!J44*'BTU Conversion Factor'!$F$4</f>
        <v>0</v>
      </c>
      <c r="K44" s="137">
        <f>Private_2!K44*'BTU Conversion Factor'!$F$4</f>
        <v>0</v>
      </c>
      <c r="L44" s="137">
        <f>Private_2!L44*'BTU Conversion Factor'!$F$4</f>
        <v>0</v>
      </c>
      <c r="M44" s="137">
        <f>Private_2!M44*'BTU Conversion Factor'!$F$4</f>
        <v>0</v>
      </c>
      <c r="N44" s="137">
        <f>Private_2!N44*'BTU Conversion Factor'!$F$4</f>
        <v>0</v>
      </c>
      <c r="O44" s="137">
        <f>Private_2!O44*'BTU Conversion Factor'!$F$4</f>
        <v>0</v>
      </c>
      <c r="P44" s="137">
        <f>Private_2!P44*'BTU Conversion Factor'!$F$4</f>
        <v>0</v>
      </c>
      <c r="Q44" s="137">
        <f>Private_2!Q44*'BTU Conversion Factor'!$F$4</f>
        <v>0</v>
      </c>
      <c r="R44" s="137">
        <f>Private_2!R44*'BTU Conversion Factor'!$F$4</f>
        <v>0</v>
      </c>
      <c r="S44" s="137">
        <f>Private_2!S44*'BTU Conversion Factor'!$F$4</f>
        <v>0</v>
      </c>
      <c r="T44" s="137">
        <f>Private_2!T44*'BTU Conversion Factor'!$F$4</f>
        <v>0</v>
      </c>
      <c r="U44" s="137">
        <f>Private_2!U44*'BTU Conversion Factor'!$F$4</f>
        <v>0</v>
      </c>
      <c r="V44" s="137">
        <f>Private_2!V44*'BTU Conversion Factor'!$F$4</f>
        <v>0</v>
      </c>
      <c r="W44" s="137">
        <f>Private_2!W44*'BTU Conversion Factor'!$F$4</f>
        <v>0</v>
      </c>
      <c r="X44" s="137">
        <f>Private_2!X44*'BTU Conversion Factor'!$F$4</f>
        <v>0</v>
      </c>
      <c r="Y44" s="137">
        <f>Private_2!Y44*'BTU Conversion Factor'!$F$4</f>
        <v>0</v>
      </c>
      <c r="Z44" s="137">
        <f>Private_2!Z44*'BTU Conversion Factor'!$F$4</f>
        <v>0</v>
      </c>
      <c r="AA44" s="137">
        <f>Private_2!AA44*'BTU Conversion Factor'!$F$4</f>
        <v>0</v>
      </c>
      <c r="AB44" s="137">
        <f>Private_2!AB44*'BTU Conversion Factor'!$F$4</f>
        <v>0</v>
      </c>
      <c r="AC44" s="137">
        <f>Private_2!AC44*'BTU Conversion Factor'!$F$4</f>
        <v>0</v>
      </c>
      <c r="AD44" s="137">
        <f>Private_2!AD44*'BTU Conversion Factor'!$F$4</f>
        <v>0</v>
      </c>
      <c r="AE44" s="137">
        <f>Private_2!AE44*'BTU Conversion Factor'!$F$4</f>
        <v>0</v>
      </c>
      <c r="AF44" s="137">
        <f>Private_2!AF44*'BTU Conversion Factor'!$F$4</f>
        <v>0</v>
      </c>
      <c r="AG44" s="137">
        <f>Private_2!AG44*'BTU Conversion Factor'!$F$4</f>
        <v>0</v>
      </c>
      <c r="AH44" s="137">
        <f>Private_2!AH44*'BTU Conversion Factor'!$F$4</f>
        <v>0</v>
      </c>
      <c r="AI44" s="137">
        <f>Private_2!AI44*'BTU Conversion Factor'!$F$4</f>
        <v>0</v>
      </c>
      <c r="AJ44" s="137">
        <f>Private_2!AJ44*'BTU Conversion Factor'!$F$4</f>
        <v>0</v>
      </c>
      <c r="AK44" s="137">
        <f>Private_2!AK44*'BTU Conversion Factor'!$F$4</f>
        <v>0</v>
      </c>
      <c r="AL44" s="137">
        <f>Private_2!AL44*'BTU Conversion Factor'!$F$4</f>
        <v>0</v>
      </c>
      <c r="AM44" s="137">
        <f>Private_2!AM44*'BTU Conversion Factor'!$F$4</f>
        <v>0</v>
      </c>
      <c r="AN44" s="137">
        <f>Private_2!AN44*'BTU Conversion Factor'!$F$4</f>
        <v>0</v>
      </c>
      <c r="AO44" s="137">
        <f>Private_2!AO44*'BTU Conversion Factor'!$F$4</f>
        <v>0</v>
      </c>
      <c r="AP44" s="137">
        <f>Private_2!AP44*'BTU Conversion Factor'!$F$4</f>
        <v>0</v>
      </c>
      <c r="AQ44" s="137">
        <f>Private_2!AQ44*'BTU Conversion Factor'!$F$4</f>
        <v>0</v>
      </c>
      <c r="AR44" s="137">
        <f>Private_2!AR44*'BTU Conversion Factor'!$F$4</f>
        <v>0</v>
      </c>
      <c r="AS44" s="137">
        <f>Private_2!AS44*'BTU Conversion Factor'!$F$4</f>
        <v>0</v>
      </c>
      <c r="AT44" s="137">
        <f>Private_2!AT44*'BTU Conversion Factor'!$F$4</f>
        <v>0</v>
      </c>
      <c r="AU44" s="137">
        <f>Private_2!AU44*'BTU Conversion Factor'!$F$4</f>
        <v>0</v>
      </c>
    </row>
    <row r="45" spans="1:47">
      <c r="B45" s="48" t="s">
        <v>956</v>
      </c>
      <c r="C45" s="137">
        <f>Private_2!C45*'BTU Conversion Factor'!$F$4</f>
        <v>0</v>
      </c>
      <c r="D45" s="137">
        <f>Private_2!D45*'BTU Conversion Factor'!$F$4</f>
        <v>0</v>
      </c>
      <c r="E45" s="137">
        <f>Private_2!E45*'BTU Conversion Factor'!$F$4</f>
        <v>0</v>
      </c>
      <c r="F45" s="137">
        <f>Private_2!F45*'BTU Conversion Factor'!$F$4</f>
        <v>0</v>
      </c>
      <c r="G45" s="137">
        <f>Private_2!G45*'BTU Conversion Factor'!$F$4</f>
        <v>0</v>
      </c>
      <c r="H45" s="137">
        <f>Private_2!H45*'BTU Conversion Factor'!$F$4</f>
        <v>0</v>
      </c>
      <c r="I45" s="137">
        <f>Private_2!I45*'BTU Conversion Factor'!$F$4</f>
        <v>0</v>
      </c>
      <c r="J45" s="137">
        <f>Private_2!J45*'BTU Conversion Factor'!$F$4</f>
        <v>0</v>
      </c>
      <c r="K45" s="137">
        <f>Private_2!K45*'BTU Conversion Factor'!$F$4</f>
        <v>0</v>
      </c>
      <c r="L45" s="137">
        <f>Private_2!L45*'BTU Conversion Factor'!$F$4</f>
        <v>0</v>
      </c>
      <c r="M45" s="137">
        <f>Private_2!M45*'BTU Conversion Factor'!$F$4</f>
        <v>0</v>
      </c>
      <c r="N45" s="137">
        <f>Private_2!N45*'BTU Conversion Factor'!$F$4</f>
        <v>0</v>
      </c>
      <c r="O45" s="137">
        <f>Private_2!O45*'BTU Conversion Factor'!$F$4</f>
        <v>0</v>
      </c>
      <c r="P45" s="137">
        <f>Private_2!P45*'BTU Conversion Factor'!$F$4</f>
        <v>0</v>
      </c>
      <c r="Q45" s="137">
        <f>Private_2!Q45*'BTU Conversion Factor'!$F$4</f>
        <v>0</v>
      </c>
      <c r="R45" s="137">
        <f>Private_2!R45*'BTU Conversion Factor'!$F$4</f>
        <v>0</v>
      </c>
      <c r="S45" s="137">
        <f>Private_2!S45*'BTU Conversion Factor'!$F$4</f>
        <v>0</v>
      </c>
      <c r="T45" s="137">
        <f>Private_2!T45*'BTU Conversion Factor'!$F$4</f>
        <v>0</v>
      </c>
      <c r="U45" s="137">
        <f>Private_2!U45*'BTU Conversion Factor'!$F$4</f>
        <v>0</v>
      </c>
      <c r="V45" s="137">
        <f>Private_2!V45*'BTU Conversion Factor'!$F$4</f>
        <v>0</v>
      </c>
      <c r="W45" s="137">
        <f>Private_2!W45*'BTU Conversion Factor'!$F$4</f>
        <v>0</v>
      </c>
      <c r="X45" s="137">
        <f>Private_2!X45*'BTU Conversion Factor'!$F$4</f>
        <v>0</v>
      </c>
      <c r="Y45" s="137">
        <f>Private_2!Y45*'BTU Conversion Factor'!$F$4</f>
        <v>0</v>
      </c>
      <c r="Z45" s="137">
        <f>Private_2!Z45*'BTU Conversion Factor'!$F$4</f>
        <v>0</v>
      </c>
      <c r="AA45" s="137">
        <f>Private_2!AA45*'BTU Conversion Factor'!$F$4</f>
        <v>0</v>
      </c>
      <c r="AB45" s="137">
        <f>Private_2!AB45*'BTU Conversion Factor'!$F$4</f>
        <v>0</v>
      </c>
      <c r="AC45" s="137">
        <f>Private_2!AC45*'BTU Conversion Factor'!$F$4</f>
        <v>0</v>
      </c>
      <c r="AD45" s="137">
        <f>Private_2!AD45*'BTU Conversion Factor'!$F$4</f>
        <v>0</v>
      </c>
      <c r="AE45" s="137">
        <f>Private_2!AE45*'BTU Conversion Factor'!$F$4</f>
        <v>0</v>
      </c>
      <c r="AF45" s="137">
        <f>Private_2!AF45*'BTU Conversion Factor'!$F$4</f>
        <v>0</v>
      </c>
      <c r="AG45" s="137">
        <f>Private_2!AG45*'BTU Conversion Factor'!$F$4</f>
        <v>0</v>
      </c>
      <c r="AH45" s="137">
        <f>Private_2!AH45*'BTU Conversion Factor'!$F$4</f>
        <v>0</v>
      </c>
      <c r="AI45" s="137">
        <f>Private_2!AI45*'BTU Conversion Factor'!$F$4</f>
        <v>0</v>
      </c>
      <c r="AJ45" s="137">
        <f>Private_2!AJ45*'BTU Conversion Factor'!$F$4</f>
        <v>0</v>
      </c>
      <c r="AK45" s="137">
        <f>Private_2!AK45*'BTU Conversion Factor'!$F$4</f>
        <v>0</v>
      </c>
      <c r="AL45" s="137">
        <f>Private_2!AL45*'BTU Conversion Factor'!$F$4</f>
        <v>0</v>
      </c>
      <c r="AM45" s="137">
        <f>Private_2!AM45*'BTU Conversion Factor'!$F$4</f>
        <v>0</v>
      </c>
      <c r="AN45" s="137">
        <f>Private_2!AN45*'BTU Conversion Factor'!$F$4</f>
        <v>0</v>
      </c>
      <c r="AO45" s="137">
        <f>Private_2!AO45*'BTU Conversion Factor'!$F$4</f>
        <v>0</v>
      </c>
      <c r="AP45" s="137">
        <f>Private_2!AP45*'BTU Conversion Factor'!$F$4</f>
        <v>0</v>
      </c>
      <c r="AQ45" s="137">
        <f>Private_2!AQ45*'BTU Conversion Factor'!$F$4</f>
        <v>0</v>
      </c>
      <c r="AR45" s="137">
        <f>Private_2!AR45*'BTU Conversion Factor'!$F$4</f>
        <v>0</v>
      </c>
      <c r="AS45" s="137">
        <f>Private_2!AS45*'BTU Conversion Factor'!$F$4</f>
        <v>0</v>
      </c>
      <c r="AT45" s="137">
        <f>Private_2!AT45*'BTU Conversion Factor'!$F$4</f>
        <v>0</v>
      </c>
      <c r="AU45" s="137">
        <f>Private_2!AU45*'BTU Conversion Factor'!$F$4</f>
        <v>0</v>
      </c>
    </row>
    <row r="46" spans="1:47">
      <c r="B46" s="48" t="s">
        <v>957</v>
      </c>
      <c r="C46" s="137">
        <f>Private_2!C46*'BTU Conversion Factor'!$F$4</f>
        <v>0</v>
      </c>
      <c r="D46" s="137">
        <f>Private_2!D46*'BTU Conversion Factor'!$F$4</f>
        <v>0</v>
      </c>
      <c r="E46" s="137">
        <f>Private_2!E46*'BTU Conversion Factor'!$F$4</f>
        <v>0</v>
      </c>
      <c r="F46" s="137">
        <f>Private_2!F46*'BTU Conversion Factor'!$F$4</f>
        <v>0</v>
      </c>
      <c r="G46" s="137">
        <f>Private_2!G46*'BTU Conversion Factor'!$F$4</f>
        <v>0</v>
      </c>
      <c r="H46" s="137">
        <f>Private_2!H46*'BTU Conversion Factor'!$F$4</f>
        <v>0</v>
      </c>
      <c r="I46" s="137">
        <f>Private_2!I46*'BTU Conversion Factor'!$F$4</f>
        <v>0</v>
      </c>
      <c r="J46" s="137">
        <f>Private_2!J46*'BTU Conversion Factor'!$F$4</f>
        <v>0</v>
      </c>
      <c r="K46" s="137">
        <f>Private_2!K46*'BTU Conversion Factor'!$F$4</f>
        <v>0</v>
      </c>
      <c r="L46" s="137">
        <f>Private_2!L46*'BTU Conversion Factor'!$F$4</f>
        <v>0</v>
      </c>
      <c r="M46" s="137">
        <f>Private_2!M46*'BTU Conversion Factor'!$F$4</f>
        <v>0</v>
      </c>
      <c r="N46" s="137">
        <f>Private_2!N46*'BTU Conversion Factor'!$F$4</f>
        <v>0</v>
      </c>
      <c r="O46" s="137">
        <f>Private_2!O46*'BTU Conversion Factor'!$F$4</f>
        <v>0</v>
      </c>
      <c r="P46" s="137">
        <f>Private_2!P46*'BTU Conversion Factor'!$F$4</f>
        <v>0</v>
      </c>
      <c r="Q46" s="137">
        <f>Private_2!Q46*'BTU Conversion Factor'!$F$4</f>
        <v>0</v>
      </c>
      <c r="R46" s="137">
        <f>Private_2!R46*'BTU Conversion Factor'!$F$4</f>
        <v>0</v>
      </c>
      <c r="S46" s="137">
        <f>Private_2!S46*'BTU Conversion Factor'!$F$4</f>
        <v>0</v>
      </c>
      <c r="T46" s="137">
        <f>Private_2!T46*'BTU Conversion Factor'!$F$4</f>
        <v>0</v>
      </c>
      <c r="U46" s="137">
        <f>Private_2!U46*'BTU Conversion Factor'!$F$4</f>
        <v>0</v>
      </c>
      <c r="V46" s="137">
        <f>Private_2!V46*'BTU Conversion Factor'!$F$4</f>
        <v>0</v>
      </c>
      <c r="W46" s="137">
        <f>Private_2!W46*'BTU Conversion Factor'!$F$4</f>
        <v>0</v>
      </c>
      <c r="X46" s="137">
        <f>Private_2!X46*'BTU Conversion Factor'!$F$4</f>
        <v>0</v>
      </c>
      <c r="Y46" s="137">
        <f>Private_2!Y46*'BTU Conversion Factor'!$F$4</f>
        <v>0</v>
      </c>
      <c r="Z46" s="137">
        <f>Private_2!Z46*'BTU Conversion Factor'!$F$4</f>
        <v>0</v>
      </c>
      <c r="AA46" s="137">
        <f>Private_2!AA46*'BTU Conversion Factor'!$F$4</f>
        <v>0</v>
      </c>
      <c r="AB46" s="137">
        <f>Private_2!AB46*'BTU Conversion Factor'!$F$4</f>
        <v>0</v>
      </c>
      <c r="AC46" s="137">
        <f>Private_2!AC46*'BTU Conversion Factor'!$F$4</f>
        <v>0</v>
      </c>
      <c r="AD46" s="137">
        <f>Private_2!AD46*'BTU Conversion Factor'!$F$4</f>
        <v>0</v>
      </c>
      <c r="AE46" s="137">
        <f>Private_2!AE46*'BTU Conversion Factor'!$F$4</f>
        <v>0</v>
      </c>
      <c r="AF46" s="137">
        <f>Private_2!AF46*'BTU Conversion Factor'!$F$4</f>
        <v>0</v>
      </c>
      <c r="AG46" s="137">
        <f>Private_2!AG46*'BTU Conversion Factor'!$F$4</f>
        <v>0</v>
      </c>
      <c r="AH46" s="137">
        <f>Private_2!AH46*'BTU Conversion Factor'!$F$4</f>
        <v>0</v>
      </c>
      <c r="AI46" s="137">
        <f>Private_2!AI46*'BTU Conversion Factor'!$F$4</f>
        <v>0</v>
      </c>
      <c r="AJ46" s="137">
        <f>Private_2!AJ46*'BTU Conversion Factor'!$F$4</f>
        <v>0</v>
      </c>
      <c r="AK46" s="137">
        <f>Private_2!AK46*'BTU Conversion Factor'!$F$4</f>
        <v>0</v>
      </c>
      <c r="AL46" s="137">
        <f>Private_2!AL46*'BTU Conversion Factor'!$F$4</f>
        <v>0</v>
      </c>
      <c r="AM46" s="137">
        <f>Private_2!AM46*'BTU Conversion Factor'!$F$4</f>
        <v>0</v>
      </c>
      <c r="AN46" s="137">
        <f>Private_2!AN46*'BTU Conversion Factor'!$F$4</f>
        <v>0</v>
      </c>
      <c r="AO46" s="137">
        <f>Private_2!AO46*'BTU Conversion Factor'!$F$4</f>
        <v>0</v>
      </c>
      <c r="AP46" s="137">
        <f>Private_2!AP46*'BTU Conversion Factor'!$F$4</f>
        <v>0</v>
      </c>
      <c r="AQ46" s="137">
        <f>Private_2!AQ46*'BTU Conversion Factor'!$F$4</f>
        <v>0</v>
      </c>
      <c r="AR46" s="137">
        <f>Private_2!AR46*'BTU Conversion Factor'!$F$4</f>
        <v>0</v>
      </c>
      <c r="AS46" s="137">
        <f>Private_2!AS46*'BTU Conversion Factor'!$F$4</f>
        <v>0</v>
      </c>
      <c r="AT46" s="137">
        <f>Private_2!AT46*'BTU Conversion Factor'!$F$4</f>
        <v>0</v>
      </c>
      <c r="AU46" s="137">
        <f>Private_2!AU46*'BTU Conversion Factor'!$F$4</f>
        <v>0</v>
      </c>
    </row>
    <row r="47" spans="1:47">
      <c r="C47" t="s">
        <v>958</v>
      </c>
      <c r="D47">
        <v>1055</v>
      </c>
      <c r="E47" t="s">
        <v>959</v>
      </c>
    </row>
    <row r="48" spans="1:47">
      <c r="A48" t="s">
        <v>797</v>
      </c>
      <c r="B48" s="48" t="s">
        <v>960</v>
      </c>
      <c r="C48" s="137">
        <f>SUM(C5:C10)+SUM(C14:C19)+SUM(C23:C28)+SUM(C32:C37)+SUM(C41:C46)</f>
        <v>24842122638392.188</v>
      </c>
      <c r="D48" s="137">
        <f t="shared" ref="D48:AT48" si="0">SUM(D5:D10)+SUM(D14:D19)+SUM(D23:D28)+SUM(D32:D37)+SUM(D41:D46)</f>
        <v>25336797769243.902</v>
      </c>
      <c r="E48" s="137">
        <f t="shared" si="0"/>
        <v>25991650640596.867</v>
      </c>
      <c r="F48" s="137">
        <f t="shared" si="0"/>
        <v>27054527638029.812</v>
      </c>
      <c r="G48" s="137">
        <f t="shared" si="0"/>
        <v>27228882666562.496</v>
      </c>
      <c r="H48" s="137">
        <f t="shared" si="0"/>
        <v>27681013873635.969</v>
      </c>
      <c r="I48" s="137">
        <f t="shared" si="0"/>
        <v>27878406512775.641</v>
      </c>
      <c r="J48" s="137">
        <f t="shared" si="0"/>
        <v>27102679351160.383</v>
      </c>
      <c r="K48" s="137">
        <f t="shared" si="0"/>
        <v>29052054537519.547</v>
      </c>
      <c r="L48" s="137">
        <f t="shared" si="0"/>
        <v>27814873673289.438</v>
      </c>
      <c r="M48" s="137">
        <f t="shared" si="0"/>
        <v>28995702512549.5</v>
      </c>
      <c r="N48" s="137">
        <f t="shared" si="0"/>
        <v>28647255000000</v>
      </c>
      <c r="O48" s="137">
        <f t="shared" si="0"/>
        <v>28642516000000</v>
      </c>
      <c r="P48" s="137">
        <f t="shared" si="0"/>
        <v>28542997000000</v>
      </c>
      <c r="Q48" s="137">
        <f t="shared" si="0"/>
        <v>30453739964011.156</v>
      </c>
      <c r="R48" s="137">
        <f t="shared" si="0"/>
        <v>29870871558519.25</v>
      </c>
      <c r="S48" s="137">
        <f t="shared" si="0"/>
        <v>30651556837728.426</v>
      </c>
      <c r="T48" s="137">
        <f t="shared" si="0"/>
        <v>31281561816689.852</v>
      </c>
      <c r="U48" s="137">
        <f t="shared" si="0"/>
        <v>31604282188930.434</v>
      </c>
      <c r="V48" s="137">
        <f t="shared" si="0"/>
        <v>31954458829023.117</v>
      </c>
      <c r="W48" s="137">
        <f t="shared" si="0"/>
        <v>32339364828917.246</v>
      </c>
      <c r="X48" s="137">
        <f t="shared" si="0"/>
        <v>32697878377558.066</v>
      </c>
      <c r="Y48" s="137">
        <f t="shared" si="0"/>
        <v>33065503637113.035</v>
      </c>
      <c r="Z48" s="137">
        <f t="shared" si="0"/>
        <v>33624007604284.438</v>
      </c>
      <c r="AA48" s="137">
        <f t="shared" si="0"/>
        <v>33945558087461.43</v>
      </c>
      <c r="AB48" s="137">
        <f t="shared" si="0"/>
        <v>34497969063947.887</v>
      </c>
      <c r="AC48" s="137">
        <f t="shared" si="0"/>
        <v>34864292172662.5</v>
      </c>
      <c r="AD48" s="137">
        <f t="shared" si="0"/>
        <v>35357228522121.625</v>
      </c>
      <c r="AE48" s="137">
        <f t="shared" si="0"/>
        <v>35688079609680.172</v>
      </c>
      <c r="AF48" s="137">
        <f t="shared" si="0"/>
        <v>35995390759780.25</v>
      </c>
      <c r="AG48" s="137">
        <f t="shared" si="0"/>
        <v>36020811389755.984</v>
      </c>
      <c r="AH48" s="137">
        <f t="shared" si="0"/>
        <v>36469922206357.688</v>
      </c>
      <c r="AI48" s="137">
        <f t="shared" si="0"/>
        <v>36832301694695.992</v>
      </c>
      <c r="AJ48" s="137">
        <f t="shared" si="0"/>
        <v>37186032277068.844</v>
      </c>
      <c r="AK48" s="137">
        <f t="shared" si="0"/>
        <v>37527524509449.562</v>
      </c>
      <c r="AL48" s="137">
        <f t="shared" si="0"/>
        <v>37841983554640.164</v>
      </c>
      <c r="AM48" s="137">
        <f t="shared" si="0"/>
        <v>38130789144310.289</v>
      </c>
      <c r="AN48" s="137">
        <f t="shared" si="0"/>
        <v>38404821787075.375</v>
      </c>
      <c r="AO48" s="137">
        <f t="shared" si="0"/>
        <v>38657330314237.336</v>
      </c>
      <c r="AP48" s="137">
        <f t="shared" si="0"/>
        <v>38885397666784.875</v>
      </c>
      <c r="AQ48" s="137">
        <f t="shared" si="0"/>
        <v>39112839597623.602</v>
      </c>
      <c r="AR48" s="137">
        <f t="shared" si="0"/>
        <v>39304785271150.781</v>
      </c>
      <c r="AS48" s="137">
        <f t="shared" si="0"/>
        <v>39503190371489.797</v>
      </c>
      <c r="AT48" s="137">
        <f t="shared" si="0"/>
        <v>39682372871830.719</v>
      </c>
      <c r="AU48" s="137">
        <f>SUM(AU5:AU10)+SUM(AU14:AU19)+SUM(AU23:AU28)+SUM(AU32:AU37)+SUM(AU41:AU46)</f>
        <v>39850882322748.977</v>
      </c>
    </row>
    <row r="49" spans="1:47">
      <c r="A49" t="s">
        <v>797</v>
      </c>
      <c r="B49" s="48" t="s">
        <v>779</v>
      </c>
      <c r="C49" s="50">
        <f>C48*$D$47/10^12</f>
        <v>26208.439383503755</v>
      </c>
      <c r="D49" s="50">
        <f t="shared" ref="D49:AT49" si="1">D48*$D$47/10^12</f>
        <v>26730.321646552315</v>
      </c>
      <c r="E49" s="50">
        <f t="shared" si="1"/>
        <v>27421.191425829697</v>
      </c>
      <c r="F49" s="50">
        <f t="shared" si="1"/>
        <v>28542.526658121453</v>
      </c>
      <c r="G49" s="50">
        <f t="shared" si="1"/>
        <v>28726.471213223431</v>
      </c>
      <c r="H49" s="50">
        <f t="shared" si="1"/>
        <v>29203.46963668595</v>
      </c>
      <c r="I49" s="50">
        <f t="shared" si="1"/>
        <v>29411.7188709783</v>
      </c>
      <c r="J49" s="50">
        <f t="shared" si="1"/>
        <v>28593.326715474203</v>
      </c>
      <c r="K49" s="50">
        <f t="shared" si="1"/>
        <v>30649.917537083122</v>
      </c>
      <c r="L49" s="50">
        <f t="shared" si="1"/>
        <v>29344.691725320357</v>
      </c>
      <c r="M49" s="50">
        <f t="shared" si="1"/>
        <v>30590.466150739725</v>
      </c>
      <c r="N49" s="50">
        <f t="shared" si="1"/>
        <v>30222.854025000001</v>
      </c>
      <c r="O49" s="50">
        <f t="shared" si="1"/>
        <v>30217.854380000001</v>
      </c>
      <c r="P49" s="50">
        <f t="shared" si="1"/>
        <v>30112.861835</v>
      </c>
      <c r="Q49" s="50">
        <f t="shared" si="1"/>
        <v>32128.695662031769</v>
      </c>
      <c r="R49" s="50">
        <f t="shared" si="1"/>
        <v>31513.769494237808</v>
      </c>
      <c r="S49" s="50">
        <f t="shared" si="1"/>
        <v>32337.392463803488</v>
      </c>
      <c r="T49" s="50">
        <f t="shared" si="1"/>
        <v>33002.047716607791</v>
      </c>
      <c r="U49" s="50">
        <f t="shared" si="1"/>
        <v>33342.517709321612</v>
      </c>
      <c r="V49" s="50">
        <f t="shared" si="1"/>
        <v>33711.954064619385</v>
      </c>
      <c r="W49" s="50">
        <f t="shared" si="1"/>
        <v>34118.029894507694</v>
      </c>
      <c r="X49" s="50">
        <f t="shared" si="1"/>
        <v>34496.261688323757</v>
      </c>
      <c r="Y49" s="50">
        <f t="shared" si="1"/>
        <v>34884.106337154255</v>
      </c>
      <c r="Z49" s="50">
        <f t="shared" si="1"/>
        <v>35473.32802252008</v>
      </c>
      <c r="AA49" s="50">
        <f t="shared" si="1"/>
        <v>35812.563782271805</v>
      </c>
      <c r="AB49" s="50">
        <f t="shared" si="1"/>
        <v>36395.357362465023</v>
      </c>
      <c r="AC49" s="50">
        <f t="shared" si="1"/>
        <v>36781.828242158939</v>
      </c>
      <c r="AD49" s="50">
        <f t="shared" si="1"/>
        <v>37301.876090838312</v>
      </c>
      <c r="AE49" s="50">
        <f t="shared" si="1"/>
        <v>37650.923988212584</v>
      </c>
      <c r="AF49" s="50">
        <f t="shared" si="1"/>
        <v>37975.137251568158</v>
      </c>
      <c r="AG49" s="50">
        <f t="shared" si="1"/>
        <v>38001.956016192562</v>
      </c>
      <c r="AH49" s="50">
        <f t="shared" si="1"/>
        <v>38475.767927707362</v>
      </c>
      <c r="AI49" s="50">
        <f t="shared" si="1"/>
        <v>38858.078287904274</v>
      </c>
      <c r="AJ49" s="50">
        <f t="shared" si="1"/>
        <v>39231.264052307633</v>
      </c>
      <c r="AK49" s="50">
        <f t="shared" si="1"/>
        <v>39591.53835746929</v>
      </c>
      <c r="AL49" s="50">
        <f t="shared" si="1"/>
        <v>39923.292650145377</v>
      </c>
      <c r="AM49" s="50">
        <f t="shared" si="1"/>
        <v>40227.982547247353</v>
      </c>
      <c r="AN49" s="50">
        <f t="shared" si="1"/>
        <v>40517.08698536452</v>
      </c>
      <c r="AO49" s="50">
        <f t="shared" si="1"/>
        <v>40783.483481520394</v>
      </c>
      <c r="AP49" s="50">
        <f t="shared" si="1"/>
        <v>41024.094538458041</v>
      </c>
      <c r="AQ49" s="50">
        <f t="shared" si="1"/>
        <v>41264.045775492894</v>
      </c>
      <c r="AR49" s="50">
        <f t="shared" si="1"/>
        <v>41466.548461064071</v>
      </c>
      <c r="AS49" s="50">
        <f t="shared" si="1"/>
        <v>41675.865841921739</v>
      </c>
      <c r="AT49" s="50">
        <f t="shared" si="1"/>
        <v>41864.903379781405</v>
      </c>
      <c r="AU49" s="50">
        <f>AU48*$D$47/10^12</f>
        <v>42042.680850500168</v>
      </c>
    </row>
    <row r="50" spans="1:47">
      <c r="A50" t="s">
        <v>774</v>
      </c>
      <c r="B50" s="48" t="s">
        <v>965</v>
      </c>
      <c r="C50">
        <v>4.2248611294117708</v>
      </c>
      <c r="D50">
        <v>4.2029533764705889</v>
      </c>
      <c r="E50">
        <v>4.181045623529414</v>
      </c>
      <c r="F50">
        <v>4.1591378705882391</v>
      </c>
      <c r="G50">
        <v>4.1372301176470643</v>
      </c>
      <c r="H50">
        <v>4.1153223647058823</v>
      </c>
      <c r="I50">
        <v>4.0934146117647074</v>
      </c>
      <c r="J50">
        <v>4.0715068588235326</v>
      </c>
      <c r="K50">
        <v>4.0495991058823577</v>
      </c>
      <c r="L50">
        <v>4.0276913529411829</v>
      </c>
      <c r="M50">
        <v>4.0057836000000009</v>
      </c>
      <c r="N50">
        <v>3.983875847058826</v>
      </c>
      <c r="O50">
        <v>3.9619680941176512</v>
      </c>
      <c r="P50">
        <v>3.9400603411764763</v>
      </c>
      <c r="Q50">
        <v>3.9181525882352943</v>
      </c>
      <c r="R50">
        <v>3.8962448352941195</v>
      </c>
      <c r="S50">
        <v>3.8743370823529446</v>
      </c>
      <c r="T50">
        <v>3.8524293294117697</v>
      </c>
      <c r="U50">
        <v>3.8305215764705878</v>
      </c>
      <c r="V50">
        <v>3.8086138235294129</v>
      </c>
      <c r="W50">
        <v>3.786706070588238</v>
      </c>
      <c r="X50">
        <v>3.7647983176470632</v>
      </c>
      <c r="Y50">
        <v>3.7428905647058883</v>
      </c>
      <c r="Z50">
        <v>3.7209828117647064</v>
      </c>
      <c r="AA50">
        <v>3.6990750588235315</v>
      </c>
      <c r="AB50">
        <v>3.6771673058823566</v>
      </c>
      <c r="AC50">
        <v>3.6552595529411818</v>
      </c>
      <c r="AD50">
        <v>3.6333517999999998</v>
      </c>
      <c r="AE50">
        <v>3.6114440470588249</v>
      </c>
      <c r="AF50">
        <v>3.5895362941176501</v>
      </c>
      <c r="AG50">
        <v>3.5676285411764752</v>
      </c>
      <c r="AH50">
        <v>3.5457207882353003</v>
      </c>
      <c r="AI50">
        <v>3.5238130352941184</v>
      </c>
      <c r="AJ50">
        <v>3.5019052823529435</v>
      </c>
      <c r="AK50">
        <v>3.4799975294117687</v>
      </c>
      <c r="AL50">
        <v>3.4580897764705938</v>
      </c>
      <c r="AM50">
        <v>3.4361820235294118</v>
      </c>
      <c r="AN50">
        <v>3.414274270588237</v>
      </c>
      <c r="AO50">
        <v>3.3923665176470621</v>
      </c>
      <c r="AP50">
        <v>3.3704587647058872</v>
      </c>
      <c r="AQ50">
        <v>3.3485510117647053</v>
      </c>
      <c r="AR50">
        <v>3.3266432588235304</v>
      </c>
      <c r="AS50">
        <v>3.3047355058823555</v>
      </c>
      <c r="AT50">
        <v>3.2828277529411807</v>
      </c>
      <c r="AU50">
        <v>3.2609200000000005</v>
      </c>
    </row>
    <row r="51" spans="1:47">
      <c r="A51" s="48" t="s">
        <v>966</v>
      </c>
      <c r="B51" s="48" t="s">
        <v>967</v>
      </c>
      <c r="C51" s="50">
        <f>C49/C50/1000000*10^6</f>
        <v>6203.3848168526119</v>
      </c>
      <c r="D51" s="50">
        <f t="shared" ref="D51:AT51" si="2">D49/D50/1000000*10^6</f>
        <v>6359.8901182670224</v>
      </c>
      <c r="E51" s="50">
        <f t="shared" si="2"/>
        <v>6558.4530509576698</v>
      </c>
      <c r="F51" s="50">
        <f t="shared" si="2"/>
        <v>6862.6065175580725</v>
      </c>
      <c r="G51" s="50">
        <f t="shared" si="2"/>
        <v>6943.4066745991931</v>
      </c>
      <c r="H51" s="50">
        <f t="shared" si="2"/>
        <v>7096.2775327499985</v>
      </c>
      <c r="I51" s="50">
        <f t="shared" si="2"/>
        <v>7185.1306697463142</v>
      </c>
      <c r="J51" s="50">
        <f t="shared" si="2"/>
        <v>7022.78731362282</v>
      </c>
      <c r="K51" s="50">
        <f t="shared" si="2"/>
        <v>7568.6300632973107</v>
      </c>
      <c r="L51" s="50">
        <f t="shared" si="2"/>
        <v>7285.7349667301787</v>
      </c>
      <c r="M51" s="50">
        <f t="shared" si="2"/>
        <v>7636.5748141611339</v>
      </c>
      <c r="N51" s="50">
        <f t="shared" si="2"/>
        <v>7586.2941480248719</v>
      </c>
      <c r="O51" s="50">
        <f t="shared" si="2"/>
        <v>7626.9807484983439</v>
      </c>
      <c r="P51" s="50">
        <f t="shared" si="2"/>
        <v>7642.7412850252176</v>
      </c>
      <c r="Q51" s="50">
        <f t="shared" si="2"/>
        <v>8199.9602972334178</v>
      </c>
      <c r="R51" s="50">
        <f t="shared" si="2"/>
        <v>8088.241582964818</v>
      </c>
      <c r="S51" s="50">
        <f t="shared" si="2"/>
        <v>8346.561431398346</v>
      </c>
      <c r="T51" s="50">
        <f t="shared" si="2"/>
        <v>8566.5549954804483</v>
      </c>
      <c r="U51" s="50">
        <f t="shared" si="2"/>
        <v>8704.4328151371865</v>
      </c>
      <c r="V51" s="50">
        <f t="shared" si="2"/>
        <v>8851.5023120350852</v>
      </c>
      <c r="W51" s="50">
        <f t="shared" si="2"/>
        <v>9009.9493487245236</v>
      </c>
      <c r="X51" s="50">
        <f t="shared" si="2"/>
        <v>9162.8445344937754</v>
      </c>
      <c r="Y51" s="50">
        <f t="shared" si="2"/>
        <v>9320.0978586173023</v>
      </c>
      <c r="Z51" s="50">
        <f t="shared" si="2"/>
        <v>9533.3221939008545</v>
      </c>
      <c r="AA51" s="50">
        <f t="shared" si="2"/>
        <v>9681.4915114649702</v>
      </c>
      <c r="AB51" s="50">
        <f t="shared" si="2"/>
        <v>9897.6615244684272</v>
      </c>
      <c r="AC51" s="50">
        <f t="shared" si="2"/>
        <v>10062.713115013315</v>
      </c>
      <c r="AD51" s="50">
        <f t="shared" si="2"/>
        <v>10266.519220857808</v>
      </c>
      <c r="AE51" s="50">
        <f t="shared" si="2"/>
        <v>10425.44851798982</v>
      </c>
      <c r="AF51" s="50">
        <f t="shared" si="2"/>
        <v>10579.399159105838</v>
      </c>
      <c r="AG51" s="50">
        <f t="shared" si="2"/>
        <v>10651.881376546249</v>
      </c>
      <c r="AH51" s="50">
        <f t="shared" si="2"/>
        <v>10851.324801256191</v>
      </c>
      <c r="AI51" s="50">
        <f t="shared" si="2"/>
        <v>11027.281498395658</v>
      </c>
      <c r="AJ51" s="50">
        <f t="shared" si="2"/>
        <v>11202.834140033621</v>
      </c>
      <c r="AK51" s="50">
        <f t="shared" si="2"/>
        <v>11376.886915250636</v>
      </c>
      <c r="AL51" s="50">
        <f t="shared" si="2"/>
        <v>11544.897683625788</v>
      </c>
      <c r="AM51" s="50">
        <f t="shared" si="2"/>
        <v>11707.174495351068</v>
      </c>
      <c r="AN51" s="50">
        <f t="shared" si="2"/>
        <v>11866.969017220732</v>
      </c>
      <c r="AO51" s="50">
        <f t="shared" si="2"/>
        <v>12022.133595932237</v>
      </c>
      <c r="AP51" s="50">
        <f t="shared" si="2"/>
        <v>12171.664868903354</v>
      </c>
      <c r="AQ51" s="50">
        <f t="shared" si="2"/>
        <v>12322.955699500157</v>
      </c>
      <c r="AR51" s="50">
        <f t="shared" si="2"/>
        <v>12464.982035894267</v>
      </c>
      <c r="AS51" s="50">
        <f t="shared" si="2"/>
        <v>12610.953514355271</v>
      </c>
      <c r="AT51" s="50">
        <f t="shared" si="2"/>
        <v>12752.695703353129</v>
      </c>
      <c r="AU51" s="50">
        <f>AU49/AU50/1000000*10^6</f>
        <v>12892.889384130909</v>
      </c>
    </row>
  </sheetData>
  <phoneticPr fontId="3"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U55"/>
  <sheetViews>
    <sheetView zoomScale="85" workbookViewId="0">
      <selection activeCell="I32" sqref="I32"/>
    </sheetView>
  </sheetViews>
  <sheetFormatPr baseColWidth="10" defaultColWidth="8.796875" defaultRowHeight="14"/>
  <cols>
    <col min="1" max="1" width="5.796875" customWidth="1"/>
    <col min="2" max="2" width="11.19921875" customWidth="1"/>
    <col min="11" max="11" width="6.19921875" customWidth="1"/>
  </cols>
  <sheetData>
    <row r="1" spans="1:47" ht="22">
      <c r="A1" s="100" t="s">
        <v>962</v>
      </c>
    </row>
    <row r="2" spans="1:47" ht="22">
      <c r="A2" s="100"/>
      <c r="C2" t="s">
        <v>943</v>
      </c>
    </row>
    <row r="3" spans="1:47" s="52" customFormat="1">
      <c r="A3" s="136" t="s">
        <v>512</v>
      </c>
    </row>
    <row r="4" spans="1:47">
      <c r="B4" t="s">
        <v>481</v>
      </c>
      <c r="C4">
        <v>2006</v>
      </c>
      <c r="D4">
        <v>2007</v>
      </c>
      <c r="E4">
        <v>2008</v>
      </c>
      <c r="F4">
        <v>2009</v>
      </c>
      <c r="G4">
        <v>2010</v>
      </c>
      <c r="H4">
        <v>2011</v>
      </c>
      <c r="I4">
        <v>2012</v>
      </c>
      <c r="J4">
        <v>2013</v>
      </c>
      <c r="K4">
        <v>2014</v>
      </c>
      <c r="L4">
        <v>2015</v>
      </c>
      <c r="M4">
        <v>2016</v>
      </c>
      <c r="N4">
        <v>2017</v>
      </c>
      <c r="O4">
        <v>2018</v>
      </c>
      <c r="P4">
        <v>2019</v>
      </c>
      <c r="Q4">
        <v>2020</v>
      </c>
      <c r="R4">
        <v>2021</v>
      </c>
      <c r="S4">
        <v>2022</v>
      </c>
      <c r="T4">
        <v>2023</v>
      </c>
      <c r="U4">
        <v>2024</v>
      </c>
      <c r="V4">
        <v>2025</v>
      </c>
      <c r="W4">
        <v>2026</v>
      </c>
      <c r="X4">
        <v>2027</v>
      </c>
      <c r="Y4">
        <v>2028</v>
      </c>
      <c r="Z4">
        <v>2029</v>
      </c>
      <c r="AA4">
        <v>2030</v>
      </c>
      <c r="AB4">
        <v>2031</v>
      </c>
      <c r="AC4">
        <v>2032</v>
      </c>
      <c r="AD4">
        <v>2033</v>
      </c>
      <c r="AE4">
        <v>2034</v>
      </c>
      <c r="AF4">
        <v>2035</v>
      </c>
      <c r="AG4">
        <v>2036</v>
      </c>
      <c r="AH4">
        <v>2037</v>
      </c>
      <c r="AI4">
        <v>2038</v>
      </c>
      <c r="AJ4">
        <v>2039</v>
      </c>
      <c r="AK4">
        <v>2040</v>
      </c>
      <c r="AL4">
        <v>2041</v>
      </c>
      <c r="AM4">
        <v>2042</v>
      </c>
      <c r="AN4">
        <v>2043</v>
      </c>
      <c r="AO4">
        <v>2044</v>
      </c>
      <c r="AP4">
        <v>2045</v>
      </c>
      <c r="AQ4">
        <v>2046</v>
      </c>
      <c r="AR4">
        <v>2047</v>
      </c>
      <c r="AS4">
        <v>2048</v>
      </c>
      <c r="AT4">
        <v>2049</v>
      </c>
      <c r="AU4">
        <v>2050</v>
      </c>
    </row>
    <row r="5" spans="1:47">
      <c r="B5" t="s">
        <v>944</v>
      </c>
      <c r="C5">
        <f t="array" ref="C5:AU10">TRANSPOSE(Public_1!B5:G49)</f>
        <v>1760</v>
      </c>
      <c r="D5">
        <v>1709</v>
      </c>
      <c r="E5">
        <v>1625</v>
      </c>
      <c r="F5">
        <v>1639</v>
      </c>
      <c r="G5">
        <v>947</v>
      </c>
      <c r="H5">
        <v>942</v>
      </c>
      <c r="I5">
        <v>970</v>
      </c>
      <c r="J5">
        <v>823</v>
      </c>
      <c r="K5">
        <v>775</v>
      </c>
      <c r="L5">
        <v>691</v>
      </c>
      <c r="M5">
        <v>633</v>
      </c>
      <c r="N5">
        <v>570</v>
      </c>
      <c r="O5">
        <v>568</v>
      </c>
      <c r="P5">
        <v>584</v>
      </c>
      <c r="Q5">
        <v>617</v>
      </c>
      <c r="R5">
        <v>630</v>
      </c>
      <c r="S5">
        <v>677.50454854915199</v>
      </c>
      <c r="T5">
        <v>680.12567109366012</v>
      </c>
      <c r="U5">
        <v>685.72050664217772</v>
      </c>
      <c r="V5">
        <v>696.83248443109403</v>
      </c>
      <c r="W5">
        <v>705.39534272097694</v>
      </c>
      <c r="X5">
        <v>715.47814487871392</v>
      </c>
      <c r="Y5">
        <v>724.45072830855429</v>
      </c>
      <c r="Z5">
        <v>730.09463619073654</v>
      </c>
      <c r="AA5">
        <v>730.2313504356722</v>
      </c>
      <c r="AB5">
        <v>738.43611331207842</v>
      </c>
      <c r="AC5">
        <v>748.92682373360128</v>
      </c>
      <c r="AD5">
        <v>756.21476797535388</v>
      </c>
      <c r="AE5">
        <v>763.31549671637401</v>
      </c>
      <c r="AF5">
        <v>769.19633478168191</v>
      </c>
      <c r="AG5">
        <v>771.6367110117817</v>
      </c>
      <c r="AH5">
        <v>776.78413233875528</v>
      </c>
      <c r="AI5">
        <v>782.48942290097625</v>
      </c>
      <c r="AJ5">
        <v>788.6558214475042</v>
      </c>
      <c r="AK5">
        <v>794.78970176368398</v>
      </c>
      <c r="AL5">
        <v>799.23676424678058</v>
      </c>
      <c r="AM5">
        <v>803.16727376207348</v>
      </c>
      <c r="AN5">
        <v>807.3957308125872</v>
      </c>
      <c r="AO5">
        <v>811.4540008394132</v>
      </c>
      <c r="AP5">
        <v>815.3651928881427</v>
      </c>
      <c r="AQ5">
        <v>818.91091523234979</v>
      </c>
      <c r="AR5">
        <v>821.91045940093181</v>
      </c>
      <c r="AS5">
        <v>824.51658068462018</v>
      </c>
      <c r="AT5">
        <v>826.65131500750613</v>
      </c>
      <c r="AU5">
        <v>834.75138663302266</v>
      </c>
    </row>
    <row r="6" spans="1:47">
      <c r="B6" t="s">
        <v>945</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row>
    <row r="7" spans="1:47">
      <c r="B7" t="s">
        <v>946</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row>
    <row r="8" spans="1:47">
      <c r="B8" t="s">
        <v>947</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row>
    <row r="9" spans="1:47">
      <c r="B9" t="s">
        <v>948</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row>
    <row r="10" spans="1:47">
      <c r="B10" t="s">
        <v>949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row>
    <row r="12" spans="1:47" s="52" customFormat="1">
      <c r="A12" s="102" t="s">
        <v>931</v>
      </c>
    </row>
    <row r="13" spans="1:47">
      <c r="B13" t="s">
        <v>481</v>
      </c>
      <c r="C13">
        <v>2006</v>
      </c>
      <c r="D13">
        <v>2007</v>
      </c>
      <c r="E13">
        <v>2008</v>
      </c>
      <c r="F13">
        <v>2009</v>
      </c>
      <c r="G13">
        <v>2010</v>
      </c>
      <c r="H13">
        <v>2011</v>
      </c>
      <c r="I13">
        <v>2012</v>
      </c>
      <c r="J13">
        <v>2013</v>
      </c>
      <c r="K13">
        <v>2014</v>
      </c>
      <c r="L13">
        <v>2015</v>
      </c>
      <c r="M13">
        <v>2016</v>
      </c>
      <c r="N13">
        <v>2017</v>
      </c>
      <c r="O13">
        <v>2018</v>
      </c>
      <c r="P13">
        <v>2019</v>
      </c>
      <c r="Q13">
        <v>2020</v>
      </c>
      <c r="R13">
        <v>2021</v>
      </c>
      <c r="S13">
        <v>2022</v>
      </c>
      <c r="T13">
        <v>2023</v>
      </c>
      <c r="U13">
        <v>2024</v>
      </c>
      <c r="V13">
        <v>2025</v>
      </c>
      <c r="W13">
        <v>2026</v>
      </c>
      <c r="X13">
        <v>2027</v>
      </c>
      <c r="Y13">
        <v>2028</v>
      </c>
      <c r="Z13">
        <v>2029</v>
      </c>
      <c r="AA13">
        <v>2030</v>
      </c>
      <c r="AB13">
        <v>2031</v>
      </c>
      <c r="AC13">
        <v>2032</v>
      </c>
      <c r="AD13">
        <v>2033</v>
      </c>
      <c r="AE13">
        <v>2034</v>
      </c>
      <c r="AF13">
        <v>2035</v>
      </c>
      <c r="AG13">
        <v>2036</v>
      </c>
      <c r="AH13">
        <v>2037</v>
      </c>
      <c r="AI13">
        <v>2038</v>
      </c>
      <c r="AJ13">
        <v>2039</v>
      </c>
      <c r="AK13">
        <v>2040</v>
      </c>
      <c r="AL13">
        <v>2041</v>
      </c>
      <c r="AM13">
        <v>2042</v>
      </c>
      <c r="AN13">
        <v>2043</v>
      </c>
      <c r="AO13">
        <v>2044</v>
      </c>
      <c r="AP13">
        <v>2045</v>
      </c>
      <c r="AQ13">
        <v>2046</v>
      </c>
      <c r="AR13">
        <v>2047</v>
      </c>
      <c r="AS13">
        <v>2048</v>
      </c>
      <c r="AT13">
        <v>2049</v>
      </c>
      <c r="AU13">
        <v>2050</v>
      </c>
    </row>
    <row r="14" spans="1:47">
      <c r="B14" t="s">
        <v>944</v>
      </c>
      <c r="C14">
        <f t="array" ref="C14:AU19">TRANSPOSE(Public_1!L5:Q49)</f>
        <v>5006</v>
      </c>
      <c r="D14">
        <v>4963</v>
      </c>
      <c r="E14">
        <v>4836</v>
      </c>
      <c r="F14">
        <v>5103</v>
      </c>
      <c r="G14">
        <v>2869.9999999999995</v>
      </c>
      <c r="H14">
        <v>2931</v>
      </c>
      <c r="I14">
        <v>3029</v>
      </c>
      <c r="J14">
        <v>2883</v>
      </c>
      <c r="K14">
        <v>3496</v>
      </c>
      <c r="L14">
        <v>3580</v>
      </c>
      <c r="M14">
        <v>3758</v>
      </c>
      <c r="N14">
        <v>3821</v>
      </c>
      <c r="O14">
        <v>3766.9999999999995</v>
      </c>
      <c r="P14">
        <v>3818.9999999999995</v>
      </c>
      <c r="Q14">
        <v>4280</v>
      </c>
      <c r="R14">
        <v>4446</v>
      </c>
      <c r="S14">
        <v>3796.1279522669383</v>
      </c>
      <c r="T14">
        <v>3776.5760827405929</v>
      </c>
      <c r="U14">
        <v>3773.1229336696206</v>
      </c>
      <c r="V14">
        <v>3799.1863843259403</v>
      </c>
      <c r="W14">
        <v>3810.3613784542213</v>
      </c>
      <c r="X14">
        <v>3828.808068838292</v>
      </c>
      <c r="Y14">
        <v>3840.3542678189333</v>
      </c>
      <c r="Z14">
        <v>3833.519158951759</v>
      </c>
      <c r="AA14">
        <v>3797.4763405654321</v>
      </c>
      <c r="AB14">
        <v>3802.9704755298585</v>
      </c>
      <c r="AC14">
        <v>3819.2961650560719</v>
      </c>
      <c r="AD14">
        <v>3818.393735939223</v>
      </c>
      <c r="AE14">
        <v>3815.8216481096465</v>
      </c>
      <c r="AF14">
        <v>3806.4978081911545</v>
      </c>
      <c r="AG14">
        <v>3779.7293632857736</v>
      </c>
      <c r="AH14">
        <v>3765.838933721031</v>
      </c>
      <c r="AI14">
        <v>3754.106708938923</v>
      </c>
      <c r="AJ14">
        <v>3743.9890825569987</v>
      </c>
      <c r="AK14">
        <v>3733.0978723970866</v>
      </c>
      <c r="AL14">
        <v>3713.7510846411383</v>
      </c>
      <c r="AM14">
        <v>3691.5823341518767</v>
      </c>
      <c r="AN14">
        <v>3670.3723026669454</v>
      </c>
      <c r="AO14">
        <v>3647.9714480911489</v>
      </c>
      <c r="AP14">
        <v>3624.5081982990805</v>
      </c>
      <c r="AQ14">
        <v>3599.0449521380933</v>
      </c>
      <c r="AR14">
        <v>3570.8518025309713</v>
      </c>
      <c r="AS14">
        <v>3540.6672021210179</v>
      </c>
      <c r="AT14">
        <v>3508.2196957644924</v>
      </c>
      <c r="AU14">
        <v>3500.573210766343</v>
      </c>
    </row>
    <row r="15" spans="1:47">
      <c r="B15" t="s">
        <v>945</v>
      </c>
      <c r="C15" t="e">
        <v>#REF!</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row>
    <row r="16" spans="1:47">
      <c r="B16" t="s">
        <v>946</v>
      </c>
      <c r="C16" t="e">
        <v>#REF!</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row>
    <row r="17" spans="1:47">
      <c r="B17" t="s">
        <v>947</v>
      </c>
      <c r="C17" t="e">
        <v>#REF!</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row>
    <row r="18" spans="1:47">
      <c r="B18" t="s">
        <v>948</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row>
    <row r="19" spans="1:47">
      <c r="B19" t="s">
        <v>949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row>
    <row r="21" spans="1:47" s="52" customFormat="1">
      <c r="A21" s="102" t="s">
        <v>932</v>
      </c>
    </row>
    <row r="22" spans="1:47">
      <c r="B22" t="s">
        <v>554</v>
      </c>
      <c r="C22">
        <v>2006</v>
      </c>
      <c r="D22">
        <v>2007</v>
      </c>
      <c r="E22">
        <v>2008</v>
      </c>
      <c r="F22">
        <v>2009</v>
      </c>
      <c r="G22">
        <v>2010</v>
      </c>
      <c r="H22">
        <v>2011</v>
      </c>
      <c r="I22">
        <v>2012</v>
      </c>
      <c r="J22">
        <v>2013</v>
      </c>
      <c r="K22">
        <v>2014</v>
      </c>
      <c r="L22">
        <v>2015</v>
      </c>
      <c r="M22">
        <v>2016</v>
      </c>
      <c r="N22">
        <v>2017</v>
      </c>
      <c r="O22">
        <v>2018</v>
      </c>
      <c r="P22">
        <v>2019</v>
      </c>
      <c r="Q22">
        <v>2020</v>
      </c>
      <c r="R22">
        <v>2021</v>
      </c>
      <c r="S22">
        <v>2022</v>
      </c>
      <c r="T22">
        <v>2023</v>
      </c>
      <c r="U22">
        <v>2024</v>
      </c>
      <c r="V22">
        <v>2025</v>
      </c>
      <c r="W22">
        <v>2026</v>
      </c>
      <c r="X22">
        <v>2027</v>
      </c>
      <c r="Y22">
        <v>2028</v>
      </c>
      <c r="Z22">
        <v>2029</v>
      </c>
      <c r="AA22">
        <v>2030</v>
      </c>
      <c r="AB22">
        <v>2031</v>
      </c>
      <c r="AC22">
        <v>2032</v>
      </c>
      <c r="AD22">
        <v>2033</v>
      </c>
      <c r="AE22">
        <v>2034</v>
      </c>
      <c r="AF22">
        <v>2035</v>
      </c>
      <c r="AG22">
        <v>2036</v>
      </c>
      <c r="AH22">
        <v>2037</v>
      </c>
      <c r="AI22">
        <v>2038</v>
      </c>
      <c r="AJ22">
        <v>2039</v>
      </c>
      <c r="AK22">
        <v>2040</v>
      </c>
      <c r="AL22">
        <v>2041</v>
      </c>
      <c r="AM22">
        <v>2042</v>
      </c>
      <c r="AN22">
        <v>2043</v>
      </c>
      <c r="AO22">
        <v>2044</v>
      </c>
      <c r="AP22">
        <v>2045</v>
      </c>
      <c r="AQ22">
        <v>2046</v>
      </c>
      <c r="AR22">
        <v>2047</v>
      </c>
      <c r="AS22">
        <v>2048</v>
      </c>
      <c r="AT22">
        <v>2049</v>
      </c>
      <c r="AU22">
        <v>2050</v>
      </c>
    </row>
    <row r="23" spans="1:47">
      <c r="B23" t="s">
        <v>934</v>
      </c>
      <c r="C23">
        <f t="array" ref="C23:AU28">TRANSPOSE(Public_1!V5:AA49)</f>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c r="B24" t="s">
        <v>935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c r="B25" t="s">
        <v>936</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c r="B26" t="s">
        <v>937</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row>
    <row r="27" spans="1:47">
      <c r="B27" t="s">
        <v>938</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row>
    <row r="28" spans="1:47">
      <c r="B28" t="s">
        <v>939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row>
    <row r="30" spans="1:47" s="52" customFormat="1">
      <c r="A30" s="102" t="s">
        <v>933</v>
      </c>
    </row>
    <row r="31" spans="1:47">
      <c r="B31" t="s">
        <v>481</v>
      </c>
      <c r="C31">
        <v>2006</v>
      </c>
      <c r="D31">
        <v>2007</v>
      </c>
      <c r="E31">
        <v>2008</v>
      </c>
      <c r="F31">
        <v>2009</v>
      </c>
      <c r="G31">
        <v>2010</v>
      </c>
      <c r="H31">
        <v>2011</v>
      </c>
      <c r="I31">
        <v>2012</v>
      </c>
      <c r="J31">
        <v>2013</v>
      </c>
      <c r="K31">
        <v>2014</v>
      </c>
      <c r="L31">
        <v>2015</v>
      </c>
      <c r="M31">
        <v>2016</v>
      </c>
      <c r="N31">
        <v>2017</v>
      </c>
      <c r="O31">
        <v>2018</v>
      </c>
      <c r="P31">
        <v>2019</v>
      </c>
      <c r="Q31">
        <v>2020</v>
      </c>
      <c r="R31">
        <v>2021</v>
      </c>
      <c r="S31">
        <v>2022</v>
      </c>
      <c r="T31">
        <v>2023</v>
      </c>
      <c r="U31">
        <v>2024</v>
      </c>
      <c r="V31">
        <v>2025</v>
      </c>
      <c r="W31">
        <v>2026</v>
      </c>
      <c r="X31">
        <v>2027</v>
      </c>
      <c r="Y31">
        <v>2028</v>
      </c>
      <c r="Z31">
        <v>2029</v>
      </c>
      <c r="AA31">
        <v>2030</v>
      </c>
      <c r="AB31">
        <v>2031</v>
      </c>
      <c r="AC31">
        <v>2032</v>
      </c>
      <c r="AD31">
        <v>2033</v>
      </c>
      <c r="AE31">
        <v>2034</v>
      </c>
      <c r="AF31">
        <v>2035</v>
      </c>
      <c r="AG31">
        <v>2036</v>
      </c>
      <c r="AH31">
        <v>2037</v>
      </c>
      <c r="AI31">
        <v>2038</v>
      </c>
      <c r="AJ31">
        <v>2039</v>
      </c>
      <c r="AK31">
        <v>2040</v>
      </c>
      <c r="AL31">
        <v>2041</v>
      </c>
      <c r="AM31">
        <v>2042</v>
      </c>
      <c r="AN31">
        <v>2043</v>
      </c>
      <c r="AO31">
        <v>2044</v>
      </c>
      <c r="AP31">
        <v>2045</v>
      </c>
      <c r="AQ31">
        <v>2046</v>
      </c>
      <c r="AR31">
        <v>2047</v>
      </c>
      <c r="AS31">
        <v>2048</v>
      </c>
      <c r="AT31">
        <v>2049</v>
      </c>
      <c r="AU31">
        <v>2050</v>
      </c>
    </row>
    <row r="32" spans="1:47">
      <c r="B32" t="s">
        <v>944</v>
      </c>
      <c r="C32">
        <f t="array" ref="C32:AU37">TRANSPOSE(Public_1!AF5:AK49)</f>
        <v>7508</v>
      </c>
      <c r="D32">
        <v>7972.0000000000009</v>
      </c>
      <c r="E32">
        <v>8310</v>
      </c>
      <c r="F32">
        <v>8476</v>
      </c>
      <c r="G32">
        <v>5357</v>
      </c>
      <c r="H32">
        <v>5578</v>
      </c>
      <c r="I32">
        <v>5700.9999999999991</v>
      </c>
      <c r="J32">
        <v>5776</v>
      </c>
      <c r="K32">
        <v>5857.9999999999991</v>
      </c>
      <c r="L32">
        <v>5550</v>
      </c>
      <c r="M32">
        <v>5443</v>
      </c>
      <c r="N32">
        <v>5046.0000000000009</v>
      </c>
      <c r="O32">
        <v>5020</v>
      </c>
      <c r="P32">
        <v>5133.9999999999991</v>
      </c>
      <c r="Q32">
        <v>5434</v>
      </c>
      <c r="R32">
        <v>5532</v>
      </c>
      <c r="S32">
        <v>6238.3028215568129</v>
      </c>
      <c r="T32">
        <v>6353.0075337386907</v>
      </c>
      <c r="U32">
        <v>6496.5709482063685</v>
      </c>
      <c r="V32">
        <v>6694.6158471874833</v>
      </c>
      <c r="W32">
        <v>6870.7771242380477</v>
      </c>
      <c r="X32">
        <v>7064.2119029601799</v>
      </c>
      <c r="Y32">
        <v>7249.2078154053752</v>
      </c>
      <c r="Z32">
        <v>7402.8269986951827</v>
      </c>
      <c r="AA32">
        <v>7501.3614340670729</v>
      </c>
      <c r="AB32">
        <v>7683.8716794788224</v>
      </c>
      <c r="AC32">
        <v>7892.6416348045668</v>
      </c>
      <c r="AD32">
        <v>8070.0095474418049</v>
      </c>
      <c r="AE32">
        <v>8247.27894300343</v>
      </c>
      <c r="AF32">
        <v>8413.0798721938827</v>
      </c>
      <c r="AG32">
        <v>8542.342816824661</v>
      </c>
      <c r="AH32">
        <v>8702.5681939074839</v>
      </c>
      <c r="AI32">
        <v>8870.4715586847342</v>
      </c>
      <c r="AJ32">
        <v>9045.1652380331707</v>
      </c>
      <c r="AK32">
        <v>9221.1056718267719</v>
      </c>
      <c r="AL32">
        <v>9378.8667203410841</v>
      </c>
      <c r="AM32">
        <v>9531.6641630090999</v>
      </c>
      <c r="AN32">
        <v>9689.0662887235248</v>
      </c>
      <c r="AO32">
        <v>9845.511606645774</v>
      </c>
      <c r="AP32">
        <v>10001.2155543307</v>
      </c>
      <c r="AQ32">
        <v>10153.411568419178</v>
      </c>
      <c r="AR32">
        <v>10299.689382295683</v>
      </c>
      <c r="AS32">
        <v>10441.765866138699</v>
      </c>
      <c r="AT32">
        <v>10578.48655712345</v>
      </c>
      <c r="AU32">
        <v>10792.887083474381</v>
      </c>
    </row>
    <row r="33" spans="1:47">
      <c r="B33" t="s">
        <v>945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row>
    <row r="34" spans="1:47">
      <c r="B34" t="s">
        <v>946</v>
      </c>
      <c r="C34">
        <v>9743.0046986721136</v>
      </c>
      <c r="D34">
        <v>9551</v>
      </c>
      <c r="E34">
        <v>9746.9947943247935</v>
      </c>
      <c r="F34">
        <v>9711</v>
      </c>
      <c r="G34">
        <v>6237.9961667465268</v>
      </c>
      <c r="H34">
        <v>6131.9999999999991</v>
      </c>
      <c r="I34">
        <v>6170.9999999999991</v>
      </c>
      <c r="J34">
        <v>6087</v>
      </c>
      <c r="K34">
        <v>6075</v>
      </c>
      <c r="L34">
        <v>5915</v>
      </c>
      <c r="M34">
        <v>6035</v>
      </c>
      <c r="N34">
        <v>5905</v>
      </c>
      <c r="O34">
        <v>6171</v>
      </c>
      <c r="P34">
        <v>5794</v>
      </c>
      <c r="Q34">
        <v>6336.9999999999991</v>
      </c>
      <c r="R34">
        <v>6214</v>
      </c>
      <c r="S34">
        <v>6186.2660629985439</v>
      </c>
      <c r="T34">
        <v>6151.885820634343</v>
      </c>
      <c r="U34">
        <v>6143.7116721335269</v>
      </c>
      <c r="V34">
        <v>6183.5490690133656</v>
      </c>
      <c r="W34">
        <v>6199.092918107508</v>
      </c>
      <c r="X34">
        <v>6226.4097536623203</v>
      </c>
      <c r="Y34">
        <v>6242.4459309050535</v>
      </c>
      <c r="Z34">
        <v>6228.5611762666513</v>
      </c>
      <c r="AA34">
        <v>6167.2120904522217</v>
      </c>
      <c r="AB34">
        <v>6173.3016806185469</v>
      </c>
      <c r="AC34">
        <v>6196.9153389339017</v>
      </c>
      <c r="AD34">
        <v>6192.5206052196108</v>
      </c>
      <c r="AE34">
        <v>6185.3758389610884</v>
      </c>
      <c r="AF34">
        <v>6167.2497081813954</v>
      </c>
      <c r="AG34">
        <v>6120.8413064620718</v>
      </c>
      <c r="AH34">
        <v>6095.2715170283918</v>
      </c>
      <c r="AI34">
        <v>6073.1659353504783</v>
      </c>
      <c r="AJ34">
        <v>6053.6391162501623</v>
      </c>
      <c r="AK34">
        <v>6032.8263489106812</v>
      </c>
      <c r="AL34">
        <v>5998.320686768514</v>
      </c>
      <c r="AM34">
        <v>5959.2375584821566</v>
      </c>
      <c r="AN34">
        <v>5921.6832974271401</v>
      </c>
      <c r="AO34">
        <v>5882.1883460046829</v>
      </c>
      <c r="AP34">
        <v>5840.9620505231587</v>
      </c>
      <c r="AQ34">
        <v>5796.4964375193422</v>
      </c>
      <c r="AR34">
        <v>5747.6215490499008</v>
      </c>
      <c r="AS34">
        <v>5695.5325044876327</v>
      </c>
      <c r="AT34">
        <v>5639.7981926141165</v>
      </c>
      <c r="AU34">
        <v>5623.9049398473671</v>
      </c>
    </row>
    <row r="35" spans="1:47">
      <c r="B35" t="s">
        <v>947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c r="B36" t="s">
        <v>948</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c r="B37" t="s">
        <v>949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9" spans="1:47" s="52" customFormat="1">
      <c r="A39" s="102" t="s">
        <v>516</v>
      </c>
    </row>
    <row r="40" spans="1:47">
      <c r="B40" t="s">
        <v>481</v>
      </c>
      <c r="C40">
        <v>2006</v>
      </c>
      <c r="D40">
        <v>2007</v>
      </c>
      <c r="E40">
        <v>2008</v>
      </c>
      <c r="F40">
        <v>2009</v>
      </c>
      <c r="G40">
        <v>2010</v>
      </c>
      <c r="H40">
        <v>2011</v>
      </c>
      <c r="I40">
        <v>2012</v>
      </c>
      <c r="J40">
        <v>2013</v>
      </c>
      <c r="K40">
        <v>2014</v>
      </c>
      <c r="L40">
        <v>2015</v>
      </c>
      <c r="M40">
        <v>2016</v>
      </c>
      <c r="N40">
        <v>2017</v>
      </c>
      <c r="O40">
        <v>2018</v>
      </c>
      <c r="P40">
        <v>2019</v>
      </c>
      <c r="Q40">
        <v>2020</v>
      </c>
      <c r="R40">
        <v>2021</v>
      </c>
      <c r="S40">
        <v>2022</v>
      </c>
      <c r="T40">
        <v>2023</v>
      </c>
      <c r="U40">
        <v>2024</v>
      </c>
      <c r="V40">
        <v>2025</v>
      </c>
      <c r="W40">
        <v>2026</v>
      </c>
      <c r="X40">
        <v>2027</v>
      </c>
      <c r="Y40">
        <v>2028</v>
      </c>
      <c r="Z40">
        <v>2029</v>
      </c>
      <c r="AA40">
        <v>2030</v>
      </c>
      <c r="AB40">
        <v>2031</v>
      </c>
      <c r="AC40">
        <v>2032</v>
      </c>
      <c r="AD40">
        <v>2033</v>
      </c>
      <c r="AE40">
        <v>2034</v>
      </c>
      <c r="AF40">
        <v>2035</v>
      </c>
      <c r="AG40">
        <v>2036</v>
      </c>
      <c r="AH40">
        <v>2037</v>
      </c>
      <c r="AI40">
        <v>2038</v>
      </c>
      <c r="AJ40">
        <v>2039</v>
      </c>
      <c r="AK40">
        <v>2040</v>
      </c>
      <c r="AL40">
        <v>2041</v>
      </c>
      <c r="AM40">
        <v>2042</v>
      </c>
      <c r="AN40">
        <v>2043</v>
      </c>
      <c r="AO40">
        <v>2044</v>
      </c>
      <c r="AP40">
        <v>2045</v>
      </c>
      <c r="AQ40">
        <v>2046</v>
      </c>
      <c r="AR40">
        <v>2047</v>
      </c>
      <c r="AS40">
        <v>2048</v>
      </c>
      <c r="AT40">
        <v>2049</v>
      </c>
      <c r="AU40">
        <v>2050</v>
      </c>
    </row>
    <row r="41" spans="1:47">
      <c r="B41" t="s">
        <v>944</v>
      </c>
      <c r="C41" s="50">
        <f t="array" ref="C41:AU46">TRANSPOSE(Public_1!AP5:AU49)</f>
        <v>903</v>
      </c>
      <c r="D41" s="51">
        <v>943</v>
      </c>
      <c r="E41" s="51">
        <v>965</v>
      </c>
      <c r="F41" s="51">
        <v>1094</v>
      </c>
      <c r="G41" s="51">
        <v>717</v>
      </c>
      <c r="H41" s="51">
        <v>817</v>
      </c>
      <c r="I41" s="50">
        <v>974</v>
      </c>
      <c r="J41" s="50">
        <v>1013</v>
      </c>
      <c r="K41" s="50">
        <v>1145</v>
      </c>
      <c r="L41" s="50">
        <v>1212</v>
      </c>
      <c r="M41" s="50">
        <v>1297</v>
      </c>
      <c r="N41">
        <v>1315</v>
      </c>
      <c r="O41">
        <v>1310</v>
      </c>
      <c r="P41">
        <v>1348</v>
      </c>
      <c r="Q41">
        <v>1425</v>
      </c>
      <c r="R41">
        <v>1453</v>
      </c>
      <c r="S41">
        <v>1471.0176863082938</v>
      </c>
      <c r="T41">
        <v>1478.2852345714141</v>
      </c>
      <c r="U41">
        <v>1492.0479719315963</v>
      </c>
      <c r="V41">
        <v>1517.8672459900808</v>
      </c>
      <c r="W41">
        <v>1538.1932627152714</v>
      </c>
      <c r="X41">
        <v>1561.891125224535</v>
      </c>
      <c r="Y41">
        <v>1583.2243041892566</v>
      </c>
      <c r="Z41">
        <v>1597.3316357651083</v>
      </c>
      <c r="AA41">
        <v>1599.4175967198121</v>
      </c>
      <c r="AB41">
        <v>1619.2089372444477</v>
      </c>
      <c r="AC41">
        <v>1644.0726953343474</v>
      </c>
      <c r="AD41">
        <v>1661.963717139804</v>
      </c>
      <c r="AE41">
        <v>1679.4933618905141</v>
      </c>
      <c r="AF41">
        <v>1694.3858294292991</v>
      </c>
      <c r="AG41">
        <v>1701.7349987616183</v>
      </c>
      <c r="AH41">
        <v>1715.0878952365497</v>
      </c>
      <c r="AI41">
        <v>1729.7149097071012</v>
      </c>
      <c r="AJ41">
        <v>1745.4065534174447</v>
      </c>
      <c r="AK41">
        <v>1761.073018481108</v>
      </c>
      <c r="AL41">
        <v>1773.0444526911795</v>
      </c>
      <c r="AM41">
        <v>1783.906956974708</v>
      </c>
      <c r="AN41">
        <v>1795.4678812555671</v>
      </c>
      <c r="AO41">
        <v>1806.6875676654997</v>
      </c>
      <c r="AP41">
        <v>1817.6163743434124</v>
      </c>
      <c r="AQ41">
        <v>1827.7658770978999</v>
      </c>
      <c r="AR41">
        <v>1836.7294352010579</v>
      </c>
      <c r="AS41">
        <v>1844.8444794999925</v>
      </c>
      <c r="AT41">
        <v>1851.9332128097631</v>
      </c>
      <c r="AU41">
        <v>1872.4300073194099</v>
      </c>
    </row>
    <row r="42" spans="1:47">
      <c r="B42" t="s">
        <v>945</v>
      </c>
      <c r="C42" s="50">
        <v>0</v>
      </c>
      <c r="D42" s="51">
        <v>0</v>
      </c>
      <c r="E42" s="51">
        <v>0</v>
      </c>
      <c r="F42" s="51">
        <v>0</v>
      </c>
      <c r="G42" s="51">
        <v>0</v>
      </c>
      <c r="H42" s="51">
        <v>0</v>
      </c>
      <c r="I42" s="50">
        <v>0</v>
      </c>
      <c r="J42" s="50">
        <v>0</v>
      </c>
      <c r="K42" s="50">
        <v>0</v>
      </c>
      <c r="L42" s="50">
        <v>0</v>
      </c>
      <c r="M42" s="50">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row>
    <row r="43" spans="1:47">
      <c r="B43" t="s">
        <v>946</v>
      </c>
      <c r="C43" s="50">
        <v>44.995403472931564</v>
      </c>
      <c r="D43" s="51">
        <v>47</v>
      </c>
      <c r="E43" s="51">
        <v>52.005307747269576</v>
      </c>
      <c r="F43" s="51">
        <v>45</v>
      </c>
      <c r="G43" s="51">
        <v>25.003992972368629</v>
      </c>
      <c r="H43" s="51">
        <v>24</v>
      </c>
      <c r="I43" s="50">
        <v>21</v>
      </c>
      <c r="J43" s="50">
        <v>22</v>
      </c>
      <c r="K43" s="50">
        <v>23</v>
      </c>
      <c r="L43" s="50">
        <v>23</v>
      </c>
      <c r="M43" s="50">
        <v>23</v>
      </c>
      <c r="N43">
        <v>23.999999999999996</v>
      </c>
      <c r="O43">
        <v>24</v>
      </c>
      <c r="P43">
        <v>23</v>
      </c>
      <c r="Q43">
        <v>25.000000000000004</v>
      </c>
      <c r="R43">
        <v>25.000000000000004</v>
      </c>
      <c r="S43">
        <v>28.2938588279582</v>
      </c>
      <c r="T43">
        <v>28.808694233811487</v>
      </c>
      <c r="U43">
        <v>29.441747309904379</v>
      </c>
      <c r="V43">
        <v>30.308487039516361</v>
      </c>
      <c r="W43">
        <v>31.062352959663869</v>
      </c>
      <c r="X43">
        <v>31.880044436291854</v>
      </c>
      <c r="Y43">
        <v>32.644866320279625</v>
      </c>
      <c r="Z43">
        <v>33.253600264164369</v>
      </c>
      <c r="AA43">
        <v>33.600844377115756</v>
      </c>
      <c r="AB43">
        <v>34.309615745650973</v>
      </c>
      <c r="AC43">
        <v>35.119179668115159</v>
      </c>
      <c r="AD43">
        <v>35.772265665496292</v>
      </c>
      <c r="AE43">
        <v>36.408349640830963</v>
      </c>
      <c r="AF43">
        <v>36.977174809206851</v>
      </c>
      <c r="AG43">
        <v>37.369504414780295</v>
      </c>
      <c r="AH43">
        <v>37.881319506908753</v>
      </c>
      <c r="AI43">
        <v>38.40958486783174</v>
      </c>
      <c r="AJ43">
        <v>38.949740997956845</v>
      </c>
      <c r="AK43">
        <v>39.477344939722911</v>
      </c>
      <c r="AL43">
        <v>39.909423440706206</v>
      </c>
      <c r="AM43">
        <v>40.303117563650524</v>
      </c>
      <c r="AN43">
        <v>40.698886061406881</v>
      </c>
      <c r="AO43">
        <v>41.073002994667718</v>
      </c>
      <c r="AP43">
        <v>41.426311375825982</v>
      </c>
      <c r="AQ43">
        <v>41.747377442833432</v>
      </c>
      <c r="AR43">
        <v>42.026576328114707</v>
      </c>
      <c r="AS43">
        <v>42.271321867303321</v>
      </c>
      <c r="AT43">
        <v>42.477304190973612</v>
      </c>
      <c r="AU43">
        <v>42.975622883685865</v>
      </c>
    </row>
    <row r="44" spans="1:47">
      <c r="B44" t="s">
        <v>947</v>
      </c>
      <c r="C44" s="50">
        <v>0</v>
      </c>
      <c r="D44" s="51">
        <v>0</v>
      </c>
      <c r="E44" s="51">
        <v>0</v>
      </c>
      <c r="F44" s="51">
        <v>0</v>
      </c>
      <c r="G44" s="51">
        <v>0</v>
      </c>
      <c r="H44" s="51">
        <v>0</v>
      </c>
      <c r="I44" s="50">
        <v>0</v>
      </c>
      <c r="J44" s="50">
        <v>0</v>
      </c>
      <c r="K44" s="50">
        <v>0</v>
      </c>
      <c r="L44" s="50">
        <v>0</v>
      </c>
      <c r="M44" s="50">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row>
    <row r="45" spans="1:47">
      <c r="B45" t="s">
        <v>948</v>
      </c>
      <c r="C45">
        <v>0</v>
      </c>
      <c r="D45" s="51">
        <v>0</v>
      </c>
      <c r="E45" s="51">
        <v>0</v>
      </c>
      <c r="F45" s="51">
        <v>0</v>
      </c>
      <c r="G45" s="51">
        <v>0</v>
      </c>
      <c r="H45" s="51">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row>
    <row r="46" spans="1:47">
      <c r="B46" t="s">
        <v>949</v>
      </c>
      <c r="C46">
        <v>0</v>
      </c>
      <c r="D46" s="51">
        <v>0</v>
      </c>
      <c r="E46" s="51">
        <v>0</v>
      </c>
      <c r="F46" s="51">
        <v>0</v>
      </c>
      <c r="G46" s="51">
        <v>0</v>
      </c>
      <c r="H46" s="51">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8" spans="1:47" s="19" customFormat="1">
      <c r="A48" s="148" t="s">
        <v>950</v>
      </c>
    </row>
    <row r="49" spans="2:47">
      <c r="B49" t="s">
        <v>481</v>
      </c>
      <c r="C49">
        <v>2006</v>
      </c>
      <c r="D49">
        <v>2007</v>
      </c>
      <c r="E49">
        <v>2008</v>
      </c>
      <c r="F49">
        <v>2009</v>
      </c>
      <c r="G49">
        <v>2010</v>
      </c>
      <c r="H49">
        <v>2011</v>
      </c>
      <c r="I49">
        <v>2012</v>
      </c>
      <c r="J49">
        <v>2013</v>
      </c>
      <c r="K49">
        <v>2014</v>
      </c>
      <c r="L49">
        <v>2015</v>
      </c>
      <c r="M49">
        <v>2016</v>
      </c>
      <c r="N49">
        <v>2017</v>
      </c>
      <c r="O49">
        <v>2018</v>
      </c>
      <c r="P49">
        <v>2019</v>
      </c>
      <c r="Q49">
        <v>2020</v>
      </c>
      <c r="R49">
        <v>2021</v>
      </c>
      <c r="S49">
        <v>2022</v>
      </c>
      <c r="T49">
        <v>2023</v>
      </c>
      <c r="U49">
        <v>2024</v>
      </c>
      <c r="V49">
        <v>2025</v>
      </c>
      <c r="W49">
        <v>2026</v>
      </c>
      <c r="X49">
        <v>2027</v>
      </c>
      <c r="Y49">
        <v>2028</v>
      </c>
      <c r="Z49">
        <v>2029</v>
      </c>
      <c r="AA49">
        <v>2030</v>
      </c>
      <c r="AB49">
        <v>2031</v>
      </c>
      <c r="AC49">
        <v>2032</v>
      </c>
      <c r="AD49">
        <v>2033</v>
      </c>
      <c r="AE49">
        <v>2034</v>
      </c>
      <c r="AF49">
        <v>2035</v>
      </c>
      <c r="AG49">
        <v>2036</v>
      </c>
      <c r="AH49">
        <v>2037</v>
      </c>
      <c r="AI49">
        <v>2038</v>
      </c>
      <c r="AJ49">
        <v>2039</v>
      </c>
      <c r="AK49">
        <v>2040</v>
      </c>
      <c r="AL49">
        <v>2041</v>
      </c>
      <c r="AM49">
        <v>2042</v>
      </c>
      <c r="AN49">
        <v>2043</v>
      </c>
      <c r="AO49">
        <v>2044</v>
      </c>
      <c r="AP49">
        <v>2045</v>
      </c>
      <c r="AQ49">
        <v>2046</v>
      </c>
      <c r="AR49">
        <v>2047</v>
      </c>
      <c r="AS49">
        <v>2048</v>
      </c>
      <c r="AT49">
        <v>2049</v>
      </c>
      <c r="AU49">
        <v>2050</v>
      </c>
    </row>
    <row r="50" spans="2:47">
      <c r="B50" t="s">
        <v>944</v>
      </c>
      <c r="C50" s="50">
        <f t="shared" ref="C50:AU55" si="0">SUM(C5,C14,C23,C32,C41)</f>
        <v>15177</v>
      </c>
      <c r="D50" s="50">
        <f t="shared" si="0"/>
        <v>15587</v>
      </c>
      <c r="E50" s="50">
        <f t="shared" si="0"/>
        <v>15736</v>
      </c>
      <c r="F50" s="50">
        <f t="shared" si="0"/>
        <v>16312</v>
      </c>
      <c r="G50" s="50">
        <f t="shared" si="0"/>
        <v>9891</v>
      </c>
      <c r="H50" s="50">
        <f t="shared" si="0"/>
        <v>10268</v>
      </c>
      <c r="I50" s="50">
        <f t="shared" si="0"/>
        <v>10674</v>
      </c>
      <c r="J50" s="50">
        <f t="shared" si="0"/>
        <v>10495</v>
      </c>
      <c r="K50" s="50">
        <f t="shared" si="0"/>
        <v>11274</v>
      </c>
      <c r="L50" s="50">
        <f t="shared" si="0"/>
        <v>11033</v>
      </c>
      <c r="M50" s="50">
        <f t="shared" si="0"/>
        <v>11131</v>
      </c>
      <c r="N50" s="50">
        <f t="shared" si="0"/>
        <v>10752</v>
      </c>
      <c r="O50" s="50">
        <f t="shared" si="0"/>
        <v>10665</v>
      </c>
      <c r="P50" s="50">
        <f t="shared" si="0"/>
        <v>10885</v>
      </c>
      <c r="Q50" s="50">
        <f t="shared" si="0"/>
        <v>11756</v>
      </c>
      <c r="R50" s="50">
        <f t="shared" si="0"/>
        <v>12061</v>
      </c>
      <c r="S50" s="50">
        <f t="shared" si="0"/>
        <v>12182.953008681197</v>
      </c>
      <c r="T50" s="50">
        <f t="shared" si="0"/>
        <v>12287.994522144358</v>
      </c>
      <c r="U50" s="50">
        <f t="shared" si="0"/>
        <v>12447.462360449761</v>
      </c>
      <c r="V50" s="50">
        <f t="shared" si="0"/>
        <v>12708.501961934599</v>
      </c>
      <c r="W50" s="50">
        <f t="shared" si="0"/>
        <v>12924.727108128518</v>
      </c>
      <c r="X50" s="50">
        <f t="shared" si="0"/>
        <v>13170.389241901721</v>
      </c>
      <c r="Y50" s="50">
        <f t="shared" si="0"/>
        <v>13397.237115722119</v>
      </c>
      <c r="Z50" s="50">
        <f t="shared" si="0"/>
        <v>13563.772429602788</v>
      </c>
      <c r="AA50" s="50">
        <f t="shared" si="0"/>
        <v>13628.486721787989</v>
      </c>
      <c r="AB50" s="50">
        <f t="shared" si="0"/>
        <v>13844.487205565207</v>
      </c>
      <c r="AC50" s="50">
        <f t="shared" si="0"/>
        <v>14104.937318928587</v>
      </c>
      <c r="AD50" s="50">
        <f t="shared" si="0"/>
        <v>14306.581768496186</v>
      </c>
      <c r="AE50" s="50">
        <f t="shared" si="0"/>
        <v>14505.909449719964</v>
      </c>
      <c r="AF50" s="50">
        <f t="shared" si="0"/>
        <v>14683.159844596019</v>
      </c>
      <c r="AG50" s="50">
        <f t="shared" si="0"/>
        <v>14795.443889883834</v>
      </c>
      <c r="AH50" s="50">
        <f t="shared" si="0"/>
        <v>14960.27915520382</v>
      </c>
      <c r="AI50" s="50">
        <f t="shared" si="0"/>
        <v>15136.782600231734</v>
      </c>
      <c r="AJ50" s="50">
        <f t="shared" si="0"/>
        <v>15323.216695455118</v>
      </c>
      <c r="AK50" s="50">
        <f t="shared" si="0"/>
        <v>15510.066264468649</v>
      </c>
      <c r="AL50" s="50">
        <f t="shared" si="0"/>
        <v>15664.899021920182</v>
      </c>
      <c r="AM50" s="50">
        <f t="shared" si="0"/>
        <v>15810.320727897757</v>
      </c>
      <c r="AN50" s="50">
        <f t="shared" si="0"/>
        <v>15962.302203458623</v>
      </c>
      <c r="AO50" s="50">
        <f t="shared" si="0"/>
        <v>16111.624623241836</v>
      </c>
      <c r="AP50" s="50">
        <f t="shared" si="0"/>
        <v>16258.705319861336</v>
      </c>
      <c r="AQ50" s="50">
        <f t="shared" si="0"/>
        <v>16399.133312887523</v>
      </c>
      <c r="AR50" s="50">
        <f t="shared" si="0"/>
        <v>16529.181079428643</v>
      </c>
      <c r="AS50" s="50">
        <f t="shared" si="0"/>
        <v>16651.79412844433</v>
      </c>
      <c r="AT50" s="50">
        <f t="shared" si="0"/>
        <v>16765.290780705211</v>
      </c>
      <c r="AU50" s="50">
        <f t="shared" si="0"/>
        <v>17000.641688193158</v>
      </c>
    </row>
    <row r="51" spans="2:47">
      <c r="B51" t="s">
        <v>945</v>
      </c>
      <c r="C51" s="50" t="e">
        <f t="shared" si="0"/>
        <v>#REF!</v>
      </c>
      <c r="D51" s="50">
        <f t="shared" si="0"/>
        <v>0</v>
      </c>
      <c r="E51" s="50">
        <f t="shared" si="0"/>
        <v>0</v>
      </c>
      <c r="F51" s="50">
        <f t="shared" si="0"/>
        <v>0</v>
      </c>
      <c r="G51" s="50">
        <f t="shared" si="0"/>
        <v>0</v>
      </c>
      <c r="H51" s="50">
        <f t="shared" si="0"/>
        <v>0</v>
      </c>
      <c r="I51" s="50">
        <f t="shared" si="0"/>
        <v>0</v>
      </c>
      <c r="J51" s="50">
        <f t="shared" si="0"/>
        <v>0</v>
      </c>
      <c r="K51" s="50">
        <f t="shared" si="0"/>
        <v>0</v>
      </c>
      <c r="L51" s="50">
        <f t="shared" si="0"/>
        <v>0</v>
      </c>
      <c r="M51" s="50">
        <f t="shared" si="0"/>
        <v>0</v>
      </c>
      <c r="N51" s="50">
        <f t="shared" si="0"/>
        <v>0</v>
      </c>
      <c r="O51" s="50">
        <f t="shared" si="0"/>
        <v>0</v>
      </c>
      <c r="P51" s="50">
        <f t="shared" si="0"/>
        <v>0</v>
      </c>
      <c r="Q51" s="50">
        <f t="shared" si="0"/>
        <v>0</v>
      </c>
      <c r="R51" s="50">
        <f t="shared" si="0"/>
        <v>0</v>
      </c>
      <c r="S51" s="50">
        <f t="shared" si="0"/>
        <v>0</v>
      </c>
      <c r="T51" s="50">
        <f t="shared" si="0"/>
        <v>0</v>
      </c>
      <c r="U51" s="50">
        <f t="shared" si="0"/>
        <v>0</v>
      </c>
      <c r="V51" s="50">
        <f t="shared" si="0"/>
        <v>0</v>
      </c>
      <c r="W51" s="50">
        <f t="shared" si="0"/>
        <v>0</v>
      </c>
      <c r="X51" s="50">
        <f t="shared" si="0"/>
        <v>0</v>
      </c>
      <c r="Y51" s="50">
        <f t="shared" si="0"/>
        <v>0</v>
      </c>
      <c r="Z51" s="50">
        <f t="shared" si="0"/>
        <v>0</v>
      </c>
      <c r="AA51" s="50">
        <f t="shared" si="0"/>
        <v>0</v>
      </c>
      <c r="AB51" s="50">
        <f t="shared" si="0"/>
        <v>0</v>
      </c>
      <c r="AC51" s="50">
        <f t="shared" si="0"/>
        <v>0</v>
      </c>
      <c r="AD51" s="50">
        <f t="shared" si="0"/>
        <v>0</v>
      </c>
      <c r="AE51" s="50">
        <f t="shared" si="0"/>
        <v>0</v>
      </c>
      <c r="AF51" s="50">
        <f t="shared" si="0"/>
        <v>0</v>
      </c>
      <c r="AG51" s="50">
        <f t="shared" si="0"/>
        <v>0</v>
      </c>
      <c r="AH51" s="50">
        <f t="shared" si="0"/>
        <v>0</v>
      </c>
      <c r="AI51" s="50">
        <f t="shared" si="0"/>
        <v>0</v>
      </c>
      <c r="AJ51" s="50">
        <f t="shared" si="0"/>
        <v>0</v>
      </c>
      <c r="AK51" s="50">
        <f t="shared" si="0"/>
        <v>0</v>
      </c>
      <c r="AL51" s="50">
        <f t="shared" si="0"/>
        <v>0</v>
      </c>
      <c r="AM51" s="50">
        <f t="shared" si="0"/>
        <v>0</v>
      </c>
      <c r="AN51" s="50">
        <f t="shared" si="0"/>
        <v>0</v>
      </c>
      <c r="AO51" s="50">
        <f t="shared" si="0"/>
        <v>0</v>
      </c>
      <c r="AP51" s="50">
        <f t="shared" si="0"/>
        <v>0</v>
      </c>
      <c r="AQ51" s="50">
        <f t="shared" si="0"/>
        <v>0</v>
      </c>
      <c r="AR51" s="50">
        <f t="shared" si="0"/>
        <v>0</v>
      </c>
      <c r="AS51" s="50">
        <f t="shared" si="0"/>
        <v>0</v>
      </c>
      <c r="AT51" s="50">
        <f t="shared" si="0"/>
        <v>0</v>
      </c>
      <c r="AU51" s="50">
        <f t="shared" si="0"/>
        <v>0</v>
      </c>
    </row>
    <row r="52" spans="2:47">
      <c r="B52" t="s">
        <v>946</v>
      </c>
      <c r="C52" s="50" t="e">
        <f t="shared" si="0"/>
        <v>#REF!</v>
      </c>
      <c r="D52" s="50">
        <f t="shared" si="0"/>
        <v>9598</v>
      </c>
      <c r="E52" s="50">
        <f t="shared" si="0"/>
        <v>9799.0001020720629</v>
      </c>
      <c r="F52" s="50">
        <f t="shared" si="0"/>
        <v>9756</v>
      </c>
      <c r="G52" s="50">
        <f t="shared" si="0"/>
        <v>6263.0001597188957</v>
      </c>
      <c r="H52" s="50">
        <f t="shared" si="0"/>
        <v>6155.9999999999991</v>
      </c>
      <c r="I52" s="50">
        <f t="shared" si="0"/>
        <v>6191.9999999999991</v>
      </c>
      <c r="J52" s="50">
        <f t="shared" si="0"/>
        <v>6109</v>
      </c>
      <c r="K52" s="50">
        <f t="shared" si="0"/>
        <v>6098</v>
      </c>
      <c r="L52" s="50">
        <f t="shared" si="0"/>
        <v>5938</v>
      </c>
      <c r="M52" s="50">
        <f t="shared" si="0"/>
        <v>6058</v>
      </c>
      <c r="N52" s="50">
        <f t="shared" si="0"/>
        <v>5929</v>
      </c>
      <c r="O52" s="50">
        <f t="shared" si="0"/>
        <v>6195</v>
      </c>
      <c r="P52" s="50">
        <f t="shared" si="0"/>
        <v>5817</v>
      </c>
      <c r="Q52" s="50">
        <f t="shared" si="0"/>
        <v>6361.9999999999991</v>
      </c>
      <c r="R52" s="50">
        <f t="shared" si="0"/>
        <v>6239</v>
      </c>
      <c r="S52" s="50">
        <f t="shared" si="0"/>
        <v>6214.5599218265024</v>
      </c>
      <c r="T52" s="50">
        <f t="shared" si="0"/>
        <v>6180.6945148681543</v>
      </c>
      <c r="U52" s="50">
        <f t="shared" si="0"/>
        <v>6173.1534194434316</v>
      </c>
      <c r="V52" s="50">
        <f t="shared" si="0"/>
        <v>6213.8575560528816</v>
      </c>
      <c r="W52" s="50">
        <f t="shared" si="0"/>
        <v>6230.1552710671722</v>
      </c>
      <c r="X52" s="50">
        <f t="shared" si="0"/>
        <v>6258.2897980986118</v>
      </c>
      <c r="Y52" s="50">
        <f t="shared" si="0"/>
        <v>6275.0907972253335</v>
      </c>
      <c r="Z52" s="50">
        <f t="shared" si="0"/>
        <v>6261.8147765308158</v>
      </c>
      <c r="AA52" s="50">
        <f t="shared" si="0"/>
        <v>6200.8129348293378</v>
      </c>
      <c r="AB52" s="50">
        <f t="shared" si="0"/>
        <v>6207.6112963641981</v>
      </c>
      <c r="AC52" s="50">
        <f t="shared" si="0"/>
        <v>6232.0345186020168</v>
      </c>
      <c r="AD52" s="50">
        <f t="shared" si="0"/>
        <v>6228.2928708851068</v>
      </c>
      <c r="AE52" s="50">
        <f t="shared" si="0"/>
        <v>6221.7841886019196</v>
      </c>
      <c r="AF52" s="50">
        <f t="shared" si="0"/>
        <v>6204.2268829906025</v>
      </c>
      <c r="AG52" s="50">
        <f t="shared" si="0"/>
        <v>6158.2108108768516</v>
      </c>
      <c r="AH52" s="50">
        <f t="shared" si="0"/>
        <v>6133.1528365353006</v>
      </c>
      <c r="AI52" s="50">
        <f t="shared" si="0"/>
        <v>6111.57552021831</v>
      </c>
      <c r="AJ52" s="50">
        <f t="shared" si="0"/>
        <v>6092.588857248119</v>
      </c>
      <c r="AK52" s="50">
        <f t="shared" si="0"/>
        <v>6072.3036938504038</v>
      </c>
      <c r="AL52" s="50">
        <f t="shared" si="0"/>
        <v>6038.2301102092206</v>
      </c>
      <c r="AM52" s="50">
        <f t="shared" si="0"/>
        <v>5999.5406760458072</v>
      </c>
      <c r="AN52" s="50">
        <f t="shared" si="0"/>
        <v>5962.3821834885466</v>
      </c>
      <c r="AO52" s="50">
        <f t="shared" si="0"/>
        <v>5923.261348999351</v>
      </c>
      <c r="AP52" s="50">
        <f t="shared" si="0"/>
        <v>5882.3883618989848</v>
      </c>
      <c r="AQ52" s="50">
        <f t="shared" si="0"/>
        <v>5838.2438149621757</v>
      </c>
      <c r="AR52" s="50">
        <f t="shared" si="0"/>
        <v>5789.6481253780157</v>
      </c>
      <c r="AS52" s="50">
        <f t="shared" si="0"/>
        <v>5737.8038263549361</v>
      </c>
      <c r="AT52" s="50">
        <f t="shared" si="0"/>
        <v>5682.2754968050904</v>
      </c>
      <c r="AU52" s="50">
        <f t="shared" si="0"/>
        <v>5666.880562731053</v>
      </c>
    </row>
    <row r="53" spans="2:47">
      <c r="B53" t="s">
        <v>947</v>
      </c>
      <c r="C53" s="50" t="e">
        <f t="shared" si="0"/>
        <v>#REF!</v>
      </c>
      <c r="D53" s="50">
        <f t="shared" si="0"/>
        <v>0</v>
      </c>
      <c r="E53" s="50">
        <f t="shared" si="0"/>
        <v>0</v>
      </c>
      <c r="F53" s="50">
        <f t="shared" si="0"/>
        <v>0</v>
      </c>
      <c r="G53" s="50">
        <f t="shared" si="0"/>
        <v>0</v>
      </c>
      <c r="H53" s="50">
        <f t="shared" si="0"/>
        <v>0</v>
      </c>
      <c r="I53" s="50">
        <f t="shared" si="0"/>
        <v>0</v>
      </c>
      <c r="J53" s="50">
        <f t="shared" si="0"/>
        <v>0</v>
      </c>
      <c r="K53" s="50">
        <f t="shared" si="0"/>
        <v>0</v>
      </c>
      <c r="L53" s="50">
        <f t="shared" si="0"/>
        <v>0</v>
      </c>
      <c r="M53" s="50">
        <f t="shared" si="0"/>
        <v>0</v>
      </c>
      <c r="N53" s="50">
        <f t="shared" si="0"/>
        <v>0</v>
      </c>
      <c r="O53" s="50">
        <f t="shared" si="0"/>
        <v>0</v>
      </c>
      <c r="P53" s="50">
        <f t="shared" si="0"/>
        <v>0</v>
      </c>
      <c r="Q53" s="50">
        <f t="shared" si="0"/>
        <v>0</v>
      </c>
      <c r="R53" s="50">
        <f t="shared" si="0"/>
        <v>0</v>
      </c>
      <c r="S53" s="50">
        <f t="shared" si="0"/>
        <v>0</v>
      </c>
      <c r="T53" s="50">
        <f t="shared" si="0"/>
        <v>0</v>
      </c>
      <c r="U53" s="50">
        <f t="shared" si="0"/>
        <v>0</v>
      </c>
      <c r="V53" s="50">
        <f t="shared" si="0"/>
        <v>0</v>
      </c>
      <c r="W53" s="50">
        <f t="shared" si="0"/>
        <v>0</v>
      </c>
      <c r="X53" s="50">
        <f t="shared" si="0"/>
        <v>0</v>
      </c>
      <c r="Y53" s="50">
        <f t="shared" si="0"/>
        <v>0</v>
      </c>
      <c r="Z53" s="50">
        <f t="shared" si="0"/>
        <v>0</v>
      </c>
      <c r="AA53" s="50">
        <f t="shared" si="0"/>
        <v>0</v>
      </c>
      <c r="AB53" s="50">
        <f t="shared" si="0"/>
        <v>0</v>
      </c>
      <c r="AC53" s="50">
        <f t="shared" si="0"/>
        <v>0</v>
      </c>
      <c r="AD53" s="50">
        <f t="shared" si="0"/>
        <v>0</v>
      </c>
      <c r="AE53" s="50">
        <f t="shared" si="0"/>
        <v>0</v>
      </c>
      <c r="AF53" s="50">
        <f t="shared" si="0"/>
        <v>0</v>
      </c>
      <c r="AG53" s="50">
        <f t="shared" si="0"/>
        <v>0</v>
      </c>
      <c r="AH53" s="50">
        <f t="shared" si="0"/>
        <v>0</v>
      </c>
      <c r="AI53" s="50">
        <f t="shared" si="0"/>
        <v>0</v>
      </c>
      <c r="AJ53" s="50">
        <f t="shared" si="0"/>
        <v>0</v>
      </c>
      <c r="AK53" s="50">
        <f t="shared" si="0"/>
        <v>0</v>
      </c>
      <c r="AL53" s="50">
        <f t="shared" si="0"/>
        <v>0</v>
      </c>
      <c r="AM53" s="50">
        <f t="shared" si="0"/>
        <v>0</v>
      </c>
      <c r="AN53" s="50">
        <f t="shared" si="0"/>
        <v>0</v>
      </c>
      <c r="AO53" s="50">
        <f t="shared" si="0"/>
        <v>0</v>
      </c>
      <c r="AP53" s="50">
        <f t="shared" si="0"/>
        <v>0</v>
      </c>
      <c r="AQ53" s="50">
        <f t="shared" si="0"/>
        <v>0</v>
      </c>
      <c r="AR53" s="50">
        <f t="shared" si="0"/>
        <v>0</v>
      </c>
      <c r="AS53" s="50">
        <f t="shared" si="0"/>
        <v>0</v>
      </c>
      <c r="AT53" s="50">
        <f t="shared" si="0"/>
        <v>0</v>
      </c>
      <c r="AU53" s="50">
        <f t="shared" si="0"/>
        <v>0</v>
      </c>
    </row>
    <row r="54" spans="2:47">
      <c r="B54" t="s">
        <v>948</v>
      </c>
      <c r="C54" s="50">
        <f t="shared" si="0"/>
        <v>0</v>
      </c>
      <c r="D54" s="50">
        <f t="shared" si="0"/>
        <v>0</v>
      </c>
      <c r="E54" s="50">
        <f t="shared" si="0"/>
        <v>0</v>
      </c>
      <c r="F54" s="50">
        <f t="shared" si="0"/>
        <v>0</v>
      </c>
      <c r="G54" s="50">
        <f t="shared" si="0"/>
        <v>0</v>
      </c>
      <c r="H54" s="50">
        <f t="shared" si="0"/>
        <v>0</v>
      </c>
      <c r="I54" s="50">
        <f t="shared" si="0"/>
        <v>0</v>
      </c>
      <c r="J54" s="50">
        <f t="shared" si="0"/>
        <v>0</v>
      </c>
      <c r="K54" s="50">
        <f t="shared" si="0"/>
        <v>0</v>
      </c>
      <c r="L54" s="50">
        <f t="shared" si="0"/>
        <v>0</v>
      </c>
      <c r="M54" s="50">
        <f t="shared" si="0"/>
        <v>0</v>
      </c>
      <c r="N54" s="50">
        <f t="shared" si="0"/>
        <v>0</v>
      </c>
      <c r="O54" s="50">
        <f t="shared" si="0"/>
        <v>0</v>
      </c>
      <c r="P54" s="50">
        <f t="shared" si="0"/>
        <v>0</v>
      </c>
      <c r="Q54" s="50">
        <f t="shared" si="0"/>
        <v>0</v>
      </c>
      <c r="R54" s="50">
        <f t="shared" si="0"/>
        <v>0</v>
      </c>
      <c r="S54" s="50">
        <f t="shared" si="0"/>
        <v>0</v>
      </c>
      <c r="T54" s="50">
        <f t="shared" si="0"/>
        <v>0</v>
      </c>
      <c r="U54" s="50">
        <f t="shared" si="0"/>
        <v>0</v>
      </c>
      <c r="V54" s="50">
        <f t="shared" si="0"/>
        <v>0</v>
      </c>
      <c r="W54" s="50">
        <f t="shared" si="0"/>
        <v>0</v>
      </c>
      <c r="X54" s="50">
        <f t="shared" si="0"/>
        <v>0</v>
      </c>
      <c r="Y54" s="50">
        <f t="shared" si="0"/>
        <v>0</v>
      </c>
      <c r="Z54" s="50">
        <f t="shared" si="0"/>
        <v>0</v>
      </c>
      <c r="AA54" s="50">
        <f t="shared" si="0"/>
        <v>0</v>
      </c>
      <c r="AB54" s="50">
        <f t="shared" si="0"/>
        <v>0</v>
      </c>
      <c r="AC54" s="50">
        <f t="shared" si="0"/>
        <v>0</v>
      </c>
      <c r="AD54" s="50">
        <f t="shared" si="0"/>
        <v>0</v>
      </c>
      <c r="AE54" s="50">
        <f t="shared" si="0"/>
        <v>0</v>
      </c>
      <c r="AF54" s="50">
        <f t="shared" si="0"/>
        <v>0</v>
      </c>
      <c r="AG54" s="50">
        <f t="shared" si="0"/>
        <v>0</v>
      </c>
      <c r="AH54" s="50">
        <f t="shared" si="0"/>
        <v>0</v>
      </c>
      <c r="AI54" s="50">
        <f t="shared" si="0"/>
        <v>0</v>
      </c>
      <c r="AJ54" s="50">
        <f t="shared" si="0"/>
        <v>0</v>
      </c>
      <c r="AK54" s="50">
        <f t="shared" si="0"/>
        <v>0</v>
      </c>
      <c r="AL54" s="50">
        <f t="shared" si="0"/>
        <v>0</v>
      </c>
      <c r="AM54" s="50">
        <f t="shared" si="0"/>
        <v>0</v>
      </c>
      <c r="AN54" s="50">
        <f t="shared" si="0"/>
        <v>0</v>
      </c>
      <c r="AO54" s="50">
        <f t="shared" si="0"/>
        <v>0</v>
      </c>
      <c r="AP54" s="50">
        <f t="shared" si="0"/>
        <v>0</v>
      </c>
      <c r="AQ54" s="50">
        <f t="shared" si="0"/>
        <v>0</v>
      </c>
      <c r="AR54" s="50">
        <f t="shared" si="0"/>
        <v>0</v>
      </c>
      <c r="AS54" s="50">
        <f t="shared" si="0"/>
        <v>0</v>
      </c>
      <c r="AT54" s="50">
        <f t="shared" si="0"/>
        <v>0</v>
      </c>
      <c r="AU54" s="50">
        <f t="shared" si="0"/>
        <v>0</v>
      </c>
    </row>
    <row r="55" spans="2:47">
      <c r="B55" t="s">
        <v>949</v>
      </c>
      <c r="C55" s="50">
        <f t="shared" si="0"/>
        <v>0</v>
      </c>
      <c r="D55" s="50">
        <f t="shared" si="0"/>
        <v>0</v>
      </c>
      <c r="E55" s="50">
        <f t="shared" si="0"/>
        <v>0</v>
      </c>
      <c r="F55" s="50">
        <f t="shared" si="0"/>
        <v>0</v>
      </c>
      <c r="G55" s="50">
        <f t="shared" si="0"/>
        <v>0</v>
      </c>
      <c r="H55" s="50">
        <f t="shared" si="0"/>
        <v>0</v>
      </c>
      <c r="I55" s="50">
        <f t="shared" si="0"/>
        <v>0</v>
      </c>
      <c r="J55" s="50">
        <f t="shared" si="0"/>
        <v>0</v>
      </c>
      <c r="K55" s="50">
        <f t="shared" si="0"/>
        <v>0</v>
      </c>
      <c r="L55" s="50">
        <f t="shared" si="0"/>
        <v>0</v>
      </c>
      <c r="M55" s="50">
        <f t="shared" si="0"/>
        <v>0</v>
      </c>
      <c r="N55" s="50">
        <f t="shared" si="0"/>
        <v>0</v>
      </c>
      <c r="O55" s="50">
        <f t="shared" si="0"/>
        <v>0</v>
      </c>
      <c r="P55" s="50">
        <f t="shared" si="0"/>
        <v>0</v>
      </c>
      <c r="Q55" s="50">
        <f t="shared" si="0"/>
        <v>0</v>
      </c>
      <c r="R55" s="50">
        <f t="shared" si="0"/>
        <v>0</v>
      </c>
      <c r="S55" s="50">
        <f t="shared" si="0"/>
        <v>0</v>
      </c>
      <c r="T55" s="50">
        <f t="shared" si="0"/>
        <v>0</v>
      </c>
      <c r="U55" s="50">
        <f t="shared" si="0"/>
        <v>0</v>
      </c>
      <c r="V55" s="50">
        <f t="shared" si="0"/>
        <v>0</v>
      </c>
      <c r="W55" s="50">
        <f t="shared" si="0"/>
        <v>0</v>
      </c>
      <c r="X55" s="50">
        <f t="shared" si="0"/>
        <v>0</v>
      </c>
      <c r="Y55" s="50">
        <f t="shared" si="0"/>
        <v>0</v>
      </c>
      <c r="Z55" s="50">
        <f t="shared" si="0"/>
        <v>0</v>
      </c>
      <c r="AA55" s="50">
        <f t="shared" si="0"/>
        <v>0</v>
      </c>
      <c r="AB55" s="50">
        <f t="shared" si="0"/>
        <v>0</v>
      </c>
      <c r="AC55" s="50">
        <f t="shared" si="0"/>
        <v>0</v>
      </c>
      <c r="AD55" s="50">
        <f t="shared" si="0"/>
        <v>0</v>
      </c>
      <c r="AE55" s="50">
        <f t="shared" si="0"/>
        <v>0</v>
      </c>
      <c r="AF55" s="50">
        <f t="shared" si="0"/>
        <v>0</v>
      </c>
      <c r="AG55" s="50">
        <f t="shared" ref="AG55:AU55" si="1">SUM(AG10,AG19,AG28,AG37,AG46)</f>
        <v>0</v>
      </c>
      <c r="AH55" s="50">
        <f t="shared" si="1"/>
        <v>0</v>
      </c>
      <c r="AI55" s="50">
        <f t="shared" si="1"/>
        <v>0</v>
      </c>
      <c r="AJ55" s="50">
        <f t="shared" si="1"/>
        <v>0</v>
      </c>
      <c r="AK55" s="50">
        <f t="shared" si="1"/>
        <v>0</v>
      </c>
      <c r="AL55" s="50">
        <f t="shared" si="1"/>
        <v>0</v>
      </c>
      <c r="AM55" s="50">
        <f t="shared" si="1"/>
        <v>0</v>
      </c>
      <c r="AN55" s="50">
        <f t="shared" si="1"/>
        <v>0</v>
      </c>
      <c r="AO55" s="50">
        <f t="shared" si="1"/>
        <v>0</v>
      </c>
      <c r="AP55" s="50">
        <f t="shared" si="1"/>
        <v>0</v>
      </c>
      <c r="AQ55" s="50">
        <f t="shared" si="1"/>
        <v>0</v>
      </c>
      <c r="AR55" s="50">
        <f t="shared" si="1"/>
        <v>0</v>
      </c>
      <c r="AS55" s="50">
        <f t="shared" si="1"/>
        <v>0</v>
      </c>
      <c r="AT55" s="50">
        <f t="shared" si="1"/>
        <v>0</v>
      </c>
      <c r="AU55" s="50">
        <f t="shared" si="1"/>
        <v>0</v>
      </c>
    </row>
  </sheetData>
  <phoneticPr fontId="3"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tint="0.79998168889431442"/>
  </sheetPr>
  <dimension ref="A1:AU51"/>
  <sheetViews>
    <sheetView zoomScale="84" zoomScaleNormal="100" workbookViewId="0">
      <selection activeCell="N35" sqref="N35"/>
    </sheetView>
  </sheetViews>
  <sheetFormatPr baseColWidth="10" defaultColWidth="8.796875" defaultRowHeight="14"/>
  <cols>
    <col min="1" max="1" width="5.796875" customWidth="1"/>
    <col min="2" max="2" width="20.3984375" customWidth="1"/>
    <col min="3" max="3" width="12.796875" bestFit="1" customWidth="1"/>
    <col min="4" max="10" width="11" bestFit="1" customWidth="1"/>
    <col min="11" max="11" width="8.796875" bestFit="1" customWidth="1"/>
    <col min="12" max="47" width="11" bestFit="1" customWidth="1"/>
  </cols>
  <sheetData>
    <row r="1" spans="1:47" ht="22">
      <c r="A1" s="100" t="s">
        <v>968</v>
      </c>
    </row>
    <row r="2" spans="1:47" ht="22">
      <c r="A2" s="100"/>
    </row>
    <row r="3" spans="1:47" s="52" customFormat="1">
      <c r="A3" s="136" t="s">
        <v>512</v>
      </c>
    </row>
    <row r="4" spans="1:47" s="48" customFormat="1">
      <c r="B4" s="48" t="s">
        <v>481</v>
      </c>
      <c r="C4" s="48">
        <v>2006</v>
      </c>
      <c r="D4" s="48">
        <v>2007</v>
      </c>
      <c r="E4" s="48">
        <v>2008</v>
      </c>
      <c r="F4" s="48">
        <v>2009</v>
      </c>
      <c r="G4" s="48">
        <v>2010</v>
      </c>
      <c r="H4" s="48">
        <v>2011</v>
      </c>
      <c r="I4" s="48">
        <v>2012</v>
      </c>
      <c r="J4" s="48">
        <v>2013</v>
      </c>
      <c r="K4" s="48">
        <v>2014</v>
      </c>
      <c r="L4" s="48">
        <v>2015</v>
      </c>
      <c r="M4" s="48">
        <v>2016</v>
      </c>
      <c r="N4" s="48">
        <v>2017</v>
      </c>
      <c r="O4" s="48">
        <v>2018</v>
      </c>
      <c r="P4" s="48">
        <v>2019</v>
      </c>
      <c r="Q4" s="48">
        <v>2020</v>
      </c>
      <c r="R4" s="48">
        <v>2021</v>
      </c>
      <c r="S4" s="48">
        <v>2022</v>
      </c>
      <c r="T4" s="48">
        <v>2023</v>
      </c>
      <c r="U4" s="48">
        <v>2024</v>
      </c>
      <c r="V4" s="48">
        <v>2025</v>
      </c>
      <c r="W4" s="48">
        <v>2026</v>
      </c>
      <c r="X4" s="48">
        <v>2027</v>
      </c>
      <c r="Y4" s="48">
        <v>2028</v>
      </c>
      <c r="Z4" s="48">
        <v>2029</v>
      </c>
      <c r="AA4" s="48">
        <v>2030</v>
      </c>
      <c r="AB4" s="48">
        <v>2031</v>
      </c>
      <c r="AC4" s="48">
        <v>2032</v>
      </c>
      <c r="AD4" s="48">
        <v>2033</v>
      </c>
      <c r="AE4" s="48">
        <v>2034</v>
      </c>
      <c r="AF4" s="48">
        <v>2035</v>
      </c>
      <c r="AG4" s="48">
        <v>2036</v>
      </c>
      <c r="AH4" s="48">
        <v>2037</v>
      </c>
      <c r="AI4" s="48">
        <v>2038</v>
      </c>
      <c r="AJ4" s="48">
        <v>2039</v>
      </c>
      <c r="AK4" s="48">
        <v>2040</v>
      </c>
      <c r="AL4" s="48">
        <v>2041</v>
      </c>
      <c r="AM4" s="48">
        <v>2042</v>
      </c>
      <c r="AN4" s="48">
        <v>2043</v>
      </c>
      <c r="AO4" s="48">
        <v>2044</v>
      </c>
      <c r="AP4" s="48">
        <v>2045</v>
      </c>
      <c r="AQ4" s="48">
        <v>2046</v>
      </c>
      <c r="AR4" s="48">
        <v>2047</v>
      </c>
      <c r="AS4" s="48">
        <v>2048</v>
      </c>
      <c r="AT4" s="48">
        <v>2049</v>
      </c>
      <c r="AU4" s="48">
        <v>2050</v>
      </c>
    </row>
    <row r="5" spans="1:47">
      <c r="B5" s="48" t="s">
        <v>952</v>
      </c>
      <c r="C5" s="137">
        <f>Public_2!C5*'BTU Conversion Factor'!$F$4</f>
        <v>1668128000000</v>
      </c>
      <c r="D5" s="137">
        <f>Public_2!D5*'BTU Conversion Factor'!$F$4</f>
        <v>1619790200000</v>
      </c>
      <c r="E5" s="137">
        <f>Public_2!E5*'BTU Conversion Factor'!$F$4</f>
        <v>1540175000000</v>
      </c>
      <c r="F5" s="137">
        <f>Public_2!F5*'BTU Conversion Factor'!$F$4</f>
        <v>1553444200000</v>
      </c>
      <c r="G5" s="137">
        <f>Public_2!G5*'BTU Conversion Factor'!$F$4</f>
        <v>897566600000</v>
      </c>
      <c r="H5" s="137">
        <f>Public_2!H5*'BTU Conversion Factor'!$F$4</f>
        <v>892827600000</v>
      </c>
      <c r="I5" s="137">
        <f>Public_2!I5*'BTU Conversion Factor'!$F$4</f>
        <v>919366000000</v>
      </c>
      <c r="J5" s="137">
        <f>Public_2!J5*'BTU Conversion Factor'!$F$4</f>
        <v>780039400000</v>
      </c>
      <c r="K5" s="137">
        <f>Public_2!K5*'BTU Conversion Factor'!$F$4</f>
        <v>734545000000</v>
      </c>
      <c r="L5" s="137">
        <f>Public_2!L5*'BTU Conversion Factor'!$F$4</f>
        <v>654929800000</v>
      </c>
      <c r="M5" s="137">
        <f>Public_2!M5*'BTU Conversion Factor'!$F$4</f>
        <v>599957400000</v>
      </c>
      <c r="N5" s="137">
        <f>Public_2!N5*'BTU Conversion Factor'!$F$4</f>
        <v>540246000000</v>
      </c>
      <c r="O5" s="137">
        <f>Public_2!O5*'BTU Conversion Factor'!$F$4</f>
        <v>538350400000</v>
      </c>
      <c r="P5" s="137">
        <f>Public_2!P5*'BTU Conversion Factor'!$F$4</f>
        <v>553515200000</v>
      </c>
      <c r="Q5" s="137">
        <f>Public_2!Q5*'BTU Conversion Factor'!$F$4</f>
        <v>584792600000</v>
      </c>
      <c r="R5" s="137">
        <f>Public_2!R5*'BTU Conversion Factor'!$F$4</f>
        <v>597114000000</v>
      </c>
      <c r="S5" s="137">
        <f>Public_2!S5*'BTU Conversion Factor'!$F$4</f>
        <v>642138811114.88623</v>
      </c>
      <c r="T5" s="137">
        <f>Public_2!T5*'BTU Conversion Factor'!$F$4</f>
        <v>644623111062.57104</v>
      </c>
      <c r="U5" s="137">
        <f>Public_2!U5*'BTU Conversion Factor'!$F$4</f>
        <v>649925896195.45605</v>
      </c>
      <c r="V5" s="137">
        <f>Public_2!V5*'BTU Conversion Factor'!$F$4</f>
        <v>660457828743.79089</v>
      </c>
      <c r="W5" s="137">
        <f>Public_2!W5*'BTU Conversion Factor'!$F$4</f>
        <v>668573705830.94189</v>
      </c>
      <c r="X5" s="137">
        <f>Public_2!X5*'BTU Conversion Factor'!$F$4</f>
        <v>678130185716.04504</v>
      </c>
      <c r="Y5" s="137">
        <f>Public_2!Y5*'BTU Conversion Factor'!$F$4</f>
        <v>686634400290.84778</v>
      </c>
      <c r="Z5" s="137">
        <f>Public_2!Z5*'BTU Conversion Factor'!$F$4</f>
        <v>691983696181.58008</v>
      </c>
      <c r="AA5" s="137">
        <f>Public_2!AA5*'BTU Conversion Factor'!$F$4</f>
        <v>692113273942.93005</v>
      </c>
      <c r="AB5" s="137">
        <f>Public_2!AB5*'BTU Conversion Factor'!$F$4</f>
        <v>699889748197.18787</v>
      </c>
      <c r="AC5" s="137">
        <f>Public_2!AC5*'BTU Conversion Factor'!$F$4</f>
        <v>709832843534.70728</v>
      </c>
      <c r="AD5" s="137">
        <f>Public_2!AD5*'BTU Conversion Factor'!$F$4</f>
        <v>716740357087.04041</v>
      </c>
      <c r="AE5" s="137">
        <f>Public_2!AE5*'BTU Conversion Factor'!$F$4</f>
        <v>723470427787.7793</v>
      </c>
      <c r="AF5" s="137">
        <f>Public_2!AF5*'BTU Conversion Factor'!$F$4</f>
        <v>729044286106.07812</v>
      </c>
      <c r="AG5" s="137">
        <f>Public_2!AG5*'BTU Conversion Factor'!$F$4</f>
        <v>731357274696.96667</v>
      </c>
      <c r="AH5" s="137">
        <f>Public_2!AH5*'BTU Conversion Factor'!$F$4</f>
        <v>736236000630.67224</v>
      </c>
      <c r="AI5" s="137">
        <f>Public_2!AI5*'BTU Conversion Factor'!$F$4</f>
        <v>741643475025.54529</v>
      </c>
      <c r="AJ5" s="137">
        <f>Public_2!AJ5*'BTU Conversion Factor'!$F$4</f>
        <v>747487987567.94446</v>
      </c>
      <c r="AK5" s="137">
        <f>Public_2!AK5*'BTU Conversion Factor'!$F$4</f>
        <v>753301679331.61963</v>
      </c>
      <c r="AL5" s="137">
        <f>Public_2!AL5*'BTU Conversion Factor'!$F$4</f>
        <v>757516605153.09863</v>
      </c>
      <c r="AM5" s="137">
        <f>Public_2!AM5*'BTU Conversion Factor'!$F$4</f>
        <v>761241942071.69324</v>
      </c>
      <c r="AN5" s="137">
        <f>Public_2!AN5*'BTU Conversion Factor'!$F$4</f>
        <v>765249673664.17017</v>
      </c>
      <c r="AO5" s="137">
        <f>Public_2!AO5*'BTU Conversion Factor'!$F$4</f>
        <v>769096101995.59583</v>
      </c>
      <c r="AP5" s="137">
        <f>Public_2!AP5*'BTU Conversion Factor'!$F$4</f>
        <v>772803129819.38159</v>
      </c>
      <c r="AQ5" s="137">
        <f>Public_2!AQ5*'BTU Conversion Factor'!$F$4</f>
        <v>776163765457.22119</v>
      </c>
      <c r="AR5" s="137">
        <f>Public_2!AR5*'BTU Conversion Factor'!$F$4</f>
        <v>779006733420.20312</v>
      </c>
      <c r="AS5" s="137">
        <f>Public_2!AS5*'BTU Conversion Factor'!$F$4</f>
        <v>781476815172.88306</v>
      </c>
      <c r="AT5" s="137">
        <f>Public_2!AT5*'BTU Conversion Factor'!$F$4</f>
        <v>783500116364.11426</v>
      </c>
      <c r="AU5" s="137">
        <f>Public_2!AU5*'BTU Conversion Factor'!$F$4</f>
        <v>791177364250.77893</v>
      </c>
    </row>
    <row r="6" spans="1:47">
      <c r="B6" s="48" t="s">
        <v>953</v>
      </c>
      <c r="C6" s="137">
        <f>Public_2!C6*'BTU Conversion Factor'!$F$4</f>
        <v>0</v>
      </c>
      <c r="D6" s="137">
        <f>Public_2!D6*'BTU Conversion Factor'!$F$4</f>
        <v>0</v>
      </c>
      <c r="E6" s="137">
        <f>Public_2!E6*'BTU Conversion Factor'!$F$4</f>
        <v>0</v>
      </c>
      <c r="F6" s="137">
        <f>Public_2!F6*'BTU Conversion Factor'!$F$4</f>
        <v>0</v>
      </c>
      <c r="G6" s="137">
        <f>Public_2!G6*'BTU Conversion Factor'!$F$4</f>
        <v>0</v>
      </c>
      <c r="H6" s="137">
        <f>Public_2!H6*'BTU Conversion Factor'!$F$4</f>
        <v>0</v>
      </c>
      <c r="I6" s="137">
        <f>Public_2!I6*'BTU Conversion Factor'!$F$4</f>
        <v>0</v>
      </c>
      <c r="J6" s="137">
        <f>Public_2!J6*'BTU Conversion Factor'!$F$4</f>
        <v>0</v>
      </c>
      <c r="K6" s="137">
        <f>Public_2!K6*'BTU Conversion Factor'!$F$4</f>
        <v>0</v>
      </c>
      <c r="L6" s="137">
        <f>Public_2!L6*'BTU Conversion Factor'!$F$4</f>
        <v>0</v>
      </c>
      <c r="M6" s="137">
        <f>Public_2!M6*'BTU Conversion Factor'!$F$4</f>
        <v>0</v>
      </c>
      <c r="N6" s="137">
        <f>Public_2!N6*'BTU Conversion Factor'!$F$4</f>
        <v>0</v>
      </c>
      <c r="O6" s="137">
        <f>Public_2!O6*'BTU Conversion Factor'!$F$4</f>
        <v>0</v>
      </c>
      <c r="P6" s="137">
        <f>Public_2!P6*'BTU Conversion Factor'!$F$4</f>
        <v>0</v>
      </c>
      <c r="Q6" s="137">
        <f>Public_2!Q6*'BTU Conversion Factor'!$F$4</f>
        <v>0</v>
      </c>
      <c r="R6" s="137">
        <f>Public_2!R6*'BTU Conversion Factor'!$F$4</f>
        <v>0</v>
      </c>
      <c r="S6" s="137">
        <f>Public_2!S6*'BTU Conversion Factor'!$F$4</f>
        <v>0</v>
      </c>
      <c r="T6" s="137">
        <f>Public_2!T6*'BTU Conversion Factor'!$F$4</f>
        <v>0</v>
      </c>
      <c r="U6" s="137">
        <f>Public_2!U6*'BTU Conversion Factor'!$F$4</f>
        <v>0</v>
      </c>
      <c r="V6" s="137">
        <f>Public_2!V6*'BTU Conversion Factor'!$F$4</f>
        <v>0</v>
      </c>
      <c r="W6" s="137">
        <f>Public_2!W6*'BTU Conversion Factor'!$F$4</f>
        <v>0</v>
      </c>
      <c r="X6" s="137">
        <f>Public_2!X6*'BTU Conversion Factor'!$F$4</f>
        <v>0</v>
      </c>
      <c r="Y6" s="137">
        <f>Public_2!Y6*'BTU Conversion Factor'!$F$4</f>
        <v>0</v>
      </c>
      <c r="Z6" s="137">
        <f>Public_2!Z6*'BTU Conversion Factor'!$F$4</f>
        <v>0</v>
      </c>
      <c r="AA6" s="137">
        <f>Public_2!AA6*'BTU Conversion Factor'!$F$4</f>
        <v>0</v>
      </c>
      <c r="AB6" s="137">
        <f>Public_2!AB6*'BTU Conversion Factor'!$F$4</f>
        <v>0</v>
      </c>
      <c r="AC6" s="137">
        <f>Public_2!AC6*'BTU Conversion Factor'!$F$4</f>
        <v>0</v>
      </c>
      <c r="AD6" s="137">
        <f>Public_2!AD6*'BTU Conversion Factor'!$F$4</f>
        <v>0</v>
      </c>
      <c r="AE6" s="137">
        <f>Public_2!AE6*'BTU Conversion Factor'!$F$4</f>
        <v>0</v>
      </c>
      <c r="AF6" s="137">
        <f>Public_2!AF6*'BTU Conversion Factor'!$F$4</f>
        <v>0</v>
      </c>
      <c r="AG6" s="137">
        <f>Public_2!AG6*'BTU Conversion Factor'!$F$4</f>
        <v>0</v>
      </c>
      <c r="AH6" s="137">
        <f>Public_2!AH6*'BTU Conversion Factor'!$F$4</f>
        <v>0</v>
      </c>
      <c r="AI6" s="137">
        <f>Public_2!AI6*'BTU Conversion Factor'!$F$4</f>
        <v>0</v>
      </c>
      <c r="AJ6" s="137">
        <f>Public_2!AJ6*'BTU Conversion Factor'!$F$4</f>
        <v>0</v>
      </c>
      <c r="AK6" s="137">
        <f>Public_2!AK6*'BTU Conversion Factor'!$F$4</f>
        <v>0</v>
      </c>
      <c r="AL6" s="137">
        <f>Public_2!AL6*'BTU Conversion Factor'!$F$4</f>
        <v>0</v>
      </c>
      <c r="AM6" s="137">
        <f>Public_2!AM6*'BTU Conversion Factor'!$F$4</f>
        <v>0</v>
      </c>
      <c r="AN6" s="137">
        <f>Public_2!AN6*'BTU Conversion Factor'!$F$4</f>
        <v>0</v>
      </c>
      <c r="AO6" s="137">
        <f>Public_2!AO6*'BTU Conversion Factor'!$F$4</f>
        <v>0</v>
      </c>
      <c r="AP6" s="137">
        <f>Public_2!AP6*'BTU Conversion Factor'!$F$4</f>
        <v>0</v>
      </c>
      <c r="AQ6" s="137">
        <f>Public_2!AQ6*'BTU Conversion Factor'!$F$4</f>
        <v>0</v>
      </c>
      <c r="AR6" s="137">
        <f>Public_2!AR6*'BTU Conversion Factor'!$F$4</f>
        <v>0</v>
      </c>
      <c r="AS6" s="137">
        <f>Public_2!AS6*'BTU Conversion Factor'!$F$4</f>
        <v>0</v>
      </c>
      <c r="AT6" s="137">
        <f>Public_2!AT6*'BTU Conversion Factor'!$F$4</f>
        <v>0</v>
      </c>
      <c r="AU6" s="137">
        <f>Public_2!AU6*'BTU Conversion Factor'!$F$4</f>
        <v>0</v>
      </c>
    </row>
    <row r="7" spans="1:47">
      <c r="B7" s="48" t="s">
        <v>954</v>
      </c>
      <c r="C7" s="137">
        <f>Public_2!C7*'BTU Conversion Factor'!$F$4</f>
        <v>0</v>
      </c>
      <c r="D7" s="137">
        <f>Public_2!D7*'BTU Conversion Factor'!$F$4</f>
        <v>0</v>
      </c>
      <c r="E7" s="137">
        <f>Public_2!E7*'BTU Conversion Factor'!$F$4</f>
        <v>0</v>
      </c>
      <c r="F7" s="137">
        <f>Public_2!F7*'BTU Conversion Factor'!$F$4</f>
        <v>0</v>
      </c>
      <c r="G7" s="137">
        <f>Public_2!G7*'BTU Conversion Factor'!$F$4</f>
        <v>0</v>
      </c>
      <c r="H7" s="137">
        <f>Public_2!H7*'BTU Conversion Factor'!$F$4</f>
        <v>0</v>
      </c>
      <c r="I7" s="137">
        <f>Public_2!I7*'BTU Conversion Factor'!$F$4</f>
        <v>0</v>
      </c>
      <c r="J7" s="137">
        <f>Public_2!J7*'BTU Conversion Factor'!$F$4</f>
        <v>0</v>
      </c>
      <c r="K7" s="137">
        <f>Public_2!K7*'BTU Conversion Factor'!$F$4</f>
        <v>0</v>
      </c>
      <c r="L7" s="137">
        <f>Public_2!L7*'BTU Conversion Factor'!$F$4</f>
        <v>0</v>
      </c>
      <c r="M7" s="137">
        <f>Public_2!M7*'BTU Conversion Factor'!$F$4</f>
        <v>0</v>
      </c>
      <c r="N7" s="137">
        <f>Public_2!N7*'BTU Conversion Factor'!$F$4</f>
        <v>0</v>
      </c>
      <c r="O7" s="137">
        <f>Public_2!O7*'BTU Conversion Factor'!$F$4</f>
        <v>0</v>
      </c>
      <c r="P7" s="137">
        <f>Public_2!P7*'BTU Conversion Factor'!$F$4</f>
        <v>0</v>
      </c>
      <c r="Q7" s="137">
        <f>Public_2!Q7*'BTU Conversion Factor'!$F$4</f>
        <v>0</v>
      </c>
      <c r="R7" s="137">
        <f>Public_2!R7*'BTU Conversion Factor'!$F$4</f>
        <v>0</v>
      </c>
      <c r="S7" s="137">
        <f>Public_2!S7*'BTU Conversion Factor'!$F$4</f>
        <v>0</v>
      </c>
      <c r="T7" s="137">
        <f>Public_2!T7*'BTU Conversion Factor'!$F$4</f>
        <v>0</v>
      </c>
      <c r="U7" s="137">
        <f>Public_2!U7*'BTU Conversion Factor'!$F$4</f>
        <v>0</v>
      </c>
      <c r="V7" s="137">
        <f>Public_2!V7*'BTU Conversion Factor'!$F$4</f>
        <v>0</v>
      </c>
      <c r="W7" s="137">
        <f>Public_2!W7*'BTU Conversion Factor'!$F$4</f>
        <v>0</v>
      </c>
      <c r="X7" s="137">
        <f>Public_2!X7*'BTU Conversion Factor'!$F$4</f>
        <v>0</v>
      </c>
      <c r="Y7" s="137">
        <f>Public_2!Y7*'BTU Conversion Factor'!$F$4</f>
        <v>0</v>
      </c>
      <c r="Z7" s="137">
        <f>Public_2!Z7*'BTU Conversion Factor'!$F$4</f>
        <v>0</v>
      </c>
      <c r="AA7" s="137">
        <f>Public_2!AA7*'BTU Conversion Factor'!$F$4</f>
        <v>0</v>
      </c>
      <c r="AB7" s="137">
        <f>Public_2!AB7*'BTU Conversion Factor'!$F$4</f>
        <v>0</v>
      </c>
      <c r="AC7" s="137">
        <f>Public_2!AC7*'BTU Conversion Factor'!$F$4</f>
        <v>0</v>
      </c>
      <c r="AD7" s="137">
        <f>Public_2!AD7*'BTU Conversion Factor'!$F$4</f>
        <v>0</v>
      </c>
      <c r="AE7" s="137">
        <f>Public_2!AE7*'BTU Conversion Factor'!$F$4</f>
        <v>0</v>
      </c>
      <c r="AF7" s="137">
        <f>Public_2!AF7*'BTU Conversion Factor'!$F$4</f>
        <v>0</v>
      </c>
      <c r="AG7" s="137">
        <f>Public_2!AG7*'BTU Conversion Factor'!$F$4</f>
        <v>0</v>
      </c>
      <c r="AH7" s="137">
        <f>Public_2!AH7*'BTU Conversion Factor'!$F$4</f>
        <v>0</v>
      </c>
      <c r="AI7" s="137">
        <f>Public_2!AI7*'BTU Conversion Factor'!$F$4</f>
        <v>0</v>
      </c>
      <c r="AJ7" s="137">
        <f>Public_2!AJ7*'BTU Conversion Factor'!$F$4</f>
        <v>0</v>
      </c>
      <c r="AK7" s="137">
        <f>Public_2!AK7*'BTU Conversion Factor'!$F$4</f>
        <v>0</v>
      </c>
      <c r="AL7" s="137">
        <f>Public_2!AL7*'BTU Conversion Factor'!$F$4</f>
        <v>0</v>
      </c>
      <c r="AM7" s="137">
        <f>Public_2!AM7*'BTU Conversion Factor'!$F$4</f>
        <v>0</v>
      </c>
      <c r="AN7" s="137">
        <f>Public_2!AN7*'BTU Conversion Factor'!$F$4</f>
        <v>0</v>
      </c>
      <c r="AO7" s="137">
        <f>Public_2!AO7*'BTU Conversion Factor'!$F$4</f>
        <v>0</v>
      </c>
      <c r="AP7" s="137">
        <f>Public_2!AP7*'BTU Conversion Factor'!$F$4</f>
        <v>0</v>
      </c>
      <c r="AQ7" s="137">
        <f>Public_2!AQ7*'BTU Conversion Factor'!$F$4</f>
        <v>0</v>
      </c>
      <c r="AR7" s="137">
        <f>Public_2!AR7*'BTU Conversion Factor'!$F$4</f>
        <v>0</v>
      </c>
      <c r="AS7" s="137">
        <f>Public_2!AS7*'BTU Conversion Factor'!$F$4</f>
        <v>0</v>
      </c>
      <c r="AT7" s="137">
        <f>Public_2!AT7*'BTU Conversion Factor'!$F$4</f>
        <v>0</v>
      </c>
      <c r="AU7" s="137">
        <f>Public_2!AU7*'BTU Conversion Factor'!$F$4</f>
        <v>0</v>
      </c>
    </row>
    <row r="8" spans="1:47">
      <c r="B8" s="48" t="s">
        <v>955</v>
      </c>
      <c r="C8" s="137">
        <f>Public_2!C8*'BTU Conversion Factor'!$F$4</f>
        <v>0</v>
      </c>
      <c r="D8" s="137">
        <f>Public_2!D8*'BTU Conversion Factor'!$F$4</f>
        <v>0</v>
      </c>
      <c r="E8" s="137">
        <f>Public_2!E8*'BTU Conversion Factor'!$F$4</f>
        <v>0</v>
      </c>
      <c r="F8" s="137">
        <f>Public_2!F8*'BTU Conversion Factor'!$F$4</f>
        <v>0</v>
      </c>
      <c r="G8" s="137">
        <f>Public_2!G8*'BTU Conversion Factor'!$F$4</f>
        <v>0</v>
      </c>
      <c r="H8" s="137">
        <f>Public_2!H8*'BTU Conversion Factor'!$F$4</f>
        <v>0</v>
      </c>
      <c r="I8" s="137">
        <f>Public_2!I8*'BTU Conversion Factor'!$F$4</f>
        <v>0</v>
      </c>
      <c r="J8" s="137">
        <f>Public_2!J8*'BTU Conversion Factor'!$F$4</f>
        <v>0</v>
      </c>
      <c r="K8" s="137">
        <f>Public_2!K8*'BTU Conversion Factor'!$F$4</f>
        <v>0</v>
      </c>
      <c r="L8" s="137">
        <f>Public_2!L8*'BTU Conversion Factor'!$F$4</f>
        <v>0</v>
      </c>
      <c r="M8" s="137">
        <f>Public_2!M8*'BTU Conversion Factor'!$F$4</f>
        <v>0</v>
      </c>
      <c r="N8" s="137">
        <f>Public_2!N8*'BTU Conversion Factor'!$F$4</f>
        <v>0</v>
      </c>
      <c r="O8" s="137">
        <f>Public_2!O8*'BTU Conversion Factor'!$F$4</f>
        <v>0</v>
      </c>
      <c r="P8" s="137">
        <f>Public_2!P8*'BTU Conversion Factor'!$F$4</f>
        <v>0</v>
      </c>
      <c r="Q8" s="137">
        <f>Public_2!Q8*'BTU Conversion Factor'!$F$4</f>
        <v>0</v>
      </c>
      <c r="R8" s="137">
        <f>Public_2!R8*'BTU Conversion Factor'!$F$4</f>
        <v>0</v>
      </c>
      <c r="S8" s="137">
        <f>Public_2!S8*'BTU Conversion Factor'!$F$4</f>
        <v>0</v>
      </c>
      <c r="T8" s="137">
        <f>Public_2!T8*'BTU Conversion Factor'!$F$4</f>
        <v>0</v>
      </c>
      <c r="U8" s="137">
        <f>Public_2!U8*'BTU Conversion Factor'!$F$4</f>
        <v>0</v>
      </c>
      <c r="V8" s="137">
        <f>Public_2!V8*'BTU Conversion Factor'!$F$4</f>
        <v>0</v>
      </c>
      <c r="W8" s="137">
        <f>Public_2!W8*'BTU Conversion Factor'!$F$4</f>
        <v>0</v>
      </c>
      <c r="X8" s="137">
        <f>Public_2!X8*'BTU Conversion Factor'!$F$4</f>
        <v>0</v>
      </c>
      <c r="Y8" s="137">
        <f>Public_2!Y8*'BTU Conversion Factor'!$F$4</f>
        <v>0</v>
      </c>
      <c r="Z8" s="137">
        <f>Public_2!Z8*'BTU Conversion Factor'!$F$4</f>
        <v>0</v>
      </c>
      <c r="AA8" s="137">
        <f>Public_2!AA8*'BTU Conversion Factor'!$F$4</f>
        <v>0</v>
      </c>
      <c r="AB8" s="137">
        <f>Public_2!AB8*'BTU Conversion Factor'!$F$4</f>
        <v>0</v>
      </c>
      <c r="AC8" s="137">
        <f>Public_2!AC8*'BTU Conversion Factor'!$F$4</f>
        <v>0</v>
      </c>
      <c r="AD8" s="137">
        <f>Public_2!AD8*'BTU Conversion Factor'!$F$4</f>
        <v>0</v>
      </c>
      <c r="AE8" s="137">
        <f>Public_2!AE8*'BTU Conversion Factor'!$F$4</f>
        <v>0</v>
      </c>
      <c r="AF8" s="137">
        <f>Public_2!AF8*'BTU Conversion Factor'!$F$4</f>
        <v>0</v>
      </c>
      <c r="AG8" s="137">
        <f>Public_2!AG8*'BTU Conversion Factor'!$F$4</f>
        <v>0</v>
      </c>
      <c r="AH8" s="137">
        <f>Public_2!AH8*'BTU Conversion Factor'!$F$4</f>
        <v>0</v>
      </c>
      <c r="AI8" s="137">
        <f>Public_2!AI8*'BTU Conversion Factor'!$F$4</f>
        <v>0</v>
      </c>
      <c r="AJ8" s="137">
        <f>Public_2!AJ8*'BTU Conversion Factor'!$F$4</f>
        <v>0</v>
      </c>
      <c r="AK8" s="137">
        <f>Public_2!AK8*'BTU Conversion Factor'!$F$4</f>
        <v>0</v>
      </c>
      <c r="AL8" s="137">
        <f>Public_2!AL8*'BTU Conversion Factor'!$F$4</f>
        <v>0</v>
      </c>
      <c r="AM8" s="137">
        <f>Public_2!AM8*'BTU Conversion Factor'!$F$4</f>
        <v>0</v>
      </c>
      <c r="AN8" s="137">
        <f>Public_2!AN8*'BTU Conversion Factor'!$F$4</f>
        <v>0</v>
      </c>
      <c r="AO8" s="137">
        <f>Public_2!AO8*'BTU Conversion Factor'!$F$4</f>
        <v>0</v>
      </c>
      <c r="AP8" s="137">
        <f>Public_2!AP8*'BTU Conversion Factor'!$F$4</f>
        <v>0</v>
      </c>
      <c r="AQ8" s="137">
        <f>Public_2!AQ8*'BTU Conversion Factor'!$F$4</f>
        <v>0</v>
      </c>
      <c r="AR8" s="137">
        <f>Public_2!AR8*'BTU Conversion Factor'!$F$4</f>
        <v>0</v>
      </c>
      <c r="AS8" s="137">
        <f>Public_2!AS8*'BTU Conversion Factor'!$F$4</f>
        <v>0</v>
      </c>
      <c r="AT8" s="137">
        <f>Public_2!AT8*'BTU Conversion Factor'!$F$4</f>
        <v>0</v>
      </c>
      <c r="AU8" s="137">
        <f>Public_2!AU8*'BTU Conversion Factor'!$F$4</f>
        <v>0</v>
      </c>
    </row>
    <row r="9" spans="1:47">
      <c r="B9" s="48" t="s">
        <v>956</v>
      </c>
      <c r="C9" s="137">
        <f>Public_2!C9*'BTU Conversion Factor'!$F$4</f>
        <v>0</v>
      </c>
      <c r="D9" s="137">
        <f>Public_2!D9*'BTU Conversion Factor'!$F$4</f>
        <v>0</v>
      </c>
      <c r="E9" s="137">
        <f>Public_2!E9*'BTU Conversion Factor'!$F$4</f>
        <v>0</v>
      </c>
      <c r="F9" s="137">
        <f>Public_2!F9*'BTU Conversion Factor'!$F$4</f>
        <v>0</v>
      </c>
      <c r="G9" s="137">
        <f>Public_2!G9*'BTU Conversion Factor'!$F$4</f>
        <v>0</v>
      </c>
      <c r="H9" s="137">
        <f>Public_2!H9*'BTU Conversion Factor'!$F$4</f>
        <v>0</v>
      </c>
      <c r="I9" s="137">
        <f>Public_2!I9*'BTU Conversion Factor'!$F$4</f>
        <v>0</v>
      </c>
      <c r="J9" s="137">
        <f>Public_2!J9*'BTU Conversion Factor'!$F$4</f>
        <v>0</v>
      </c>
      <c r="K9" s="137">
        <f>Public_2!K9*'BTU Conversion Factor'!$F$4</f>
        <v>0</v>
      </c>
      <c r="L9" s="137">
        <f>Public_2!L9*'BTU Conversion Factor'!$F$4</f>
        <v>0</v>
      </c>
      <c r="M9" s="137">
        <f>Public_2!M9*'BTU Conversion Factor'!$F$4</f>
        <v>0</v>
      </c>
      <c r="N9" s="137">
        <f>Public_2!N9*'BTU Conversion Factor'!$F$4</f>
        <v>0</v>
      </c>
      <c r="O9" s="137">
        <f>Public_2!O9*'BTU Conversion Factor'!$F$4</f>
        <v>0</v>
      </c>
      <c r="P9" s="137">
        <f>Public_2!P9*'BTU Conversion Factor'!$F$4</f>
        <v>0</v>
      </c>
      <c r="Q9" s="137">
        <f>Public_2!Q9*'BTU Conversion Factor'!$F$4</f>
        <v>0</v>
      </c>
      <c r="R9" s="137">
        <f>Public_2!R9*'BTU Conversion Factor'!$F$4</f>
        <v>0</v>
      </c>
      <c r="S9" s="137">
        <f>Public_2!S9*'BTU Conversion Factor'!$F$4</f>
        <v>0</v>
      </c>
      <c r="T9" s="137">
        <f>Public_2!T9*'BTU Conversion Factor'!$F$4</f>
        <v>0</v>
      </c>
      <c r="U9" s="137">
        <f>Public_2!U9*'BTU Conversion Factor'!$F$4</f>
        <v>0</v>
      </c>
      <c r="V9" s="137">
        <f>Public_2!V9*'BTU Conversion Factor'!$F$4</f>
        <v>0</v>
      </c>
      <c r="W9" s="137">
        <f>Public_2!W9*'BTU Conversion Factor'!$F$4</f>
        <v>0</v>
      </c>
      <c r="X9" s="137">
        <f>Public_2!X9*'BTU Conversion Factor'!$F$4</f>
        <v>0</v>
      </c>
      <c r="Y9" s="137">
        <f>Public_2!Y9*'BTU Conversion Factor'!$F$4</f>
        <v>0</v>
      </c>
      <c r="Z9" s="137">
        <f>Public_2!Z9*'BTU Conversion Factor'!$F$4</f>
        <v>0</v>
      </c>
      <c r="AA9" s="137">
        <f>Public_2!AA9*'BTU Conversion Factor'!$F$4</f>
        <v>0</v>
      </c>
      <c r="AB9" s="137">
        <f>Public_2!AB9*'BTU Conversion Factor'!$F$4</f>
        <v>0</v>
      </c>
      <c r="AC9" s="137">
        <f>Public_2!AC9*'BTU Conversion Factor'!$F$4</f>
        <v>0</v>
      </c>
      <c r="AD9" s="137">
        <f>Public_2!AD9*'BTU Conversion Factor'!$F$4</f>
        <v>0</v>
      </c>
      <c r="AE9" s="137">
        <f>Public_2!AE9*'BTU Conversion Factor'!$F$4</f>
        <v>0</v>
      </c>
      <c r="AF9" s="137">
        <f>Public_2!AF9*'BTU Conversion Factor'!$F$4</f>
        <v>0</v>
      </c>
      <c r="AG9" s="137">
        <f>Public_2!AG9*'BTU Conversion Factor'!$F$4</f>
        <v>0</v>
      </c>
      <c r="AH9" s="137">
        <f>Public_2!AH9*'BTU Conversion Factor'!$F$4</f>
        <v>0</v>
      </c>
      <c r="AI9" s="137">
        <f>Public_2!AI9*'BTU Conversion Factor'!$F$4</f>
        <v>0</v>
      </c>
      <c r="AJ9" s="137">
        <f>Public_2!AJ9*'BTU Conversion Factor'!$F$4</f>
        <v>0</v>
      </c>
      <c r="AK9" s="137">
        <f>Public_2!AK9*'BTU Conversion Factor'!$F$4</f>
        <v>0</v>
      </c>
      <c r="AL9" s="137">
        <f>Public_2!AL9*'BTU Conversion Factor'!$F$4</f>
        <v>0</v>
      </c>
      <c r="AM9" s="137">
        <f>Public_2!AM9*'BTU Conversion Factor'!$F$4</f>
        <v>0</v>
      </c>
      <c r="AN9" s="137">
        <f>Public_2!AN9*'BTU Conversion Factor'!$F$4</f>
        <v>0</v>
      </c>
      <c r="AO9" s="137">
        <f>Public_2!AO9*'BTU Conversion Factor'!$F$4</f>
        <v>0</v>
      </c>
      <c r="AP9" s="137">
        <f>Public_2!AP9*'BTU Conversion Factor'!$F$4</f>
        <v>0</v>
      </c>
      <c r="AQ9" s="137">
        <f>Public_2!AQ9*'BTU Conversion Factor'!$F$4</f>
        <v>0</v>
      </c>
      <c r="AR9" s="137">
        <f>Public_2!AR9*'BTU Conversion Factor'!$F$4</f>
        <v>0</v>
      </c>
      <c r="AS9" s="137">
        <f>Public_2!AS9*'BTU Conversion Factor'!$F$4</f>
        <v>0</v>
      </c>
      <c r="AT9" s="137">
        <f>Public_2!AT9*'BTU Conversion Factor'!$F$4</f>
        <v>0</v>
      </c>
      <c r="AU9" s="137">
        <f>Public_2!AU9*'BTU Conversion Factor'!$F$4</f>
        <v>0</v>
      </c>
    </row>
    <row r="10" spans="1:47">
      <c r="B10" s="48" t="s">
        <v>957</v>
      </c>
      <c r="C10" s="137">
        <f>Public_2!C10*'BTU Conversion Factor'!$F$4</f>
        <v>0</v>
      </c>
      <c r="D10" s="137">
        <f>Public_2!D10*'BTU Conversion Factor'!$F$4</f>
        <v>0</v>
      </c>
      <c r="E10" s="137">
        <f>Public_2!E10*'BTU Conversion Factor'!$F$4</f>
        <v>0</v>
      </c>
      <c r="F10" s="137">
        <f>Public_2!F10*'BTU Conversion Factor'!$F$4</f>
        <v>0</v>
      </c>
      <c r="G10" s="137">
        <f>Public_2!G10*'BTU Conversion Factor'!$F$4</f>
        <v>0</v>
      </c>
      <c r="H10" s="137">
        <f>Public_2!H10*'BTU Conversion Factor'!$F$4</f>
        <v>0</v>
      </c>
      <c r="I10" s="137">
        <f>Public_2!I10*'BTU Conversion Factor'!$F$4</f>
        <v>0</v>
      </c>
      <c r="J10" s="137">
        <f>Public_2!J10*'BTU Conversion Factor'!$F$4</f>
        <v>0</v>
      </c>
      <c r="K10" s="137">
        <f>Public_2!K10*'BTU Conversion Factor'!$F$4</f>
        <v>0</v>
      </c>
      <c r="L10" s="137">
        <f>Public_2!L10*'BTU Conversion Factor'!$F$4</f>
        <v>0</v>
      </c>
      <c r="M10" s="137">
        <f>Public_2!M10*'BTU Conversion Factor'!$F$4</f>
        <v>0</v>
      </c>
      <c r="N10" s="137">
        <f>Public_2!N10*'BTU Conversion Factor'!$F$4</f>
        <v>0</v>
      </c>
      <c r="O10" s="137">
        <f>Public_2!O10*'BTU Conversion Factor'!$F$4</f>
        <v>0</v>
      </c>
      <c r="P10" s="137">
        <f>Public_2!P10*'BTU Conversion Factor'!$F$4</f>
        <v>0</v>
      </c>
      <c r="Q10" s="137">
        <f>Public_2!Q10*'BTU Conversion Factor'!$F$4</f>
        <v>0</v>
      </c>
      <c r="R10" s="137">
        <f>Public_2!R10*'BTU Conversion Factor'!$F$4</f>
        <v>0</v>
      </c>
      <c r="S10" s="137">
        <f>Public_2!S10*'BTU Conversion Factor'!$F$4</f>
        <v>0</v>
      </c>
      <c r="T10" s="137">
        <f>Public_2!T10*'BTU Conversion Factor'!$F$4</f>
        <v>0</v>
      </c>
      <c r="U10" s="137">
        <f>Public_2!U10*'BTU Conversion Factor'!$F$4</f>
        <v>0</v>
      </c>
      <c r="V10" s="137">
        <f>Public_2!V10*'BTU Conversion Factor'!$F$4</f>
        <v>0</v>
      </c>
      <c r="W10" s="137">
        <f>Public_2!W10*'BTU Conversion Factor'!$F$4</f>
        <v>0</v>
      </c>
      <c r="X10" s="137">
        <f>Public_2!X10*'BTU Conversion Factor'!$F$4</f>
        <v>0</v>
      </c>
      <c r="Y10" s="137">
        <f>Public_2!Y10*'BTU Conversion Factor'!$F$4</f>
        <v>0</v>
      </c>
      <c r="Z10" s="137">
        <f>Public_2!Z10*'BTU Conversion Factor'!$F$4</f>
        <v>0</v>
      </c>
      <c r="AA10" s="137">
        <f>Public_2!AA10*'BTU Conversion Factor'!$F$4</f>
        <v>0</v>
      </c>
      <c r="AB10" s="137">
        <f>Public_2!AB10*'BTU Conversion Factor'!$F$4</f>
        <v>0</v>
      </c>
      <c r="AC10" s="137">
        <f>Public_2!AC10*'BTU Conversion Factor'!$F$4</f>
        <v>0</v>
      </c>
      <c r="AD10" s="137">
        <f>Public_2!AD10*'BTU Conversion Factor'!$F$4</f>
        <v>0</v>
      </c>
      <c r="AE10" s="137">
        <f>Public_2!AE10*'BTU Conversion Factor'!$F$4</f>
        <v>0</v>
      </c>
      <c r="AF10" s="137">
        <f>Public_2!AF10*'BTU Conversion Factor'!$F$4</f>
        <v>0</v>
      </c>
      <c r="AG10" s="137">
        <f>Public_2!AG10*'BTU Conversion Factor'!$F$4</f>
        <v>0</v>
      </c>
      <c r="AH10" s="137">
        <f>Public_2!AH10*'BTU Conversion Factor'!$F$4</f>
        <v>0</v>
      </c>
      <c r="AI10" s="137">
        <f>Public_2!AI10*'BTU Conversion Factor'!$F$4</f>
        <v>0</v>
      </c>
      <c r="AJ10" s="137">
        <f>Public_2!AJ10*'BTU Conversion Factor'!$F$4</f>
        <v>0</v>
      </c>
      <c r="AK10" s="137">
        <f>Public_2!AK10*'BTU Conversion Factor'!$F$4</f>
        <v>0</v>
      </c>
      <c r="AL10" s="137">
        <f>Public_2!AL10*'BTU Conversion Factor'!$F$4</f>
        <v>0</v>
      </c>
      <c r="AM10" s="137">
        <f>Public_2!AM10*'BTU Conversion Factor'!$F$4</f>
        <v>0</v>
      </c>
      <c r="AN10" s="137">
        <f>Public_2!AN10*'BTU Conversion Factor'!$F$4</f>
        <v>0</v>
      </c>
      <c r="AO10" s="137">
        <f>Public_2!AO10*'BTU Conversion Factor'!$F$4</f>
        <v>0</v>
      </c>
      <c r="AP10" s="137">
        <f>Public_2!AP10*'BTU Conversion Factor'!$F$4</f>
        <v>0</v>
      </c>
      <c r="AQ10" s="137">
        <f>Public_2!AQ10*'BTU Conversion Factor'!$F$4</f>
        <v>0</v>
      </c>
      <c r="AR10" s="137">
        <f>Public_2!AR10*'BTU Conversion Factor'!$F$4</f>
        <v>0</v>
      </c>
      <c r="AS10" s="137">
        <f>Public_2!AS10*'BTU Conversion Factor'!$F$4</f>
        <v>0</v>
      </c>
      <c r="AT10" s="137">
        <f>Public_2!AT10*'BTU Conversion Factor'!$F$4</f>
        <v>0</v>
      </c>
      <c r="AU10" s="137">
        <f>Public_2!AU10*'BTU Conversion Factor'!$F$4</f>
        <v>0</v>
      </c>
    </row>
    <row r="12" spans="1:47" s="52" customFormat="1">
      <c r="A12" s="102" t="s">
        <v>931</v>
      </c>
    </row>
    <row r="13" spans="1:47" s="48" customFormat="1">
      <c r="B13" s="48" t="s">
        <v>481</v>
      </c>
      <c r="C13" s="48">
        <v>2006</v>
      </c>
      <c r="D13" s="48">
        <v>2007</v>
      </c>
      <c r="E13" s="48">
        <v>2008</v>
      </c>
      <c r="F13" s="48">
        <v>2009</v>
      </c>
      <c r="G13" s="48">
        <v>2010</v>
      </c>
      <c r="H13" s="48">
        <v>2011</v>
      </c>
      <c r="I13" s="48">
        <v>2012</v>
      </c>
      <c r="J13" s="48">
        <v>2013</v>
      </c>
      <c r="K13" s="48">
        <v>2014</v>
      </c>
      <c r="L13" s="48">
        <v>2015</v>
      </c>
      <c r="M13" s="48">
        <v>2016</v>
      </c>
      <c r="N13" s="48">
        <v>2017</v>
      </c>
      <c r="O13" s="48">
        <v>2018</v>
      </c>
      <c r="P13" s="48">
        <v>2019</v>
      </c>
      <c r="Q13" s="48">
        <v>2020</v>
      </c>
      <c r="R13" s="48">
        <v>2021</v>
      </c>
      <c r="S13" s="48">
        <v>2022</v>
      </c>
      <c r="T13" s="48">
        <v>2023</v>
      </c>
      <c r="U13" s="48">
        <v>2024</v>
      </c>
      <c r="V13" s="48">
        <v>2025</v>
      </c>
      <c r="W13" s="48">
        <v>2026</v>
      </c>
      <c r="X13" s="48">
        <v>2027</v>
      </c>
      <c r="Y13" s="48">
        <v>2028</v>
      </c>
      <c r="Z13" s="48">
        <v>2029</v>
      </c>
      <c r="AA13" s="48">
        <v>2030</v>
      </c>
      <c r="AB13" s="48">
        <v>2031</v>
      </c>
      <c r="AC13" s="48">
        <v>2032</v>
      </c>
      <c r="AD13" s="48">
        <v>2033</v>
      </c>
      <c r="AE13" s="48">
        <v>2034</v>
      </c>
      <c r="AF13" s="48">
        <v>2035</v>
      </c>
      <c r="AG13" s="48">
        <v>2036</v>
      </c>
      <c r="AH13" s="48">
        <v>2037</v>
      </c>
      <c r="AI13" s="48">
        <v>2038</v>
      </c>
      <c r="AJ13" s="48">
        <v>2039</v>
      </c>
      <c r="AK13" s="48">
        <v>2040</v>
      </c>
      <c r="AL13" s="48">
        <v>2041</v>
      </c>
      <c r="AM13" s="48">
        <v>2042</v>
      </c>
      <c r="AN13" s="48">
        <v>2043</v>
      </c>
      <c r="AO13" s="48">
        <v>2044</v>
      </c>
      <c r="AP13" s="48">
        <v>2045</v>
      </c>
      <c r="AQ13" s="48">
        <v>2046</v>
      </c>
      <c r="AR13" s="48">
        <v>2047</v>
      </c>
      <c r="AS13" s="48">
        <v>2048</v>
      </c>
      <c r="AT13" s="48">
        <v>2049</v>
      </c>
      <c r="AU13" s="48">
        <v>2050</v>
      </c>
    </row>
    <row r="14" spans="1:47">
      <c r="B14" s="48" t="s">
        <v>952</v>
      </c>
      <c r="C14" s="137">
        <f>Public_2!C14*'BTU Conversion Factor'!$F$4</f>
        <v>4744686800000</v>
      </c>
      <c r="D14" s="137">
        <f>Public_2!D14*'BTU Conversion Factor'!$F$4</f>
        <v>4703931400000</v>
      </c>
      <c r="E14" s="137">
        <f>Public_2!E14*'BTU Conversion Factor'!$F$4</f>
        <v>4583560800000</v>
      </c>
      <c r="F14" s="137">
        <f>Public_2!F14*'BTU Conversion Factor'!$F$4</f>
        <v>4836623400000</v>
      </c>
      <c r="G14" s="137">
        <f>Public_2!G14*'BTU Conversion Factor'!$F$4</f>
        <v>2720185999999.9995</v>
      </c>
      <c r="H14" s="137">
        <f>Public_2!H14*'BTU Conversion Factor'!$F$4</f>
        <v>2778001800000</v>
      </c>
      <c r="I14" s="137">
        <f>Public_2!I14*'BTU Conversion Factor'!$F$4</f>
        <v>2870886200000</v>
      </c>
      <c r="J14" s="137">
        <f>Public_2!J14*'BTU Conversion Factor'!$F$4</f>
        <v>2732507400000</v>
      </c>
      <c r="K14" s="137">
        <f>Public_2!K14*'BTU Conversion Factor'!$F$4</f>
        <v>3313508800000</v>
      </c>
      <c r="L14" s="137">
        <f>Public_2!L14*'BTU Conversion Factor'!$F$4</f>
        <v>3393124000000</v>
      </c>
      <c r="M14" s="137">
        <f>Public_2!M14*'BTU Conversion Factor'!$F$4</f>
        <v>3561832400000</v>
      </c>
      <c r="N14" s="137">
        <f>Public_2!N14*'BTU Conversion Factor'!$F$4</f>
        <v>3621543800000</v>
      </c>
      <c r="O14" s="137">
        <f>Public_2!O14*'BTU Conversion Factor'!$F$4</f>
        <v>3570362599999.9995</v>
      </c>
      <c r="P14" s="137">
        <f>Public_2!P14*'BTU Conversion Factor'!$F$4</f>
        <v>3619648199999.9995</v>
      </c>
      <c r="Q14" s="137">
        <f>Public_2!Q14*'BTU Conversion Factor'!$F$4</f>
        <v>4056584000000</v>
      </c>
      <c r="R14" s="137">
        <f>Public_2!R14*'BTU Conversion Factor'!$F$4</f>
        <v>4213918800000</v>
      </c>
      <c r="S14" s="137">
        <f>Public_2!S14*'BTU Conversion Factor'!$F$4</f>
        <v>3597970073158.604</v>
      </c>
      <c r="T14" s="137">
        <f>Public_2!T14*'BTU Conversion Factor'!$F$4</f>
        <v>3579438811221.5342</v>
      </c>
      <c r="U14" s="137">
        <f>Public_2!U14*'BTU Conversion Factor'!$F$4</f>
        <v>3576165916532.0664</v>
      </c>
      <c r="V14" s="137">
        <f>Public_2!V14*'BTU Conversion Factor'!$F$4</f>
        <v>3600868855064.126</v>
      </c>
      <c r="W14" s="137">
        <f>Public_2!W14*'BTU Conversion Factor'!$F$4</f>
        <v>3611460514498.9111</v>
      </c>
      <c r="X14" s="137">
        <f>Public_2!X14*'BTU Conversion Factor'!$F$4</f>
        <v>3628944287644.9331</v>
      </c>
      <c r="Y14" s="137">
        <f>Public_2!Y14*'BTU Conversion Factor'!$F$4</f>
        <v>3639887775038.7852</v>
      </c>
      <c r="Z14" s="137">
        <f>Public_2!Z14*'BTU Conversion Factor'!$F$4</f>
        <v>3633409458854.4771</v>
      </c>
      <c r="AA14" s="137">
        <f>Public_2!AA14*'BTU Conversion Factor'!$F$4</f>
        <v>3599248075587.9165</v>
      </c>
      <c r="AB14" s="137">
        <f>Public_2!AB14*'BTU Conversion Factor'!$F$4</f>
        <v>3604455416707.1997</v>
      </c>
      <c r="AC14" s="137">
        <f>Public_2!AC14*'BTU Conversion Factor'!$F$4</f>
        <v>3619928905240.145</v>
      </c>
      <c r="AD14" s="137">
        <f>Public_2!AD14*'BTU Conversion Factor'!$F$4</f>
        <v>3619073582923.1958</v>
      </c>
      <c r="AE14" s="137">
        <f>Public_2!AE14*'BTU Conversion Factor'!$F$4</f>
        <v>3616635758078.3228</v>
      </c>
      <c r="AF14" s="137">
        <f>Public_2!AF14*'BTU Conversion Factor'!$F$4</f>
        <v>3607798622603.5762</v>
      </c>
      <c r="AG14" s="137">
        <f>Public_2!AG14*'BTU Conversion Factor'!$F$4</f>
        <v>3582427490522.2563</v>
      </c>
      <c r="AH14" s="137">
        <f>Public_2!AH14*'BTU Conversion Factor'!$F$4</f>
        <v>3569262141380.793</v>
      </c>
      <c r="AI14" s="137">
        <f>Public_2!AI14*'BTU Conversion Factor'!$F$4</f>
        <v>3558142338732.311</v>
      </c>
      <c r="AJ14" s="137">
        <f>Public_2!AJ14*'BTU Conversion Factor'!$F$4</f>
        <v>3548552852447.5234</v>
      </c>
      <c r="AK14" s="137">
        <f>Public_2!AK14*'BTU Conversion Factor'!$F$4</f>
        <v>3538230163457.9585</v>
      </c>
      <c r="AL14" s="137">
        <f>Public_2!AL14*'BTU Conversion Factor'!$F$4</f>
        <v>3519893278022.8711</v>
      </c>
      <c r="AM14" s="137">
        <f>Public_2!AM14*'BTU Conversion Factor'!$F$4</f>
        <v>3498881736309.1489</v>
      </c>
      <c r="AN14" s="137">
        <f>Public_2!AN14*'BTU Conversion Factor'!$F$4</f>
        <v>3478778868467.731</v>
      </c>
      <c r="AO14" s="137">
        <f>Public_2!AO14*'BTU Conversion Factor'!$F$4</f>
        <v>3457547338500.791</v>
      </c>
      <c r="AP14" s="137">
        <f>Public_2!AP14*'BTU Conversion Factor'!$F$4</f>
        <v>3435308870347.8687</v>
      </c>
      <c r="AQ14" s="137">
        <f>Public_2!AQ14*'BTU Conversion Factor'!$F$4</f>
        <v>3411174805636.4849</v>
      </c>
      <c r="AR14" s="137">
        <f>Public_2!AR14*'BTU Conversion Factor'!$F$4</f>
        <v>3384453338438.8545</v>
      </c>
      <c r="AS14" s="137">
        <f>Public_2!AS14*'BTU Conversion Factor'!$F$4</f>
        <v>3355844374170.3008</v>
      </c>
      <c r="AT14" s="137">
        <f>Public_2!AT14*'BTU Conversion Factor'!$F$4</f>
        <v>3325090627645.5859</v>
      </c>
      <c r="AU14" s="137">
        <f>Public_2!AU14*'BTU Conversion Factor'!$F$4</f>
        <v>3317843289164.3398</v>
      </c>
    </row>
    <row r="15" spans="1:47">
      <c r="B15" s="48" t="s">
        <v>953</v>
      </c>
      <c r="C15" s="137" t="e">
        <f>Public_2!C15*'BTU Conversion Factor'!$F$4</f>
        <v>#REF!</v>
      </c>
      <c r="D15" s="137">
        <f>Public_2!D15*'BTU Conversion Factor'!$F$4</f>
        <v>0</v>
      </c>
      <c r="E15" s="137">
        <f>Public_2!E15*'BTU Conversion Factor'!$F$4</f>
        <v>0</v>
      </c>
      <c r="F15" s="137">
        <f>Public_2!F15*'BTU Conversion Factor'!$F$4</f>
        <v>0</v>
      </c>
      <c r="G15" s="137">
        <f>Public_2!G15*'BTU Conversion Factor'!$F$4</f>
        <v>0</v>
      </c>
      <c r="H15" s="137">
        <f>Public_2!H15*'BTU Conversion Factor'!$F$4</f>
        <v>0</v>
      </c>
      <c r="I15" s="137">
        <f>Public_2!I15*'BTU Conversion Factor'!$F$4</f>
        <v>0</v>
      </c>
      <c r="J15" s="137">
        <f>Public_2!J15*'BTU Conversion Factor'!$F$4</f>
        <v>0</v>
      </c>
      <c r="K15" s="137">
        <f>Public_2!K15*'BTU Conversion Factor'!$F$4</f>
        <v>0</v>
      </c>
      <c r="L15" s="137">
        <f>Public_2!L15*'BTU Conversion Factor'!$F$4</f>
        <v>0</v>
      </c>
      <c r="M15" s="137">
        <f>Public_2!M15*'BTU Conversion Factor'!$F$4</f>
        <v>0</v>
      </c>
      <c r="N15" s="137">
        <f>Public_2!N15*'BTU Conversion Factor'!$F$4</f>
        <v>0</v>
      </c>
      <c r="O15" s="137">
        <f>Public_2!O15*'BTU Conversion Factor'!$F$4</f>
        <v>0</v>
      </c>
      <c r="P15" s="137">
        <f>Public_2!P15*'BTU Conversion Factor'!$F$4</f>
        <v>0</v>
      </c>
      <c r="Q15" s="137">
        <f>Public_2!Q15*'BTU Conversion Factor'!$F$4</f>
        <v>0</v>
      </c>
      <c r="R15" s="137">
        <f>Public_2!R15*'BTU Conversion Factor'!$F$4</f>
        <v>0</v>
      </c>
      <c r="S15" s="137">
        <f>Public_2!S15*'BTU Conversion Factor'!$F$4</f>
        <v>0</v>
      </c>
      <c r="T15" s="137">
        <f>Public_2!T15*'BTU Conversion Factor'!$F$4</f>
        <v>0</v>
      </c>
      <c r="U15" s="137">
        <f>Public_2!U15*'BTU Conversion Factor'!$F$4</f>
        <v>0</v>
      </c>
      <c r="V15" s="137">
        <f>Public_2!V15*'BTU Conversion Factor'!$F$4</f>
        <v>0</v>
      </c>
      <c r="W15" s="137">
        <f>Public_2!W15*'BTU Conversion Factor'!$F$4</f>
        <v>0</v>
      </c>
      <c r="X15" s="137">
        <f>Public_2!X15*'BTU Conversion Factor'!$F$4</f>
        <v>0</v>
      </c>
      <c r="Y15" s="137">
        <f>Public_2!Y15*'BTU Conversion Factor'!$F$4</f>
        <v>0</v>
      </c>
      <c r="Z15" s="137">
        <f>Public_2!Z15*'BTU Conversion Factor'!$F$4</f>
        <v>0</v>
      </c>
      <c r="AA15" s="137">
        <f>Public_2!AA15*'BTU Conversion Factor'!$F$4</f>
        <v>0</v>
      </c>
      <c r="AB15" s="137">
        <f>Public_2!AB15*'BTU Conversion Factor'!$F$4</f>
        <v>0</v>
      </c>
      <c r="AC15" s="137">
        <f>Public_2!AC15*'BTU Conversion Factor'!$F$4</f>
        <v>0</v>
      </c>
      <c r="AD15" s="137">
        <f>Public_2!AD15*'BTU Conversion Factor'!$F$4</f>
        <v>0</v>
      </c>
      <c r="AE15" s="137">
        <f>Public_2!AE15*'BTU Conversion Factor'!$F$4</f>
        <v>0</v>
      </c>
      <c r="AF15" s="137">
        <f>Public_2!AF15*'BTU Conversion Factor'!$F$4</f>
        <v>0</v>
      </c>
      <c r="AG15" s="137">
        <f>Public_2!AG15*'BTU Conversion Factor'!$F$4</f>
        <v>0</v>
      </c>
      <c r="AH15" s="137">
        <f>Public_2!AH15*'BTU Conversion Factor'!$F$4</f>
        <v>0</v>
      </c>
      <c r="AI15" s="137">
        <f>Public_2!AI15*'BTU Conversion Factor'!$F$4</f>
        <v>0</v>
      </c>
      <c r="AJ15" s="137">
        <f>Public_2!AJ15*'BTU Conversion Factor'!$F$4</f>
        <v>0</v>
      </c>
      <c r="AK15" s="137">
        <f>Public_2!AK15*'BTU Conversion Factor'!$F$4</f>
        <v>0</v>
      </c>
      <c r="AL15" s="137">
        <f>Public_2!AL15*'BTU Conversion Factor'!$F$4</f>
        <v>0</v>
      </c>
      <c r="AM15" s="137">
        <f>Public_2!AM15*'BTU Conversion Factor'!$F$4</f>
        <v>0</v>
      </c>
      <c r="AN15" s="137">
        <f>Public_2!AN15*'BTU Conversion Factor'!$F$4</f>
        <v>0</v>
      </c>
      <c r="AO15" s="137">
        <f>Public_2!AO15*'BTU Conversion Factor'!$F$4</f>
        <v>0</v>
      </c>
      <c r="AP15" s="137">
        <f>Public_2!AP15*'BTU Conversion Factor'!$F$4</f>
        <v>0</v>
      </c>
      <c r="AQ15" s="137">
        <f>Public_2!AQ15*'BTU Conversion Factor'!$F$4</f>
        <v>0</v>
      </c>
      <c r="AR15" s="137">
        <f>Public_2!AR15*'BTU Conversion Factor'!$F$4</f>
        <v>0</v>
      </c>
      <c r="AS15" s="137">
        <f>Public_2!AS15*'BTU Conversion Factor'!$F$4</f>
        <v>0</v>
      </c>
      <c r="AT15" s="137">
        <f>Public_2!AT15*'BTU Conversion Factor'!$F$4</f>
        <v>0</v>
      </c>
      <c r="AU15" s="137">
        <f>Public_2!AU15*'BTU Conversion Factor'!$F$4</f>
        <v>0</v>
      </c>
    </row>
    <row r="16" spans="1:47">
      <c r="B16" s="48" t="s">
        <v>954</v>
      </c>
      <c r="C16" s="137" t="e">
        <f>Public_2!C16*'BTU Conversion Factor'!$F$4</f>
        <v>#REF!</v>
      </c>
      <c r="D16" s="137">
        <f>Public_2!D16*'BTU Conversion Factor'!$F$4</f>
        <v>0</v>
      </c>
      <c r="E16" s="137">
        <f>Public_2!E16*'BTU Conversion Factor'!$F$4</f>
        <v>0</v>
      </c>
      <c r="F16" s="137">
        <f>Public_2!F16*'BTU Conversion Factor'!$F$4</f>
        <v>0</v>
      </c>
      <c r="G16" s="137">
        <f>Public_2!G16*'BTU Conversion Factor'!$F$4</f>
        <v>0</v>
      </c>
      <c r="H16" s="137">
        <f>Public_2!H16*'BTU Conversion Factor'!$F$4</f>
        <v>0</v>
      </c>
      <c r="I16" s="137">
        <f>Public_2!I16*'BTU Conversion Factor'!$F$4</f>
        <v>0</v>
      </c>
      <c r="J16" s="137">
        <f>Public_2!J16*'BTU Conversion Factor'!$F$4</f>
        <v>0</v>
      </c>
      <c r="K16" s="137">
        <f>Public_2!K16*'BTU Conversion Factor'!$F$4</f>
        <v>0</v>
      </c>
      <c r="L16" s="137">
        <f>Public_2!L16*'BTU Conversion Factor'!$F$4</f>
        <v>0</v>
      </c>
      <c r="M16" s="137">
        <f>Public_2!M16*'BTU Conversion Factor'!$F$4</f>
        <v>0</v>
      </c>
      <c r="N16" s="137">
        <f>Public_2!N16*'BTU Conversion Factor'!$F$4</f>
        <v>0</v>
      </c>
      <c r="O16" s="137">
        <f>Public_2!O16*'BTU Conversion Factor'!$F$4</f>
        <v>0</v>
      </c>
      <c r="P16" s="137">
        <f>Public_2!P16*'BTU Conversion Factor'!$F$4</f>
        <v>0</v>
      </c>
      <c r="Q16" s="137">
        <f>Public_2!Q16*'BTU Conversion Factor'!$F$4</f>
        <v>0</v>
      </c>
      <c r="R16" s="137">
        <f>Public_2!R16*'BTU Conversion Factor'!$F$4</f>
        <v>0</v>
      </c>
      <c r="S16" s="137">
        <f>Public_2!S16*'BTU Conversion Factor'!$F$4</f>
        <v>0</v>
      </c>
      <c r="T16" s="137">
        <f>Public_2!T16*'BTU Conversion Factor'!$F$4</f>
        <v>0</v>
      </c>
      <c r="U16" s="137">
        <f>Public_2!U16*'BTU Conversion Factor'!$F$4</f>
        <v>0</v>
      </c>
      <c r="V16" s="137">
        <f>Public_2!V16*'BTU Conversion Factor'!$F$4</f>
        <v>0</v>
      </c>
      <c r="W16" s="137">
        <f>Public_2!W16*'BTU Conversion Factor'!$F$4</f>
        <v>0</v>
      </c>
      <c r="X16" s="137">
        <f>Public_2!X16*'BTU Conversion Factor'!$F$4</f>
        <v>0</v>
      </c>
      <c r="Y16" s="137">
        <f>Public_2!Y16*'BTU Conversion Factor'!$F$4</f>
        <v>0</v>
      </c>
      <c r="Z16" s="137">
        <f>Public_2!Z16*'BTU Conversion Factor'!$F$4</f>
        <v>0</v>
      </c>
      <c r="AA16" s="137">
        <f>Public_2!AA16*'BTU Conversion Factor'!$F$4</f>
        <v>0</v>
      </c>
      <c r="AB16" s="137">
        <f>Public_2!AB16*'BTU Conversion Factor'!$F$4</f>
        <v>0</v>
      </c>
      <c r="AC16" s="137">
        <f>Public_2!AC16*'BTU Conversion Factor'!$F$4</f>
        <v>0</v>
      </c>
      <c r="AD16" s="137">
        <f>Public_2!AD16*'BTU Conversion Factor'!$F$4</f>
        <v>0</v>
      </c>
      <c r="AE16" s="137">
        <f>Public_2!AE16*'BTU Conversion Factor'!$F$4</f>
        <v>0</v>
      </c>
      <c r="AF16" s="137">
        <f>Public_2!AF16*'BTU Conversion Factor'!$F$4</f>
        <v>0</v>
      </c>
      <c r="AG16" s="137">
        <f>Public_2!AG16*'BTU Conversion Factor'!$F$4</f>
        <v>0</v>
      </c>
      <c r="AH16" s="137">
        <f>Public_2!AH16*'BTU Conversion Factor'!$F$4</f>
        <v>0</v>
      </c>
      <c r="AI16" s="137">
        <f>Public_2!AI16*'BTU Conversion Factor'!$F$4</f>
        <v>0</v>
      </c>
      <c r="AJ16" s="137">
        <f>Public_2!AJ16*'BTU Conversion Factor'!$F$4</f>
        <v>0</v>
      </c>
      <c r="AK16" s="137">
        <f>Public_2!AK16*'BTU Conversion Factor'!$F$4</f>
        <v>0</v>
      </c>
      <c r="AL16" s="137">
        <f>Public_2!AL16*'BTU Conversion Factor'!$F$4</f>
        <v>0</v>
      </c>
      <c r="AM16" s="137">
        <f>Public_2!AM16*'BTU Conversion Factor'!$F$4</f>
        <v>0</v>
      </c>
      <c r="AN16" s="137">
        <f>Public_2!AN16*'BTU Conversion Factor'!$F$4</f>
        <v>0</v>
      </c>
      <c r="AO16" s="137">
        <f>Public_2!AO16*'BTU Conversion Factor'!$F$4</f>
        <v>0</v>
      </c>
      <c r="AP16" s="137">
        <f>Public_2!AP16*'BTU Conversion Factor'!$F$4</f>
        <v>0</v>
      </c>
      <c r="AQ16" s="137">
        <f>Public_2!AQ16*'BTU Conversion Factor'!$F$4</f>
        <v>0</v>
      </c>
      <c r="AR16" s="137">
        <f>Public_2!AR16*'BTU Conversion Factor'!$F$4</f>
        <v>0</v>
      </c>
      <c r="AS16" s="137">
        <f>Public_2!AS16*'BTU Conversion Factor'!$F$4</f>
        <v>0</v>
      </c>
      <c r="AT16" s="137">
        <f>Public_2!AT16*'BTU Conversion Factor'!$F$4</f>
        <v>0</v>
      </c>
      <c r="AU16" s="137">
        <f>Public_2!AU16*'BTU Conversion Factor'!$F$4</f>
        <v>0</v>
      </c>
    </row>
    <row r="17" spans="1:47">
      <c r="B17" s="48" t="s">
        <v>955</v>
      </c>
      <c r="C17" s="137" t="e">
        <f>Public_2!C17*'BTU Conversion Factor'!$F$4</f>
        <v>#REF!</v>
      </c>
      <c r="D17" s="137">
        <f>Public_2!D17*'BTU Conversion Factor'!$F$4</f>
        <v>0</v>
      </c>
      <c r="E17" s="137">
        <f>Public_2!E17*'BTU Conversion Factor'!$F$4</f>
        <v>0</v>
      </c>
      <c r="F17" s="137">
        <f>Public_2!F17*'BTU Conversion Factor'!$F$4</f>
        <v>0</v>
      </c>
      <c r="G17" s="137">
        <f>Public_2!G17*'BTU Conversion Factor'!$F$4</f>
        <v>0</v>
      </c>
      <c r="H17" s="137">
        <f>Public_2!H17*'BTU Conversion Factor'!$F$4</f>
        <v>0</v>
      </c>
      <c r="I17" s="137">
        <f>Public_2!I17*'BTU Conversion Factor'!$F$4</f>
        <v>0</v>
      </c>
      <c r="J17" s="137">
        <f>Public_2!J17*'BTU Conversion Factor'!$F$4</f>
        <v>0</v>
      </c>
      <c r="K17" s="137">
        <f>Public_2!K17*'BTU Conversion Factor'!$F$4</f>
        <v>0</v>
      </c>
      <c r="L17" s="137">
        <f>Public_2!L17*'BTU Conversion Factor'!$F$4</f>
        <v>0</v>
      </c>
      <c r="M17" s="137">
        <f>Public_2!M17*'BTU Conversion Factor'!$F$4</f>
        <v>0</v>
      </c>
      <c r="N17" s="137">
        <f>Public_2!N17*'BTU Conversion Factor'!$F$4</f>
        <v>0</v>
      </c>
      <c r="O17" s="137">
        <f>Public_2!O17*'BTU Conversion Factor'!$F$4</f>
        <v>0</v>
      </c>
      <c r="P17" s="137">
        <f>Public_2!P17*'BTU Conversion Factor'!$F$4</f>
        <v>0</v>
      </c>
      <c r="Q17" s="137">
        <f>Public_2!Q17*'BTU Conversion Factor'!$F$4</f>
        <v>0</v>
      </c>
      <c r="R17" s="137">
        <f>Public_2!R17*'BTU Conversion Factor'!$F$4</f>
        <v>0</v>
      </c>
      <c r="S17" s="137">
        <f>Public_2!S17*'BTU Conversion Factor'!$F$4</f>
        <v>0</v>
      </c>
      <c r="T17" s="137">
        <f>Public_2!T17*'BTU Conversion Factor'!$F$4</f>
        <v>0</v>
      </c>
      <c r="U17" s="137">
        <f>Public_2!U17*'BTU Conversion Factor'!$F$4</f>
        <v>0</v>
      </c>
      <c r="V17" s="137">
        <f>Public_2!V17*'BTU Conversion Factor'!$F$4</f>
        <v>0</v>
      </c>
      <c r="W17" s="137">
        <f>Public_2!W17*'BTU Conversion Factor'!$F$4</f>
        <v>0</v>
      </c>
      <c r="X17" s="137">
        <f>Public_2!X17*'BTU Conversion Factor'!$F$4</f>
        <v>0</v>
      </c>
      <c r="Y17" s="137">
        <f>Public_2!Y17*'BTU Conversion Factor'!$F$4</f>
        <v>0</v>
      </c>
      <c r="Z17" s="137">
        <f>Public_2!Z17*'BTU Conversion Factor'!$F$4</f>
        <v>0</v>
      </c>
      <c r="AA17" s="137">
        <f>Public_2!AA17*'BTU Conversion Factor'!$F$4</f>
        <v>0</v>
      </c>
      <c r="AB17" s="137">
        <f>Public_2!AB17*'BTU Conversion Factor'!$F$4</f>
        <v>0</v>
      </c>
      <c r="AC17" s="137">
        <f>Public_2!AC17*'BTU Conversion Factor'!$F$4</f>
        <v>0</v>
      </c>
      <c r="AD17" s="137">
        <f>Public_2!AD17*'BTU Conversion Factor'!$F$4</f>
        <v>0</v>
      </c>
      <c r="AE17" s="137">
        <f>Public_2!AE17*'BTU Conversion Factor'!$F$4</f>
        <v>0</v>
      </c>
      <c r="AF17" s="137">
        <f>Public_2!AF17*'BTU Conversion Factor'!$F$4</f>
        <v>0</v>
      </c>
      <c r="AG17" s="137">
        <f>Public_2!AG17*'BTU Conversion Factor'!$F$4</f>
        <v>0</v>
      </c>
      <c r="AH17" s="137">
        <f>Public_2!AH17*'BTU Conversion Factor'!$F$4</f>
        <v>0</v>
      </c>
      <c r="AI17" s="137">
        <f>Public_2!AI17*'BTU Conversion Factor'!$F$4</f>
        <v>0</v>
      </c>
      <c r="AJ17" s="137">
        <f>Public_2!AJ17*'BTU Conversion Factor'!$F$4</f>
        <v>0</v>
      </c>
      <c r="AK17" s="137">
        <f>Public_2!AK17*'BTU Conversion Factor'!$F$4</f>
        <v>0</v>
      </c>
      <c r="AL17" s="137">
        <f>Public_2!AL17*'BTU Conversion Factor'!$F$4</f>
        <v>0</v>
      </c>
      <c r="AM17" s="137">
        <f>Public_2!AM17*'BTU Conversion Factor'!$F$4</f>
        <v>0</v>
      </c>
      <c r="AN17" s="137">
        <f>Public_2!AN17*'BTU Conversion Factor'!$F$4</f>
        <v>0</v>
      </c>
      <c r="AO17" s="137">
        <f>Public_2!AO17*'BTU Conversion Factor'!$F$4</f>
        <v>0</v>
      </c>
      <c r="AP17" s="137">
        <f>Public_2!AP17*'BTU Conversion Factor'!$F$4</f>
        <v>0</v>
      </c>
      <c r="AQ17" s="137">
        <f>Public_2!AQ17*'BTU Conversion Factor'!$F$4</f>
        <v>0</v>
      </c>
      <c r="AR17" s="137">
        <f>Public_2!AR17*'BTU Conversion Factor'!$F$4</f>
        <v>0</v>
      </c>
      <c r="AS17" s="137">
        <f>Public_2!AS17*'BTU Conversion Factor'!$F$4</f>
        <v>0</v>
      </c>
      <c r="AT17" s="137">
        <f>Public_2!AT17*'BTU Conversion Factor'!$F$4</f>
        <v>0</v>
      </c>
      <c r="AU17" s="137">
        <f>Public_2!AU17*'BTU Conversion Factor'!$F$4</f>
        <v>0</v>
      </c>
    </row>
    <row r="18" spans="1:47">
      <c r="B18" s="48" t="s">
        <v>956</v>
      </c>
      <c r="C18" s="137">
        <f>Public_2!C18*'BTU Conversion Factor'!$F$4</f>
        <v>0</v>
      </c>
      <c r="D18" s="137">
        <f>Public_2!D18*'BTU Conversion Factor'!$F$4</f>
        <v>0</v>
      </c>
      <c r="E18" s="137">
        <f>Public_2!E18*'BTU Conversion Factor'!$F$4</f>
        <v>0</v>
      </c>
      <c r="F18" s="137">
        <f>Public_2!F18*'BTU Conversion Factor'!$F$4</f>
        <v>0</v>
      </c>
      <c r="G18" s="137">
        <f>Public_2!G18*'BTU Conversion Factor'!$F$4</f>
        <v>0</v>
      </c>
      <c r="H18" s="137">
        <f>Public_2!H18*'BTU Conversion Factor'!$F$4</f>
        <v>0</v>
      </c>
      <c r="I18" s="137">
        <f>Public_2!I18*'BTU Conversion Factor'!$F$4</f>
        <v>0</v>
      </c>
      <c r="J18" s="137">
        <f>Public_2!J18*'BTU Conversion Factor'!$F$4</f>
        <v>0</v>
      </c>
      <c r="K18" s="137">
        <f>Public_2!K18*'BTU Conversion Factor'!$F$4</f>
        <v>0</v>
      </c>
      <c r="L18" s="137">
        <f>Public_2!L18*'BTU Conversion Factor'!$F$4</f>
        <v>0</v>
      </c>
      <c r="M18" s="137">
        <f>Public_2!M18*'BTU Conversion Factor'!$F$4</f>
        <v>0</v>
      </c>
      <c r="N18" s="137">
        <f>Public_2!N18*'BTU Conversion Factor'!$F$4</f>
        <v>0</v>
      </c>
      <c r="O18" s="137">
        <f>Public_2!O18*'BTU Conversion Factor'!$F$4</f>
        <v>0</v>
      </c>
      <c r="P18" s="137">
        <f>Public_2!P18*'BTU Conversion Factor'!$F$4</f>
        <v>0</v>
      </c>
      <c r="Q18" s="137">
        <f>Public_2!Q18*'BTU Conversion Factor'!$F$4</f>
        <v>0</v>
      </c>
      <c r="R18" s="137">
        <f>Public_2!R18*'BTU Conversion Factor'!$F$4</f>
        <v>0</v>
      </c>
      <c r="S18" s="137">
        <f>Public_2!S18*'BTU Conversion Factor'!$F$4</f>
        <v>0</v>
      </c>
      <c r="T18" s="137">
        <f>Public_2!T18*'BTU Conversion Factor'!$F$4</f>
        <v>0</v>
      </c>
      <c r="U18" s="137">
        <f>Public_2!U18*'BTU Conversion Factor'!$F$4</f>
        <v>0</v>
      </c>
      <c r="V18" s="137">
        <f>Public_2!V18*'BTU Conversion Factor'!$F$4</f>
        <v>0</v>
      </c>
      <c r="W18" s="137">
        <f>Public_2!W18*'BTU Conversion Factor'!$F$4</f>
        <v>0</v>
      </c>
      <c r="X18" s="137">
        <f>Public_2!X18*'BTU Conversion Factor'!$F$4</f>
        <v>0</v>
      </c>
      <c r="Y18" s="137">
        <f>Public_2!Y18*'BTU Conversion Factor'!$F$4</f>
        <v>0</v>
      </c>
      <c r="Z18" s="137">
        <f>Public_2!Z18*'BTU Conversion Factor'!$F$4</f>
        <v>0</v>
      </c>
      <c r="AA18" s="137">
        <f>Public_2!AA18*'BTU Conversion Factor'!$F$4</f>
        <v>0</v>
      </c>
      <c r="AB18" s="137">
        <f>Public_2!AB18*'BTU Conversion Factor'!$F$4</f>
        <v>0</v>
      </c>
      <c r="AC18" s="137">
        <f>Public_2!AC18*'BTU Conversion Factor'!$F$4</f>
        <v>0</v>
      </c>
      <c r="AD18" s="137">
        <f>Public_2!AD18*'BTU Conversion Factor'!$F$4</f>
        <v>0</v>
      </c>
      <c r="AE18" s="137">
        <f>Public_2!AE18*'BTU Conversion Factor'!$F$4</f>
        <v>0</v>
      </c>
      <c r="AF18" s="137">
        <f>Public_2!AF18*'BTU Conversion Factor'!$F$4</f>
        <v>0</v>
      </c>
      <c r="AG18" s="137">
        <f>Public_2!AG18*'BTU Conversion Factor'!$F$4</f>
        <v>0</v>
      </c>
      <c r="AH18" s="137">
        <f>Public_2!AH18*'BTU Conversion Factor'!$F$4</f>
        <v>0</v>
      </c>
      <c r="AI18" s="137">
        <f>Public_2!AI18*'BTU Conversion Factor'!$F$4</f>
        <v>0</v>
      </c>
      <c r="AJ18" s="137">
        <f>Public_2!AJ18*'BTU Conversion Factor'!$F$4</f>
        <v>0</v>
      </c>
      <c r="AK18" s="137">
        <f>Public_2!AK18*'BTU Conversion Factor'!$F$4</f>
        <v>0</v>
      </c>
      <c r="AL18" s="137">
        <f>Public_2!AL18*'BTU Conversion Factor'!$F$4</f>
        <v>0</v>
      </c>
      <c r="AM18" s="137">
        <f>Public_2!AM18*'BTU Conversion Factor'!$F$4</f>
        <v>0</v>
      </c>
      <c r="AN18" s="137">
        <f>Public_2!AN18*'BTU Conversion Factor'!$F$4</f>
        <v>0</v>
      </c>
      <c r="AO18" s="137">
        <f>Public_2!AO18*'BTU Conversion Factor'!$F$4</f>
        <v>0</v>
      </c>
      <c r="AP18" s="137">
        <f>Public_2!AP18*'BTU Conversion Factor'!$F$4</f>
        <v>0</v>
      </c>
      <c r="AQ18" s="137">
        <f>Public_2!AQ18*'BTU Conversion Factor'!$F$4</f>
        <v>0</v>
      </c>
      <c r="AR18" s="137">
        <f>Public_2!AR18*'BTU Conversion Factor'!$F$4</f>
        <v>0</v>
      </c>
      <c r="AS18" s="137">
        <f>Public_2!AS18*'BTU Conversion Factor'!$F$4</f>
        <v>0</v>
      </c>
      <c r="AT18" s="137">
        <f>Public_2!AT18*'BTU Conversion Factor'!$F$4</f>
        <v>0</v>
      </c>
      <c r="AU18" s="137">
        <f>Public_2!AU18*'BTU Conversion Factor'!$F$4</f>
        <v>0</v>
      </c>
    </row>
    <row r="19" spans="1:47">
      <c r="B19" s="48" t="s">
        <v>957</v>
      </c>
      <c r="C19" s="137">
        <f>Public_2!C19*'BTU Conversion Factor'!$F$4</f>
        <v>0</v>
      </c>
      <c r="D19" s="137">
        <f>Public_2!D19*'BTU Conversion Factor'!$F$4</f>
        <v>0</v>
      </c>
      <c r="E19" s="137">
        <f>Public_2!E19*'BTU Conversion Factor'!$F$4</f>
        <v>0</v>
      </c>
      <c r="F19" s="137">
        <f>Public_2!F19*'BTU Conversion Factor'!$F$4</f>
        <v>0</v>
      </c>
      <c r="G19" s="137">
        <f>Public_2!G19*'BTU Conversion Factor'!$F$4</f>
        <v>0</v>
      </c>
      <c r="H19" s="137">
        <f>Public_2!H19*'BTU Conversion Factor'!$F$4</f>
        <v>0</v>
      </c>
      <c r="I19" s="137">
        <f>Public_2!I19*'BTU Conversion Factor'!$F$4</f>
        <v>0</v>
      </c>
      <c r="J19" s="137">
        <f>Public_2!J19*'BTU Conversion Factor'!$F$4</f>
        <v>0</v>
      </c>
      <c r="K19" s="137">
        <f>Public_2!K19*'BTU Conversion Factor'!$F$4</f>
        <v>0</v>
      </c>
      <c r="L19" s="137">
        <f>Public_2!L19*'BTU Conversion Factor'!$F$4</f>
        <v>0</v>
      </c>
      <c r="M19" s="137">
        <f>Public_2!M19*'BTU Conversion Factor'!$F$4</f>
        <v>0</v>
      </c>
      <c r="N19" s="137">
        <f>Public_2!N19*'BTU Conversion Factor'!$F$4</f>
        <v>0</v>
      </c>
      <c r="O19" s="137">
        <f>Public_2!O19*'BTU Conversion Factor'!$F$4</f>
        <v>0</v>
      </c>
      <c r="P19" s="137">
        <f>Public_2!P19*'BTU Conversion Factor'!$F$4</f>
        <v>0</v>
      </c>
      <c r="Q19" s="137">
        <f>Public_2!Q19*'BTU Conversion Factor'!$F$4</f>
        <v>0</v>
      </c>
      <c r="R19" s="137">
        <f>Public_2!R19*'BTU Conversion Factor'!$F$4</f>
        <v>0</v>
      </c>
      <c r="S19" s="137">
        <f>Public_2!S19*'BTU Conversion Factor'!$F$4</f>
        <v>0</v>
      </c>
      <c r="T19" s="137">
        <f>Public_2!T19*'BTU Conversion Factor'!$F$4</f>
        <v>0</v>
      </c>
      <c r="U19" s="137">
        <f>Public_2!U19*'BTU Conversion Factor'!$F$4</f>
        <v>0</v>
      </c>
      <c r="V19" s="137">
        <f>Public_2!V19*'BTU Conversion Factor'!$F$4</f>
        <v>0</v>
      </c>
      <c r="W19" s="137">
        <f>Public_2!W19*'BTU Conversion Factor'!$F$4</f>
        <v>0</v>
      </c>
      <c r="X19" s="137">
        <f>Public_2!X19*'BTU Conversion Factor'!$F$4</f>
        <v>0</v>
      </c>
      <c r="Y19" s="137">
        <f>Public_2!Y19*'BTU Conversion Factor'!$F$4</f>
        <v>0</v>
      </c>
      <c r="Z19" s="137">
        <f>Public_2!Z19*'BTU Conversion Factor'!$F$4</f>
        <v>0</v>
      </c>
      <c r="AA19" s="137">
        <f>Public_2!AA19*'BTU Conversion Factor'!$F$4</f>
        <v>0</v>
      </c>
      <c r="AB19" s="137">
        <f>Public_2!AB19*'BTU Conversion Factor'!$F$4</f>
        <v>0</v>
      </c>
      <c r="AC19" s="137">
        <f>Public_2!AC19*'BTU Conversion Factor'!$F$4</f>
        <v>0</v>
      </c>
      <c r="AD19" s="137">
        <f>Public_2!AD19*'BTU Conversion Factor'!$F$4</f>
        <v>0</v>
      </c>
      <c r="AE19" s="137">
        <f>Public_2!AE19*'BTU Conversion Factor'!$F$4</f>
        <v>0</v>
      </c>
      <c r="AF19" s="137">
        <f>Public_2!AF19*'BTU Conversion Factor'!$F$4</f>
        <v>0</v>
      </c>
      <c r="AG19" s="137">
        <f>Public_2!AG19*'BTU Conversion Factor'!$F$4</f>
        <v>0</v>
      </c>
      <c r="AH19" s="137">
        <f>Public_2!AH19*'BTU Conversion Factor'!$F$4</f>
        <v>0</v>
      </c>
      <c r="AI19" s="137">
        <f>Public_2!AI19*'BTU Conversion Factor'!$F$4</f>
        <v>0</v>
      </c>
      <c r="AJ19" s="137">
        <f>Public_2!AJ19*'BTU Conversion Factor'!$F$4</f>
        <v>0</v>
      </c>
      <c r="AK19" s="137">
        <f>Public_2!AK19*'BTU Conversion Factor'!$F$4</f>
        <v>0</v>
      </c>
      <c r="AL19" s="137">
        <f>Public_2!AL19*'BTU Conversion Factor'!$F$4</f>
        <v>0</v>
      </c>
      <c r="AM19" s="137">
        <f>Public_2!AM19*'BTU Conversion Factor'!$F$4</f>
        <v>0</v>
      </c>
      <c r="AN19" s="137">
        <f>Public_2!AN19*'BTU Conversion Factor'!$F$4</f>
        <v>0</v>
      </c>
      <c r="AO19" s="137">
        <f>Public_2!AO19*'BTU Conversion Factor'!$F$4</f>
        <v>0</v>
      </c>
      <c r="AP19" s="137">
        <f>Public_2!AP19*'BTU Conversion Factor'!$F$4</f>
        <v>0</v>
      </c>
      <c r="AQ19" s="137">
        <f>Public_2!AQ19*'BTU Conversion Factor'!$F$4</f>
        <v>0</v>
      </c>
      <c r="AR19" s="137">
        <f>Public_2!AR19*'BTU Conversion Factor'!$F$4</f>
        <v>0</v>
      </c>
      <c r="AS19" s="137">
        <f>Public_2!AS19*'BTU Conversion Factor'!$F$4</f>
        <v>0</v>
      </c>
      <c r="AT19" s="137">
        <f>Public_2!AT19*'BTU Conversion Factor'!$F$4</f>
        <v>0</v>
      </c>
      <c r="AU19" s="137">
        <f>Public_2!AU19*'BTU Conversion Factor'!$F$4</f>
        <v>0</v>
      </c>
    </row>
    <row r="21" spans="1:47" s="52" customFormat="1">
      <c r="A21" s="102" t="s">
        <v>932</v>
      </c>
    </row>
    <row r="22" spans="1:47" s="48" customFormat="1">
      <c r="B22" s="48" t="s">
        <v>554</v>
      </c>
      <c r="C22" s="48">
        <v>2006</v>
      </c>
      <c r="D22" s="48">
        <v>2007</v>
      </c>
      <c r="E22" s="48">
        <v>2008</v>
      </c>
      <c r="F22" s="48">
        <v>2009</v>
      </c>
      <c r="G22" s="48">
        <v>2010</v>
      </c>
      <c r="H22" s="48">
        <v>2011</v>
      </c>
      <c r="I22" s="48">
        <v>2012</v>
      </c>
      <c r="J22" s="48">
        <v>2013</v>
      </c>
      <c r="K22" s="48">
        <v>2014</v>
      </c>
      <c r="L22" s="48">
        <v>2015</v>
      </c>
      <c r="M22" s="48">
        <v>2016</v>
      </c>
      <c r="N22" s="48">
        <v>2017</v>
      </c>
      <c r="O22" s="48">
        <v>2018</v>
      </c>
      <c r="P22" s="48">
        <v>2019</v>
      </c>
      <c r="Q22" s="48">
        <v>2020</v>
      </c>
      <c r="R22" s="48">
        <v>2021</v>
      </c>
      <c r="S22" s="48">
        <v>2022</v>
      </c>
      <c r="T22" s="48">
        <v>2023</v>
      </c>
      <c r="U22" s="48">
        <v>2024</v>
      </c>
      <c r="V22" s="48">
        <v>2025</v>
      </c>
      <c r="W22" s="48">
        <v>2026</v>
      </c>
      <c r="X22" s="48">
        <v>2027</v>
      </c>
      <c r="Y22" s="48">
        <v>2028</v>
      </c>
      <c r="Z22" s="48">
        <v>2029</v>
      </c>
      <c r="AA22" s="48">
        <v>2030</v>
      </c>
      <c r="AB22" s="48">
        <v>2031</v>
      </c>
      <c r="AC22" s="48">
        <v>2032</v>
      </c>
      <c r="AD22" s="48">
        <v>2033</v>
      </c>
      <c r="AE22" s="48">
        <v>2034</v>
      </c>
      <c r="AF22" s="48">
        <v>2035</v>
      </c>
      <c r="AG22" s="48">
        <v>2036</v>
      </c>
      <c r="AH22" s="48">
        <v>2037</v>
      </c>
      <c r="AI22" s="48">
        <v>2038</v>
      </c>
      <c r="AJ22" s="48">
        <v>2039</v>
      </c>
      <c r="AK22" s="48">
        <v>2040</v>
      </c>
      <c r="AL22" s="48">
        <v>2041</v>
      </c>
      <c r="AM22" s="48">
        <v>2042</v>
      </c>
      <c r="AN22" s="48">
        <v>2043</v>
      </c>
      <c r="AO22" s="48">
        <v>2044</v>
      </c>
      <c r="AP22" s="48">
        <v>2045</v>
      </c>
      <c r="AQ22" s="48">
        <v>2046</v>
      </c>
      <c r="AR22" s="48">
        <v>2047</v>
      </c>
      <c r="AS22" s="48">
        <v>2048</v>
      </c>
      <c r="AT22" s="48">
        <v>2049</v>
      </c>
      <c r="AU22" s="48">
        <v>2050</v>
      </c>
    </row>
    <row r="23" spans="1:47">
      <c r="B23" s="48" t="s">
        <v>952</v>
      </c>
      <c r="C23">
        <f>Public_2!C23*'BTU Conversion Factor'!$F$4</f>
        <v>0</v>
      </c>
      <c r="D23">
        <f>Public_2!D23*'BTU Conversion Factor'!$F$4</f>
        <v>0</v>
      </c>
      <c r="E23">
        <f>Public_2!E23*'BTU Conversion Factor'!$F$4</f>
        <v>0</v>
      </c>
      <c r="F23">
        <f>Public_2!F23*'BTU Conversion Factor'!$F$4</f>
        <v>0</v>
      </c>
      <c r="G23">
        <f>Public_2!G23*'BTU Conversion Factor'!$F$4</f>
        <v>0</v>
      </c>
      <c r="H23">
        <f>Public_2!H23*'BTU Conversion Factor'!$F$4</f>
        <v>0</v>
      </c>
      <c r="I23">
        <f>Public_2!I23*'BTU Conversion Factor'!$F$4</f>
        <v>0</v>
      </c>
      <c r="J23">
        <f>Public_2!J23*'BTU Conversion Factor'!$F$4</f>
        <v>0</v>
      </c>
      <c r="K23">
        <f>Public_2!K23*'BTU Conversion Factor'!$F$4</f>
        <v>0</v>
      </c>
      <c r="L23">
        <f>Public_2!L23*'BTU Conversion Factor'!$F$4</f>
        <v>0</v>
      </c>
      <c r="M23">
        <f>Public_2!M23*'BTU Conversion Factor'!$F$4</f>
        <v>0</v>
      </c>
      <c r="N23">
        <f>Public_2!N23*'BTU Conversion Factor'!$F$4</f>
        <v>0</v>
      </c>
      <c r="O23">
        <f>Public_2!O23*'BTU Conversion Factor'!$F$4</f>
        <v>0</v>
      </c>
      <c r="P23">
        <f>Public_2!P23*'BTU Conversion Factor'!$F$4</f>
        <v>0</v>
      </c>
      <c r="Q23">
        <f>Public_2!Q23*'BTU Conversion Factor'!$F$4</f>
        <v>0</v>
      </c>
      <c r="R23">
        <f>Public_2!R23*'BTU Conversion Factor'!$F$4</f>
        <v>0</v>
      </c>
      <c r="S23">
        <f>Public_2!S23*'BTU Conversion Factor'!$F$4</f>
        <v>0</v>
      </c>
      <c r="T23">
        <f>Public_2!T23*'BTU Conversion Factor'!$F$4</f>
        <v>0</v>
      </c>
      <c r="U23">
        <f>Public_2!U23*'BTU Conversion Factor'!$F$4</f>
        <v>0</v>
      </c>
      <c r="V23">
        <f>Public_2!V23*'BTU Conversion Factor'!$F$4</f>
        <v>0</v>
      </c>
      <c r="W23">
        <f>Public_2!W23*'BTU Conversion Factor'!$F$4</f>
        <v>0</v>
      </c>
      <c r="X23">
        <f>Public_2!X23*'BTU Conversion Factor'!$F$4</f>
        <v>0</v>
      </c>
      <c r="Y23">
        <f>Public_2!Y23*'BTU Conversion Factor'!$F$4</f>
        <v>0</v>
      </c>
      <c r="Z23">
        <f>Public_2!Z23*'BTU Conversion Factor'!$F$4</f>
        <v>0</v>
      </c>
      <c r="AA23">
        <f>Public_2!AA23*'BTU Conversion Factor'!$F$4</f>
        <v>0</v>
      </c>
      <c r="AB23">
        <f>Public_2!AB23*'BTU Conversion Factor'!$F$4</f>
        <v>0</v>
      </c>
      <c r="AC23">
        <f>Public_2!AC23*'BTU Conversion Factor'!$F$4</f>
        <v>0</v>
      </c>
      <c r="AD23">
        <f>Public_2!AD23*'BTU Conversion Factor'!$F$4</f>
        <v>0</v>
      </c>
      <c r="AE23">
        <f>Public_2!AE23*'BTU Conversion Factor'!$F$4</f>
        <v>0</v>
      </c>
      <c r="AF23">
        <f>Public_2!AF23*'BTU Conversion Factor'!$F$4</f>
        <v>0</v>
      </c>
      <c r="AG23">
        <f>Public_2!AG23*'BTU Conversion Factor'!$F$4</f>
        <v>0</v>
      </c>
      <c r="AH23">
        <f>Public_2!AH23*'BTU Conversion Factor'!$F$4</f>
        <v>0</v>
      </c>
      <c r="AI23">
        <f>Public_2!AI23*'BTU Conversion Factor'!$F$4</f>
        <v>0</v>
      </c>
      <c r="AJ23">
        <f>Public_2!AJ23*'BTU Conversion Factor'!$F$4</f>
        <v>0</v>
      </c>
      <c r="AK23">
        <f>Public_2!AK23*'BTU Conversion Factor'!$F$4</f>
        <v>0</v>
      </c>
      <c r="AL23">
        <f>Public_2!AL23*'BTU Conversion Factor'!$F$4</f>
        <v>0</v>
      </c>
      <c r="AM23">
        <f>Public_2!AM23*'BTU Conversion Factor'!$F$4</f>
        <v>0</v>
      </c>
      <c r="AN23">
        <f>Public_2!AN23*'BTU Conversion Factor'!$F$4</f>
        <v>0</v>
      </c>
      <c r="AO23">
        <f>Public_2!AO23*'BTU Conversion Factor'!$F$4</f>
        <v>0</v>
      </c>
      <c r="AP23">
        <f>Public_2!AP23*'BTU Conversion Factor'!$F$4</f>
        <v>0</v>
      </c>
      <c r="AQ23">
        <f>Public_2!AQ23*'BTU Conversion Factor'!$F$4</f>
        <v>0</v>
      </c>
      <c r="AR23">
        <f>Public_2!AR23*'BTU Conversion Factor'!$F$4</f>
        <v>0</v>
      </c>
      <c r="AS23">
        <f>Public_2!AS23*'BTU Conversion Factor'!$F$4</f>
        <v>0</v>
      </c>
      <c r="AT23">
        <f>Public_2!AT23*'BTU Conversion Factor'!$F$4</f>
        <v>0</v>
      </c>
      <c r="AU23">
        <f>Public_2!AU23*'BTU Conversion Factor'!$F$4</f>
        <v>0</v>
      </c>
    </row>
    <row r="24" spans="1:47">
      <c r="B24" s="48" t="s">
        <v>953</v>
      </c>
      <c r="C24">
        <f>Public_2!C24*'BTU Conversion Factor'!$F$4</f>
        <v>0</v>
      </c>
      <c r="D24">
        <f>Public_2!D24*'BTU Conversion Factor'!$F$4</f>
        <v>0</v>
      </c>
      <c r="E24">
        <f>Public_2!E24*'BTU Conversion Factor'!$F$4</f>
        <v>0</v>
      </c>
      <c r="F24">
        <f>Public_2!F24*'BTU Conversion Factor'!$F$4</f>
        <v>0</v>
      </c>
      <c r="G24">
        <f>Public_2!G24*'BTU Conversion Factor'!$F$4</f>
        <v>0</v>
      </c>
      <c r="H24">
        <f>Public_2!H24*'BTU Conversion Factor'!$F$4</f>
        <v>0</v>
      </c>
      <c r="I24">
        <f>Public_2!I24*'BTU Conversion Factor'!$F$4</f>
        <v>0</v>
      </c>
      <c r="J24">
        <f>Public_2!J24*'BTU Conversion Factor'!$F$4</f>
        <v>0</v>
      </c>
      <c r="K24">
        <f>Public_2!K24*'BTU Conversion Factor'!$F$4</f>
        <v>0</v>
      </c>
      <c r="L24">
        <f>Public_2!L24*'BTU Conversion Factor'!$F$4</f>
        <v>0</v>
      </c>
      <c r="M24">
        <f>Public_2!M24*'BTU Conversion Factor'!$F$4</f>
        <v>0</v>
      </c>
      <c r="N24">
        <f>Public_2!N24*'BTU Conversion Factor'!$F$4</f>
        <v>0</v>
      </c>
      <c r="O24">
        <f>Public_2!O24*'BTU Conversion Factor'!$F$4</f>
        <v>0</v>
      </c>
      <c r="P24">
        <f>Public_2!P24*'BTU Conversion Factor'!$F$4</f>
        <v>0</v>
      </c>
      <c r="Q24">
        <f>Public_2!Q24*'BTU Conversion Factor'!$F$4</f>
        <v>0</v>
      </c>
      <c r="R24">
        <f>Public_2!R24*'BTU Conversion Factor'!$F$4</f>
        <v>0</v>
      </c>
      <c r="S24">
        <f>Public_2!S24*'BTU Conversion Factor'!$F$4</f>
        <v>0</v>
      </c>
      <c r="T24">
        <f>Public_2!T24*'BTU Conversion Factor'!$F$4</f>
        <v>0</v>
      </c>
      <c r="U24">
        <f>Public_2!U24*'BTU Conversion Factor'!$F$4</f>
        <v>0</v>
      </c>
      <c r="V24">
        <f>Public_2!V24*'BTU Conversion Factor'!$F$4</f>
        <v>0</v>
      </c>
      <c r="W24">
        <f>Public_2!W24*'BTU Conversion Factor'!$F$4</f>
        <v>0</v>
      </c>
      <c r="X24">
        <f>Public_2!X24*'BTU Conversion Factor'!$F$4</f>
        <v>0</v>
      </c>
      <c r="Y24">
        <f>Public_2!Y24*'BTU Conversion Factor'!$F$4</f>
        <v>0</v>
      </c>
      <c r="Z24">
        <f>Public_2!Z24*'BTU Conversion Factor'!$F$4</f>
        <v>0</v>
      </c>
      <c r="AA24">
        <f>Public_2!AA24*'BTU Conversion Factor'!$F$4</f>
        <v>0</v>
      </c>
      <c r="AB24">
        <f>Public_2!AB24*'BTU Conversion Factor'!$F$4</f>
        <v>0</v>
      </c>
      <c r="AC24">
        <f>Public_2!AC24*'BTU Conversion Factor'!$F$4</f>
        <v>0</v>
      </c>
      <c r="AD24">
        <f>Public_2!AD24*'BTU Conversion Factor'!$F$4</f>
        <v>0</v>
      </c>
      <c r="AE24">
        <f>Public_2!AE24*'BTU Conversion Factor'!$F$4</f>
        <v>0</v>
      </c>
      <c r="AF24">
        <f>Public_2!AF24*'BTU Conversion Factor'!$F$4</f>
        <v>0</v>
      </c>
      <c r="AG24">
        <f>Public_2!AG24*'BTU Conversion Factor'!$F$4</f>
        <v>0</v>
      </c>
      <c r="AH24">
        <f>Public_2!AH24*'BTU Conversion Factor'!$F$4</f>
        <v>0</v>
      </c>
      <c r="AI24">
        <f>Public_2!AI24*'BTU Conversion Factor'!$F$4</f>
        <v>0</v>
      </c>
      <c r="AJ24">
        <f>Public_2!AJ24*'BTU Conversion Factor'!$F$4</f>
        <v>0</v>
      </c>
      <c r="AK24">
        <f>Public_2!AK24*'BTU Conversion Factor'!$F$4</f>
        <v>0</v>
      </c>
      <c r="AL24">
        <f>Public_2!AL24*'BTU Conversion Factor'!$F$4</f>
        <v>0</v>
      </c>
      <c r="AM24">
        <f>Public_2!AM24*'BTU Conversion Factor'!$F$4</f>
        <v>0</v>
      </c>
      <c r="AN24">
        <f>Public_2!AN24*'BTU Conversion Factor'!$F$4</f>
        <v>0</v>
      </c>
      <c r="AO24">
        <f>Public_2!AO24*'BTU Conversion Factor'!$F$4</f>
        <v>0</v>
      </c>
      <c r="AP24">
        <f>Public_2!AP24*'BTU Conversion Factor'!$F$4</f>
        <v>0</v>
      </c>
      <c r="AQ24">
        <f>Public_2!AQ24*'BTU Conversion Factor'!$F$4</f>
        <v>0</v>
      </c>
      <c r="AR24">
        <f>Public_2!AR24*'BTU Conversion Factor'!$F$4</f>
        <v>0</v>
      </c>
      <c r="AS24">
        <f>Public_2!AS24*'BTU Conversion Factor'!$F$4</f>
        <v>0</v>
      </c>
      <c r="AT24">
        <f>Public_2!AT24*'BTU Conversion Factor'!$F$4</f>
        <v>0</v>
      </c>
      <c r="AU24">
        <f>Public_2!AU24*'BTU Conversion Factor'!$F$4</f>
        <v>0</v>
      </c>
    </row>
    <row r="25" spans="1:47">
      <c r="B25" s="48" t="s">
        <v>954</v>
      </c>
      <c r="C25">
        <f>Public_2!C25*'BTU Conversion Factor'!$F$4</f>
        <v>0</v>
      </c>
      <c r="D25">
        <f>Public_2!D25*'BTU Conversion Factor'!$F$4</f>
        <v>0</v>
      </c>
      <c r="E25">
        <f>Public_2!E25*'BTU Conversion Factor'!$F$4</f>
        <v>0</v>
      </c>
      <c r="F25">
        <f>Public_2!F25*'BTU Conversion Factor'!$F$4</f>
        <v>0</v>
      </c>
      <c r="G25">
        <f>Public_2!G25*'BTU Conversion Factor'!$F$4</f>
        <v>0</v>
      </c>
      <c r="H25">
        <f>Public_2!H25*'BTU Conversion Factor'!$F$4</f>
        <v>0</v>
      </c>
      <c r="I25">
        <f>Public_2!I25*'BTU Conversion Factor'!$F$4</f>
        <v>0</v>
      </c>
      <c r="J25">
        <f>Public_2!J25*'BTU Conversion Factor'!$F$4</f>
        <v>0</v>
      </c>
      <c r="K25">
        <f>Public_2!K25*'BTU Conversion Factor'!$F$4</f>
        <v>0</v>
      </c>
      <c r="L25">
        <f>Public_2!L25*'BTU Conversion Factor'!$F$4</f>
        <v>0</v>
      </c>
      <c r="M25">
        <f>Public_2!M25*'BTU Conversion Factor'!$F$4</f>
        <v>0</v>
      </c>
      <c r="N25">
        <f>Public_2!N25*'BTU Conversion Factor'!$F$4</f>
        <v>0</v>
      </c>
      <c r="O25">
        <f>Public_2!O25*'BTU Conversion Factor'!$F$4</f>
        <v>0</v>
      </c>
      <c r="P25">
        <f>Public_2!P25*'BTU Conversion Factor'!$F$4</f>
        <v>0</v>
      </c>
      <c r="Q25">
        <f>Public_2!Q25*'BTU Conversion Factor'!$F$4</f>
        <v>0</v>
      </c>
      <c r="R25">
        <f>Public_2!R25*'BTU Conversion Factor'!$F$4</f>
        <v>0</v>
      </c>
      <c r="S25">
        <f>Public_2!S25*'BTU Conversion Factor'!$F$4</f>
        <v>0</v>
      </c>
      <c r="T25">
        <f>Public_2!T25*'BTU Conversion Factor'!$F$4</f>
        <v>0</v>
      </c>
      <c r="U25">
        <f>Public_2!U25*'BTU Conversion Factor'!$F$4</f>
        <v>0</v>
      </c>
      <c r="V25">
        <f>Public_2!V25*'BTU Conversion Factor'!$F$4</f>
        <v>0</v>
      </c>
      <c r="W25">
        <f>Public_2!W25*'BTU Conversion Factor'!$F$4</f>
        <v>0</v>
      </c>
      <c r="X25">
        <f>Public_2!X25*'BTU Conversion Factor'!$F$4</f>
        <v>0</v>
      </c>
      <c r="Y25">
        <f>Public_2!Y25*'BTU Conversion Factor'!$F$4</f>
        <v>0</v>
      </c>
      <c r="Z25">
        <f>Public_2!Z25*'BTU Conversion Factor'!$F$4</f>
        <v>0</v>
      </c>
      <c r="AA25">
        <f>Public_2!AA25*'BTU Conversion Factor'!$F$4</f>
        <v>0</v>
      </c>
      <c r="AB25">
        <f>Public_2!AB25*'BTU Conversion Factor'!$F$4</f>
        <v>0</v>
      </c>
      <c r="AC25">
        <f>Public_2!AC25*'BTU Conversion Factor'!$F$4</f>
        <v>0</v>
      </c>
      <c r="AD25">
        <f>Public_2!AD25*'BTU Conversion Factor'!$F$4</f>
        <v>0</v>
      </c>
      <c r="AE25">
        <f>Public_2!AE25*'BTU Conversion Factor'!$F$4</f>
        <v>0</v>
      </c>
      <c r="AF25">
        <f>Public_2!AF25*'BTU Conversion Factor'!$F$4</f>
        <v>0</v>
      </c>
      <c r="AG25">
        <f>Public_2!AG25*'BTU Conversion Factor'!$F$4</f>
        <v>0</v>
      </c>
      <c r="AH25">
        <f>Public_2!AH25*'BTU Conversion Factor'!$F$4</f>
        <v>0</v>
      </c>
      <c r="AI25">
        <f>Public_2!AI25*'BTU Conversion Factor'!$F$4</f>
        <v>0</v>
      </c>
      <c r="AJ25">
        <f>Public_2!AJ25*'BTU Conversion Factor'!$F$4</f>
        <v>0</v>
      </c>
      <c r="AK25">
        <f>Public_2!AK25*'BTU Conversion Factor'!$F$4</f>
        <v>0</v>
      </c>
      <c r="AL25">
        <f>Public_2!AL25*'BTU Conversion Factor'!$F$4</f>
        <v>0</v>
      </c>
      <c r="AM25">
        <f>Public_2!AM25*'BTU Conversion Factor'!$F$4</f>
        <v>0</v>
      </c>
      <c r="AN25">
        <f>Public_2!AN25*'BTU Conversion Factor'!$F$4</f>
        <v>0</v>
      </c>
      <c r="AO25">
        <f>Public_2!AO25*'BTU Conversion Factor'!$F$4</f>
        <v>0</v>
      </c>
      <c r="AP25">
        <f>Public_2!AP25*'BTU Conversion Factor'!$F$4</f>
        <v>0</v>
      </c>
      <c r="AQ25">
        <f>Public_2!AQ25*'BTU Conversion Factor'!$F$4</f>
        <v>0</v>
      </c>
      <c r="AR25">
        <f>Public_2!AR25*'BTU Conversion Factor'!$F$4</f>
        <v>0</v>
      </c>
      <c r="AS25">
        <f>Public_2!AS25*'BTU Conversion Factor'!$F$4</f>
        <v>0</v>
      </c>
      <c r="AT25">
        <f>Public_2!AT25*'BTU Conversion Factor'!$F$4</f>
        <v>0</v>
      </c>
      <c r="AU25">
        <f>Public_2!AU25*'BTU Conversion Factor'!$F$4</f>
        <v>0</v>
      </c>
    </row>
    <row r="26" spans="1:47">
      <c r="B26" s="48" t="s">
        <v>955</v>
      </c>
      <c r="C26">
        <f>Public_2!C26*'BTU Conversion Factor'!$F$4</f>
        <v>0</v>
      </c>
      <c r="D26">
        <f>Public_2!D26*'BTU Conversion Factor'!$F$4</f>
        <v>0</v>
      </c>
      <c r="E26">
        <f>Public_2!E26*'BTU Conversion Factor'!$F$4</f>
        <v>0</v>
      </c>
      <c r="F26">
        <f>Public_2!F26*'BTU Conversion Factor'!$F$4</f>
        <v>0</v>
      </c>
      <c r="G26">
        <f>Public_2!G26*'BTU Conversion Factor'!$F$4</f>
        <v>0</v>
      </c>
      <c r="H26">
        <f>Public_2!H26*'BTU Conversion Factor'!$F$4</f>
        <v>0</v>
      </c>
      <c r="I26">
        <f>Public_2!I26*'BTU Conversion Factor'!$F$4</f>
        <v>0</v>
      </c>
      <c r="J26">
        <f>Public_2!J26*'BTU Conversion Factor'!$F$4</f>
        <v>0</v>
      </c>
      <c r="K26">
        <f>Public_2!K26*'BTU Conversion Factor'!$F$4</f>
        <v>0</v>
      </c>
      <c r="L26">
        <f>Public_2!L26*'BTU Conversion Factor'!$F$4</f>
        <v>0</v>
      </c>
      <c r="M26">
        <f>Public_2!M26*'BTU Conversion Factor'!$F$4</f>
        <v>0</v>
      </c>
      <c r="N26">
        <f>Public_2!N26*'BTU Conversion Factor'!$F$4</f>
        <v>0</v>
      </c>
      <c r="O26">
        <f>Public_2!O26*'BTU Conversion Factor'!$F$4</f>
        <v>0</v>
      </c>
      <c r="P26">
        <f>Public_2!P26*'BTU Conversion Factor'!$F$4</f>
        <v>0</v>
      </c>
      <c r="Q26">
        <f>Public_2!Q26*'BTU Conversion Factor'!$F$4</f>
        <v>0</v>
      </c>
      <c r="R26">
        <f>Public_2!R26*'BTU Conversion Factor'!$F$4</f>
        <v>0</v>
      </c>
      <c r="S26">
        <f>Public_2!S26*'BTU Conversion Factor'!$F$4</f>
        <v>0</v>
      </c>
      <c r="T26">
        <f>Public_2!T26*'BTU Conversion Factor'!$F$4</f>
        <v>0</v>
      </c>
      <c r="U26">
        <f>Public_2!U26*'BTU Conversion Factor'!$F$4</f>
        <v>0</v>
      </c>
      <c r="V26">
        <f>Public_2!V26*'BTU Conversion Factor'!$F$4</f>
        <v>0</v>
      </c>
      <c r="W26">
        <f>Public_2!W26*'BTU Conversion Factor'!$F$4</f>
        <v>0</v>
      </c>
      <c r="X26">
        <f>Public_2!X26*'BTU Conversion Factor'!$F$4</f>
        <v>0</v>
      </c>
      <c r="Y26">
        <f>Public_2!Y26*'BTU Conversion Factor'!$F$4</f>
        <v>0</v>
      </c>
      <c r="Z26">
        <f>Public_2!Z26*'BTU Conversion Factor'!$F$4</f>
        <v>0</v>
      </c>
      <c r="AA26">
        <f>Public_2!AA26*'BTU Conversion Factor'!$F$4</f>
        <v>0</v>
      </c>
      <c r="AB26">
        <f>Public_2!AB26*'BTU Conversion Factor'!$F$4</f>
        <v>0</v>
      </c>
      <c r="AC26">
        <f>Public_2!AC26*'BTU Conversion Factor'!$F$4</f>
        <v>0</v>
      </c>
      <c r="AD26">
        <f>Public_2!AD26*'BTU Conversion Factor'!$F$4</f>
        <v>0</v>
      </c>
      <c r="AE26">
        <f>Public_2!AE26*'BTU Conversion Factor'!$F$4</f>
        <v>0</v>
      </c>
      <c r="AF26">
        <f>Public_2!AF26*'BTU Conversion Factor'!$F$4</f>
        <v>0</v>
      </c>
      <c r="AG26">
        <f>Public_2!AG26*'BTU Conversion Factor'!$F$4</f>
        <v>0</v>
      </c>
      <c r="AH26">
        <f>Public_2!AH26*'BTU Conversion Factor'!$F$4</f>
        <v>0</v>
      </c>
      <c r="AI26">
        <f>Public_2!AI26*'BTU Conversion Factor'!$F$4</f>
        <v>0</v>
      </c>
      <c r="AJ26">
        <f>Public_2!AJ26*'BTU Conversion Factor'!$F$4</f>
        <v>0</v>
      </c>
      <c r="AK26">
        <f>Public_2!AK26*'BTU Conversion Factor'!$F$4</f>
        <v>0</v>
      </c>
      <c r="AL26">
        <f>Public_2!AL26*'BTU Conversion Factor'!$F$4</f>
        <v>0</v>
      </c>
      <c r="AM26">
        <f>Public_2!AM26*'BTU Conversion Factor'!$F$4</f>
        <v>0</v>
      </c>
      <c r="AN26">
        <f>Public_2!AN26*'BTU Conversion Factor'!$F$4</f>
        <v>0</v>
      </c>
      <c r="AO26">
        <f>Public_2!AO26*'BTU Conversion Factor'!$F$4</f>
        <v>0</v>
      </c>
      <c r="AP26">
        <f>Public_2!AP26*'BTU Conversion Factor'!$F$4</f>
        <v>0</v>
      </c>
      <c r="AQ26">
        <f>Public_2!AQ26*'BTU Conversion Factor'!$F$4</f>
        <v>0</v>
      </c>
      <c r="AR26">
        <f>Public_2!AR26*'BTU Conversion Factor'!$F$4</f>
        <v>0</v>
      </c>
      <c r="AS26">
        <f>Public_2!AS26*'BTU Conversion Factor'!$F$4</f>
        <v>0</v>
      </c>
      <c r="AT26">
        <f>Public_2!AT26*'BTU Conversion Factor'!$F$4</f>
        <v>0</v>
      </c>
      <c r="AU26">
        <f>Public_2!AU26*'BTU Conversion Factor'!$F$4</f>
        <v>0</v>
      </c>
    </row>
    <row r="27" spans="1:47">
      <c r="B27" s="48" t="s">
        <v>956</v>
      </c>
      <c r="C27">
        <f>Public_2!C27*'BTU Conversion Factor'!$F$4</f>
        <v>0</v>
      </c>
      <c r="D27">
        <f>Public_2!D27*'BTU Conversion Factor'!$F$4</f>
        <v>0</v>
      </c>
      <c r="E27">
        <f>Public_2!E27*'BTU Conversion Factor'!$F$4</f>
        <v>0</v>
      </c>
      <c r="F27">
        <f>Public_2!F27*'BTU Conversion Factor'!$F$4</f>
        <v>0</v>
      </c>
      <c r="G27">
        <f>Public_2!G27*'BTU Conversion Factor'!$F$4</f>
        <v>0</v>
      </c>
      <c r="H27">
        <f>Public_2!H27*'BTU Conversion Factor'!$F$4</f>
        <v>0</v>
      </c>
      <c r="I27">
        <f>Public_2!I27*'BTU Conversion Factor'!$F$4</f>
        <v>0</v>
      </c>
      <c r="J27">
        <f>Public_2!J27*'BTU Conversion Factor'!$F$4</f>
        <v>0</v>
      </c>
      <c r="K27">
        <f>Public_2!K27*'BTU Conversion Factor'!$F$4</f>
        <v>0</v>
      </c>
      <c r="L27">
        <f>Public_2!L27*'BTU Conversion Factor'!$F$4</f>
        <v>0</v>
      </c>
      <c r="M27">
        <f>Public_2!M27*'BTU Conversion Factor'!$F$4</f>
        <v>0</v>
      </c>
      <c r="N27">
        <f>Public_2!N27*'BTU Conversion Factor'!$F$4</f>
        <v>0</v>
      </c>
      <c r="O27">
        <f>Public_2!O27*'BTU Conversion Factor'!$F$4</f>
        <v>0</v>
      </c>
      <c r="P27">
        <f>Public_2!P27*'BTU Conversion Factor'!$F$4</f>
        <v>0</v>
      </c>
      <c r="Q27">
        <f>Public_2!Q27*'BTU Conversion Factor'!$F$4</f>
        <v>0</v>
      </c>
      <c r="R27">
        <f>Public_2!R27*'BTU Conversion Factor'!$F$4</f>
        <v>0</v>
      </c>
      <c r="S27">
        <f>Public_2!S27*'BTU Conversion Factor'!$F$4</f>
        <v>0</v>
      </c>
      <c r="T27">
        <f>Public_2!T27*'BTU Conversion Factor'!$F$4</f>
        <v>0</v>
      </c>
      <c r="U27">
        <f>Public_2!U27*'BTU Conversion Factor'!$F$4</f>
        <v>0</v>
      </c>
      <c r="V27">
        <f>Public_2!V27*'BTU Conversion Factor'!$F$4</f>
        <v>0</v>
      </c>
      <c r="W27">
        <f>Public_2!W27*'BTU Conversion Factor'!$F$4</f>
        <v>0</v>
      </c>
      <c r="X27">
        <f>Public_2!X27*'BTU Conversion Factor'!$F$4</f>
        <v>0</v>
      </c>
      <c r="Y27">
        <f>Public_2!Y27*'BTU Conversion Factor'!$F$4</f>
        <v>0</v>
      </c>
      <c r="Z27">
        <f>Public_2!Z27*'BTU Conversion Factor'!$F$4</f>
        <v>0</v>
      </c>
      <c r="AA27">
        <f>Public_2!AA27*'BTU Conversion Factor'!$F$4</f>
        <v>0</v>
      </c>
      <c r="AB27">
        <f>Public_2!AB27*'BTU Conversion Factor'!$F$4</f>
        <v>0</v>
      </c>
      <c r="AC27">
        <f>Public_2!AC27*'BTU Conversion Factor'!$F$4</f>
        <v>0</v>
      </c>
      <c r="AD27">
        <f>Public_2!AD27*'BTU Conversion Factor'!$F$4</f>
        <v>0</v>
      </c>
      <c r="AE27">
        <f>Public_2!AE27*'BTU Conversion Factor'!$F$4</f>
        <v>0</v>
      </c>
      <c r="AF27">
        <f>Public_2!AF27*'BTU Conversion Factor'!$F$4</f>
        <v>0</v>
      </c>
      <c r="AG27">
        <f>Public_2!AG27*'BTU Conversion Factor'!$F$4</f>
        <v>0</v>
      </c>
      <c r="AH27">
        <f>Public_2!AH27*'BTU Conversion Factor'!$F$4</f>
        <v>0</v>
      </c>
      <c r="AI27">
        <f>Public_2!AI27*'BTU Conversion Factor'!$F$4</f>
        <v>0</v>
      </c>
      <c r="AJ27">
        <f>Public_2!AJ27*'BTU Conversion Factor'!$F$4</f>
        <v>0</v>
      </c>
      <c r="AK27">
        <f>Public_2!AK27*'BTU Conversion Factor'!$F$4</f>
        <v>0</v>
      </c>
      <c r="AL27">
        <f>Public_2!AL27*'BTU Conversion Factor'!$F$4</f>
        <v>0</v>
      </c>
      <c r="AM27">
        <f>Public_2!AM27*'BTU Conversion Factor'!$F$4</f>
        <v>0</v>
      </c>
      <c r="AN27">
        <f>Public_2!AN27*'BTU Conversion Factor'!$F$4</f>
        <v>0</v>
      </c>
      <c r="AO27">
        <f>Public_2!AO27*'BTU Conversion Factor'!$F$4</f>
        <v>0</v>
      </c>
      <c r="AP27">
        <f>Public_2!AP27*'BTU Conversion Factor'!$F$4</f>
        <v>0</v>
      </c>
      <c r="AQ27">
        <f>Public_2!AQ27*'BTU Conversion Factor'!$F$4</f>
        <v>0</v>
      </c>
      <c r="AR27">
        <f>Public_2!AR27*'BTU Conversion Factor'!$F$4</f>
        <v>0</v>
      </c>
      <c r="AS27">
        <f>Public_2!AS27*'BTU Conversion Factor'!$F$4</f>
        <v>0</v>
      </c>
      <c r="AT27">
        <f>Public_2!AT27*'BTU Conversion Factor'!$F$4</f>
        <v>0</v>
      </c>
      <c r="AU27">
        <f>Public_2!AU27*'BTU Conversion Factor'!$F$4</f>
        <v>0</v>
      </c>
    </row>
    <row r="28" spans="1:47">
      <c r="B28" s="48" t="s">
        <v>957</v>
      </c>
      <c r="C28">
        <f>Public_2!C28*'BTU Conversion Factor'!$F$4</f>
        <v>0</v>
      </c>
      <c r="D28">
        <f>Public_2!D28*'BTU Conversion Factor'!$F$4</f>
        <v>0</v>
      </c>
      <c r="E28">
        <f>Public_2!E28*'BTU Conversion Factor'!$F$4</f>
        <v>0</v>
      </c>
      <c r="F28">
        <f>Public_2!F28*'BTU Conversion Factor'!$F$4</f>
        <v>0</v>
      </c>
      <c r="G28">
        <f>Public_2!G28*'BTU Conversion Factor'!$F$4</f>
        <v>0</v>
      </c>
      <c r="H28">
        <f>Public_2!H28*'BTU Conversion Factor'!$F$4</f>
        <v>0</v>
      </c>
      <c r="I28">
        <f>Public_2!I28*'BTU Conversion Factor'!$F$4</f>
        <v>0</v>
      </c>
      <c r="J28">
        <f>Public_2!J28*'BTU Conversion Factor'!$F$4</f>
        <v>0</v>
      </c>
      <c r="K28">
        <f>Public_2!K28*'BTU Conversion Factor'!$F$4</f>
        <v>0</v>
      </c>
      <c r="L28">
        <f>Public_2!L28*'BTU Conversion Factor'!$F$4</f>
        <v>0</v>
      </c>
      <c r="M28">
        <f>Public_2!M28*'BTU Conversion Factor'!$F$4</f>
        <v>0</v>
      </c>
      <c r="N28">
        <f>Public_2!N28*'BTU Conversion Factor'!$F$4</f>
        <v>0</v>
      </c>
      <c r="O28">
        <f>Public_2!O28*'BTU Conversion Factor'!$F$4</f>
        <v>0</v>
      </c>
      <c r="P28">
        <f>Public_2!P28*'BTU Conversion Factor'!$F$4</f>
        <v>0</v>
      </c>
      <c r="Q28">
        <f>Public_2!Q28*'BTU Conversion Factor'!$F$4</f>
        <v>0</v>
      </c>
      <c r="R28">
        <f>Public_2!R28*'BTU Conversion Factor'!$F$4</f>
        <v>0</v>
      </c>
      <c r="S28">
        <f>Public_2!S28*'BTU Conversion Factor'!$F$4</f>
        <v>0</v>
      </c>
      <c r="T28">
        <f>Public_2!T28*'BTU Conversion Factor'!$F$4</f>
        <v>0</v>
      </c>
      <c r="U28">
        <f>Public_2!U28*'BTU Conversion Factor'!$F$4</f>
        <v>0</v>
      </c>
      <c r="V28">
        <f>Public_2!V28*'BTU Conversion Factor'!$F$4</f>
        <v>0</v>
      </c>
      <c r="W28">
        <f>Public_2!W28*'BTU Conversion Factor'!$F$4</f>
        <v>0</v>
      </c>
      <c r="X28">
        <f>Public_2!X28*'BTU Conversion Factor'!$F$4</f>
        <v>0</v>
      </c>
      <c r="Y28">
        <f>Public_2!Y28*'BTU Conversion Factor'!$F$4</f>
        <v>0</v>
      </c>
      <c r="Z28">
        <f>Public_2!Z28*'BTU Conversion Factor'!$F$4</f>
        <v>0</v>
      </c>
      <c r="AA28">
        <f>Public_2!AA28*'BTU Conversion Factor'!$F$4</f>
        <v>0</v>
      </c>
      <c r="AB28">
        <f>Public_2!AB28*'BTU Conversion Factor'!$F$4</f>
        <v>0</v>
      </c>
      <c r="AC28">
        <f>Public_2!AC28*'BTU Conversion Factor'!$F$4</f>
        <v>0</v>
      </c>
      <c r="AD28">
        <f>Public_2!AD28*'BTU Conversion Factor'!$F$4</f>
        <v>0</v>
      </c>
      <c r="AE28">
        <f>Public_2!AE28*'BTU Conversion Factor'!$F$4</f>
        <v>0</v>
      </c>
      <c r="AF28">
        <f>Public_2!AF28*'BTU Conversion Factor'!$F$4</f>
        <v>0</v>
      </c>
      <c r="AG28">
        <f>Public_2!AG28*'BTU Conversion Factor'!$F$4</f>
        <v>0</v>
      </c>
      <c r="AH28">
        <f>Public_2!AH28*'BTU Conversion Factor'!$F$4</f>
        <v>0</v>
      </c>
      <c r="AI28">
        <f>Public_2!AI28*'BTU Conversion Factor'!$F$4</f>
        <v>0</v>
      </c>
      <c r="AJ28">
        <f>Public_2!AJ28*'BTU Conversion Factor'!$F$4</f>
        <v>0</v>
      </c>
      <c r="AK28">
        <f>Public_2!AK28*'BTU Conversion Factor'!$F$4</f>
        <v>0</v>
      </c>
      <c r="AL28">
        <f>Public_2!AL28*'BTU Conversion Factor'!$F$4</f>
        <v>0</v>
      </c>
      <c r="AM28">
        <f>Public_2!AM28*'BTU Conversion Factor'!$F$4</f>
        <v>0</v>
      </c>
      <c r="AN28">
        <f>Public_2!AN28*'BTU Conversion Factor'!$F$4</f>
        <v>0</v>
      </c>
      <c r="AO28">
        <f>Public_2!AO28*'BTU Conversion Factor'!$F$4</f>
        <v>0</v>
      </c>
      <c r="AP28">
        <f>Public_2!AP28*'BTU Conversion Factor'!$F$4</f>
        <v>0</v>
      </c>
      <c r="AQ28">
        <f>Public_2!AQ28*'BTU Conversion Factor'!$F$4</f>
        <v>0</v>
      </c>
      <c r="AR28">
        <f>Public_2!AR28*'BTU Conversion Factor'!$F$4</f>
        <v>0</v>
      </c>
      <c r="AS28">
        <f>Public_2!AS28*'BTU Conversion Factor'!$F$4</f>
        <v>0</v>
      </c>
      <c r="AT28">
        <f>Public_2!AT28*'BTU Conversion Factor'!$F$4</f>
        <v>0</v>
      </c>
      <c r="AU28">
        <f>Public_2!AU28*'BTU Conversion Factor'!$F$4</f>
        <v>0</v>
      </c>
    </row>
    <row r="30" spans="1:47" s="52" customFormat="1">
      <c r="A30" s="102" t="s">
        <v>933</v>
      </c>
    </row>
    <row r="31" spans="1:47" s="48" customFormat="1">
      <c r="B31" s="48" t="s">
        <v>481</v>
      </c>
      <c r="C31" s="48">
        <v>2006</v>
      </c>
      <c r="D31" s="48">
        <v>2007</v>
      </c>
      <c r="E31" s="48">
        <v>2008</v>
      </c>
      <c r="F31" s="48">
        <v>2009</v>
      </c>
      <c r="G31" s="48">
        <v>2010</v>
      </c>
      <c r="H31" s="48">
        <v>2011</v>
      </c>
      <c r="I31" s="48">
        <v>2012</v>
      </c>
      <c r="J31" s="48">
        <v>2013</v>
      </c>
      <c r="K31" s="48">
        <v>2014</v>
      </c>
      <c r="L31" s="48">
        <v>2015</v>
      </c>
      <c r="M31" s="48">
        <v>2016</v>
      </c>
      <c r="N31" s="48">
        <v>2017</v>
      </c>
      <c r="O31" s="48">
        <v>2018</v>
      </c>
      <c r="P31" s="48">
        <v>2019</v>
      </c>
      <c r="Q31" s="48">
        <v>2020</v>
      </c>
      <c r="R31" s="48">
        <v>2021</v>
      </c>
      <c r="S31" s="48">
        <v>2022</v>
      </c>
      <c r="T31" s="48">
        <v>2023</v>
      </c>
      <c r="U31" s="48">
        <v>2024</v>
      </c>
      <c r="V31" s="48">
        <v>2025</v>
      </c>
      <c r="W31" s="48">
        <v>2026</v>
      </c>
      <c r="X31" s="48">
        <v>2027</v>
      </c>
      <c r="Y31" s="48">
        <v>2028</v>
      </c>
      <c r="Z31" s="48">
        <v>2029</v>
      </c>
      <c r="AA31" s="48">
        <v>2030</v>
      </c>
      <c r="AB31" s="48">
        <v>2031</v>
      </c>
      <c r="AC31" s="48">
        <v>2032</v>
      </c>
      <c r="AD31" s="48">
        <v>2033</v>
      </c>
      <c r="AE31" s="48">
        <v>2034</v>
      </c>
      <c r="AF31" s="48">
        <v>2035</v>
      </c>
      <c r="AG31" s="48">
        <v>2036</v>
      </c>
      <c r="AH31" s="48">
        <v>2037</v>
      </c>
      <c r="AI31" s="48">
        <v>2038</v>
      </c>
      <c r="AJ31" s="48">
        <v>2039</v>
      </c>
      <c r="AK31" s="48">
        <v>2040</v>
      </c>
      <c r="AL31" s="48">
        <v>2041</v>
      </c>
      <c r="AM31" s="48">
        <v>2042</v>
      </c>
      <c r="AN31" s="48">
        <v>2043</v>
      </c>
      <c r="AO31" s="48">
        <v>2044</v>
      </c>
      <c r="AP31" s="48">
        <v>2045</v>
      </c>
      <c r="AQ31" s="48">
        <v>2046</v>
      </c>
      <c r="AR31" s="48">
        <v>2047</v>
      </c>
      <c r="AS31" s="48">
        <v>2048</v>
      </c>
      <c r="AT31" s="48">
        <v>2049</v>
      </c>
      <c r="AU31" s="48">
        <v>2050</v>
      </c>
    </row>
    <row r="32" spans="1:47">
      <c r="B32" s="48" t="s">
        <v>952</v>
      </c>
      <c r="C32" s="137">
        <f>Public_2!C32*'BTU Conversion Factor'!$F$4</f>
        <v>7116082400000</v>
      </c>
      <c r="D32" s="137">
        <f>Public_2!D32*'BTU Conversion Factor'!$F$4</f>
        <v>7555861600000.001</v>
      </c>
      <c r="E32" s="137">
        <f>Public_2!E32*'BTU Conversion Factor'!$F$4</f>
        <v>7876218000000</v>
      </c>
      <c r="F32" s="137">
        <f>Public_2!F32*'BTU Conversion Factor'!$F$4</f>
        <v>8033552800000</v>
      </c>
      <c r="G32" s="137">
        <f>Public_2!G32*'BTU Conversion Factor'!$F$4</f>
        <v>5077364600000</v>
      </c>
      <c r="H32" s="137">
        <f>Public_2!H32*'BTU Conversion Factor'!$F$4</f>
        <v>5286828400000</v>
      </c>
      <c r="I32" s="137">
        <f>Public_2!I32*'BTU Conversion Factor'!$F$4</f>
        <v>5403407799999.999</v>
      </c>
      <c r="J32" s="137">
        <f>Public_2!J32*'BTU Conversion Factor'!$F$4</f>
        <v>5474492800000</v>
      </c>
      <c r="K32" s="137">
        <f>Public_2!K32*'BTU Conversion Factor'!$F$4</f>
        <v>5552212399999.999</v>
      </c>
      <c r="L32" s="137">
        <f>Public_2!L32*'BTU Conversion Factor'!$F$4</f>
        <v>5260290000000</v>
      </c>
      <c r="M32" s="137">
        <f>Public_2!M32*'BTU Conversion Factor'!$F$4</f>
        <v>5158875400000</v>
      </c>
      <c r="N32" s="137">
        <f>Public_2!N32*'BTU Conversion Factor'!$F$4</f>
        <v>4782598800000.001</v>
      </c>
      <c r="O32" s="137">
        <f>Public_2!O32*'BTU Conversion Factor'!$F$4</f>
        <v>4757956000000</v>
      </c>
      <c r="P32" s="137">
        <f>Public_2!P32*'BTU Conversion Factor'!$F$4</f>
        <v>4866005199999.999</v>
      </c>
      <c r="Q32" s="137">
        <f>Public_2!Q32*'BTU Conversion Factor'!$F$4</f>
        <v>5150345200000</v>
      </c>
      <c r="R32" s="137">
        <f>Public_2!R32*'BTU Conversion Factor'!$F$4</f>
        <v>5243229600000</v>
      </c>
      <c r="S32" s="137">
        <f>Public_2!S32*'BTU Conversion Factor'!$F$4</f>
        <v>5912663414271.5469</v>
      </c>
      <c r="T32" s="137">
        <f>Public_2!T32*'BTU Conversion Factor'!$F$4</f>
        <v>6021380540477.5312</v>
      </c>
      <c r="U32" s="137">
        <f>Public_2!U32*'BTU Conversion Factor'!$F$4</f>
        <v>6157449944709.9961</v>
      </c>
      <c r="V32" s="137">
        <f>Public_2!V32*'BTU Conversion Factor'!$F$4</f>
        <v>6345156899964.2969</v>
      </c>
      <c r="W32" s="137">
        <f>Public_2!W32*'BTU Conversion Factor'!$F$4</f>
        <v>6512122558352.8213</v>
      </c>
      <c r="X32" s="137">
        <f>Public_2!X32*'BTU Conversion Factor'!$F$4</f>
        <v>6695460041625.6582</v>
      </c>
      <c r="Y32" s="137">
        <f>Public_2!Y32*'BTU Conversion Factor'!$F$4</f>
        <v>6870799167441.2148</v>
      </c>
      <c r="Z32" s="137">
        <f>Public_2!Z32*'BTU Conversion Factor'!$F$4</f>
        <v>7016399429363.2939</v>
      </c>
      <c r="AA32" s="137">
        <f>Public_2!AA32*'BTU Conversion Factor'!$F$4</f>
        <v>7109790367208.7715</v>
      </c>
      <c r="AB32" s="137">
        <f>Public_2!AB32*'BTU Conversion Factor'!$F$4</f>
        <v>7282773577810.0283</v>
      </c>
      <c r="AC32" s="137">
        <f>Public_2!AC32*'BTU Conversion Factor'!$F$4</f>
        <v>7480645741467.7686</v>
      </c>
      <c r="AD32" s="137">
        <f>Public_2!AD32*'BTU Conversion Factor'!$F$4</f>
        <v>7648755049065.3428</v>
      </c>
      <c r="AE32" s="137">
        <f>Public_2!AE32*'BTU Conversion Factor'!$F$4</f>
        <v>7816770982178.6514</v>
      </c>
      <c r="AF32" s="137">
        <f>Public_2!AF32*'BTU Conversion Factor'!$F$4</f>
        <v>7973917102865.3623</v>
      </c>
      <c r="AG32" s="137">
        <f>Public_2!AG32*'BTU Conversion Factor'!$F$4</f>
        <v>8096432521786.4141</v>
      </c>
      <c r="AH32" s="137">
        <f>Public_2!AH32*'BTU Conversion Factor'!$F$4</f>
        <v>8248294134185.5137</v>
      </c>
      <c r="AI32" s="137">
        <f>Public_2!AI32*'BTU Conversion Factor'!$F$4</f>
        <v>8407432943321.3906</v>
      </c>
      <c r="AJ32" s="137">
        <f>Public_2!AJ32*'BTU Conversion Factor'!$F$4</f>
        <v>8573007612607.8389</v>
      </c>
      <c r="AK32" s="137">
        <f>Public_2!AK32*'BTU Conversion Factor'!$F$4</f>
        <v>8739763955757.4141</v>
      </c>
      <c r="AL32" s="137">
        <f>Public_2!AL32*'BTU Conversion Factor'!$F$4</f>
        <v>8889289877539.2793</v>
      </c>
      <c r="AM32" s="137">
        <f>Public_2!AM32*'BTU Conversion Factor'!$F$4</f>
        <v>9034111293700.0254</v>
      </c>
      <c r="AN32" s="137">
        <f>Public_2!AN32*'BTU Conversion Factor'!$F$4</f>
        <v>9183297028452.1562</v>
      </c>
      <c r="AO32" s="137">
        <f>Public_2!AO32*'BTU Conversion Factor'!$F$4</f>
        <v>9331575900778.8652</v>
      </c>
      <c r="AP32" s="137">
        <f>Public_2!AP32*'BTU Conversion Factor'!$F$4</f>
        <v>9479152102394.6367</v>
      </c>
      <c r="AQ32" s="137">
        <f>Public_2!AQ32*'BTU Conversion Factor'!$F$4</f>
        <v>9623403484547.6973</v>
      </c>
      <c r="AR32" s="137">
        <f>Public_2!AR32*'BTU Conversion Factor'!$F$4</f>
        <v>9762045596539.8477</v>
      </c>
      <c r="AS32" s="137">
        <f>Public_2!AS32*'BTU Conversion Factor'!$F$4</f>
        <v>9896705687926.2598</v>
      </c>
      <c r="AT32" s="137">
        <f>Public_2!AT32*'BTU Conversion Factor'!$F$4</f>
        <v>10026289558841.605</v>
      </c>
      <c r="AU32" s="137">
        <f>Public_2!AU32*'BTU Conversion Factor'!$F$4</f>
        <v>10229498377717.018</v>
      </c>
    </row>
    <row r="33" spans="1:47">
      <c r="B33" s="48" t="s">
        <v>953</v>
      </c>
      <c r="C33" s="137">
        <f>Public_2!C33*'BTU Conversion Factor'!$F$4</f>
        <v>0</v>
      </c>
      <c r="D33" s="137">
        <f>Public_2!D33*'BTU Conversion Factor'!$F$4</f>
        <v>0</v>
      </c>
      <c r="E33" s="137">
        <f>Public_2!E33*'BTU Conversion Factor'!$F$4</f>
        <v>0</v>
      </c>
      <c r="F33" s="137">
        <f>Public_2!F33*'BTU Conversion Factor'!$F$4</f>
        <v>0</v>
      </c>
      <c r="G33" s="137">
        <f>Public_2!G33*'BTU Conversion Factor'!$F$4</f>
        <v>0</v>
      </c>
      <c r="H33" s="137">
        <f>Public_2!H33*'BTU Conversion Factor'!$F$4</f>
        <v>0</v>
      </c>
      <c r="I33" s="137">
        <f>Public_2!I33*'BTU Conversion Factor'!$F$4</f>
        <v>0</v>
      </c>
      <c r="J33" s="137">
        <f>Public_2!J33*'BTU Conversion Factor'!$F$4</f>
        <v>0</v>
      </c>
      <c r="K33" s="137">
        <f>Public_2!K33*'BTU Conversion Factor'!$F$4</f>
        <v>0</v>
      </c>
      <c r="L33" s="137">
        <f>Public_2!L33*'BTU Conversion Factor'!$F$4</f>
        <v>0</v>
      </c>
      <c r="M33" s="137">
        <f>Public_2!M33*'BTU Conversion Factor'!$F$4</f>
        <v>0</v>
      </c>
      <c r="N33" s="137">
        <f>Public_2!N33*'BTU Conversion Factor'!$F$4</f>
        <v>0</v>
      </c>
      <c r="O33" s="137">
        <f>Public_2!O33*'BTU Conversion Factor'!$F$4</f>
        <v>0</v>
      </c>
      <c r="P33" s="137">
        <f>Public_2!P33*'BTU Conversion Factor'!$F$4</f>
        <v>0</v>
      </c>
      <c r="Q33" s="137">
        <f>Public_2!Q33*'BTU Conversion Factor'!$F$4</f>
        <v>0</v>
      </c>
      <c r="R33" s="137">
        <f>Public_2!R33*'BTU Conversion Factor'!$F$4</f>
        <v>0</v>
      </c>
      <c r="S33" s="137">
        <f>Public_2!S33*'BTU Conversion Factor'!$F$4</f>
        <v>0</v>
      </c>
      <c r="T33" s="137">
        <f>Public_2!T33*'BTU Conversion Factor'!$F$4</f>
        <v>0</v>
      </c>
      <c r="U33" s="137">
        <f>Public_2!U33*'BTU Conversion Factor'!$F$4</f>
        <v>0</v>
      </c>
      <c r="V33" s="137">
        <f>Public_2!V33*'BTU Conversion Factor'!$F$4</f>
        <v>0</v>
      </c>
      <c r="W33" s="137">
        <f>Public_2!W33*'BTU Conversion Factor'!$F$4</f>
        <v>0</v>
      </c>
      <c r="X33" s="137">
        <f>Public_2!X33*'BTU Conversion Factor'!$F$4</f>
        <v>0</v>
      </c>
      <c r="Y33" s="137">
        <f>Public_2!Y33*'BTU Conversion Factor'!$F$4</f>
        <v>0</v>
      </c>
      <c r="Z33" s="137">
        <f>Public_2!Z33*'BTU Conversion Factor'!$F$4</f>
        <v>0</v>
      </c>
      <c r="AA33" s="137">
        <f>Public_2!AA33*'BTU Conversion Factor'!$F$4</f>
        <v>0</v>
      </c>
      <c r="AB33" s="137">
        <f>Public_2!AB33*'BTU Conversion Factor'!$F$4</f>
        <v>0</v>
      </c>
      <c r="AC33" s="137">
        <f>Public_2!AC33*'BTU Conversion Factor'!$F$4</f>
        <v>0</v>
      </c>
      <c r="AD33" s="137">
        <f>Public_2!AD33*'BTU Conversion Factor'!$F$4</f>
        <v>0</v>
      </c>
      <c r="AE33" s="137">
        <f>Public_2!AE33*'BTU Conversion Factor'!$F$4</f>
        <v>0</v>
      </c>
      <c r="AF33" s="137">
        <f>Public_2!AF33*'BTU Conversion Factor'!$F$4</f>
        <v>0</v>
      </c>
      <c r="AG33" s="137">
        <f>Public_2!AG33*'BTU Conversion Factor'!$F$4</f>
        <v>0</v>
      </c>
      <c r="AH33" s="137">
        <f>Public_2!AH33*'BTU Conversion Factor'!$F$4</f>
        <v>0</v>
      </c>
      <c r="AI33" s="137">
        <f>Public_2!AI33*'BTU Conversion Factor'!$F$4</f>
        <v>0</v>
      </c>
      <c r="AJ33" s="137">
        <f>Public_2!AJ33*'BTU Conversion Factor'!$F$4</f>
        <v>0</v>
      </c>
      <c r="AK33" s="137">
        <f>Public_2!AK33*'BTU Conversion Factor'!$F$4</f>
        <v>0</v>
      </c>
      <c r="AL33" s="137">
        <f>Public_2!AL33*'BTU Conversion Factor'!$F$4</f>
        <v>0</v>
      </c>
      <c r="AM33" s="137">
        <f>Public_2!AM33*'BTU Conversion Factor'!$F$4</f>
        <v>0</v>
      </c>
      <c r="AN33" s="137">
        <f>Public_2!AN33*'BTU Conversion Factor'!$F$4</f>
        <v>0</v>
      </c>
      <c r="AO33" s="137">
        <f>Public_2!AO33*'BTU Conversion Factor'!$F$4</f>
        <v>0</v>
      </c>
      <c r="AP33" s="137">
        <f>Public_2!AP33*'BTU Conversion Factor'!$F$4</f>
        <v>0</v>
      </c>
      <c r="AQ33" s="137">
        <f>Public_2!AQ33*'BTU Conversion Factor'!$F$4</f>
        <v>0</v>
      </c>
      <c r="AR33" s="137">
        <f>Public_2!AR33*'BTU Conversion Factor'!$F$4</f>
        <v>0</v>
      </c>
      <c r="AS33" s="137">
        <f>Public_2!AS33*'BTU Conversion Factor'!$F$4</f>
        <v>0</v>
      </c>
      <c r="AT33" s="137">
        <f>Public_2!AT33*'BTU Conversion Factor'!$F$4</f>
        <v>0</v>
      </c>
      <c r="AU33" s="137">
        <f>Public_2!AU33*'BTU Conversion Factor'!$F$4</f>
        <v>0</v>
      </c>
    </row>
    <row r="34" spans="1:47">
      <c r="B34" s="48" t="s">
        <v>954</v>
      </c>
      <c r="C34" s="137">
        <f>Public_2!C34*'BTU Conversion Factor'!$F$4</f>
        <v>9234419853401.4297</v>
      </c>
      <c r="D34" s="137">
        <f>Public_2!D34*'BTU Conversion Factor'!$F$4</f>
        <v>9052437800000</v>
      </c>
      <c r="E34" s="137">
        <f>Public_2!E34*'BTU Conversion Factor'!$F$4</f>
        <v>9238201666061.0391</v>
      </c>
      <c r="F34" s="137">
        <f>Public_2!F34*'BTU Conversion Factor'!$F$4</f>
        <v>9204085800000</v>
      </c>
      <c r="G34" s="137">
        <f>Public_2!G34*'BTU Conversion Factor'!$F$4</f>
        <v>5912372766842.3584</v>
      </c>
      <c r="H34" s="137">
        <f>Public_2!H34*'BTU Conversion Factor'!$F$4</f>
        <v>5811909599999.999</v>
      </c>
      <c r="I34" s="137">
        <f>Public_2!I34*'BTU Conversion Factor'!$F$4</f>
        <v>5848873799999.999</v>
      </c>
      <c r="J34" s="137">
        <f>Public_2!J34*'BTU Conversion Factor'!$F$4</f>
        <v>5769258600000</v>
      </c>
      <c r="K34" s="137">
        <f>Public_2!K34*'BTU Conversion Factor'!$F$4</f>
        <v>5757885000000</v>
      </c>
      <c r="L34" s="137">
        <f>Public_2!L34*'BTU Conversion Factor'!$F$4</f>
        <v>5606237000000</v>
      </c>
      <c r="M34" s="137">
        <f>Public_2!M34*'BTU Conversion Factor'!$F$4</f>
        <v>5719973000000</v>
      </c>
      <c r="N34" s="137">
        <f>Public_2!N34*'BTU Conversion Factor'!$F$4</f>
        <v>5596759000000</v>
      </c>
      <c r="O34" s="137">
        <f>Public_2!O34*'BTU Conversion Factor'!$F$4</f>
        <v>5848873800000</v>
      </c>
      <c r="P34" s="137">
        <f>Public_2!P34*'BTU Conversion Factor'!$F$4</f>
        <v>5491553200000</v>
      </c>
      <c r="Q34" s="137">
        <f>Public_2!Q34*'BTU Conversion Factor'!$F$4</f>
        <v>6006208599999.999</v>
      </c>
      <c r="R34" s="137">
        <f>Public_2!R34*'BTU Conversion Factor'!$F$4</f>
        <v>5889629200000</v>
      </c>
      <c r="S34" s="137">
        <f>Public_2!S34*'BTU Conversion Factor'!$F$4</f>
        <v>5863342974510.0195</v>
      </c>
      <c r="T34" s="137">
        <f>Public_2!T34*'BTU Conversion Factor'!$F$4</f>
        <v>5830757380797.2305</v>
      </c>
      <c r="U34" s="137">
        <f>Public_2!U34*'BTU Conversion Factor'!$F$4</f>
        <v>5823009922848.1572</v>
      </c>
      <c r="V34" s="137">
        <f>Public_2!V34*'BTU Conversion Factor'!$F$4</f>
        <v>5860767807610.8682</v>
      </c>
      <c r="W34" s="137">
        <f>Public_2!W34*'BTU Conversion Factor'!$F$4</f>
        <v>5875500267782.2959</v>
      </c>
      <c r="X34" s="137">
        <f>Public_2!X34*'BTU Conversion Factor'!$F$4</f>
        <v>5901391164521.1475</v>
      </c>
      <c r="Y34" s="137">
        <f>Public_2!Y34*'BTU Conversion Factor'!$F$4</f>
        <v>5916590253311.8096</v>
      </c>
      <c r="Z34" s="137">
        <f>Public_2!Z34*'BTU Conversion Factor'!$F$4</f>
        <v>5903430282865.5322</v>
      </c>
      <c r="AA34" s="137">
        <f>Public_2!AA34*'BTU Conversion Factor'!$F$4</f>
        <v>5845283619330.6152</v>
      </c>
      <c r="AB34" s="137">
        <f>Public_2!AB34*'BTU Conversion Factor'!$F$4</f>
        <v>5851055332890.2588</v>
      </c>
      <c r="AC34" s="137">
        <f>Public_2!AC34*'BTU Conversion Factor'!$F$4</f>
        <v>5873436358241.5518</v>
      </c>
      <c r="AD34" s="137">
        <f>Public_2!AD34*'BTU Conversion Factor'!$F$4</f>
        <v>5869271029627.1475</v>
      </c>
      <c r="AE34" s="137">
        <f>Public_2!AE34*'BTU Conversion Factor'!$F$4</f>
        <v>5862499220167.3193</v>
      </c>
      <c r="AF34" s="137">
        <f>Public_2!AF34*'BTU Conversion Factor'!$F$4</f>
        <v>5845319273414.3262</v>
      </c>
      <c r="AG34" s="137">
        <f>Public_2!AG34*'BTU Conversion Factor'!$F$4</f>
        <v>5801333390264.752</v>
      </c>
      <c r="AH34" s="137">
        <f>Public_2!AH34*'BTU Conversion Factor'!$F$4</f>
        <v>5777098343839.5098</v>
      </c>
      <c r="AI34" s="137">
        <f>Public_2!AI34*'BTU Conversion Factor'!$F$4</f>
        <v>5756146673525.1836</v>
      </c>
      <c r="AJ34" s="137">
        <f>Public_2!AJ34*'BTU Conversion Factor'!$F$4</f>
        <v>5737639154381.9033</v>
      </c>
      <c r="AK34" s="137">
        <f>Public_2!AK34*'BTU Conversion Factor'!$F$4</f>
        <v>5717912813497.5439</v>
      </c>
      <c r="AL34" s="137">
        <f>Public_2!AL34*'BTU Conversion Factor'!$F$4</f>
        <v>5685208346919.1973</v>
      </c>
      <c r="AM34" s="137">
        <f>Public_2!AM34*'BTU Conversion Factor'!$F$4</f>
        <v>5648165357929.3877</v>
      </c>
      <c r="AN34" s="137">
        <f>Public_2!AN34*'BTU Conversion Factor'!$F$4</f>
        <v>5612571429301.4434</v>
      </c>
      <c r="AO34" s="137">
        <f>Public_2!AO34*'BTU Conversion Factor'!$F$4</f>
        <v>5575138114343.2383</v>
      </c>
      <c r="AP34" s="137">
        <f>Public_2!AP34*'BTU Conversion Factor'!$F$4</f>
        <v>5536063831485.8496</v>
      </c>
      <c r="AQ34" s="137">
        <f>Public_2!AQ34*'BTU Conversion Factor'!$F$4</f>
        <v>5493919323480.832</v>
      </c>
      <c r="AR34" s="137">
        <f>Public_2!AR34*'BTU Conversion Factor'!$F$4</f>
        <v>5447595704189.4961</v>
      </c>
      <c r="AS34" s="137">
        <f>Public_2!AS34*'BTU Conversion Factor'!$F$4</f>
        <v>5398225707753.3779</v>
      </c>
      <c r="AT34" s="137">
        <f>Public_2!AT34*'BTU Conversion Factor'!$F$4</f>
        <v>5345400726959.6592</v>
      </c>
      <c r="AU34" s="137">
        <f>Public_2!AU34*'BTU Conversion Factor'!$F$4</f>
        <v>5330337101987.335</v>
      </c>
    </row>
    <row r="35" spans="1:47">
      <c r="B35" s="48" t="s">
        <v>955</v>
      </c>
      <c r="C35" s="137">
        <f>Public_2!C35*'BTU Conversion Factor'!$F$4</f>
        <v>0</v>
      </c>
      <c r="D35" s="137">
        <f>Public_2!D35*'BTU Conversion Factor'!$F$4</f>
        <v>0</v>
      </c>
      <c r="E35" s="137">
        <f>Public_2!E35*'BTU Conversion Factor'!$F$4</f>
        <v>0</v>
      </c>
      <c r="F35" s="137">
        <f>Public_2!F35*'BTU Conversion Factor'!$F$4</f>
        <v>0</v>
      </c>
      <c r="G35" s="137">
        <f>Public_2!G35*'BTU Conversion Factor'!$F$4</f>
        <v>0</v>
      </c>
      <c r="H35" s="137">
        <f>Public_2!H35*'BTU Conversion Factor'!$F$4</f>
        <v>0</v>
      </c>
      <c r="I35" s="137">
        <f>Public_2!I35*'BTU Conversion Factor'!$F$4</f>
        <v>0</v>
      </c>
      <c r="J35" s="137">
        <f>Public_2!J35*'BTU Conversion Factor'!$F$4</f>
        <v>0</v>
      </c>
      <c r="K35" s="137">
        <f>Public_2!K35*'BTU Conversion Factor'!$F$4</f>
        <v>0</v>
      </c>
      <c r="L35" s="137">
        <f>Public_2!L35*'BTU Conversion Factor'!$F$4</f>
        <v>0</v>
      </c>
      <c r="M35" s="137">
        <f>Public_2!M35*'BTU Conversion Factor'!$F$4</f>
        <v>0</v>
      </c>
      <c r="N35" s="137">
        <f>Public_2!N35*'BTU Conversion Factor'!$F$4</f>
        <v>0</v>
      </c>
      <c r="O35" s="137">
        <f>Public_2!O35*'BTU Conversion Factor'!$F$4</f>
        <v>0</v>
      </c>
      <c r="P35" s="137">
        <f>Public_2!P35*'BTU Conversion Factor'!$F$4</f>
        <v>0</v>
      </c>
      <c r="Q35" s="137">
        <f>Public_2!Q35*'BTU Conversion Factor'!$F$4</f>
        <v>0</v>
      </c>
      <c r="R35" s="137">
        <f>Public_2!R35*'BTU Conversion Factor'!$F$4</f>
        <v>0</v>
      </c>
      <c r="S35" s="137">
        <f>Public_2!S35*'BTU Conversion Factor'!$F$4</f>
        <v>0</v>
      </c>
      <c r="T35" s="137">
        <f>Public_2!T35*'BTU Conversion Factor'!$F$4</f>
        <v>0</v>
      </c>
      <c r="U35" s="137">
        <f>Public_2!U35*'BTU Conversion Factor'!$F$4</f>
        <v>0</v>
      </c>
      <c r="V35" s="137">
        <f>Public_2!V35*'BTU Conversion Factor'!$F$4</f>
        <v>0</v>
      </c>
      <c r="W35" s="137">
        <f>Public_2!W35*'BTU Conversion Factor'!$F$4</f>
        <v>0</v>
      </c>
      <c r="X35" s="137">
        <f>Public_2!X35*'BTU Conversion Factor'!$F$4</f>
        <v>0</v>
      </c>
      <c r="Y35" s="137">
        <f>Public_2!Y35*'BTU Conversion Factor'!$F$4</f>
        <v>0</v>
      </c>
      <c r="Z35" s="137">
        <f>Public_2!Z35*'BTU Conversion Factor'!$F$4</f>
        <v>0</v>
      </c>
      <c r="AA35" s="137">
        <f>Public_2!AA35*'BTU Conversion Factor'!$F$4</f>
        <v>0</v>
      </c>
      <c r="AB35" s="137">
        <f>Public_2!AB35*'BTU Conversion Factor'!$F$4</f>
        <v>0</v>
      </c>
      <c r="AC35" s="137">
        <f>Public_2!AC35*'BTU Conversion Factor'!$F$4</f>
        <v>0</v>
      </c>
      <c r="AD35" s="137">
        <f>Public_2!AD35*'BTU Conversion Factor'!$F$4</f>
        <v>0</v>
      </c>
      <c r="AE35" s="137">
        <f>Public_2!AE35*'BTU Conversion Factor'!$F$4</f>
        <v>0</v>
      </c>
      <c r="AF35" s="137">
        <f>Public_2!AF35*'BTU Conversion Factor'!$F$4</f>
        <v>0</v>
      </c>
      <c r="AG35" s="137">
        <f>Public_2!AG35*'BTU Conversion Factor'!$F$4</f>
        <v>0</v>
      </c>
      <c r="AH35" s="137">
        <f>Public_2!AH35*'BTU Conversion Factor'!$F$4</f>
        <v>0</v>
      </c>
      <c r="AI35" s="137">
        <f>Public_2!AI35*'BTU Conversion Factor'!$F$4</f>
        <v>0</v>
      </c>
      <c r="AJ35" s="137">
        <f>Public_2!AJ35*'BTU Conversion Factor'!$F$4</f>
        <v>0</v>
      </c>
      <c r="AK35" s="137">
        <f>Public_2!AK35*'BTU Conversion Factor'!$F$4</f>
        <v>0</v>
      </c>
      <c r="AL35" s="137">
        <f>Public_2!AL35*'BTU Conversion Factor'!$F$4</f>
        <v>0</v>
      </c>
      <c r="AM35" s="137">
        <f>Public_2!AM35*'BTU Conversion Factor'!$F$4</f>
        <v>0</v>
      </c>
      <c r="AN35" s="137">
        <f>Public_2!AN35*'BTU Conversion Factor'!$F$4</f>
        <v>0</v>
      </c>
      <c r="AO35" s="137">
        <f>Public_2!AO35*'BTU Conversion Factor'!$F$4</f>
        <v>0</v>
      </c>
      <c r="AP35" s="137">
        <f>Public_2!AP35*'BTU Conversion Factor'!$F$4</f>
        <v>0</v>
      </c>
      <c r="AQ35" s="137">
        <f>Public_2!AQ35*'BTU Conversion Factor'!$F$4</f>
        <v>0</v>
      </c>
      <c r="AR35" s="137">
        <f>Public_2!AR35*'BTU Conversion Factor'!$F$4</f>
        <v>0</v>
      </c>
      <c r="AS35" s="137">
        <f>Public_2!AS35*'BTU Conversion Factor'!$F$4</f>
        <v>0</v>
      </c>
      <c r="AT35" s="137">
        <f>Public_2!AT35*'BTU Conversion Factor'!$F$4</f>
        <v>0</v>
      </c>
      <c r="AU35" s="137">
        <f>Public_2!AU35*'BTU Conversion Factor'!$F$4</f>
        <v>0</v>
      </c>
    </row>
    <row r="36" spans="1:47">
      <c r="B36" s="48" t="s">
        <v>956</v>
      </c>
      <c r="C36" s="137">
        <f>Public_2!C36*'BTU Conversion Factor'!$F$4</f>
        <v>0</v>
      </c>
      <c r="D36" s="137">
        <f>Public_2!D36*'BTU Conversion Factor'!$F$4</f>
        <v>0</v>
      </c>
      <c r="E36" s="137">
        <f>Public_2!E36*'BTU Conversion Factor'!$F$4</f>
        <v>0</v>
      </c>
      <c r="F36" s="137">
        <f>Public_2!F36*'BTU Conversion Factor'!$F$4</f>
        <v>0</v>
      </c>
      <c r="G36" s="137">
        <f>Public_2!G36*'BTU Conversion Factor'!$F$4</f>
        <v>0</v>
      </c>
      <c r="H36" s="137">
        <f>Public_2!H36*'BTU Conversion Factor'!$F$4</f>
        <v>0</v>
      </c>
      <c r="I36" s="137">
        <f>Public_2!I36*'BTU Conversion Factor'!$F$4</f>
        <v>0</v>
      </c>
      <c r="J36" s="137">
        <f>Public_2!J36*'BTU Conversion Factor'!$F$4</f>
        <v>0</v>
      </c>
      <c r="K36" s="137">
        <f>Public_2!K36*'BTU Conversion Factor'!$F$4</f>
        <v>0</v>
      </c>
      <c r="L36" s="137">
        <f>Public_2!L36*'BTU Conversion Factor'!$F$4</f>
        <v>0</v>
      </c>
      <c r="M36" s="137">
        <f>Public_2!M36*'BTU Conversion Factor'!$F$4</f>
        <v>0</v>
      </c>
      <c r="N36" s="137">
        <f>Public_2!N36*'BTU Conversion Factor'!$F$4</f>
        <v>0</v>
      </c>
      <c r="O36" s="137">
        <f>Public_2!O36*'BTU Conversion Factor'!$F$4</f>
        <v>0</v>
      </c>
      <c r="P36" s="137">
        <f>Public_2!P36*'BTU Conversion Factor'!$F$4</f>
        <v>0</v>
      </c>
      <c r="Q36" s="137">
        <f>Public_2!Q36*'BTU Conversion Factor'!$F$4</f>
        <v>0</v>
      </c>
      <c r="R36" s="137">
        <f>Public_2!R36*'BTU Conversion Factor'!$F$4</f>
        <v>0</v>
      </c>
      <c r="S36" s="137">
        <f>Public_2!S36*'BTU Conversion Factor'!$F$4</f>
        <v>0</v>
      </c>
      <c r="T36" s="137">
        <f>Public_2!T36*'BTU Conversion Factor'!$F$4</f>
        <v>0</v>
      </c>
      <c r="U36" s="137">
        <f>Public_2!U36*'BTU Conversion Factor'!$F$4</f>
        <v>0</v>
      </c>
      <c r="V36" s="137">
        <f>Public_2!V36*'BTU Conversion Factor'!$F$4</f>
        <v>0</v>
      </c>
      <c r="W36" s="137">
        <f>Public_2!W36*'BTU Conversion Factor'!$F$4</f>
        <v>0</v>
      </c>
      <c r="X36" s="137">
        <f>Public_2!X36*'BTU Conversion Factor'!$F$4</f>
        <v>0</v>
      </c>
      <c r="Y36" s="137">
        <f>Public_2!Y36*'BTU Conversion Factor'!$F$4</f>
        <v>0</v>
      </c>
      <c r="Z36" s="137">
        <f>Public_2!Z36*'BTU Conversion Factor'!$F$4</f>
        <v>0</v>
      </c>
      <c r="AA36" s="137">
        <f>Public_2!AA36*'BTU Conversion Factor'!$F$4</f>
        <v>0</v>
      </c>
      <c r="AB36" s="137">
        <f>Public_2!AB36*'BTU Conversion Factor'!$F$4</f>
        <v>0</v>
      </c>
      <c r="AC36" s="137">
        <f>Public_2!AC36*'BTU Conversion Factor'!$F$4</f>
        <v>0</v>
      </c>
      <c r="AD36" s="137">
        <f>Public_2!AD36*'BTU Conversion Factor'!$F$4</f>
        <v>0</v>
      </c>
      <c r="AE36" s="137">
        <f>Public_2!AE36*'BTU Conversion Factor'!$F$4</f>
        <v>0</v>
      </c>
      <c r="AF36" s="137">
        <f>Public_2!AF36*'BTU Conversion Factor'!$F$4</f>
        <v>0</v>
      </c>
      <c r="AG36" s="137">
        <f>Public_2!AG36*'BTU Conversion Factor'!$F$4</f>
        <v>0</v>
      </c>
      <c r="AH36" s="137">
        <f>Public_2!AH36*'BTU Conversion Factor'!$F$4</f>
        <v>0</v>
      </c>
      <c r="AI36" s="137">
        <f>Public_2!AI36*'BTU Conversion Factor'!$F$4</f>
        <v>0</v>
      </c>
      <c r="AJ36" s="137">
        <f>Public_2!AJ36*'BTU Conversion Factor'!$F$4</f>
        <v>0</v>
      </c>
      <c r="AK36" s="137">
        <f>Public_2!AK36*'BTU Conversion Factor'!$F$4</f>
        <v>0</v>
      </c>
      <c r="AL36" s="137">
        <f>Public_2!AL36*'BTU Conversion Factor'!$F$4</f>
        <v>0</v>
      </c>
      <c r="AM36" s="137">
        <f>Public_2!AM36*'BTU Conversion Factor'!$F$4</f>
        <v>0</v>
      </c>
      <c r="AN36" s="137">
        <f>Public_2!AN36*'BTU Conversion Factor'!$F$4</f>
        <v>0</v>
      </c>
      <c r="AO36" s="137">
        <f>Public_2!AO36*'BTU Conversion Factor'!$F$4</f>
        <v>0</v>
      </c>
      <c r="AP36" s="137">
        <f>Public_2!AP36*'BTU Conversion Factor'!$F$4</f>
        <v>0</v>
      </c>
      <c r="AQ36" s="137">
        <f>Public_2!AQ36*'BTU Conversion Factor'!$F$4</f>
        <v>0</v>
      </c>
      <c r="AR36" s="137">
        <f>Public_2!AR36*'BTU Conversion Factor'!$F$4</f>
        <v>0</v>
      </c>
      <c r="AS36" s="137">
        <f>Public_2!AS36*'BTU Conversion Factor'!$F$4</f>
        <v>0</v>
      </c>
      <c r="AT36" s="137">
        <f>Public_2!AT36*'BTU Conversion Factor'!$F$4</f>
        <v>0</v>
      </c>
      <c r="AU36" s="137">
        <f>Public_2!AU36*'BTU Conversion Factor'!$F$4</f>
        <v>0</v>
      </c>
    </row>
    <row r="37" spans="1:47">
      <c r="B37" s="48" t="s">
        <v>957</v>
      </c>
      <c r="C37" s="137">
        <f>Public_2!C37*'BTU Conversion Factor'!$F$4</f>
        <v>0</v>
      </c>
      <c r="D37" s="137">
        <f>Public_2!D37*'BTU Conversion Factor'!$F$4</f>
        <v>0</v>
      </c>
      <c r="E37" s="137">
        <f>Public_2!E37*'BTU Conversion Factor'!$F$4</f>
        <v>0</v>
      </c>
      <c r="F37" s="137">
        <f>Public_2!F37*'BTU Conversion Factor'!$F$4</f>
        <v>0</v>
      </c>
      <c r="G37" s="137">
        <f>Public_2!G37*'BTU Conversion Factor'!$F$4</f>
        <v>0</v>
      </c>
      <c r="H37" s="137">
        <f>Public_2!H37*'BTU Conversion Factor'!$F$4</f>
        <v>0</v>
      </c>
      <c r="I37" s="137">
        <f>Public_2!I37*'BTU Conversion Factor'!$F$4</f>
        <v>0</v>
      </c>
      <c r="J37" s="137">
        <f>Public_2!J37*'BTU Conversion Factor'!$F$4</f>
        <v>0</v>
      </c>
      <c r="K37" s="137">
        <f>Public_2!K37*'BTU Conversion Factor'!$F$4</f>
        <v>0</v>
      </c>
      <c r="L37" s="137">
        <f>Public_2!L37*'BTU Conversion Factor'!$F$4</f>
        <v>0</v>
      </c>
      <c r="M37" s="137">
        <f>Public_2!M37*'BTU Conversion Factor'!$F$4</f>
        <v>0</v>
      </c>
      <c r="N37" s="137">
        <f>Public_2!N37*'BTU Conversion Factor'!$F$4</f>
        <v>0</v>
      </c>
      <c r="O37" s="137">
        <f>Public_2!O37*'BTU Conversion Factor'!$F$4</f>
        <v>0</v>
      </c>
      <c r="P37" s="137">
        <f>Public_2!P37*'BTU Conversion Factor'!$F$4</f>
        <v>0</v>
      </c>
      <c r="Q37" s="137">
        <f>Public_2!Q37*'BTU Conversion Factor'!$F$4</f>
        <v>0</v>
      </c>
      <c r="R37" s="137">
        <f>Public_2!R37*'BTU Conversion Factor'!$F$4</f>
        <v>0</v>
      </c>
      <c r="S37" s="137">
        <f>Public_2!S37*'BTU Conversion Factor'!$F$4</f>
        <v>0</v>
      </c>
      <c r="T37" s="137">
        <f>Public_2!T37*'BTU Conversion Factor'!$F$4</f>
        <v>0</v>
      </c>
      <c r="U37" s="137">
        <f>Public_2!U37*'BTU Conversion Factor'!$F$4</f>
        <v>0</v>
      </c>
      <c r="V37" s="137">
        <f>Public_2!V37*'BTU Conversion Factor'!$F$4</f>
        <v>0</v>
      </c>
      <c r="W37" s="137">
        <f>Public_2!W37*'BTU Conversion Factor'!$F$4</f>
        <v>0</v>
      </c>
      <c r="X37" s="137">
        <f>Public_2!X37*'BTU Conversion Factor'!$F$4</f>
        <v>0</v>
      </c>
      <c r="Y37" s="137">
        <f>Public_2!Y37*'BTU Conversion Factor'!$F$4</f>
        <v>0</v>
      </c>
      <c r="Z37" s="137">
        <f>Public_2!Z37*'BTU Conversion Factor'!$F$4</f>
        <v>0</v>
      </c>
      <c r="AA37" s="137">
        <f>Public_2!AA37*'BTU Conversion Factor'!$F$4</f>
        <v>0</v>
      </c>
      <c r="AB37" s="137">
        <f>Public_2!AB37*'BTU Conversion Factor'!$F$4</f>
        <v>0</v>
      </c>
      <c r="AC37" s="137">
        <f>Public_2!AC37*'BTU Conversion Factor'!$F$4</f>
        <v>0</v>
      </c>
      <c r="AD37" s="137">
        <f>Public_2!AD37*'BTU Conversion Factor'!$F$4</f>
        <v>0</v>
      </c>
      <c r="AE37" s="137">
        <f>Public_2!AE37*'BTU Conversion Factor'!$F$4</f>
        <v>0</v>
      </c>
      <c r="AF37" s="137">
        <f>Public_2!AF37*'BTU Conversion Factor'!$F$4</f>
        <v>0</v>
      </c>
      <c r="AG37" s="137">
        <f>Public_2!AG37*'BTU Conversion Factor'!$F$4</f>
        <v>0</v>
      </c>
      <c r="AH37" s="137">
        <f>Public_2!AH37*'BTU Conversion Factor'!$F$4</f>
        <v>0</v>
      </c>
      <c r="AI37" s="137">
        <f>Public_2!AI37*'BTU Conversion Factor'!$F$4</f>
        <v>0</v>
      </c>
      <c r="AJ37" s="137">
        <f>Public_2!AJ37*'BTU Conversion Factor'!$F$4</f>
        <v>0</v>
      </c>
      <c r="AK37" s="137">
        <f>Public_2!AK37*'BTU Conversion Factor'!$F$4</f>
        <v>0</v>
      </c>
      <c r="AL37" s="137">
        <f>Public_2!AL37*'BTU Conversion Factor'!$F$4</f>
        <v>0</v>
      </c>
      <c r="AM37" s="137">
        <f>Public_2!AM37*'BTU Conversion Factor'!$F$4</f>
        <v>0</v>
      </c>
      <c r="AN37" s="137">
        <f>Public_2!AN37*'BTU Conversion Factor'!$F$4</f>
        <v>0</v>
      </c>
      <c r="AO37" s="137">
        <f>Public_2!AO37*'BTU Conversion Factor'!$F$4</f>
        <v>0</v>
      </c>
      <c r="AP37" s="137">
        <f>Public_2!AP37*'BTU Conversion Factor'!$F$4</f>
        <v>0</v>
      </c>
      <c r="AQ37" s="137">
        <f>Public_2!AQ37*'BTU Conversion Factor'!$F$4</f>
        <v>0</v>
      </c>
      <c r="AR37" s="137">
        <f>Public_2!AR37*'BTU Conversion Factor'!$F$4</f>
        <v>0</v>
      </c>
      <c r="AS37" s="137">
        <f>Public_2!AS37*'BTU Conversion Factor'!$F$4</f>
        <v>0</v>
      </c>
      <c r="AT37" s="137">
        <f>Public_2!AT37*'BTU Conversion Factor'!$F$4</f>
        <v>0</v>
      </c>
      <c r="AU37" s="137">
        <f>Public_2!AU37*'BTU Conversion Factor'!$F$4</f>
        <v>0</v>
      </c>
    </row>
    <row r="39" spans="1:47" s="52" customFormat="1">
      <c r="A39" s="102" t="s">
        <v>516</v>
      </c>
    </row>
    <row r="40" spans="1:47" s="48" customFormat="1">
      <c r="B40" s="48" t="s">
        <v>481</v>
      </c>
      <c r="C40" s="48">
        <v>2006</v>
      </c>
      <c r="D40" s="48">
        <v>2007</v>
      </c>
      <c r="E40" s="48">
        <v>2008</v>
      </c>
      <c r="F40" s="48">
        <v>2009</v>
      </c>
      <c r="G40" s="48">
        <v>2010</v>
      </c>
      <c r="H40" s="48">
        <v>2011</v>
      </c>
      <c r="I40" s="48">
        <v>2012</v>
      </c>
      <c r="J40" s="48">
        <v>2013</v>
      </c>
      <c r="K40" s="48">
        <v>2014</v>
      </c>
      <c r="L40" s="48">
        <v>2015</v>
      </c>
      <c r="M40" s="48">
        <v>2016</v>
      </c>
      <c r="N40" s="48">
        <v>2017</v>
      </c>
      <c r="O40" s="48">
        <v>2018</v>
      </c>
      <c r="P40" s="48">
        <v>2019</v>
      </c>
      <c r="Q40" s="48">
        <v>2020</v>
      </c>
      <c r="R40" s="48">
        <v>2021</v>
      </c>
      <c r="S40" s="48">
        <v>2022</v>
      </c>
      <c r="T40" s="48">
        <v>2023</v>
      </c>
      <c r="U40" s="48">
        <v>2024</v>
      </c>
      <c r="V40" s="48">
        <v>2025</v>
      </c>
      <c r="W40" s="48">
        <v>2026</v>
      </c>
      <c r="X40" s="48">
        <v>2027</v>
      </c>
      <c r="Y40" s="48">
        <v>2028</v>
      </c>
      <c r="Z40" s="48">
        <v>2029</v>
      </c>
      <c r="AA40" s="48">
        <v>2030</v>
      </c>
      <c r="AB40" s="48">
        <v>2031</v>
      </c>
      <c r="AC40" s="48">
        <v>2032</v>
      </c>
      <c r="AD40" s="48">
        <v>2033</v>
      </c>
      <c r="AE40" s="48">
        <v>2034</v>
      </c>
      <c r="AF40" s="48">
        <v>2035</v>
      </c>
      <c r="AG40" s="48">
        <v>2036</v>
      </c>
      <c r="AH40" s="48">
        <v>2037</v>
      </c>
      <c r="AI40" s="48">
        <v>2038</v>
      </c>
      <c r="AJ40" s="48">
        <v>2039</v>
      </c>
      <c r="AK40" s="48">
        <v>2040</v>
      </c>
      <c r="AL40" s="48">
        <v>2041</v>
      </c>
      <c r="AM40" s="48">
        <v>2042</v>
      </c>
      <c r="AN40" s="48">
        <v>2043</v>
      </c>
      <c r="AO40" s="48">
        <v>2044</v>
      </c>
      <c r="AP40" s="48">
        <v>2045</v>
      </c>
      <c r="AQ40" s="48">
        <v>2046</v>
      </c>
      <c r="AR40" s="48">
        <v>2047</v>
      </c>
      <c r="AS40" s="48">
        <v>2048</v>
      </c>
      <c r="AT40" s="48">
        <v>2049</v>
      </c>
      <c r="AU40" s="48">
        <v>2050</v>
      </c>
    </row>
    <row r="41" spans="1:47">
      <c r="B41" s="48" t="s">
        <v>952</v>
      </c>
      <c r="C41" s="137">
        <f>Public_2!C41*'BTU Conversion Factor'!$F$4</f>
        <v>855863400000</v>
      </c>
      <c r="D41" s="137">
        <f>Public_2!D41*'BTU Conversion Factor'!$F$4</f>
        <v>893775400000</v>
      </c>
      <c r="E41" s="137">
        <f>Public_2!E41*'BTU Conversion Factor'!$F$4</f>
        <v>914627000000</v>
      </c>
      <c r="F41" s="137">
        <f>Public_2!F41*'BTU Conversion Factor'!$F$4</f>
        <v>1036893200000</v>
      </c>
      <c r="G41" s="137">
        <f>Public_2!G41*'BTU Conversion Factor'!$F$4</f>
        <v>679572600000</v>
      </c>
      <c r="H41" s="137">
        <f>Public_2!H41*'BTU Conversion Factor'!$F$4</f>
        <v>774352600000</v>
      </c>
      <c r="I41" s="137">
        <f>Public_2!I41*'BTU Conversion Factor'!$F$4</f>
        <v>923157200000</v>
      </c>
      <c r="J41" s="137">
        <f>Public_2!J41*'BTU Conversion Factor'!$F$4</f>
        <v>960121400000</v>
      </c>
      <c r="K41" s="137">
        <f>Public_2!K41*'BTU Conversion Factor'!$F$4</f>
        <v>1085231000000</v>
      </c>
      <c r="L41" s="137">
        <f>Public_2!L41*'BTU Conversion Factor'!$F$4</f>
        <v>1148733600000</v>
      </c>
      <c r="M41" s="137">
        <f>Public_2!M41*'BTU Conversion Factor'!$F$4</f>
        <v>1229296600000</v>
      </c>
      <c r="N41" s="137">
        <f>Public_2!N41*'BTU Conversion Factor'!$F$4</f>
        <v>1246357000000</v>
      </c>
      <c r="O41" s="137">
        <f>Public_2!O41*'BTU Conversion Factor'!$F$4</f>
        <v>1241618000000</v>
      </c>
      <c r="P41" s="137">
        <f>Public_2!P41*'BTU Conversion Factor'!$F$4</f>
        <v>1277634400000</v>
      </c>
      <c r="Q41" s="137">
        <f>Public_2!Q41*'BTU Conversion Factor'!$F$4</f>
        <v>1350615000000</v>
      </c>
      <c r="R41" s="137">
        <f>Public_2!R41*'BTU Conversion Factor'!$F$4</f>
        <v>1377153400000</v>
      </c>
      <c r="S41" s="137">
        <f>Public_2!S41*'BTU Conversion Factor'!$F$4</f>
        <v>1394230563083.001</v>
      </c>
      <c r="T41" s="137">
        <f>Public_2!T41*'BTU Conversion Factor'!$F$4</f>
        <v>1401118745326.7864</v>
      </c>
      <c r="U41" s="137">
        <f>Public_2!U41*'BTU Conversion Factor'!$F$4</f>
        <v>1414163067796.7668</v>
      </c>
      <c r="V41" s="137">
        <f>Public_2!V41*'BTU Conversion Factor'!$F$4</f>
        <v>1438634575749.3987</v>
      </c>
      <c r="W41" s="137">
        <f>Public_2!W41*'BTU Conversion Factor'!$F$4</f>
        <v>1457899574401.5342</v>
      </c>
      <c r="X41" s="137">
        <f>Public_2!X41*'BTU Conversion Factor'!$F$4</f>
        <v>1480360408487.8142</v>
      </c>
      <c r="Y41" s="137">
        <f>Public_2!Y41*'BTU Conversion Factor'!$F$4</f>
        <v>1500579995510.5774</v>
      </c>
      <c r="Z41" s="137">
        <f>Public_2!Z41*'BTU Conversion Factor'!$F$4</f>
        <v>1513950924378.1697</v>
      </c>
      <c r="AA41" s="137">
        <f>Public_2!AA41*'BTU Conversion Factor'!$F$4</f>
        <v>1515927998171.0378</v>
      </c>
      <c r="AB41" s="137">
        <f>Public_2!AB41*'BTU Conversion Factor'!$F$4</f>
        <v>1534686230720.2876</v>
      </c>
      <c r="AC41" s="137">
        <f>Public_2!AC41*'BTU Conversion Factor'!$F$4</f>
        <v>1558252100637.8945</v>
      </c>
      <c r="AD41" s="137">
        <f>Public_2!AD41*'BTU Conversion Factor'!$F$4</f>
        <v>1575209211105.1062</v>
      </c>
      <c r="AE41" s="137">
        <f>Public_2!AE41*'BTU Conversion Factor'!$F$4</f>
        <v>1591823808399.8291</v>
      </c>
      <c r="AF41" s="137">
        <f>Public_2!AF41*'BTU Conversion Factor'!$F$4</f>
        <v>1605938889133.0896</v>
      </c>
      <c r="AG41" s="137">
        <f>Public_2!AG41*'BTU Conversion Factor'!$F$4</f>
        <v>1612904431826.2617</v>
      </c>
      <c r="AH41" s="137">
        <f>Public_2!AH41*'BTU Conversion Factor'!$F$4</f>
        <v>1625560307105.2019</v>
      </c>
      <c r="AI41" s="137">
        <f>Public_2!AI41*'BTU Conversion Factor'!$F$4</f>
        <v>1639423791420.3906</v>
      </c>
      <c r="AJ41" s="137">
        <f>Public_2!AJ41*'BTU Conversion Factor'!$F$4</f>
        <v>1654296331329.054</v>
      </c>
      <c r="AK41" s="137">
        <f>Public_2!AK41*'BTU Conversion Factor'!$F$4</f>
        <v>1669145006916.394</v>
      </c>
      <c r="AL41" s="137">
        <f>Public_2!AL41*'BTU Conversion Factor'!$F$4</f>
        <v>1680491532260.7</v>
      </c>
      <c r="AM41" s="137">
        <f>Public_2!AM41*'BTU Conversion Factor'!$F$4</f>
        <v>1690787013820.6282</v>
      </c>
      <c r="AN41" s="137">
        <f>Public_2!AN41*'BTU Conversion Factor'!$F$4</f>
        <v>1701744457854.0266</v>
      </c>
      <c r="AO41" s="137">
        <f>Public_2!AO41*'BTU Conversion Factor'!$F$4</f>
        <v>1712378476633.3606</v>
      </c>
      <c r="AP41" s="137">
        <f>Public_2!AP41*'BTU Conversion Factor'!$F$4</f>
        <v>1722736799602.6863</v>
      </c>
      <c r="AQ41" s="137">
        <f>Public_2!AQ41*'BTU Conversion Factor'!$F$4</f>
        <v>1732356498313.3894</v>
      </c>
      <c r="AR41" s="137">
        <f>Public_2!AR41*'BTU Conversion Factor'!$F$4</f>
        <v>1740852158683.5627</v>
      </c>
      <c r="AS41" s="137">
        <f>Public_2!AS41*'BTU Conversion Factor'!$F$4</f>
        <v>1748543597670.093</v>
      </c>
      <c r="AT41" s="137">
        <f>Public_2!AT41*'BTU Conversion Factor'!$F$4</f>
        <v>1755262299101.0935</v>
      </c>
      <c r="AU41" s="137">
        <f>Public_2!AU41*'BTU Conversion Factor'!$F$4</f>
        <v>1774689160937.3367</v>
      </c>
    </row>
    <row r="42" spans="1:47">
      <c r="B42" s="48" t="s">
        <v>953</v>
      </c>
      <c r="C42" s="137">
        <f>Public_2!C42*'BTU Conversion Factor'!$F$4</f>
        <v>0</v>
      </c>
      <c r="D42" s="137">
        <f>Public_2!D42*'BTU Conversion Factor'!$F$4</f>
        <v>0</v>
      </c>
      <c r="E42" s="137">
        <f>Public_2!E42*'BTU Conversion Factor'!$F$4</f>
        <v>0</v>
      </c>
      <c r="F42" s="137">
        <f>Public_2!F42*'BTU Conversion Factor'!$F$4</f>
        <v>0</v>
      </c>
      <c r="G42" s="137">
        <f>Public_2!G42*'BTU Conversion Factor'!$F$4</f>
        <v>0</v>
      </c>
      <c r="H42" s="137">
        <f>Public_2!H42*'BTU Conversion Factor'!$F$4</f>
        <v>0</v>
      </c>
      <c r="I42" s="137">
        <f>Public_2!I42*'BTU Conversion Factor'!$F$4</f>
        <v>0</v>
      </c>
      <c r="J42" s="137">
        <f>Public_2!J42*'BTU Conversion Factor'!$F$4</f>
        <v>0</v>
      </c>
      <c r="K42" s="137">
        <f>Public_2!K42*'BTU Conversion Factor'!$F$4</f>
        <v>0</v>
      </c>
      <c r="L42" s="137">
        <f>Public_2!L42*'BTU Conversion Factor'!$F$4</f>
        <v>0</v>
      </c>
      <c r="M42" s="137">
        <f>Public_2!M42*'BTU Conversion Factor'!$F$4</f>
        <v>0</v>
      </c>
      <c r="N42" s="137">
        <f>Public_2!N42*'BTU Conversion Factor'!$F$4</f>
        <v>0</v>
      </c>
      <c r="O42" s="137">
        <f>Public_2!O42*'BTU Conversion Factor'!$F$4</f>
        <v>0</v>
      </c>
      <c r="P42" s="137">
        <f>Public_2!P42*'BTU Conversion Factor'!$F$4</f>
        <v>0</v>
      </c>
      <c r="Q42" s="137">
        <f>Public_2!Q42*'BTU Conversion Factor'!$F$4</f>
        <v>0</v>
      </c>
      <c r="R42" s="137">
        <f>Public_2!R42*'BTU Conversion Factor'!$F$4</f>
        <v>0</v>
      </c>
      <c r="S42" s="137">
        <f>Public_2!S42*'BTU Conversion Factor'!$F$4</f>
        <v>0</v>
      </c>
      <c r="T42" s="137">
        <f>Public_2!T42*'BTU Conversion Factor'!$F$4</f>
        <v>0</v>
      </c>
      <c r="U42" s="137">
        <f>Public_2!U42*'BTU Conversion Factor'!$F$4</f>
        <v>0</v>
      </c>
      <c r="V42" s="137">
        <f>Public_2!V42*'BTU Conversion Factor'!$F$4</f>
        <v>0</v>
      </c>
      <c r="W42" s="137">
        <f>Public_2!W42*'BTU Conversion Factor'!$F$4</f>
        <v>0</v>
      </c>
      <c r="X42" s="137">
        <f>Public_2!X42*'BTU Conversion Factor'!$F$4</f>
        <v>0</v>
      </c>
      <c r="Y42" s="137">
        <f>Public_2!Y42*'BTU Conversion Factor'!$F$4</f>
        <v>0</v>
      </c>
      <c r="Z42" s="137">
        <f>Public_2!Z42*'BTU Conversion Factor'!$F$4</f>
        <v>0</v>
      </c>
      <c r="AA42" s="137">
        <f>Public_2!AA42*'BTU Conversion Factor'!$F$4</f>
        <v>0</v>
      </c>
      <c r="AB42" s="137">
        <f>Public_2!AB42*'BTU Conversion Factor'!$F$4</f>
        <v>0</v>
      </c>
      <c r="AC42" s="137">
        <f>Public_2!AC42*'BTU Conversion Factor'!$F$4</f>
        <v>0</v>
      </c>
      <c r="AD42" s="137">
        <f>Public_2!AD42*'BTU Conversion Factor'!$F$4</f>
        <v>0</v>
      </c>
      <c r="AE42" s="137">
        <f>Public_2!AE42*'BTU Conversion Factor'!$F$4</f>
        <v>0</v>
      </c>
      <c r="AF42" s="137">
        <f>Public_2!AF42*'BTU Conversion Factor'!$F$4</f>
        <v>0</v>
      </c>
      <c r="AG42" s="137">
        <f>Public_2!AG42*'BTU Conversion Factor'!$F$4</f>
        <v>0</v>
      </c>
      <c r="AH42" s="137">
        <f>Public_2!AH42*'BTU Conversion Factor'!$F$4</f>
        <v>0</v>
      </c>
      <c r="AI42" s="137">
        <f>Public_2!AI42*'BTU Conversion Factor'!$F$4</f>
        <v>0</v>
      </c>
      <c r="AJ42" s="137">
        <f>Public_2!AJ42*'BTU Conversion Factor'!$F$4</f>
        <v>0</v>
      </c>
      <c r="AK42" s="137">
        <f>Public_2!AK42*'BTU Conversion Factor'!$F$4</f>
        <v>0</v>
      </c>
      <c r="AL42" s="137">
        <f>Public_2!AL42*'BTU Conversion Factor'!$F$4</f>
        <v>0</v>
      </c>
      <c r="AM42" s="137">
        <f>Public_2!AM42*'BTU Conversion Factor'!$F$4</f>
        <v>0</v>
      </c>
      <c r="AN42" s="137">
        <f>Public_2!AN42*'BTU Conversion Factor'!$F$4</f>
        <v>0</v>
      </c>
      <c r="AO42" s="137">
        <f>Public_2!AO42*'BTU Conversion Factor'!$F$4</f>
        <v>0</v>
      </c>
      <c r="AP42" s="137">
        <f>Public_2!AP42*'BTU Conversion Factor'!$F$4</f>
        <v>0</v>
      </c>
      <c r="AQ42" s="137">
        <f>Public_2!AQ42*'BTU Conversion Factor'!$F$4</f>
        <v>0</v>
      </c>
      <c r="AR42" s="137">
        <f>Public_2!AR42*'BTU Conversion Factor'!$F$4</f>
        <v>0</v>
      </c>
      <c r="AS42" s="137">
        <f>Public_2!AS42*'BTU Conversion Factor'!$F$4</f>
        <v>0</v>
      </c>
      <c r="AT42" s="137">
        <f>Public_2!AT42*'BTU Conversion Factor'!$F$4</f>
        <v>0</v>
      </c>
      <c r="AU42" s="137">
        <f>Public_2!AU42*'BTU Conversion Factor'!$F$4</f>
        <v>0</v>
      </c>
    </row>
    <row r="43" spans="1:47">
      <c r="B43" s="48" t="s">
        <v>954</v>
      </c>
      <c r="C43" s="137">
        <f>Public_2!C43*'BTU Conversion Factor'!$F$4</f>
        <v>42646643411.644539</v>
      </c>
      <c r="D43" s="137">
        <f>Public_2!D43*'BTU Conversion Factor'!$F$4</f>
        <v>44546600000</v>
      </c>
      <c r="E43" s="137">
        <f>Public_2!E43*'BTU Conversion Factor'!$F$4</f>
        <v>49290630682.862106</v>
      </c>
      <c r="F43" s="137">
        <f>Public_2!F43*'BTU Conversion Factor'!$F$4</f>
        <v>42651000000</v>
      </c>
      <c r="G43" s="137">
        <f>Public_2!G43*'BTU Conversion Factor'!$F$4</f>
        <v>23698784539.210987</v>
      </c>
      <c r="H43" s="137">
        <f>Public_2!H43*'BTU Conversion Factor'!$F$4</f>
        <v>22747200000</v>
      </c>
      <c r="I43" s="137">
        <f>Public_2!I43*'BTU Conversion Factor'!$F$4</f>
        <v>19903800000</v>
      </c>
      <c r="J43" s="137">
        <f>Public_2!J43*'BTU Conversion Factor'!$F$4</f>
        <v>20851600000</v>
      </c>
      <c r="K43" s="137">
        <f>Public_2!K43*'BTU Conversion Factor'!$F$4</f>
        <v>21799400000</v>
      </c>
      <c r="L43" s="137">
        <f>Public_2!L43*'BTU Conversion Factor'!$F$4</f>
        <v>21799400000</v>
      </c>
      <c r="M43" s="137">
        <f>Public_2!M43*'BTU Conversion Factor'!$F$4</f>
        <v>21799400000</v>
      </c>
      <c r="N43" s="137">
        <f>Public_2!N43*'BTU Conversion Factor'!$F$4</f>
        <v>22747199999.999996</v>
      </c>
      <c r="O43" s="137">
        <f>Public_2!O43*'BTU Conversion Factor'!$F$4</f>
        <v>22747200000</v>
      </c>
      <c r="P43" s="137">
        <f>Public_2!P43*'BTU Conversion Factor'!$F$4</f>
        <v>21799400000</v>
      </c>
      <c r="Q43" s="137">
        <f>Public_2!Q43*'BTU Conversion Factor'!$F$4</f>
        <v>23695000000.000004</v>
      </c>
      <c r="R43" s="137">
        <f>Public_2!R43*'BTU Conversion Factor'!$F$4</f>
        <v>23695000000.000004</v>
      </c>
      <c r="S43" s="137">
        <f>Public_2!S43*'BTU Conversion Factor'!$F$4</f>
        <v>26816919397.138783</v>
      </c>
      <c r="T43" s="137">
        <f>Public_2!T43*'BTU Conversion Factor'!$F$4</f>
        <v>27304880394.806526</v>
      </c>
      <c r="U43" s="137">
        <f>Public_2!U43*'BTU Conversion Factor'!$F$4</f>
        <v>27904888100.32737</v>
      </c>
      <c r="V43" s="137">
        <f>Public_2!V43*'BTU Conversion Factor'!$F$4</f>
        <v>28726384016.053608</v>
      </c>
      <c r="W43" s="137">
        <f>Public_2!W43*'BTU Conversion Factor'!$F$4</f>
        <v>29440898135.169415</v>
      </c>
      <c r="X43" s="137">
        <f>Public_2!X43*'BTU Conversion Factor'!$F$4</f>
        <v>30215906116.717419</v>
      </c>
      <c r="Y43" s="137">
        <f>Public_2!Y43*'BTU Conversion Factor'!$F$4</f>
        <v>30940804298.361031</v>
      </c>
      <c r="Z43" s="137">
        <f>Public_2!Z43*'BTU Conversion Factor'!$F$4</f>
        <v>31517762330.374989</v>
      </c>
      <c r="AA43" s="137">
        <f>Public_2!AA43*'BTU Conversion Factor'!$F$4</f>
        <v>31846880300.630314</v>
      </c>
      <c r="AB43" s="137">
        <f>Public_2!AB43*'BTU Conversion Factor'!$F$4</f>
        <v>32518653803.727993</v>
      </c>
      <c r="AC43" s="137">
        <f>Public_2!AC43*'BTU Conversion Factor'!$F$4</f>
        <v>33285958489.439548</v>
      </c>
      <c r="AD43" s="137">
        <f>Public_2!AD43*'BTU Conversion Factor'!$F$4</f>
        <v>33904953397.757385</v>
      </c>
      <c r="AE43" s="137">
        <f>Public_2!AE43*'BTU Conversion Factor'!$F$4</f>
        <v>34507833789.57959</v>
      </c>
      <c r="AF43" s="137">
        <f>Public_2!AF43*'BTU Conversion Factor'!$F$4</f>
        <v>35046966284.166252</v>
      </c>
      <c r="AG43" s="137">
        <f>Public_2!AG43*'BTU Conversion Factor'!$F$4</f>
        <v>35418816284.328766</v>
      </c>
      <c r="AH43" s="137">
        <f>Public_2!AH43*'BTU Conversion Factor'!$F$4</f>
        <v>35903914628.648117</v>
      </c>
      <c r="AI43" s="137">
        <f>Public_2!AI43*'BTU Conversion Factor'!$F$4</f>
        <v>36404604537.730927</v>
      </c>
      <c r="AJ43" s="137">
        <f>Public_2!AJ43*'BTU Conversion Factor'!$F$4</f>
        <v>36916564517.863495</v>
      </c>
      <c r="AK43" s="137">
        <f>Public_2!AK43*'BTU Conversion Factor'!$F$4</f>
        <v>37416627533.869377</v>
      </c>
      <c r="AL43" s="137">
        <f>Public_2!AL43*'BTU Conversion Factor'!$F$4</f>
        <v>37826151537.101341</v>
      </c>
      <c r="AM43" s="137">
        <f>Public_2!AM43*'BTU Conversion Factor'!$F$4</f>
        <v>38199294826.827965</v>
      </c>
      <c r="AN43" s="137">
        <f>Public_2!AN43*'BTU Conversion Factor'!$F$4</f>
        <v>38574404209.001442</v>
      </c>
      <c r="AO43" s="137">
        <f>Public_2!AO43*'BTU Conversion Factor'!$F$4</f>
        <v>38928992238.346062</v>
      </c>
      <c r="AP43" s="137">
        <f>Public_2!AP43*'BTU Conversion Factor'!$F$4</f>
        <v>39263857922.007866</v>
      </c>
      <c r="AQ43" s="137">
        <f>Public_2!AQ43*'BTU Conversion Factor'!$F$4</f>
        <v>39568164340.317528</v>
      </c>
      <c r="AR43" s="137">
        <f>Public_2!AR43*'BTU Conversion Factor'!$F$4</f>
        <v>39832789043.787117</v>
      </c>
      <c r="AS43" s="137">
        <f>Public_2!AS43*'BTU Conversion Factor'!$F$4</f>
        <v>40064758865.830086</v>
      </c>
      <c r="AT43" s="137">
        <f>Public_2!AT43*'BTU Conversion Factor'!$F$4</f>
        <v>40259988912.204788</v>
      </c>
      <c r="AU43" s="137">
        <f>Public_2!AU43*'BTU Conversion Factor'!$F$4</f>
        <v>40732295369.157463</v>
      </c>
    </row>
    <row r="44" spans="1:47">
      <c r="B44" s="48" t="s">
        <v>955</v>
      </c>
      <c r="C44" s="137">
        <f>Public_2!C44*'BTU Conversion Factor'!$F$4</f>
        <v>0</v>
      </c>
      <c r="D44" s="137">
        <f>Public_2!D44*'BTU Conversion Factor'!$F$4</f>
        <v>0</v>
      </c>
      <c r="E44" s="137">
        <f>Public_2!E44*'BTU Conversion Factor'!$F$4</f>
        <v>0</v>
      </c>
      <c r="F44" s="137">
        <f>Public_2!F44*'BTU Conversion Factor'!$F$4</f>
        <v>0</v>
      </c>
      <c r="G44" s="137">
        <f>Public_2!G44*'BTU Conversion Factor'!$F$4</f>
        <v>0</v>
      </c>
      <c r="H44" s="137">
        <f>Public_2!H44*'BTU Conversion Factor'!$F$4</f>
        <v>0</v>
      </c>
      <c r="I44" s="137">
        <f>Public_2!I44*'BTU Conversion Factor'!$F$4</f>
        <v>0</v>
      </c>
      <c r="J44" s="137">
        <f>Public_2!J44*'BTU Conversion Factor'!$F$4</f>
        <v>0</v>
      </c>
      <c r="K44" s="137">
        <f>Public_2!K44*'BTU Conversion Factor'!$F$4</f>
        <v>0</v>
      </c>
      <c r="L44" s="137">
        <f>Public_2!L44*'BTU Conversion Factor'!$F$4</f>
        <v>0</v>
      </c>
      <c r="M44" s="137">
        <f>Public_2!M44*'BTU Conversion Factor'!$F$4</f>
        <v>0</v>
      </c>
      <c r="N44" s="137">
        <f>Public_2!N44*'BTU Conversion Factor'!$F$4</f>
        <v>0</v>
      </c>
      <c r="O44" s="137">
        <f>Public_2!O44*'BTU Conversion Factor'!$F$4</f>
        <v>0</v>
      </c>
      <c r="P44" s="137">
        <f>Public_2!P44*'BTU Conversion Factor'!$F$4</f>
        <v>0</v>
      </c>
      <c r="Q44" s="137">
        <f>Public_2!Q44*'BTU Conversion Factor'!$F$4</f>
        <v>0</v>
      </c>
      <c r="R44" s="137">
        <f>Public_2!R44*'BTU Conversion Factor'!$F$4</f>
        <v>0</v>
      </c>
      <c r="S44" s="137">
        <f>Public_2!S44*'BTU Conversion Factor'!$F$4</f>
        <v>0</v>
      </c>
      <c r="T44" s="137">
        <f>Public_2!T44*'BTU Conversion Factor'!$F$4</f>
        <v>0</v>
      </c>
      <c r="U44" s="137">
        <f>Public_2!U44*'BTU Conversion Factor'!$F$4</f>
        <v>0</v>
      </c>
      <c r="V44" s="137">
        <f>Public_2!V44*'BTU Conversion Factor'!$F$4</f>
        <v>0</v>
      </c>
      <c r="W44" s="137">
        <f>Public_2!W44*'BTU Conversion Factor'!$F$4</f>
        <v>0</v>
      </c>
      <c r="X44" s="137">
        <f>Public_2!X44*'BTU Conversion Factor'!$F$4</f>
        <v>0</v>
      </c>
      <c r="Y44" s="137">
        <f>Public_2!Y44*'BTU Conversion Factor'!$F$4</f>
        <v>0</v>
      </c>
      <c r="Z44" s="137">
        <f>Public_2!Z44*'BTU Conversion Factor'!$F$4</f>
        <v>0</v>
      </c>
      <c r="AA44" s="137">
        <f>Public_2!AA44*'BTU Conversion Factor'!$F$4</f>
        <v>0</v>
      </c>
      <c r="AB44" s="137">
        <f>Public_2!AB44*'BTU Conversion Factor'!$F$4</f>
        <v>0</v>
      </c>
      <c r="AC44" s="137">
        <f>Public_2!AC44*'BTU Conversion Factor'!$F$4</f>
        <v>0</v>
      </c>
      <c r="AD44" s="137">
        <f>Public_2!AD44*'BTU Conversion Factor'!$F$4</f>
        <v>0</v>
      </c>
      <c r="AE44" s="137">
        <f>Public_2!AE44*'BTU Conversion Factor'!$F$4</f>
        <v>0</v>
      </c>
      <c r="AF44" s="137">
        <f>Public_2!AF44*'BTU Conversion Factor'!$F$4</f>
        <v>0</v>
      </c>
      <c r="AG44" s="137">
        <f>Public_2!AG44*'BTU Conversion Factor'!$F$4</f>
        <v>0</v>
      </c>
      <c r="AH44" s="137">
        <f>Public_2!AH44*'BTU Conversion Factor'!$F$4</f>
        <v>0</v>
      </c>
      <c r="AI44" s="137">
        <f>Public_2!AI44*'BTU Conversion Factor'!$F$4</f>
        <v>0</v>
      </c>
      <c r="AJ44" s="137">
        <f>Public_2!AJ44*'BTU Conversion Factor'!$F$4</f>
        <v>0</v>
      </c>
      <c r="AK44" s="137">
        <f>Public_2!AK44*'BTU Conversion Factor'!$F$4</f>
        <v>0</v>
      </c>
      <c r="AL44" s="137">
        <f>Public_2!AL44*'BTU Conversion Factor'!$F$4</f>
        <v>0</v>
      </c>
      <c r="AM44" s="137">
        <f>Public_2!AM44*'BTU Conversion Factor'!$F$4</f>
        <v>0</v>
      </c>
      <c r="AN44" s="137">
        <f>Public_2!AN44*'BTU Conversion Factor'!$F$4</f>
        <v>0</v>
      </c>
      <c r="AO44" s="137">
        <f>Public_2!AO44*'BTU Conversion Factor'!$F$4</f>
        <v>0</v>
      </c>
      <c r="AP44" s="137">
        <f>Public_2!AP44*'BTU Conversion Factor'!$F$4</f>
        <v>0</v>
      </c>
      <c r="AQ44" s="137">
        <f>Public_2!AQ44*'BTU Conversion Factor'!$F$4</f>
        <v>0</v>
      </c>
      <c r="AR44" s="137">
        <f>Public_2!AR44*'BTU Conversion Factor'!$F$4</f>
        <v>0</v>
      </c>
      <c r="AS44" s="137">
        <f>Public_2!AS44*'BTU Conversion Factor'!$F$4</f>
        <v>0</v>
      </c>
      <c r="AT44" s="137">
        <f>Public_2!AT44*'BTU Conversion Factor'!$F$4</f>
        <v>0</v>
      </c>
      <c r="AU44" s="137">
        <f>Public_2!AU44*'BTU Conversion Factor'!$F$4</f>
        <v>0</v>
      </c>
    </row>
    <row r="45" spans="1:47">
      <c r="B45" s="48" t="s">
        <v>956</v>
      </c>
      <c r="C45" s="137">
        <f>Public_2!C45*'BTU Conversion Factor'!$F$4</f>
        <v>0</v>
      </c>
      <c r="D45" s="137">
        <f>Public_2!D45*'BTU Conversion Factor'!$F$4</f>
        <v>0</v>
      </c>
      <c r="E45" s="137">
        <f>Public_2!E45*'BTU Conversion Factor'!$F$4</f>
        <v>0</v>
      </c>
      <c r="F45" s="137">
        <f>Public_2!F45*'BTU Conversion Factor'!$F$4</f>
        <v>0</v>
      </c>
      <c r="G45" s="137">
        <f>Public_2!G45*'BTU Conversion Factor'!$F$4</f>
        <v>0</v>
      </c>
      <c r="H45" s="137">
        <f>Public_2!H45*'BTU Conversion Factor'!$F$4</f>
        <v>0</v>
      </c>
      <c r="I45" s="137">
        <f>Public_2!I45*'BTU Conversion Factor'!$F$4</f>
        <v>0</v>
      </c>
      <c r="J45" s="137">
        <f>Public_2!J45*'BTU Conversion Factor'!$F$4</f>
        <v>0</v>
      </c>
      <c r="K45" s="137">
        <f>Public_2!K45*'BTU Conversion Factor'!$F$4</f>
        <v>0</v>
      </c>
      <c r="L45" s="137">
        <f>Public_2!L45*'BTU Conversion Factor'!$F$4</f>
        <v>0</v>
      </c>
      <c r="M45" s="137">
        <f>Public_2!M45*'BTU Conversion Factor'!$F$4</f>
        <v>0</v>
      </c>
      <c r="N45" s="137">
        <f>Public_2!N45*'BTU Conversion Factor'!$F$4</f>
        <v>0</v>
      </c>
      <c r="O45" s="137">
        <f>Public_2!O45*'BTU Conversion Factor'!$F$4</f>
        <v>0</v>
      </c>
      <c r="P45" s="137">
        <f>Public_2!P45*'BTU Conversion Factor'!$F$4</f>
        <v>0</v>
      </c>
      <c r="Q45" s="137">
        <f>Public_2!Q45*'BTU Conversion Factor'!$F$4</f>
        <v>0</v>
      </c>
      <c r="R45" s="137">
        <f>Public_2!R45*'BTU Conversion Factor'!$F$4</f>
        <v>0</v>
      </c>
      <c r="S45" s="137">
        <f>Public_2!S45*'BTU Conversion Factor'!$F$4</f>
        <v>0</v>
      </c>
      <c r="T45" s="137">
        <f>Public_2!T45*'BTU Conversion Factor'!$F$4</f>
        <v>0</v>
      </c>
      <c r="U45" s="137">
        <f>Public_2!U45*'BTU Conversion Factor'!$F$4</f>
        <v>0</v>
      </c>
      <c r="V45" s="137">
        <f>Public_2!V45*'BTU Conversion Factor'!$F$4</f>
        <v>0</v>
      </c>
      <c r="W45" s="137">
        <f>Public_2!W45*'BTU Conversion Factor'!$F$4</f>
        <v>0</v>
      </c>
      <c r="X45" s="137">
        <f>Public_2!X45*'BTU Conversion Factor'!$F$4</f>
        <v>0</v>
      </c>
      <c r="Y45" s="137">
        <f>Public_2!Y45*'BTU Conversion Factor'!$F$4</f>
        <v>0</v>
      </c>
      <c r="Z45" s="137">
        <f>Public_2!Z45*'BTU Conversion Factor'!$F$4</f>
        <v>0</v>
      </c>
      <c r="AA45" s="137">
        <f>Public_2!AA45*'BTU Conversion Factor'!$F$4</f>
        <v>0</v>
      </c>
      <c r="AB45" s="137">
        <f>Public_2!AB45*'BTU Conversion Factor'!$F$4</f>
        <v>0</v>
      </c>
      <c r="AC45" s="137">
        <f>Public_2!AC45*'BTU Conversion Factor'!$F$4</f>
        <v>0</v>
      </c>
      <c r="AD45" s="137">
        <f>Public_2!AD45*'BTU Conversion Factor'!$F$4</f>
        <v>0</v>
      </c>
      <c r="AE45" s="137">
        <f>Public_2!AE45*'BTU Conversion Factor'!$F$4</f>
        <v>0</v>
      </c>
      <c r="AF45" s="137">
        <f>Public_2!AF45*'BTU Conversion Factor'!$F$4</f>
        <v>0</v>
      </c>
      <c r="AG45" s="137">
        <f>Public_2!AG45*'BTU Conversion Factor'!$F$4</f>
        <v>0</v>
      </c>
      <c r="AH45" s="137">
        <f>Public_2!AH45*'BTU Conversion Factor'!$F$4</f>
        <v>0</v>
      </c>
      <c r="AI45" s="137">
        <f>Public_2!AI45*'BTU Conversion Factor'!$F$4</f>
        <v>0</v>
      </c>
      <c r="AJ45" s="137">
        <f>Public_2!AJ45*'BTU Conversion Factor'!$F$4</f>
        <v>0</v>
      </c>
      <c r="AK45" s="137">
        <f>Public_2!AK45*'BTU Conversion Factor'!$F$4</f>
        <v>0</v>
      </c>
      <c r="AL45" s="137">
        <f>Public_2!AL45*'BTU Conversion Factor'!$F$4</f>
        <v>0</v>
      </c>
      <c r="AM45" s="137">
        <f>Public_2!AM45*'BTU Conversion Factor'!$F$4</f>
        <v>0</v>
      </c>
      <c r="AN45" s="137">
        <f>Public_2!AN45*'BTU Conversion Factor'!$F$4</f>
        <v>0</v>
      </c>
      <c r="AO45" s="137">
        <f>Public_2!AO45*'BTU Conversion Factor'!$F$4</f>
        <v>0</v>
      </c>
      <c r="AP45" s="137">
        <f>Public_2!AP45*'BTU Conversion Factor'!$F$4</f>
        <v>0</v>
      </c>
      <c r="AQ45" s="137">
        <f>Public_2!AQ45*'BTU Conversion Factor'!$F$4</f>
        <v>0</v>
      </c>
      <c r="AR45" s="137">
        <f>Public_2!AR45*'BTU Conversion Factor'!$F$4</f>
        <v>0</v>
      </c>
      <c r="AS45" s="137">
        <f>Public_2!AS45*'BTU Conversion Factor'!$F$4</f>
        <v>0</v>
      </c>
      <c r="AT45" s="137">
        <f>Public_2!AT45*'BTU Conversion Factor'!$F$4</f>
        <v>0</v>
      </c>
      <c r="AU45" s="137">
        <f>Public_2!AU45*'BTU Conversion Factor'!$F$4</f>
        <v>0</v>
      </c>
    </row>
    <row r="46" spans="1:47">
      <c r="B46" s="48" t="s">
        <v>957</v>
      </c>
      <c r="C46" s="137">
        <f>Public_2!C46*'BTU Conversion Factor'!$F$4</f>
        <v>0</v>
      </c>
      <c r="D46" s="137">
        <f>Public_2!D46*'BTU Conversion Factor'!$F$4</f>
        <v>0</v>
      </c>
      <c r="E46" s="137">
        <f>Public_2!E46*'BTU Conversion Factor'!$F$4</f>
        <v>0</v>
      </c>
      <c r="F46" s="137">
        <f>Public_2!F46*'BTU Conversion Factor'!$F$4</f>
        <v>0</v>
      </c>
      <c r="G46" s="137">
        <f>Public_2!G46*'BTU Conversion Factor'!$F$4</f>
        <v>0</v>
      </c>
      <c r="H46" s="137">
        <f>Public_2!H46*'BTU Conversion Factor'!$F$4</f>
        <v>0</v>
      </c>
      <c r="I46" s="137">
        <f>Public_2!I46*'BTU Conversion Factor'!$F$4</f>
        <v>0</v>
      </c>
      <c r="J46" s="137">
        <f>Public_2!J46*'BTU Conversion Factor'!$F$4</f>
        <v>0</v>
      </c>
      <c r="K46" s="137">
        <f>Public_2!K46*'BTU Conversion Factor'!$F$4</f>
        <v>0</v>
      </c>
      <c r="L46" s="137">
        <f>Public_2!L46*'BTU Conversion Factor'!$F$4</f>
        <v>0</v>
      </c>
      <c r="M46" s="137">
        <f>Public_2!M46*'BTU Conversion Factor'!$F$4</f>
        <v>0</v>
      </c>
      <c r="N46" s="137">
        <f>Public_2!N46*'BTU Conversion Factor'!$F$4</f>
        <v>0</v>
      </c>
      <c r="O46" s="137">
        <f>Public_2!O46*'BTU Conversion Factor'!$F$4</f>
        <v>0</v>
      </c>
      <c r="P46" s="137">
        <f>Public_2!P46*'BTU Conversion Factor'!$F$4</f>
        <v>0</v>
      </c>
      <c r="Q46" s="137">
        <f>Public_2!Q46*'BTU Conversion Factor'!$F$4</f>
        <v>0</v>
      </c>
      <c r="R46" s="137">
        <f>Public_2!R46*'BTU Conversion Factor'!$F$4</f>
        <v>0</v>
      </c>
      <c r="S46" s="137">
        <f>Public_2!S46*'BTU Conversion Factor'!$F$4</f>
        <v>0</v>
      </c>
      <c r="T46" s="137">
        <f>Public_2!T46*'BTU Conversion Factor'!$F$4</f>
        <v>0</v>
      </c>
      <c r="U46" s="137">
        <f>Public_2!U46*'BTU Conversion Factor'!$F$4</f>
        <v>0</v>
      </c>
      <c r="V46" s="137">
        <f>Public_2!V46*'BTU Conversion Factor'!$F$4</f>
        <v>0</v>
      </c>
      <c r="W46" s="137">
        <f>Public_2!W46*'BTU Conversion Factor'!$F$4</f>
        <v>0</v>
      </c>
      <c r="X46" s="137">
        <f>Public_2!X46*'BTU Conversion Factor'!$F$4</f>
        <v>0</v>
      </c>
      <c r="Y46" s="137">
        <f>Public_2!Y46*'BTU Conversion Factor'!$F$4</f>
        <v>0</v>
      </c>
      <c r="Z46" s="137">
        <f>Public_2!Z46*'BTU Conversion Factor'!$F$4</f>
        <v>0</v>
      </c>
      <c r="AA46" s="137">
        <f>Public_2!AA46*'BTU Conversion Factor'!$F$4</f>
        <v>0</v>
      </c>
      <c r="AB46" s="137">
        <f>Public_2!AB46*'BTU Conversion Factor'!$F$4</f>
        <v>0</v>
      </c>
      <c r="AC46" s="137">
        <f>Public_2!AC46*'BTU Conversion Factor'!$F$4</f>
        <v>0</v>
      </c>
      <c r="AD46" s="137">
        <f>Public_2!AD46*'BTU Conversion Factor'!$F$4</f>
        <v>0</v>
      </c>
      <c r="AE46" s="137">
        <f>Public_2!AE46*'BTU Conversion Factor'!$F$4</f>
        <v>0</v>
      </c>
      <c r="AF46" s="137">
        <f>Public_2!AF46*'BTU Conversion Factor'!$F$4</f>
        <v>0</v>
      </c>
      <c r="AG46" s="137">
        <f>Public_2!AG46*'BTU Conversion Factor'!$F$4</f>
        <v>0</v>
      </c>
      <c r="AH46" s="137">
        <f>Public_2!AH46*'BTU Conversion Factor'!$F$4</f>
        <v>0</v>
      </c>
      <c r="AI46" s="137">
        <f>Public_2!AI46*'BTU Conversion Factor'!$F$4</f>
        <v>0</v>
      </c>
      <c r="AJ46" s="137">
        <f>Public_2!AJ46*'BTU Conversion Factor'!$F$4</f>
        <v>0</v>
      </c>
      <c r="AK46" s="137">
        <f>Public_2!AK46*'BTU Conversion Factor'!$F$4</f>
        <v>0</v>
      </c>
      <c r="AL46" s="137">
        <f>Public_2!AL46*'BTU Conversion Factor'!$F$4</f>
        <v>0</v>
      </c>
      <c r="AM46" s="137">
        <f>Public_2!AM46*'BTU Conversion Factor'!$F$4</f>
        <v>0</v>
      </c>
      <c r="AN46" s="137">
        <f>Public_2!AN46*'BTU Conversion Factor'!$F$4</f>
        <v>0</v>
      </c>
      <c r="AO46" s="137">
        <f>Public_2!AO46*'BTU Conversion Factor'!$F$4</f>
        <v>0</v>
      </c>
      <c r="AP46" s="137">
        <f>Public_2!AP46*'BTU Conversion Factor'!$F$4</f>
        <v>0</v>
      </c>
      <c r="AQ46" s="137">
        <f>Public_2!AQ46*'BTU Conversion Factor'!$F$4</f>
        <v>0</v>
      </c>
      <c r="AR46" s="137">
        <f>Public_2!AR46*'BTU Conversion Factor'!$F$4</f>
        <v>0</v>
      </c>
      <c r="AS46" s="137">
        <f>Public_2!AS46*'BTU Conversion Factor'!$F$4</f>
        <v>0</v>
      </c>
      <c r="AT46" s="137">
        <f>Public_2!AT46*'BTU Conversion Factor'!$F$4</f>
        <v>0</v>
      </c>
      <c r="AU46" s="137">
        <f>Public_2!AU46*'BTU Conversion Factor'!$F$4</f>
        <v>0</v>
      </c>
    </row>
    <row r="47" spans="1:47">
      <c r="C47" t="s">
        <v>958</v>
      </c>
      <c r="D47">
        <v>1055</v>
      </c>
      <c r="E47" t="s">
        <v>959</v>
      </c>
    </row>
    <row r="48" spans="1:47">
      <c r="A48" t="s">
        <v>797</v>
      </c>
      <c r="B48" s="48" t="s">
        <v>960</v>
      </c>
      <c r="C48" s="137" t="e">
        <f>SUM(C5:C10)+SUM(C14:C19)+SUM(C23:C28)+SUM(C32:C37)+SUM(C41:C46)</f>
        <v>#REF!</v>
      </c>
      <c r="D48" s="137">
        <f t="shared" ref="D48:AU48" si="0">SUM(D5:D10)+SUM(D14:D19)+SUM(D23:D28)+SUM(D32:D37)+SUM(D41:D46)</f>
        <v>23870343000000</v>
      </c>
      <c r="E48" s="137">
        <f t="shared" si="0"/>
        <v>24202073096743.902</v>
      </c>
      <c r="F48" s="137">
        <f t="shared" si="0"/>
        <v>24707250400000</v>
      </c>
      <c r="G48" s="137">
        <f t="shared" si="0"/>
        <v>15310761351381.57</v>
      </c>
      <c r="H48" s="137">
        <f t="shared" si="0"/>
        <v>15566667200000</v>
      </c>
      <c r="I48" s="137">
        <f t="shared" si="0"/>
        <v>15985594799999.998</v>
      </c>
      <c r="J48" s="137">
        <f t="shared" si="0"/>
        <v>15737271200000</v>
      </c>
      <c r="K48" s="137">
        <f t="shared" si="0"/>
        <v>16465181600000</v>
      </c>
      <c r="L48" s="137">
        <f t="shared" si="0"/>
        <v>16085113800000</v>
      </c>
      <c r="M48" s="137">
        <f t="shared" si="0"/>
        <v>16291734200000</v>
      </c>
      <c r="N48" s="137">
        <f t="shared" si="0"/>
        <v>15810251800000</v>
      </c>
      <c r="O48" s="137">
        <f t="shared" si="0"/>
        <v>15979908000000</v>
      </c>
      <c r="P48" s="137">
        <f t="shared" si="0"/>
        <v>15830155600000</v>
      </c>
      <c r="Q48" s="137">
        <f t="shared" si="0"/>
        <v>17172240400000</v>
      </c>
      <c r="R48" s="137">
        <f t="shared" si="0"/>
        <v>17344740000000</v>
      </c>
      <c r="S48" s="137">
        <f t="shared" si="0"/>
        <v>17437162755535.195</v>
      </c>
      <c r="T48" s="137">
        <f t="shared" si="0"/>
        <v>17504623469280.461</v>
      </c>
      <c r="U48" s="137">
        <f t="shared" si="0"/>
        <v>17648619636182.77</v>
      </c>
      <c r="V48" s="137">
        <f t="shared" si="0"/>
        <v>17934612351148.535</v>
      </c>
      <c r="W48" s="137">
        <f t="shared" si="0"/>
        <v>18154997519001.676</v>
      </c>
      <c r="X48" s="137">
        <f t="shared" si="0"/>
        <v>18414501994112.316</v>
      </c>
      <c r="Y48" s="137">
        <f t="shared" si="0"/>
        <v>18645432395891.594</v>
      </c>
      <c r="Z48" s="137">
        <f t="shared" si="0"/>
        <v>18790691553973.426</v>
      </c>
      <c r="AA48" s="137">
        <f t="shared" si="0"/>
        <v>18794210214541.902</v>
      </c>
      <c r="AB48" s="137">
        <f t="shared" si="0"/>
        <v>19005378960128.691</v>
      </c>
      <c r="AC48" s="137">
        <f t="shared" si="0"/>
        <v>19275381907611.508</v>
      </c>
      <c r="AD48" s="137">
        <f t="shared" si="0"/>
        <v>19462954183205.59</v>
      </c>
      <c r="AE48" s="137">
        <f t="shared" si="0"/>
        <v>19645708030401.484</v>
      </c>
      <c r="AF48" s="137">
        <f t="shared" si="0"/>
        <v>19797065140406.602</v>
      </c>
      <c r="AG48" s="137">
        <f t="shared" si="0"/>
        <v>19859873925380.98</v>
      </c>
      <c r="AH48" s="137">
        <f t="shared" si="0"/>
        <v>19992354841770.34</v>
      </c>
      <c r="AI48" s="137">
        <f t="shared" si="0"/>
        <v>20139193826562.551</v>
      </c>
      <c r="AJ48" s="137">
        <f t="shared" si="0"/>
        <v>20297900502852.129</v>
      </c>
      <c r="AK48" s="137">
        <f t="shared" si="0"/>
        <v>20455770246494.797</v>
      </c>
      <c r="AL48" s="137">
        <f t="shared" si="0"/>
        <v>20570225791432.246</v>
      </c>
      <c r="AM48" s="137">
        <f t="shared" si="0"/>
        <v>20671386638657.715</v>
      </c>
      <c r="AN48" s="137">
        <f t="shared" si="0"/>
        <v>20780215861948.527</v>
      </c>
      <c r="AO48" s="137">
        <f t="shared" si="0"/>
        <v>20884664924490.199</v>
      </c>
      <c r="AP48" s="137">
        <f t="shared" si="0"/>
        <v>20985328591572.43</v>
      </c>
      <c r="AQ48" s="137">
        <f t="shared" si="0"/>
        <v>21076586041775.941</v>
      </c>
      <c r="AR48" s="137">
        <f t="shared" si="0"/>
        <v>21153786320315.754</v>
      </c>
      <c r="AS48" s="137">
        <f t="shared" si="0"/>
        <v>21220860941558.742</v>
      </c>
      <c r="AT48" s="137">
        <f t="shared" si="0"/>
        <v>21275803317824.262</v>
      </c>
      <c r="AU48" s="137">
        <f t="shared" si="0"/>
        <v>21484277589425.961</v>
      </c>
    </row>
    <row r="49" spans="1:47">
      <c r="A49" t="s">
        <v>797</v>
      </c>
      <c r="B49" s="48" t="s">
        <v>779</v>
      </c>
      <c r="C49" s="50" t="e">
        <f>C48*$D$47/10^12</f>
        <v>#REF!</v>
      </c>
      <c r="D49" s="50">
        <f t="shared" ref="D49:AU49" si="1">D48*$D$47/10^12</f>
        <v>25183.211865000001</v>
      </c>
      <c r="E49" s="50">
        <f t="shared" si="1"/>
        <v>25533.187117064816</v>
      </c>
      <c r="F49" s="50">
        <f t="shared" si="1"/>
        <v>26066.149172000001</v>
      </c>
      <c r="G49" s="50">
        <f t="shared" si="1"/>
        <v>16152.853225707557</v>
      </c>
      <c r="H49" s="50">
        <f t="shared" si="1"/>
        <v>16422.833896</v>
      </c>
      <c r="I49" s="50">
        <f t="shared" si="1"/>
        <v>16864.802513999999</v>
      </c>
      <c r="J49" s="50">
        <f t="shared" si="1"/>
        <v>16602.821115999999</v>
      </c>
      <c r="K49" s="50">
        <f t="shared" si="1"/>
        <v>17370.766587999999</v>
      </c>
      <c r="L49" s="50">
        <f t="shared" si="1"/>
        <v>16969.795059</v>
      </c>
      <c r="M49" s="50">
        <f t="shared" si="1"/>
        <v>17187.779580999999</v>
      </c>
      <c r="N49" s="50">
        <f t="shared" si="1"/>
        <v>16679.815649</v>
      </c>
      <c r="O49" s="50">
        <f t="shared" si="1"/>
        <v>16858.802940000001</v>
      </c>
      <c r="P49" s="50">
        <f t="shared" si="1"/>
        <v>16700.814158000001</v>
      </c>
      <c r="Q49" s="50">
        <f t="shared" si="1"/>
        <v>18116.713621999999</v>
      </c>
      <c r="R49" s="50">
        <f t="shared" si="1"/>
        <v>18298.700700000001</v>
      </c>
      <c r="S49" s="50">
        <f t="shared" si="1"/>
        <v>18396.206707089634</v>
      </c>
      <c r="T49" s="50">
        <f t="shared" si="1"/>
        <v>18467.377760090887</v>
      </c>
      <c r="U49" s="50">
        <f t="shared" si="1"/>
        <v>18619.293716172819</v>
      </c>
      <c r="V49" s="50">
        <f t="shared" si="1"/>
        <v>18921.016030461706</v>
      </c>
      <c r="W49" s="50">
        <f t="shared" si="1"/>
        <v>19153.522382546769</v>
      </c>
      <c r="X49" s="50">
        <f t="shared" si="1"/>
        <v>19427.299603788491</v>
      </c>
      <c r="Y49" s="50">
        <f t="shared" si="1"/>
        <v>19670.931177665632</v>
      </c>
      <c r="Z49" s="50">
        <f t="shared" si="1"/>
        <v>19824.179589441963</v>
      </c>
      <c r="AA49" s="50">
        <f t="shared" si="1"/>
        <v>19827.891776341708</v>
      </c>
      <c r="AB49" s="50">
        <f t="shared" si="1"/>
        <v>20050.67480293577</v>
      </c>
      <c r="AC49" s="50">
        <f t="shared" si="1"/>
        <v>20335.527912530139</v>
      </c>
      <c r="AD49" s="50">
        <f t="shared" si="1"/>
        <v>20533.416663281896</v>
      </c>
      <c r="AE49" s="50">
        <f t="shared" si="1"/>
        <v>20726.221972073567</v>
      </c>
      <c r="AF49" s="50">
        <f t="shared" si="1"/>
        <v>20885.903723128966</v>
      </c>
      <c r="AG49" s="50">
        <f t="shared" si="1"/>
        <v>20952.166991276936</v>
      </c>
      <c r="AH49" s="50">
        <f t="shared" si="1"/>
        <v>21091.934358067709</v>
      </c>
      <c r="AI49" s="50">
        <f t="shared" si="1"/>
        <v>21246.849487023494</v>
      </c>
      <c r="AJ49" s="50">
        <f t="shared" si="1"/>
        <v>21414.285030508996</v>
      </c>
      <c r="AK49" s="50">
        <f t="shared" si="1"/>
        <v>21580.837610052011</v>
      </c>
      <c r="AL49" s="50">
        <f t="shared" si="1"/>
        <v>21701.588209961021</v>
      </c>
      <c r="AM49" s="50">
        <f t="shared" si="1"/>
        <v>21808.312903783888</v>
      </c>
      <c r="AN49" s="50">
        <f t="shared" si="1"/>
        <v>21923.127734355698</v>
      </c>
      <c r="AO49" s="50">
        <f t="shared" si="1"/>
        <v>22033.321495337161</v>
      </c>
      <c r="AP49" s="50">
        <f t="shared" si="1"/>
        <v>22139.521664108914</v>
      </c>
      <c r="AQ49" s="50">
        <f t="shared" si="1"/>
        <v>22235.798274073619</v>
      </c>
      <c r="AR49" s="50">
        <f t="shared" si="1"/>
        <v>22317.244567933121</v>
      </c>
      <c r="AS49" s="50">
        <f t="shared" si="1"/>
        <v>22388.008293344472</v>
      </c>
      <c r="AT49" s="50">
        <f t="shared" si="1"/>
        <v>22445.972500304597</v>
      </c>
      <c r="AU49" s="50">
        <f t="shared" si="1"/>
        <v>22665.912856844388</v>
      </c>
    </row>
    <row r="50" spans="1:47">
      <c r="A50" t="s">
        <v>774</v>
      </c>
      <c r="B50" s="48" t="s">
        <v>965</v>
      </c>
      <c r="C50">
        <v>2.8148605647058673</v>
      </c>
      <c r="D50">
        <v>2.8620541882352768</v>
      </c>
      <c r="E50">
        <v>2.9092478117647005</v>
      </c>
      <c r="F50">
        <v>2.95644143529411</v>
      </c>
      <c r="G50">
        <v>3.0036350588235194</v>
      </c>
      <c r="H50">
        <v>3.0508286823529289</v>
      </c>
      <c r="I50">
        <v>3.0980223058823384</v>
      </c>
      <c r="J50">
        <v>3.1452159294117479</v>
      </c>
      <c r="K50">
        <v>3.1924095529411716</v>
      </c>
      <c r="L50">
        <v>3.239603176470581</v>
      </c>
      <c r="M50">
        <v>3.2867967999999999</v>
      </c>
      <c r="N50">
        <v>3.3339904235294</v>
      </c>
      <c r="O50">
        <v>3.3811840470588095</v>
      </c>
      <c r="P50">
        <v>3.428377670588219</v>
      </c>
      <c r="Q50">
        <v>3.4755712941176284</v>
      </c>
      <c r="R50">
        <v>3.5227649176470521</v>
      </c>
      <c r="S50">
        <v>3.5699585411764616</v>
      </c>
      <c r="T50">
        <v>3.6171521647058711</v>
      </c>
      <c r="U50">
        <v>3.6643457882352806</v>
      </c>
      <c r="V50">
        <v>3.71153941176469</v>
      </c>
      <c r="W50">
        <v>3.7587330352940995</v>
      </c>
      <c r="X50">
        <v>3.8059266588235232</v>
      </c>
      <c r="Y50">
        <v>3.8531202823529327</v>
      </c>
      <c r="Z50">
        <v>3.9003139058823422</v>
      </c>
      <c r="AA50">
        <v>3.9475075294117516</v>
      </c>
      <c r="AB50">
        <v>3.9947011529411611</v>
      </c>
      <c r="AC50">
        <v>4.0418947764705706</v>
      </c>
      <c r="AD50">
        <v>4.0890883999999943</v>
      </c>
      <c r="AE50">
        <v>4.1362820235294038</v>
      </c>
      <c r="AF50">
        <v>4.1834756470588133</v>
      </c>
      <c r="AG50">
        <v>4.2306692705882227</v>
      </c>
      <c r="AH50">
        <v>4.2778628941176322</v>
      </c>
      <c r="AI50">
        <v>4.3250565176470417</v>
      </c>
      <c r="AJ50">
        <v>4.3722501411764654</v>
      </c>
      <c r="AK50">
        <v>4.4194437647058749</v>
      </c>
      <c r="AL50">
        <v>4.4666373882352843</v>
      </c>
      <c r="AM50">
        <v>4.5138310117646938</v>
      </c>
      <c r="AN50">
        <v>4.5610246352941033</v>
      </c>
      <c r="AO50">
        <v>4.6082182588235128</v>
      </c>
      <c r="AP50">
        <v>4.6554118823529365</v>
      </c>
      <c r="AQ50">
        <v>4.7026055058823459</v>
      </c>
      <c r="AR50">
        <v>4.7497991294117554</v>
      </c>
      <c r="AS50">
        <v>4.7969927529411649</v>
      </c>
      <c r="AT50">
        <v>4.8441863764705744</v>
      </c>
      <c r="AU50">
        <v>4.8913799999999998</v>
      </c>
    </row>
    <row r="51" spans="1:47">
      <c r="A51" s="48" t="s">
        <v>966</v>
      </c>
      <c r="B51" s="48" t="s">
        <v>967</v>
      </c>
      <c r="C51" s="50" t="e">
        <f>C49/C50/1000000*10^6</f>
        <v>#REF!</v>
      </c>
      <c r="D51" s="50">
        <f t="shared" ref="D51:AU51" si="2">D49/D50/1000000*10^6</f>
        <v>8798.9989737153792</v>
      </c>
      <c r="E51" s="50">
        <f t="shared" si="2"/>
        <v>8776.559705162008</v>
      </c>
      <c r="F51" s="50">
        <f t="shared" si="2"/>
        <v>8816.7311081563548</v>
      </c>
      <c r="G51" s="50">
        <f t="shared" si="2"/>
        <v>5377.7682406045678</v>
      </c>
      <c r="H51" s="50">
        <f t="shared" si="2"/>
        <v>5383.0731273097945</v>
      </c>
      <c r="I51" s="50">
        <f t="shared" si="2"/>
        <v>5443.731790432279</v>
      </c>
      <c r="J51" s="50">
        <f t="shared" si="2"/>
        <v>5278.7539833887458</v>
      </c>
      <c r="K51" s="50">
        <f t="shared" si="2"/>
        <v>5441.2713343738387</v>
      </c>
      <c r="L51" s="50">
        <f t="shared" si="2"/>
        <v>5238.2326274565257</v>
      </c>
      <c r="M51" s="50">
        <f t="shared" si="2"/>
        <v>5229.3404876748082</v>
      </c>
      <c r="N51" s="50">
        <f t="shared" si="2"/>
        <v>5002.9584762101858</v>
      </c>
      <c r="O51" s="50">
        <f t="shared" si="2"/>
        <v>4986.0648534246366</v>
      </c>
      <c r="P51" s="50">
        <f t="shared" si="2"/>
        <v>4871.3460892231815</v>
      </c>
      <c r="Q51" s="50">
        <f t="shared" si="2"/>
        <v>5212.5858136365568</v>
      </c>
      <c r="R51" s="50">
        <f t="shared" si="2"/>
        <v>5194.4143670597778</v>
      </c>
      <c r="S51" s="50">
        <f t="shared" si="2"/>
        <v>5153.0589206863051</v>
      </c>
      <c r="T51" s="50">
        <f t="shared" si="2"/>
        <v>5105.5020411596543</v>
      </c>
      <c r="U51" s="50">
        <f t="shared" si="2"/>
        <v>5081.2054298892244</v>
      </c>
      <c r="V51" s="50">
        <f t="shared" si="2"/>
        <v>5097.8890242918133</v>
      </c>
      <c r="W51" s="50">
        <f t="shared" si="2"/>
        <v>5095.7389638203222</v>
      </c>
      <c r="X51" s="50">
        <f t="shared" si="2"/>
        <v>5104.4860674729343</v>
      </c>
      <c r="Y51" s="50">
        <f t="shared" si="2"/>
        <v>5105.1952018620741</v>
      </c>
      <c r="Z51" s="50">
        <f t="shared" si="2"/>
        <v>5082.7138706819724</v>
      </c>
      <c r="AA51" s="50">
        <f t="shared" si="2"/>
        <v>5022.8889061286764</v>
      </c>
      <c r="AB51" s="50">
        <f t="shared" si="2"/>
        <v>5019.3178501408411</v>
      </c>
      <c r="AC51" s="50">
        <f t="shared" si="2"/>
        <v>5031.1868658509111</v>
      </c>
      <c r="AD51" s="50">
        <f t="shared" si="2"/>
        <v>5021.5144928835298</v>
      </c>
      <c r="AE51" s="50">
        <f t="shared" si="2"/>
        <v>5010.8338488941599</v>
      </c>
      <c r="AF51" s="50">
        <f t="shared" si="2"/>
        <v>4992.4764681761135</v>
      </c>
      <c r="AG51" s="50">
        <f t="shared" si="2"/>
        <v>4952.4473909925355</v>
      </c>
      <c r="AH51" s="50">
        <f t="shared" si="2"/>
        <v>4930.483954282553</v>
      </c>
      <c r="AI51" s="50">
        <f t="shared" si="2"/>
        <v>4912.5021604532476</v>
      </c>
      <c r="AJ51" s="50">
        <f t="shared" si="2"/>
        <v>4897.7721628586733</v>
      </c>
      <c r="AK51" s="50">
        <f t="shared" si="2"/>
        <v>4883.1569670370654</v>
      </c>
      <c r="AL51" s="50">
        <f t="shared" si="2"/>
        <v>4858.5963720988466</v>
      </c>
      <c r="AM51" s="50">
        <f t="shared" si="2"/>
        <v>4831.4420382472117</v>
      </c>
      <c r="AN51" s="50">
        <f t="shared" si="2"/>
        <v>4806.6233987666355</v>
      </c>
      <c r="AO51" s="50">
        <f t="shared" si="2"/>
        <v>4781.3103151416944</v>
      </c>
      <c r="AP51" s="50">
        <f t="shared" si="2"/>
        <v>4755.6526089629615</v>
      </c>
      <c r="AQ51" s="50">
        <f t="shared" si="2"/>
        <v>4728.3996597757423</v>
      </c>
      <c r="AR51" s="50">
        <f t="shared" si="2"/>
        <v>4698.565972977688</v>
      </c>
      <c r="AS51" s="50">
        <f t="shared" si="2"/>
        <v>4667.0923735746283</v>
      </c>
      <c r="AT51" s="50">
        <f t="shared" si="2"/>
        <v>4633.5897828643219</v>
      </c>
      <c r="AU51" s="50">
        <f t="shared" si="2"/>
        <v>4633.848291656831</v>
      </c>
    </row>
  </sheetData>
  <phoneticPr fontId="3"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499984740745262"/>
  </sheetPr>
  <dimension ref="A1:AL11"/>
  <sheetViews>
    <sheetView workbookViewId="0">
      <pane xSplit="1" topLeftCell="W1" activePane="topRight" state="frozen"/>
      <selection activeCell="H22" sqref="H22"/>
      <selection pane="topRight" activeCell="A8" sqref="A8:XFD11"/>
    </sheetView>
  </sheetViews>
  <sheetFormatPr baseColWidth="10" defaultColWidth="8.796875" defaultRowHeight="14"/>
  <cols>
    <col min="1" max="1" width="19.796875" bestFit="1" customWidth="1"/>
  </cols>
  <sheetData>
    <row r="1" spans="1:38" s="48" customFormat="1">
      <c r="A1" s="48" t="s">
        <v>481</v>
      </c>
      <c r="B1" s="48">
        <f>Private_Final!K22</f>
        <v>2014</v>
      </c>
      <c r="C1" s="48">
        <f>Private_Final!L22</f>
        <v>2015</v>
      </c>
      <c r="D1" s="48">
        <f>Private_Final!M22</f>
        <v>2016</v>
      </c>
      <c r="E1" s="48">
        <f>Private_Final!N22</f>
        <v>2017</v>
      </c>
      <c r="F1" s="48">
        <f>Private_Final!O22</f>
        <v>2018</v>
      </c>
      <c r="G1" s="48">
        <f>Private_Final!P22</f>
        <v>2019</v>
      </c>
      <c r="H1" s="48">
        <f>Private_Final!Q22</f>
        <v>2020</v>
      </c>
      <c r="I1" s="48">
        <f>Private_Final!R22</f>
        <v>2021</v>
      </c>
      <c r="J1" s="48">
        <f>Private_Final!S22</f>
        <v>2022</v>
      </c>
      <c r="K1" s="48">
        <f>Private_Final!T22</f>
        <v>2023</v>
      </c>
      <c r="L1" s="48">
        <f>Private_Final!U22</f>
        <v>2024</v>
      </c>
      <c r="M1" s="48">
        <f>Private_Final!V22</f>
        <v>2025</v>
      </c>
      <c r="N1" s="48">
        <f>Private_Final!W22</f>
        <v>2026</v>
      </c>
      <c r="O1" s="48">
        <f>Private_Final!X22</f>
        <v>2027</v>
      </c>
      <c r="P1" s="48">
        <f>Private_Final!Y22</f>
        <v>2028</v>
      </c>
      <c r="Q1" s="48">
        <f>Private_Final!Z22</f>
        <v>2029</v>
      </c>
      <c r="R1" s="48">
        <f>Private_Final!AA22</f>
        <v>2030</v>
      </c>
      <c r="S1" s="48">
        <f>Private_Final!AB22</f>
        <v>2031</v>
      </c>
      <c r="T1" s="48">
        <f>Private_Final!AC22</f>
        <v>2032</v>
      </c>
      <c r="U1" s="48">
        <f>Private_Final!AD22</f>
        <v>2033</v>
      </c>
      <c r="V1" s="48">
        <f>Private_Final!AE22</f>
        <v>2034</v>
      </c>
      <c r="W1" s="48">
        <f>Private_Final!AF22</f>
        <v>2035</v>
      </c>
      <c r="X1" s="48">
        <f>Private_Final!AG22</f>
        <v>2036</v>
      </c>
      <c r="Y1" s="48">
        <f>Private_Final!AH22</f>
        <v>2037</v>
      </c>
      <c r="Z1" s="48">
        <f>Private_Final!AI22</f>
        <v>2038</v>
      </c>
      <c r="AA1" s="48">
        <f>Private_Final!AJ22</f>
        <v>2039</v>
      </c>
      <c r="AB1" s="48">
        <f>Private_Final!AK22</f>
        <v>2040</v>
      </c>
      <c r="AC1" s="48">
        <f>Private_Final!AL22</f>
        <v>2041</v>
      </c>
      <c r="AD1" s="48">
        <f>Private_Final!AM22</f>
        <v>2042</v>
      </c>
      <c r="AE1" s="48">
        <f>Private_Final!AN22</f>
        <v>2043</v>
      </c>
      <c r="AF1" s="48">
        <f>Private_Final!AO22</f>
        <v>2044</v>
      </c>
      <c r="AG1" s="48">
        <f>Private_Final!AP22</f>
        <v>2045</v>
      </c>
      <c r="AH1" s="48">
        <f>Private_Final!AQ22</f>
        <v>2046</v>
      </c>
      <c r="AI1" s="48">
        <f>Private_Final!AR22</f>
        <v>2047</v>
      </c>
      <c r="AJ1" s="48">
        <f>Private_Final!AS22</f>
        <v>2048</v>
      </c>
      <c r="AK1" s="48">
        <f>Private_Final!AT22</f>
        <v>2049</v>
      </c>
      <c r="AL1" s="48">
        <f>Private_Final!AU22</f>
        <v>2050</v>
      </c>
    </row>
    <row r="2" spans="1:38">
      <c r="A2" t="s">
        <v>969</v>
      </c>
      <c r="B2">
        <f>Private_Final!K23</f>
        <v>0</v>
      </c>
      <c r="C2">
        <f>Private_Final!D23</f>
        <v>0</v>
      </c>
      <c r="D2">
        <f>Private_Final!M23</f>
        <v>0</v>
      </c>
      <c r="E2">
        <f>Private_Final!F23</f>
        <v>0</v>
      </c>
      <c r="F2">
        <f>Private_Final!O23</f>
        <v>0</v>
      </c>
      <c r="G2">
        <f>Private_Final!H23</f>
        <v>0</v>
      </c>
      <c r="H2">
        <f>Private_Final!Q23</f>
        <v>0</v>
      </c>
      <c r="I2">
        <f>Private_Final!J23</f>
        <v>0</v>
      </c>
      <c r="J2">
        <f>Private_Final!S23</f>
        <v>0</v>
      </c>
      <c r="K2">
        <f>Private_Final!L23</f>
        <v>0</v>
      </c>
      <c r="L2">
        <f>Private_Final!U23</f>
        <v>0</v>
      </c>
      <c r="M2">
        <f>Private_Final!N23</f>
        <v>0</v>
      </c>
      <c r="N2">
        <f>Private_Final!W23</f>
        <v>0</v>
      </c>
      <c r="O2">
        <f>Private_Final!P23</f>
        <v>0</v>
      </c>
      <c r="P2">
        <f>Private_Final!Y23</f>
        <v>0</v>
      </c>
      <c r="Q2">
        <f>Private_Final!R23</f>
        <v>0</v>
      </c>
      <c r="R2">
        <f>Private_Final!AA23</f>
        <v>0</v>
      </c>
      <c r="S2">
        <f>Private_Final!T23</f>
        <v>0</v>
      </c>
      <c r="T2">
        <f>Private_Final!AC23</f>
        <v>0</v>
      </c>
      <c r="U2">
        <f>Private_Final!V23</f>
        <v>0</v>
      </c>
      <c r="V2">
        <f>Private_Final!AE23</f>
        <v>0</v>
      </c>
      <c r="W2">
        <f>Private_Final!X23</f>
        <v>0</v>
      </c>
      <c r="X2">
        <f>Private_Final!AG23</f>
        <v>0</v>
      </c>
      <c r="Y2">
        <f>Private_Final!Z23</f>
        <v>0</v>
      </c>
      <c r="Z2">
        <f>Private_Final!AI23</f>
        <v>0</v>
      </c>
      <c r="AA2">
        <f>Private_Final!AB23</f>
        <v>0</v>
      </c>
      <c r="AB2">
        <f>Private_Final!AK23</f>
        <v>0</v>
      </c>
      <c r="AC2">
        <f>Private_Final!AD23</f>
        <v>0</v>
      </c>
      <c r="AD2">
        <f>Private_Final!AM23</f>
        <v>0</v>
      </c>
      <c r="AE2">
        <f>Private_Final!AF23</f>
        <v>0</v>
      </c>
      <c r="AF2">
        <f>Private_Final!AO23</f>
        <v>0</v>
      </c>
      <c r="AG2">
        <f>Private_Final!AH23</f>
        <v>0</v>
      </c>
      <c r="AH2">
        <f>Private_Final!AQ23</f>
        <v>0</v>
      </c>
      <c r="AI2">
        <f>Private_Final!AJ23</f>
        <v>0</v>
      </c>
      <c r="AJ2">
        <f>Private_Final!AS23</f>
        <v>0</v>
      </c>
      <c r="AK2">
        <f>Private_Final!AL23</f>
        <v>0</v>
      </c>
      <c r="AL2">
        <f>Private_Final!AU23</f>
        <v>0</v>
      </c>
    </row>
    <row r="3" spans="1:38">
      <c r="A3" t="s">
        <v>970</v>
      </c>
      <c r="B3">
        <f>Private_Final!K24</f>
        <v>0</v>
      </c>
      <c r="C3">
        <f>Private_Final!D24</f>
        <v>0</v>
      </c>
      <c r="D3">
        <f>Private_Final!M24</f>
        <v>0</v>
      </c>
      <c r="E3">
        <f>Private_Final!F24</f>
        <v>0</v>
      </c>
      <c r="F3">
        <f>Private_Final!O24</f>
        <v>0</v>
      </c>
      <c r="G3">
        <f>Private_Final!H24</f>
        <v>0</v>
      </c>
      <c r="H3">
        <f>Private_Final!Q24</f>
        <v>0</v>
      </c>
      <c r="I3">
        <f>Private_Final!J24</f>
        <v>0</v>
      </c>
      <c r="J3">
        <f>Private_Final!S24</f>
        <v>0</v>
      </c>
      <c r="K3">
        <f>Private_Final!L24</f>
        <v>0</v>
      </c>
      <c r="L3">
        <f>Private_Final!U24</f>
        <v>0</v>
      </c>
      <c r="M3">
        <f>Private_Final!N24</f>
        <v>0</v>
      </c>
      <c r="N3">
        <f>Private_Final!W24</f>
        <v>0</v>
      </c>
      <c r="O3">
        <f>Private_Final!P24</f>
        <v>0</v>
      </c>
      <c r="P3">
        <f>Private_Final!Y24</f>
        <v>0</v>
      </c>
      <c r="Q3">
        <f>Private_Final!R24</f>
        <v>0</v>
      </c>
      <c r="R3">
        <f>Private_Final!AA24</f>
        <v>0</v>
      </c>
      <c r="S3">
        <f>Private_Final!T24</f>
        <v>0</v>
      </c>
      <c r="T3">
        <f>Private_Final!AC24</f>
        <v>0</v>
      </c>
      <c r="U3">
        <f>Private_Final!V24</f>
        <v>0</v>
      </c>
      <c r="V3">
        <f>Private_Final!AE24</f>
        <v>0</v>
      </c>
      <c r="W3">
        <f>Private_Final!X24</f>
        <v>0</v>
      </c>
      <c r="X3">
        <f>Private_Final!AG24</f>
        <v>0</v>
      </c>
      <c r="Y3">
        <f>Private_Final!Z24</f>
        <v>0</v>
      </c>
      <c r="Z3">
        <f>Private_Final!AI24</f>
        <v>0</v>
      </c>
      <c r="AA3">
        <f>Private_Final!AB24</f>
        <v>0</v>
      </c>
      <c r="AB3">
        <f>Private_Final!AK24</f>
        <v>0</v>
      </c>
      <c r="AC3">
        <f>Private_Final!AD24</f>
        <v>0</v>
      </c>
      <c r="AD3">
        <f>Private_Final!AM24</f>
        <v>0</v>
      </c>
      <c r="AE3">
        <f>Private_Final!AF24</f>
        <v>0</v>
      </c>
      <c r="AF3">
        <f>Private_Final!AO24</f>
        <v>0</v>
      </c>
      <c r="AG3">
        <f>Private_Final!AH24</f>
        <v>0</v>
      </c>
      <c r="AH3">
        <f>Private_Final!AQ24</f>
        <v>0</v>
      </c>
      <c r="AI3">
        <f>Private_Final!AJ24</f>
        <v>0</v>
      </c>
      <c r="AJ3">
        <f>Private_Final!AS24</f>
        <v>0</v>
      </c>
      <c r="AK3">
        <f>Private_Final!AL24</f>
        <v>0</v>
      </c>
      <c r="AL3">
        <f>Private_Final!AU24</f>
        <v>0</v>
      </c>
    </row>
    <row r="4" spans="1:38">
      <c r="A4" t="s">
        <v>971</v>
      </c>
      <c r="B4">
        <f>Private_Final!K25</f>
        <v>0</v>
      </c>
      <c r="C4">
        <f>Private_Final!D25</f>
        <v>0</v>
      </c>
      <c r="D4">
        <f>Private_Final!M25</f>
        <v>0</v>
      </c>
      <c r="E4">
        <f>Private_Final!F25</f>
        <v>0</v>
      </c>
      <c r="F4">
        <f>Private_Final!O25</f>
        <v>0</v>
      </c>
      <c r="G4">
        <f>Private_Final!H25</f>
        <v>0</v>
      </c>
      <c r="H4">
        <f>Private_Final!Q25</f>
        <v>0</v>
      </c>
      <c r="I4">
        <f>Private_Final!J25</f>
        <v>0</v>
      </c>
      <c r="J4">
        <f>Private_Final!S25</f>
        <v>0</v>
      </c>
      <c r="K4">
        <f>Private_Final!L25</f>
        <v>0</v>
      </c>
      <c r="L4">
        <f>Private_Final!U25</f>
        <v>0</v>
      </c>
      <c r="M4">
        <f>Private_Final!N25</f>
        <v>0</v>
      </c>
      <c r="N4">
        <f>Private_Final!W25</f>
        <v>0</v>
      </c>
      <c r="O4">
        <f>Private_Final!P25</f>
        <v>0</v>
      </c>
      <c r="P4">
        <f>Private_Final!Y25</f>
        <v>0</v>
      </c>
      <c r="Q4">
        <f>Private_Final!R25</f>
        <v>0</v>
      </c>
      <c r="R4">
        <f>Private_Final!AA25</f>
        <v>0</v>
      </c>
      <c r="S4">
        <f>Private_Final!T25</f>
        <v>0</v>
      </c>
      <c r="T4">
        <f>Private_Final!AC25</f>
        <v>0</v>
      </c>
      <c r="U4">
        <f>Private_Final!V25</f>
        <v>0</v>
      </c>
      <c r="V4">
        <f>Private_Final!AE25</f>
        <v>0</v>
      </c>
      <c r="W4">
        <f>Private_Final!X25</f>
        <v>0</v>
      </c>
      <c r="X4">
        <f>Private_Final!AG25</f>
        <v>0</v>
      </c>
      <c r="Y4">
        <f>Private_Final!Z25</f>
        <v>0</v>
      </c>
      <c r="Z4">
        <f>Private_Final!AI25</f>
        <v>0</v>
      </c>
      <c r="AA4">
        <f>Private_Final!AB25</f>
        <v>0</v>
      </c>
      <c r="AB4">
        <f>Private_Final!AK25</f>
        <v>0</v>
      </c>
      <c r="AC4">
        <f>Private_Final!AD25</f>
        <v>0</v>
      </c>
      <c r="AD4">
        <f>Private_Final!AM25</f>
        <v>0</v>
      </c>
      <c r="AE4">
        <f>Private_Final!AF25</f>
        <v>0</v>
      </c>
      <c r="AF4">
        <f>Private_Final!AO25</f>
        <v>0</v>
      </c>
      <c r="AG4">
        <f>Private_Final!AH25</f>
        <v>0</v>
      </c>
      <c r="AH4">
        <f>Private_Final!AQ25</f>
        <v>0</v>
      </c>
      <c r="AI4">
        <f>Private_Final!AJ25</f>
        <v>0</v>
      </c>
      <c r="AJ4">
        <f>Private_Final!AS25</f>
        <v>0</v>
      </c>
      <c r="AK4">
        <f>Private_Final!AL25</f>
        <v>0</v>
      </c>
      <c r="AL4">
        <f>Private_Final!AU25</f>
        <v>0</v>
      </c>
    </row>
    <row r="5" spans="1:38">
      <c r="A5" t="s">
        <v>972</v>
      </c>
      <c r="B5">
        <f>Private_Final!K26</f>
        <v>0</v>
      </c>
      <c r="C5">
        <f>Private_Final!D26</f>
        <v>0</v>
      </c>
      <c r="D5">
        <f>Private_Final!M26</f>
        <v>0</v>
      </c>
      <c r="E5">
        <f>Private_Final!F26</f>
        <v>0</v>
      </c>
      <c r="F5">
        <f>Private_Final!O26</f>
        <v>0</v>
      </c>
      <c r="G5">
        <f>Private_Final!H26</f>
        <v>0</v>
      </c>
      <c r="H5">
        <f>Private_Final!Q26</f>
        <v>0</v>
      </c>
      <c r="I5">
        <f>Private_Final!J26</f>
        <v>0</v>
      </c>
      <c r="J5">
        <f>Private_Final!S26</f>
        <v>0</v>
      </c>
      <c r="K5">
        <f>Private_Final!L26</f>
        <v>0</v>
      </c>
      <c r="L5">
        <f>Private_Final!U26</f>
        <v>0</v>
      </c>
      <c r="M5">
        <f>Private_Final!N26</f>
        <v>0</v>
      </c>
      <c r="N5">
        <f>Private_Final!W26</f>
        <v>0</v>
      </c>
      <c r="O5">
        <f>Private_Final!P26</f>
        <v>0</v>
      </c>
      <c r="P5">
        <f>Private_Final!Y26</f>
        <v>0</v>
      </c>
      <c r="Q5">
        <f>Private_Final!R26</f>
        <v>0</v>
      </c>
      <c r="R5">
        <f>Private_Final!AA26</f>
        <v>0</v>
      </c>
      <c r="S5">
        <f>Private_Final!T26</f>
        <v>0</v>
      </c>
      <c r="T5">
        <f>Private_Final!AC26</f>
        <v>0</v>
      </c>
      <c r="U5">
        <f>Private_Final!V26</f>
        <v>0</v>
      </c>
      <c r="V5">
        <f>Private_Final!AE26</f>
        <v>0</v>
      </c>
      <c r="W5">
        <f>Private_Final!X26</f>
        <v>0</v>
      </c>
      <c r="X5">
        <f>Private_Final!AG26</f>
        <v>0</v>
      </c>
      <c r="Y5">
        <f>Private_Final!Z26</f>
        <v>0</v>
      </c>
      <c r="Z5">
        <f>Private_Final!AI26</f>
        <v>0</v>
      </c>
      <c r="AA5">
        <f>Private_Final!AB26</f>
        <v>0</v>
      </c>
      <c r="AB5">
        <f>Private_Final!AK26</f>
        <v>0</v>
      </c>
      <c r="AC5">
        <f>Private_Final!AD26</f>
        <v>0</v>
      </c>
      <c r="AD5">
        <f>Private_Final!AM26</f>
        <v>0</v>
      </c>
      <c r="AE5">
        <f>Private_Final!AF26</f>
        <v>0</v>
      </c>
      <c r="AF5">
        <f>Private_Final!AO26</f>
        <v>0</v>
      </c>
      <c r="AG5">
        <f>Private_Final!AH26</f>
        <v>0</v>
      </c>
      <c r="AH5">
        <f>Private_Final!AQ26</f>
        <v>0</v>
      </c>
      <c r="AI5">
        <f>Private_Final!AJ26</f>
        <v>0</v>
      </c>
      <c r="AJ5">
        <f>Private_Final!AS26</f>
        <v>0</v>
      </c>
      <c r="AK5">
        <f>Private_Final!AL26</f>
        <v>0</v>
      </c>
      <c r="AL5">
        <f>Private_Final!AU26</f>
        <v>0</v>
      </c>
    </row>
    <row r="6" spans="1:38">
      <c r="A6" t="s">
        <v>973</v>
      </c>
      <c r="B6">
        <f>Private_Final!K27</f>
        <v>0</v>
      </c>
      <c r="C6">
        <f>Private_Final!D27</f>
        <v>0</v>
      </c>
      <c r="D6">
        <f>Private_Final!M27</f>
        <v>0</v>
      </c>
      <c r="E6">
        <f>Private_Final!F27</f>
        <v>0</v>
      </c>
      <c r="F6">
        <f>Private_Final!O27</f>
        <v>0</v>
      </c>
      <c r="G6">
        <f>Private_Final!H27</f>
        <v>0</v>
      </c>
      <c r="H6">
        <f>Private_Final!Q27</f>
        <v>0</v>
      </c>
      <c r="I6">
        <f>Private_Final!J27</f>
        <v>0</v>
      </c>
      <c r="J6">
        <f>Private_Final!S27</f>
        <v>0</v>
      </c>
      <c r="K6">
        <f>Private_Final!L27</f>
        <v>0</v>
      </c>
      <c r="L6">
        <f>Private_Final!U27</f>
        <v>0</v>
      </c>
      <c r="M6">
        <f>Private_Final!N27</f>
        <v>0</v>
      </c>
      <c r="N6">
        <f>Private_Final!W27</f>
        <v>0</v>
      </c>
      <c r="O6">
        <f>Private_Final!P27</f>
        <v>0</v>
      </c>
      <c r="P6">
        <f>Private_Final!Y27</f>
        <v>0</v>
      </c>
      <c r="Q6">
        <f>Private_Final!R27</f>
        <v>0</v>
      </c>
      <c r="R6">
        <f>Private_Final!AA27</f>
        <v>0</v>
      </c>
      <c r="S6">
        <f>Private_Final!T27</f>
        <v>0</v>
      </c>
      <c r="T6">
        <f>Private_Final!AC27</f>
        <v>0</v>
      </c>
      <c r="U6">
        <f>Private_Final!V27</f>
        <v>0</v>
      </c>
      <c r="V6">
        <f>Private_Final!AE27</f>
        <v>0</v>
      </c>
      <c r="W6">
        <f>Private_Final!X27</f>
        <v>0</v>
      </c>
      <c r="X6">
        <f>Private_Final!AG27</f>
        <v>0</v>
      </c>
      <c r="Y6">
        <f>Private_Final!Z27</f>
        <v>0</v>
      </c>
      <c r="Z6">
        <f>Private_Final!AI27</f>
        <v>0</v>
      </c>
      <c r="AA6">
        <f>Private_Final!AB27</f>
        <v>0</v>
      </c>
      <c r="AB6">
        <f>Private_Final!AK27</f>
        <v>0</v>
      </c>
      <c r="AC6">
        <f>Private_Final!AD27</f>
        <v>0</v>
      </c>
      <c r="AD6">
        <f>Private_Final!AM27</f>
        <v>0</v>
      </c>
      <c r="AE6">
        <f>Private_Final!AF27</f>
        <v>0</v>
      </c>
      <c r="AF6">
        <f>Private_Final!AO27</f>
        <v>0</v>
      </c>
      <c r="AG6">
        <f>Private_Final!AH27</f>
        <v>0</v>
      </c>
      <c r="AH6">
        <f>Private_Final!AQ27</f>
        <v>0</v>
      </c>
      <c r="AI6">
        <f>Private_Final!AJ27</f>
        <v>0</v>
      </c>
      <c r="AJ6">
        <f>Private_Final!AS27</f>
        <v>0</v>
      </c>
      <c r="AK6">
        <f>Private_Final!AL27</f>
        <v>0</v>
      </c>
      <c r="AL6">
        <f>Private_Final!AU27</f>
        <v>0</v>
      </c>
    </row>
    <row r="7" spans="1:38">
      <c r="A7" t="s">
        <v>974</v>
      </c>
      <c r="B7">
        <f>Private_Final!K28</f>
        <v>0</v>
      </c>
      <c r="C7">
        <f>Private_Final!D28</f>
        <v>0</v>
      </c>
      <c r="D7">
        <f>Private_Final!M28</f>
        <v>0</v>
      </c>
      <c r="E7">
        <f>Private_Final!F28</f>
        <v>0</v>
      </c>
      <c r="F7">
        <f>Private_Final!O28</f>
        <v>0</v>
      </c>
      <c r="G7">
        <f>Private_Final!H28</f>
        <v>0</v>
      </c>
      <c r="H7">
        <f>Private_Final!Q28</f>
        <v>0</v>
      </c>
      <c r="I7">
        <f>Private_Final!J28</f>
        <v>0</v>
      </c>
      <c r="J7">
        <f>Private_Final!S28</f>
        <v>0</v>
      </c>
      <c r="K7">
        <f>Private_Final!L28</f>
        <v>0</v>
      </c>
      <c r="L7">
        <f>Private_Final!U28</f>
        <v>0</v>
      </c>
      <c r="M7">
        <f>Private_Final!N28</f>
        <v>0</v>
      </c>
      <c r="N7">
        <f>Private_Final!W28</f>
        <v>0</v>
      </c>
      <c r="O7">
        <f>Private_Final!P28</f>
        <v>0</v>
      </c>
      <c r="P7">
        <f>Private_Final!Y28</f>
        <v>0</v>
      </c>
      <c r="Q7">
        <f>Private_Final!R28</f>
        <v>0</v>
      </c>
      <c r="R7">
        <f>Private_Final!AA28</f>
        <v>0</v>
      </c>
      <c r="S7">
        <f>Private_Final!T28</f>
        <v>0</v>
      </c>
      <c r="T7">
        <f>Private_Final!AC28</f>
        <v>0</v>
      </c>
      <c r="U7">
        <f>Private_Final!V28</f>
        <v>0</v>
      </c>
      <c r="V7">
        <f>Private_Final!AE28</f>
        <v>0</v>
      </c>
      <c r="W7">
        <f>Private_Final!X28</f>
        <v>0</v>
      </c>
      <c r="X7">
        <f>Private_Final!AG28</f>
        <v>0</v>
      </c>
      <c r="Y7">
        <f>Private_Final!Z28</f>
        <v>0</v>
      </c>
      <c r="Z7">
        <f>Private_Final!AI28</f>
        <v>0</v>
      </c>
      <c r="AA7">
        <f>Private_Final!AB28</f>
        <v>0</v>
      </c>
      <c r="AB7">
        <f>Private_Final!AK28</f>
        <v>0</v>
      </c>
      <c r="AC7">
        <f>Private_Final!AD28</f>
        <v>0</v>
      </c>
      <c r="AD7">
        <f>Private_Final!AM28</f>
        <v>0</v>
      </c>
      <c r="AE7">
        <f>Private_Final!AF28</f>
        <v>0</v>
      </c>
      <c r="AF7">
        <f>Private_Final!AO28</f>
        <v>0</v>
      </c>
      <c r="AG7">
        <f>Private_Final!AH28</f>
        <v>0</v>
      </c>
      <c r="AH7">
        <f>Private_Final!AQ28</f>
        <v>0</v>
      </c>
      <c r="AI7">
        <f>Private_Final!AJ28</f>
        <v>0</v>
      </c>
      <c r="AJ7">
        <f>Private_Final!AS28</f>
        <v>0</v>
      </c>
      <c r="AK7">
        <f>Private_Final!AL28</f>
        <v>0</v>
      </c>
      <c r="AL7">
        <f>Private_Final!AU28</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
        <v>481</v>
      </c>
      <c r="B1" s="48">
        <f>Private_Final!K13</f>
        <v>2014</v>
      </c>
      <c r="C1" s="48">
        <f>Private_Final!L13</f>
        <v>2015</v>
      </c>
      <c r="D1" s="48">
        <f>Private_Final!M13</f>
        <v>2016</v>
      </c>
      <c r="E1" s="48">
        <f>Private_Final!N13</f>
        <v>2017</v>
      </c>
      <c r="F1" s="48">
        <f>Private_Final!O13</f>
        <v>2018</v>
      </c>
      <c r="G1" s="48">
        <f>Private_Final!P13</f>
        <v>2019</v>
      </c>
      <c r="H1" s="48">
        <f>Private_Final!Q13</f>
        <v>2020</v>
      </c>
      <c r="I1" s="48">
        <f>Private_Final!R13</f>
        <v>2021</v>
      </c>
      <c r="J1" s="48">
        <f>Private_Final!S13</f>
        <v>2022</v>
      </c>
      <c r="K1" s="48">
        <f>Private_Final!T13</f>
        <v>2023</v>
      </c>
      <c r="L1" s="48">
        <f>Private_Final!U13</f>
        <v>2024</v>
      </c>
      <c r="M1" s="48">
        <f>Private_Final!V13</f>
        <v>2025</v>
      </c>
      <c r="N1" s="48">
        <f>Private_Final!W13</f>
        <v>2026</v>
      </c>
      <c r="O1" s="48">
        <f>Private_Final!X13</f>
        <v>2027</v>
      </c>
      <c r="P1" s="48">
        <f>Private_Final!Y13</f>
        <v>2028</v>
      </c>
      <c r="Q1" s="48">
        <f>Private_Final!Z13</f>
        <v>2029</v>
      </c>
      <c r="R1" s="48">
        <f>Private_Final!AA13</f>
        <v>2030</v>
      </c>
      <c r="S1" s="48">
        <f>Private_Final!AB13</f>
        <v>2031</v>
      </c>
      <c r="T1" s="48">
        <f>Private_Final!AC13</f>
        <v>2032</v>
      </c>
      <c r="U1" s="48">
        <f>Private_Final!AD13</f>
        <v>2033</v>
      </c>
      <c r="V1" s="48">
        <f>Private_Final!AE13</f>
        <v>2034</v>
      </c>
      <c r="W1" s="48">
        <f>Private_Final!AF13</f>
        <v>2035</v>
      </c>
      <c r="X1" s="48">
        <f>Private_Final!AG13</f>
        <v>2036</v>
      </c>
      <c r="Y1" s="48">
        <f>Private_Final!AH13</f>
        <v>2037</v>
      </c>
      <c r="Z1" s="48">
        <f>Private_Final!AI13</f>
        <v>2038</v>
      </c>
      <c r="AA1" s="48">
        <f>Private_Final!AJ13</f>
        <v>2039</v>
      </c>
      <c r="AB1" s="48">
        <f>Private_Final!AK13</f>
        <v>2040</v>
      </c>
      <c r="AC1" s="48">
        <f>Private_Final!AL13</f>
        <v>2041</v>
      </c>
      <c r="AD1" s="48">
        <f>Private_Final!AM13</f>
        <v>2042</v>
      </c>
      <c r="AE1" s="48">
        <f>Private_Final!AN13</f>
        <v>2043</v>
      </c>
      <c r="AF1" s="48">
        <f>Private_Final!AO13</f>
        <v>2044</v>
      </c>
      <c r="AG1" s="48">
        <f>Private_Final!AP13</f>
        <v>2045</v>
      </c>
      <c r="AH1" s="48">
        <f>Private_Final!AQ13</f>
        <v>2046</v>
      </c>
      <c r="AI1" s="48">
        <f>Private_Final!AR13</f>
        <v>2047</v>
      </c>
      <c r="AJ1" s="48">
        <f>Private_Final!AS13</f>
        <v>2048</v>
      </c>
      <c r="AK1" s="48">
        <f>Private_Final!AT13</f>
        <v>2049</v>
      </c>
      <c r="AL1" s="48">
        <f>Private_Final!AU13</f>
        <v>2050</v>
      </c>
    </row>
    <row r="2" spans="1:38" s="137" customFormat="1">
      <c r="A2" t="s">
        <v>969</v>
      </c>
      <c r="B2">
        <f>Private_Final!K14</f>
        <v>7523646343909.3584</v>
      </c>
      <c r="C2">
        <f>Private_Final!L14</f>
        <v>7266034048896.75</v>
      </c>
      <c r="D2">
        <f>Private_Final!M14</f>
        <v>7543758231798.1807</v>
      </c>
      <c r="E2">
        <f>Private_Final!N14</f>
        <v>7773855600000</v>
      </c>
      <c r="F2">
        <f>Private_Final!O14</f>
        <v>7582399999999.999</v>
      </c>
      <c r="G2">
        <f>Private_Final!P14</f>
        <v>7774803400000</v>
      </c>
      <c r="H2">
        <f>Private_Final!Q14</f>
        <v>8553826306256.1768</v>
      </c>
      <c r="I2">
        <f>Private_Final!R14</f>
        <v>8608239370478.7168</v>
      </c>
      <c r="J2">
        <f>Private_Final!S14</f>
        <v>8900074401234.6816</v>
      </c>
      <c r="K2">
        <f>Private_Final!T14</f>
        <v>9061333323663.873</v>
      </c>
      <c r="L2">
        <f>Private_Final!U14</f>
        <v>9132921268080.4082</v>
      </c>
      <c r="M2">
        <f>Private_Final!V14</f>
        <v>9211977503635.584</v>
      </c>
      <c r="N2">
        <f>Private_Final!W14</f>
        <v>9300536657026.4668</v>
      </c>
      <c r="O2">
        <f>Private_Final!X14</f>
        <v>9380990768528.9531</v>
      </c>
      <c r="P2">
        <f>Private_Final!Y14</f>
        <v>9463556211176.1484</v>
      </c>
      <c r="Q2">
        <f>Private_Final!Z14</f>
        <v>9600111003289.6777</v>
      </c>
      <c r="R2">
        <f>Private_Final!AA14</f>
        <v>9668402938856.5059</v>
      </c>
      <c r="S2">
        <f>Private_Final!AB14</f>
        <v>9801843570852.7852</v>
      </c>
      <c r="T2">
        <f>Private_Final!AC14</f>
        <v>9881775210487.3965</v>
      </c>
      <c r="U2">
        <f>Private_Final!AD14</f>
        <v>9996998541648.3672</v>
      </c>
      <c r="V2">
        <f>Private_Final!AE14</f>
        <v>10065823041495.002</v>
      </c>
      <c r="W2">
        <f>Private_Final!AF14</f>
        <v>10127566287126.113</v>
      </c>
      <c r="X2">
        <f>Private_Final!AG14</f>
        <v>10109767334736.883</v>
      </c>
      <c r="Y2">
        <f>Private_Final!AH14</f>
        <v>10210554769843.922</v>
      </c>
      <c r="Z2">
        <f>Private_Final!AI14</f>
        <v>10286498009377.801</v>
      </c>
      <c r="AA2">
        <f>Private_Final!AJ14</f>
        <v>10359530006680.607</v>
      </c>
      <c r="AB2">
        <f>Private_Final!AK14</f>
        <v>10428671256669.703</v>
      </c>
      <c r="AC2">
        <f>Private_Final!AL14</f>
        <v>10489846049647.215</v>
      </c>
      <c r="AD2">
        <f>Private_Final!AM14</f>
        <v>10543492073735.115</v>
      </c>
      <c r="AE2">
        <f>Private_Final!AN14</f>
        <v>10592663659451.936</v>
      </c>
      <c r="AF2">
        <f>Private_Final!AO14</f>
        <v>10635534105295.307</v>
      </c>
      <c r="AG2">
        <f>Private_Final!AP14</f>
        <v>10671347610858.455</v>
      </c>
      <c r="AH2">
        <f>Private_Final!AQ14</f>
        <v>10706674245582.936</v>
      </c>
      <c r="AI2">
        <f>Private_Final!AR14</f>
        <v>10731993989524.166</v>
      </c>
      <c r="AJ2">
        <f>Private_Final!AS14</f>
        <v>10758807353382.574</v>
      </c>
      <c r="AK2">
        <f>Private_Final!AT14</f>
        <v>10780124133250.439</v>
      </c>
      <c r="AL2">
        <f>Private_Final!AU14</f>
        <v>10798300925409.035</v>
      </c>
    </row>
    <row r="3" spans="1:38" s="137" customFormat="1">
      <c r="A3" t="s">
        <v>970</v>
      </c>
      <c r="B3">
        <f>Private_Final!K15</f>
        <v>0</v>
      </c>
      <c r="C3">
        <f>Private_Final!L15</f>
        <v>0</v>
      </c>
      <c r="D3">
        <f>Private_Final!M15</f>
        <v>0</v>
      </c>
      <c r="E3">
        <f>Private_Final!N15</f>
        <v>0</v>
      </c>
      <c r="F3">
        <f>Private_Final!O15</f>
        <v>0</v>
      </c>
      <c r="G3">
        <f>Private_Final!P15</f>
        <v>0</v>
      </c>
      <c r="H3">
        <f>Private_Final!Q15</f>
        <v>0</v>
      </c>
      <c r="I3">
        <f>Private_Final!R15</f>
        <v>0</v>
      </c>
      <c r="J3">
        <f>Private_Final!S15</f>
        <v>0</v>
      </c>
      <c r="K3">
        <f>Private_Final!T15</f>
        <v>0</v>
      </c>
      <c r="L3">
        <f>Private_Final!U15</f>
        <v>0</v>
      </c>
      <c r="M3">
        <f>Private_Final!V15</f>
        <v>0</v>
      </c>
      <c r="N3">
        <f>Private_Final!W15</f>
        <v>0</v>
      </c>
      <c r="O3">
        <f>Private_Final!X15</f>
        <v>0</v>
      </c>
      <c r="P3">
        <f>Private_Final!Y15</f>
        <v>0</v>
      </c>
      <c r="Q3">
        <f>Private_Final!Z15</f>
        <v>0</v>
      </c>
      <c r="R3">
        <f>Private_Final!AA15</f>
        <v>0</v>
      </c>
      <c r="S3">
        <f>Private_Final!AB15</f>
        <v>0</v>
      </c>
      <c r="T3">
        <f>Private_Final!AC15</f>
        <v>0</v>
      </c>
      <c r="U3">
        <f>Private_Final!AD15</f>
        <v>0</v>
      </c>
      <c r="V3">
        <f>Private_Final!AE15</f>
        <v>0</v>
      </c>
      <c r="W3">
        <f>Private_Final!AF15</f>
        <v>0</v>
      </c>
      <c r="X3">
        <f>Private_Final!AG15</f>
        <v>0</v>
      </c>
      <c r="Y3">
        <f>Private_Final!AH15</f>
        <v>0</v>
      </c>
      <c r="Z3">
        <f>Private_Final!AI15</f>
        <v>0</v>
      </c>
      <c r="AA3">
        <f>Private_Final!AJ15</f>
        <v>0</v>
      </c>
      <c r="AB3">
        <f>Private_Final!AK15</f>
        <v>0</v>
      </c>
      <c r="AC3">
        <f>Private_Final!AL15</f>
        <v>0</v>
      </c>
      <c r="AD3">
        <f>Private_Final!AM15</f>
        <v>0</v>
      </c>
      <c r="AE3">
        <f>Private_Final!AN15</f>
        <v>0</v>
      </c>
      <c r="AF3">
        <f>Private_Final!AO15</f>
        <v>0</v>
      </c>
      <c r="AG3">
        <f>Private_Final!AP15</f>
        <v>0</v>
      </c>
      <c r="AH3">
        <f>Private_Final!AQ15</f>
        <v>0</v>
      </c>
      <c r="AI3">
        <f>Private_Final!AR15</f>
        <v>0</v>
      </c>
      <c r="AJ3">
        <f>Private_Final!AS15</f>
        <v>0</v>
      </c>
      <c r="AK3">
        <f>Private_Final!AT15</f>
        <v>0</v>
      </c>
      <c r="AL3">
        <f>Private_Final!AU15</f>
        <v>0</v>
      </c>
    </row>
    <row r="4" spans="1:38" s="137" customFormat="1">
      <c r="A4" t="s">
        <v>971</v>
      </c>
      <c r="B4">
        <f>Private_Final!K16</f>
        <v>0</v>
      </c>
      <c r="C4">
        <f>Private_Final!L16</f>
        <v>0</v>
      </c>
      <c r="D4">
        <f>Private_Final!M16</f>
        <v>0</v>
      </c>
      <c r="E4">
        <f>Private_Final!N16</f>
        <v>0</v>
      </c>
      <c r="F4">
        <f>Private_Final!O16</f>
        <v>0</v>
      </c>
      <c r="G4">
        <f>Private_Final!P16</f>
        <v>0</v>
      </c>
      <c r="H4">
        <f>Private_Final!Q16</f>
        <v>0</v>
      </c>
      <c r="I4">
        <f>Private_Final!R16</f>
        <v>0</v>
      </c>
      <c r="J4">
        <f>Private_Final!S16</f>
        <v>0</v>
      </c>
      <c r="K4">
        <f>Private_Final!T16</f>
        <v>0</v>
      </c>
      <c r="L4">
        <f>Private_Final!U16</f>
        <v>0</v>
      </c>
      <c r="M4">
        <f>Private_Final!V16</f>
        <v>0</v>
      </c>
      <c r="N4">
        <f>Private_Final!W16</f>
        <v>0</v>
      </c>
      <c r="O4">
        <f>Private_Final!X16</f>
        <v>0</v>
      </c>
      <c r="P4">
        <f>Private_Final!Y16</f>
        <v>0</v>
      </c>
      <c r="Q4">
        <f>Private_Final!Z16</f>
        <v>0</v>
      </c>
      <c r="R4">
        <f>Private_Final!AA16</f>
        <v>0</v>
      </c>
      <c r="S4">
        <f>Private_Final!AB16</f>
        <v>0</v>
      </c>
      <c r="T4">
        <f>Private_Final!AC16</f>
        <v>0</v>
      </c>
      <c r="U4">
        <f>Private_Final!AD16</f>
        <v>0</v>
      </c>
      <c r="V4">
        <f>Private_Final!AE16</f>
        <v>0</v>
      </c>
      <c r="W4">
        <f>Private_Final!AF16</f>
        <v>0</v>
      </c>
      <c r="X4">
        <f>Private_Final!AG16</f>
        <v>0</v>
      </c>
      <c r="Y4">
        <f>Private_Final!AH16</f>
        <v>0</v>
      </c>
      <c r="Z4">
        <f>Private_Final!AI16</f>
        <v>0</v>
      </c>
      <c r="AA4">
        <f>Private_Final!AJ16</f>
        <v>0</v>
      </c>
      <c r="AB4">
        <f>Private_Final!AK16</f>
        <v>0</v>
      </c>
      <c r="AC4">
        <f>Private_Final!AL16</f>
        <v>0</v>
      </c>
      <c r="AD4">
        <f>Private_Final!AM16</f>
        <v>0</v>
      </c>
      <c r="AE4">
        <f>Private_Final!AN16</f>
        <v>0</v>
      </c>
      <c r="AF4">
        <f>Private_Final!AO16</f>
        <v>0</v>
      </c>
      <c r="AG4">
        <f>Private_Final!AP16</f>
        <v>0</v>
      </c>
      <c r="AH4">
        <f>Private_Final!AQ16</f>
        <v>0</v>
      </c>
      <c r="AI4">
        <f>Private_Final!AR16</f>
        <v>0</v>
      </c>
      <c r="AJ4">
        <f>Private_Final!AS16</f>
        <v>0</v>
      </c>
      <c r="AK4">
        <f>Private_Final!AT16</f>
        <v>0</v>
      </c>
      <c r="AL4">
        <f>Private_Final!AU16</f>
        <v>0</v>
      </c>
    </row>
    <row r="5" spans="1:38" s="137" customFormat="1">
      <c r="A5" t="s">
        <v>972</v>
      </c>
      <c r="B5">
        <f>Private_Final!K17</f>
        <v>0</v>
      </c>
      <c r="C5">
        <f>Private_Final!L17</f>
        <v>0</v>
      </c>
      <c r="D5">
        <f>Private_Final!M17</f>
        <v>0</v>
      </c>
      <c r="E5">
        <f>Private_Final!N17</f>
        <v>0</v>
      </c>
      <c r="F5">
        <f>Private_Final!O17</f>
        <v>0</v>
      </c>
      <c r="G5">
        <f>Private_Final!P17</f>
        <v>0</v>
      </c>
      <c r="H5">
        <f>Private_Final!Q17</f>
        <v>0</v>
      </c>
      <c r="I5">
        <f>Private_Final!R17</f>
        <v>0</v>
      </c>
      <c r="J5">
        <f>Private_Final!S17</f>
        <v>0</v>
      </c>
      <c r="K5">
        <f>Private_Final!T17</f>
        <v>0</v>
      </c>
      <c r="L5">
        <f>Private_Final!U17</f>
        <v>0</v>
      </c>
      <c r="M5">
        <f>Private_Final!V17</f>
        <v>0</v>
      </c>
      <c r="N5">
        <f>Private_Final!W17</f>
        <v>0</v>
      </c>
      <c r="O5">
        <f>Private_Final!X17</f>
        <v>0</v>
      </c>
      <c r="P5">
        <f>Private_Final!Y17</f>
        <v>0</v>
      </c>
      <c r="Q5">
        <f>Private_Final!Z17</f>
        <v>0</v>
      </c>
      <c r="R5">
        <f>Private_Final!AA17</f>
        <v>0</v>
      </c>
      <c r="S5">
        <f>Private_Final!AB17</f>
        <v>0</v>
      </c>
      <c r="T5">
        <f>Private_Final!AC17</f>
        <v>0</v>
      </c>
      <c r="U5">
        <f>Private_Final!AD17</f>
        <v>0</v>
      </c>
      <c r="V5">
        <f>Private_Final!AE17</f>
        <v>0</v>
      </c>
      <c r="W5">
        <f>Private_Final!AF17</f>
        <v>0</v>
      </c>
      <c r="X5">
        <f>Private_Final!AG17</f>
        <v>0</v>
      </c>
      <c r="Y5">
        <f>Private_Final!AH17</f>
        <v>0</v>
      </c>
      <c r="Z5">
        <f>Private_Final!AI17</f>
        <v>0</v>
      </c>
      <c r="AA5">
        <f>Private_Final!AJ17</f>
        <v>0</v>
      </c>
      <c r="AB5">
        <f>Private_Final!AK17</f>
        <v>0</v>
      </c>
      <c r="AC5">
        <f>Private_Final!AL17</f>
        <v>0</v>
      </c>
      <c r="AD5">
        <f>Private_Final!AM17</f>
        <v>0</v>
      </c>
      <c r="AE5">
        <f>Private_Final!AN17</f>
        <v>0</v>
      </c>
      <c r="AF5">
        <f>Private_Final!AO17</f>
        <v>0</v>
      </c>
      <c r="AG5">
        <f>Private_Final!AP17</f>
        <v>0</v>
      </c>
      <c r="AH5">
        <f>Private_Final!AQ17</f>
        <v>0</v>
      </c>
      <c r="AI5">
        <f>Private_Final!AR17</f>
        <v>0</v>
      </c>
      <c r="AJ5">
        <f>Private_Final!AS17</f>
        <v>0</v>
      </c>
      <c r="AK5">
        <f>Private_Final!AT17</f>
        <v>0</v>
      </c>
      <c r="AL5">
        <f>Private_Final!AU17</f>
        <v>0</v>
      </c>
    </row>
    <row r="6" spans="1:38" s="137" customFormat="1">
      <c r="A6" t="s">
        <v>973</v>
      </c>
      <c r="B6">
        <f>Private_Final!K18</f>
        <v>0</v>
      </c>
      <c r="C6">
        <f>Private_Final!L18</f>
        <v>0</v>
      </c>
      <c r="D6">
        <f>Private_Final!M18</f>
        <v>0</v>
      </c>
      <c r="E6">
        <f>Private_Final!N18</f>
        <v>0</v>
      </c>
      <c r="F6">
        <f>Private_Final!O18</f>
        <v>0</v>
      </c>
      <c r="G6">
        <f>Private_Final!P18</f>
        <v>0</v>
      </c>
      <c r="H6">
        <f>Private_Final!Q18</f>
        <v>0</v>
      </c>
      <c r="I6">
        <f>Private_Final!R18</f>
        <v>0</v>
      </c>
      <c r="J6">
        <f>Private_Final!S18</f>
        <v>0</v>
      </c>
      <c r="K6">
        <f>Private_Final!T18</f>
        <v>0</v>
      </c>
      <c r="L6">
        <f>Private_Final!U18</f>
        <v>0</v>
      </c>
      <c r="M6">
        <f>Private_Final!V18</f>
        <v>0</v>
      </c>
      <c r="N6">
        <f>Private_Final!W18</f>
        <v>0</v>
      </c>
      <c r="O6">
        <f>Private_Final!X18</f>
        <v>0</v>
      </c>
      <c r="P6">
        <f>Private_Final!Y18</f>
        <v>0</v>
      </c>
      <c r="Q6">
        <f>Private_Final!Z18</f>
        <v>0</v>
      </c>
      <c r="R6">
        <f>Private_Final!AA18</f>
        <v>0</v>
      </c>
      <c r="S6">
        <f>Private_Final!AB18</f>
        <v>0</v>
      </c>
      <c r="T6">
        <f>Private_Final!AC18</f>
        <v>0</v>
      </c>
      <c r="U6">
        <f>Private_Final!AD18</f>
        <v>0</v>
      </c>
      <c r="V6">
        <f>Private_Final!AE18</f>
        <v>0</v>
      </c>
      <c r="W6">
        <f>Private_Final!AF18</f>
        <v>0</v>
      </c>
      <c r="X6">
        <f>Private_Final!AG18</f>
        <v>0</v>
      </c>
      <c r="Y6">
        <f>Private_Final!AH18</f>
        <v>0</v>
      </c>
      <c r="Z6">
        <f>Private_Final!AI18</f>
        <v>0</v>
      </c>
      <c r="AA6">
        <f>Private_Final!AJ18</f>
        <v>0</v>
      </c>
      <c r="AB6">
        <f>Private_Final!AK18</f>
        <v>0</v>
      </c>
      <c r="AC6">
        <f>Private_Final!AL18</f>
        <v>0</v>
      </c>
      <c r="AD6">
        <f>Private_Final!AM18</f>
        <v>0</v>
      </c>
      <c r="AE6">
        <f>Private_Final!AN18</f>
        <v>0</v>
      </c>
      <c r="AF6">
        <f>Private_Final!AO18</f>
        <v>0</v>
      </c>
      <c r="AG6">
        <f>Private_Final!AP18</f>
        <v>0</v>
      </c>
      <c r="AH6">
        <f>Private_Final!AQ18</f>
        <v>0</v>
      </c>
      <c r="AI6">
        <f>Private_Final!AR18</f>
        <v>0</v>
      </c>
      <c r="AJ6">
        <f>Private_Final!AS18</f>
        <v>0</v>
      </c>
      <c r="AK6">
        <f>Private_Final!AT18</f>
        <v>0</v>
      </c>
      <c r="AL6">
        <f>Private_Final!AU18</f>
        <v>0</v>
      </c>
    </row>
    <row r="7" spans="1:38" s="137" customFormat="1">
      <c r="A7" t="s">
        <v>974</v>
      </c>
      <c r="B7">
        <f>Private_Final!K19</f>
        <v>0</v>
      </c>
      <c r="C7">
        <f>Private_Final!L19</f>
        <v>0</v>
      </c>
      <c r="D7">
        <f>Private_Final!M19</f>
        <v>0</v>
      </c>
      <c r="E7">
        <f>Private_Final!N19</f>
        <v>0</v>
      </c>
      <c r="F7">
        <f>Private_Final!O19</f>
        <v>0</v>
      </c>
      <c r="G7">
        <f>Private_Final!P19</f>
        <v>0</v>
      </c>
      <c r="H7">
        <f>Private_Final!Q19</f>
        <v>0</v>
      </c>
      <c r="I7">
        <f>Private_Final!R19</f>
        <v>0</v>
      </c>
      <c r="J7">
        <f>Private_Final!S19</f>
        <v>0</v>
      </c>
      <c r="K7">
        <f>Private_Final!T19</f>
        <v>0</v>
      </c>
      <c r="L7">
        <f>Private_Final!U19</f>
        <v>0</v>
      </c>
      <c r="M7">
        <f>Private_Final!V19</f>
        <v>0</v>
      </c>
      <c r="N7">
        <f>Private_Final!W19</f>
        <v>0</v>
      </c>
      <c r="O7">
        <f>Private_Final!X19</f>
        <v>0</v>
      </c>
      <c r="P7">
        <f>Private_Final!Y19</f>
        <v>0</v>
      </c>
      <c r="Q7">
        <f>Private_Final!Z19</f>
        <v>0</v>
      </c>
      <c r="R7">
        <f>Private_Final!AA19</f>
        <v>0</v>
      </c>
      <c r="S7">
        <f>Private_Final!AB19</f>
        <v>0</v>
      </c>
      <c r="T7">
        <f>Private_Final!AC19</f>
        <v>0</v>
      </c>
      <c r="U7">
        <f>Private_Final!AD19</f>
        <v>0</v>
      </c>
      <c r="V7">
        <f>Private_Final!AE19</f>
        <v>0</v>
      </c>
      <c r="W7">
        <f>Private_Final!AF19</f>
        <v>0</v>
      </c>
      <c r="X7">
        <f>Private_Final!AG19</f>
        <v>0</v>
      </c>
      <c r="Y7">
        <f>Private_Final!AH19</f>
        <v>0</v>
      </c>
      <c r="Z7">
        <f>Private_Final!AI19</f>
        <v>0</v>
      </c>
      <c r="AA7">
        <f>Private_Final!AJ19</f>
        <v>0</v>
      </c>
      <c r="AB7">
        <f>Private_Final!AK19</f>
        <v>0</v>
      </c>
      <c r="AC7">
        <f>Private_Final!AL19</f>
        <v>0</v>
      </c>
      <c r="AD7">
        <f>Private_Final!AM19</f>
        <v>0</v>
      </c>
      <c r="AE7">
        <f>Private_Final!AN19</f>
        <v>0</v>
      </c>
      <c r="AF7">
        <f>Private_Final!AO19</f>
        <v>0</v>
      </c>
      <c r="AG7">
        <f>Private_Final!AP19</f>
        <v>0</v>
      </c>
      <c r="AH7">
        <f>Private_Final!AQ19</f>
        <v>0</v>
      </c>
      <c r="AI7">
        <f>Private_Final!AR19</f>
        <v>0</v>
      </c>
      <c r="AJ7">
        <f>Private_Final!AS19</f>
        <v>0</v>
      </c>
      <c r="AK7">
        <f>Private_Final!AT19</f>
        <v>0</v>
      </c>
      <c r="AL7">
        <f>Private_Final!AU19</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Private_Final!B4</f>
        <v>Year</v>
      </c>
      <c r="B1" s="48">
        <f>Private_Final!K4</f>
        <v>2014</v>
      </c>
      <c r="C1" s="48">
        <f>Private_Final!L4</f>
        <v>2015</v>
      </c>
      <c r="D1" s="48">
        <f>Private_Final!M4</f>
        <v>2016</v>
      </c>
      <c r="E1" s="48">
        <f>Private_Final!N4</f>
        <v>2017</v>
      </c>
      <c r="F1" s="48">
        <f>Private_Final!O4</f>
        <v>2018</v>
      </c>
      <c r="G1" s="48">
        <f>Private_Final!P4</f>
        <v>2019</v>
      </c>
      <c r="H1" s="48">
        <f>Private_Final!Q4</f>
        <v>2020</v>
      </c>
      <c r="I1" s="48">
        <f>Private_Final!R4</f>
        <v>2021</v>
      </c>
      <c r="J1" s="48">
        <f>Private_Final!S4</f>
        <v>2022</v>
      </c>
      <c r="K1" s="48">
        <f>Private_Final!T4</f>
        <v>2023</v>
      </c>
      <c r="L1" s="48">
        <f>Private_Final!U4</f>
        <v>2024</v>
      </c>
      <c r="M1" s="48">
        <f>Private_Final!V4</f>
        <v>2025</v>
      </c>
      <c r="N1" s="48">
        <f>Private_Final!W4</f>
        <v>2026</v>
      </c>
      <c r="O1" s="48">
        <f>Private_Final!X4</f>
        <v>2027</v>
      </c>
      <c r="P1" s="48">
        <f>Private_Final!Y4</f>
        <v>2028</v>
      </c>
      <c r="Q1" s="48">
        <f>Private_Final!Z4</f>
        <v>2029</v>
      </c>
      <c r="R1" s="48">
        <f>Private_Final!AA4</f>
        <v>2030</v>
      </c>
      <c r="S1" s="48">
        <f>Private_Final!AB4</f>
        <v>2031</v>
      </c>
      <c r="T1" s="48">
        <f>Private_Final!AC4</f>
        <v>2032</v>
      </c>
      <c r="U1" s="48">
        <f>Private_Final!AD4</f>
        <v>2033</v>
      </c>
      <c r="V1" s="48">
        <f>Private_Final!AE4</f>
        <v>2034</v>
      </c>
      <c r="W1" s="48">
        <f>Private_Final!AF4</f>
        <v>2035</v>
      </c>
      <c r="X1" s="48">
        <f>Private_Final!AG4</f>
        <v>2036</v>
      </c>
      <c r="Y1" s="48">
        <f>Private_Final!AH4</f>
        <v>2037</v>
      </c>
      <c r="Z1" s="48">
        <f>Private_Final!AI4</f>
        <v>2038</v>
      </c>
      <c r="AA1" s="48">
        <f>Private_Final!AJ4</f>
        <v>2039</v>
      </c>
      <c r="AB1" s="48">
        <f>Private_Final!AK4</f>
        <v>2040</v>
      </c>
      <c r="AC1" s="48">
        <f>Private_Final!AL4</f>
        <v>2041</v>
      </c>
      <c r="AD1" s="48">
        <f>Private_Final!AM4</f>
        <v>2042</v>
      </c>
      <c r="AE1" s="48">
        <f>Private_Final!AN4</f>
        <v>2043</v>
      </c>
      <c r="AF1" s="48">
        <f>Private_Final!AO4</f>
        <v>2044</v>
      </c>
      <c r="AG1" s="48">
        <f>Private_Final!AP4</f>
        <v>2045</v>
      </c>
      <c r="AH1" s="48">
        <f>Private_Final!AQ4</f>
        <v>2046</v>
      </c>
      <c r="AI1" s="48">
        <f>Private_Final!AR4</f>
        <v>2047</v>
      </c>
      <c r="AJ1" s="48">
        <f>Private_Final!AS4</f>
        <v>2048</v>
      </c>
      <c r="AK1" s="48">
        <f>Private_Final!AT4</f>
        <v>2049</v>
      </c>
      <c r="AL1" s="48">
        <f>Private_Final!AU4</f>
        <v>2050</v>
      </c>
    </row>
    <row r="2" spans="1:38" s="137" customFormat="1">
      <c r="A2" t="str">
        <f>Private_Final!B5</f>
        <v>electricity(BTU)</v>
      </c>
      <c r="B2">
        <f>Private_Final!K5</f>
        <v>1583925546086.1804</v>
      </c>
      <c r="C2">
        <f>Private_Final!L5</f>
        <v>1354592477422.9585</v>
      </c>
      <c r="D2">
        <f>Private_Final!M5</f>
        <v>1249890977009.4546</v>
      </c>
      <c r="E2">
        <f>Private_Final!N5</f>
        <v>1156316000000</v>
      </c>
      <c r="F2">
        <f>Private_Final!O5</f>
        <v>1139255600000</v>
      </c>
      <c r="G2">
        <f>Private_Final!P5</f>
        <v>1174324200000</v>
      </c>
      <c r="H2">
        <f>Private_Final!Q5</f>
        <v>1221050148616.6489</v>
      </c>
      <c r="I2">
        <f>Private_Final!R5</f>
        <v>1203063639595.3176</v>
      </c>
      <c r="J2">
        <f>Private_Final!S5</f>
        <v>1226804175874.019</v>
      </c>
      <c r="K2">
        <f>Private_Final!T5</f>
        <v>1252013546869.9822</v>
      </c>
      <c r="L2">
        <f>Private_Final!U5</f>
        <v>1264923970629.5483</v>
      </c>
      <c r="M2">
        <f>Private_Final!V5</f>
        <v>1278933168335.9612</v>
      </c>
      <c r="N2">
        <f>Private_Final!W5</f>
        <v>1294332218056.8538</v>
      </c>
      <c r="O2">
        <f>Private_Final!X5</f>
        <v>1308674807065.179</v>
      </c>
      <c r="P2">
        <f>Private_Final!Y5</f>
        <v>1323381935204.3052</v>
      </c>
      <c r="Q2">
        <f>Private_Final!Z5</f>
        <v>1345728429419.1172</v>
      </c>
      <c r="R2">
        <f>Private_Final!AA5</f>
        <v>1358591200285.2583</v>
      </c>
      <c r="S2">
        <f>Private_Final!AB5</f>
        <v>1380693450233.8438</v>
      </c>
      <c r="T2">
        <f>Private_Final!AC5</f>
        <v>1395347828273.1279</v>
      </c>
      <c r="U2">
        <f>Private_Final!AD5</f>
        <v>1415069387732.3044</v>
      </c>
      <c r="V2">
        <f>Private_Final!AE5</f>
        <v>1428303799939.5161</v>
      </c>
      <c r="W2">
        <f>Private_Final!AF5</f>
        <v>1440595975858.3086</v>
      </c>
      <c r="X2">
        <f>Private_Final!AG5</f>
        <v>1441606355292.4832</v>
      </c>
      <c r="Y2">
        <f>Private_Final!AH5</f>
        <v>1459573352981.3977</v>
      </c>
      <c r="Z2">
        <f>Private_Final!AI5</f>
        <v>1474069093425.1431</v>
      </c>
      <c r="AA2">
        <f>Private_Final!AJ5</f>
        <v>1488218556142.342</v>
      </c>
      <c r="AB2">
        <f>Private_Final!AK5</f>
        <v>1501878094084.1917</v>
      </c>
      <c r="AC2">
        <f>Private_Final!AL5</f>
        <v>1514455617400.8042</v>
      </c>
      <c r="AD2">
        <f>Private_Final!AM5</f>
        <v>1526006359148.427</v>
      </c>
      <c r="AE2">
        <f>Private_Final!AN5</f>
        <v>1536965773593.2715</v>
      </c>
      <c r="AF2">
        <f>Private_Final!AO5</f>
        <v>1547063688040.2051</v>
      </c>
      <c r="AG2">
        <f>Private_Final!AP5</f>
        <v>1556183375099.0364</v>
      </c>
      <c r="AH2">
        <f>Private_Final!AQ5</f>
        <v>1565277944546.873</v>
      </c>
      <c r="AI2">
        <f>Private_Final!AR5</f>
        <v>1572951888636.5718</v>
      </c>
      <c r="AJ2">
        <f>Private_Final!AS5</f>
        <v>1580884259036.094</v>
      </c>
      <c r="AK2">
        <f>Private_Final!AT5</f>
        <v>1588047283984.8569</v>
      </c>
      <c r="AL2">
        <f>Private_Final!AU5</f>
        <v>1594783117144.2817</v>
      </c>
    </row>
    <row r="3" spans="1:38" s="137" customFormat="1">
      <c r="A3" t="str">
        <f>Private_Final!B6</f>
        <v>coal(BTU)</v>
      </c>
      <c r="B3">
        <f>Private_Final!K6</f>
        <v>0</v>
      </c>
      <c r="C3">
        <f>Private_Final!L6</f>
        <v>0</v>
      </c>
      <c r="D3">
        <f>Private_Final!M6</f>
        <v>0</v>
      </c>
      <c r="E3">
        <f>Private_Final!N6</f>
        <v>0</v>
      </c>
      <c r="F3">
        <f>Private_Final!O6</f>
        <v>0</v>
      </c>
      <c r="G3">
        <f>Private_Final!P6</f>
        <v>0</v>
      </c>
      <c r="H3">
        <f>Private_Final!Q6</f>
        <v>0</v>
      </c>
      <c r="I3">
        <f>Private_Final!R6</f>
        <v>0</v>
      </c>
      <c r="J3">
        <f>Private_Final!S6</f>
        <v>0</v>
      </c>
      <c r="K3">
        <f>Private_Final!T6</f>
        <v>0</v>
      </c>
      <c r="L3">
        <f>Private_Final!U6</f>
        <v>0</v>
      </c>
      <c r="M3">
        <f>Private_Final!V6</f>
        <v>0</v>
      </c>
      <c r="N3">
        <f>Private_Final!W6</f>
        <v>0</v>
      </c>
      <c r="O3">
        <f>Private_Final!X6</f>
        <v>0</v>
      </c>
      <c r="P3">
        <f>Private_Final!Y6</f>
        <v>0</v>
      </c>
      <c r="Q3">
        <f>Private_Final!Z6</f>
        <v>0</v>
      </c>
      <c r="R3">
        <f>Private_Final!AA6</f>
        <v>0</v>
      </c>
      <c r="S3">
        <f>Private_Final!AB6</f>
        <v>0</v>
      </c>
      <c r="T3">
        <f>Private_Final!AC6</f>
        <v>0</v>
      </c>
      <c r="U3">
        <f>Private_Final!AD6</f>
        <v>0</v>
      </c>
      <c r="V3">
        <f>Private_Final!AE6</f>
        <v>0</v>
      </c>
      <c r="W3">
        <f>Private_Final!AF6</f>
        <v>0</v>
      </c>
      <c r="X3">
        <f>Private_Final!AG6</f>
        <v>0</v>
      </c>
      <c r="Y3">
        <f>Private_Final!AH6</f>
        <v>0</v>
      </c>
      <c r="Z3">
        <f>Private_Final!AI6</f>
        <v>0</v>
      </c>
      <c r="AA3">
        <f>Private_Final!AJ6</f>
        <v>0</v>
      </c>
      <c r="AB3">
        <f>Private_Final!AK6</f>
        <v>0</v>
      </c>
      <c r="AC3">
        <f>Private_Final!AL6</f>
        <v>0</v>
      </c>
      <c r="AD3">
        <f>Private_Final!AM6</f>
        <v>0</v>
      </c>
      <c r="AE3">
        <f>Private_Final!AN6</f>
        <v>0</v>
      </c>
      <c r="AF3">
        <f>Private_Final!AO6</f>
        <v>0</v>
      </c>
      <c r="AG3">
        <f>Private_Final!AP6</f>
        <v>0</v>
      </c>
      <c r="AH3">
        <f>Private_Final!AQ6</f>
        <v>0</v>
      </c>
      <c r="AI3">
        <f>Private_Final!AR6</f>
        <v>0</v>
      </c>
      <c r="AJ3">
        <f>Private_Final!AS6</f>
        <v>0</v>
      </c>
      <c r="AK3">
        <f>Private_Final!AT6</f>
        <v>0</v>
      </c>
      <c r="AL3">
        <f>Private_Final!AU6</f>
        <v>0</v>
      </c>
    </row>
    <row r="4" spans="1:38" s="137" customFormat="1">
      <c r="A4" t="str">
        <f>Private_Final!B7</f>
        <v>natural gas(BTU)</v>
      </c>
      <c r="B4">
        <f>Private_Final!K7</f>
        <v>0</v>
      </c>
      <c r="C4">
        <f>Private_Final!L7</f>
        <v>0</v>
      </c>
      <c r="D4">
        <f>Private_Final!M7</f>
        <v>0</v>
      </c>
      <c r="E4">
        <f>Private_Final!N7</f>
        <v>0</v>
      </c>
      <c r="F4">
        <f>Private_Final!O7</f>
        <v>0</v>
      </c>
      <c r="G4">
        <f>Private_Final!P7</f>
        <v>0</v>
      </c>
      <c r="H4">
        <f>Private_Final!Q7</f>
        <v>0</v>
      </c>
      <c r="I4">
        <f>Private_Final!R7</f>
        <v>0</v>
      </c>
      <c r="J4">
        <f>Private_Final!S7</f>
        <v>0</v>
      </c>
      <c r="K4">
        <f>Private_Final!T7</f>
        <v>0</v>
      </c>
      <c r="L4">
        <f>Private_Final!U7</f>
        <v>0</v>
      </c>
      <c r="M4">
        <f>Private_Final!V7</f>
        <v>0</v>
      </c>
      <c r="N4">
        <f>Private_Final!W7</f>
        <v>0</v>
      </c>
      <c r="O4">
        <f>Private_Final!X7</f>
        <v>0</v>
      </c>
      <c r="P4">
        <f>Private_Final!Y7</f>
        <v>0</v>
      </c>
      <c r="Q4">
        <f>Private_Final!Z7</f>
        <v>0</v>
      </c>
      <c r="R4">
        <f>Private_Final!AA7</f>
        <v>0</v>
      </c>
      <c r="S4">
        <f>Private_Final!AB7</f>
        <v>0</v>
      </c>
      <c r="T4">
        <f>Private_Final!AC7</f>
        <v>0</v>
      </c>
      <c r="U4">
        <f>Private_Final!AD7</f>
        <v>0</v>
      </c>
      <c r="V4">
        <f>Private_Final!AE7</f>
        <v>0</v>
      </c>
      <c r="W4">
        <f>Private_Final!AF7</f>
        <v>0</v>
      </c>
      <c r="X4">
        <f>Private_Final!AG7</f>
        <v>0</v>
      </c>
      <c r="Y4">
        <f>Private_Final!AH7</f>
        <v>0</v>
      </c>
      <c r="Z4">
        <f>Private_Final!AI7</f>
        <v>0</v>
      </c>
      <c r="AA4">
        <f>Private_Final!AJ7</f>
        <v>0</v>
      </c>
      <c r="AB4">
        <f>Private_Final!AK7</f>
        <v>0</v>
      </c>
      <c r="AC4">
        <f>Private_Final!AL7</f>
        <v>0</v>
      </c>
      <c r="AD4">
        <f>Private_Final!AM7</f>
        <v>0</v>
      </c>
      <c r="AE4">
        <f>Private_Final!AN7</f>
        <v>0</v>
      </c>
      <c r="AF4">
        <f>Private_Final!AO7</f>
        <v>0</v>
      </c>
      <c r="AG4">
        <f>Private_Final!AP7</f>
        <v>0</v>
      </c>
      <c r="AH4">
        <f>Private_Final!AQ7</f>
        <v>0</v>
      </c>
      <c r="AI4">
        <f>Private_Final!AR7</f>
        <v>0</v>
      </c>
      <c r="AJ4">
        <f>Private_Final!AS7</f>
        <v>0</v>
      </c>
      <c r="AK4">
        <f>Private_Final!AT7</f>
        <v>0</v>
      </c>
      <c r="AL4">
        <f>Private_Final!AU7</f>
        <v>0</v>
      </c>
    </row>
    <row r="5" spans="1:38" s="137" customFormat="1">
      <c r="A5" t="str">
        <f>Private_Final!B8</f>
        <v>petroleum diesel (BTU)</v>
      </c>
      <c r="B5">
        <f>Private_Final!K8</f>
        <v>0</v>
      </c>
      <c r="C5">
        <f>Private_Final!L8</f>
        <v>0</v>
      </c>
      <c r="D5">
        <f>Private_Final!M8</f>
        <v>0</v>
      </c>
      <c r="E5">
        <f>Private_Final!N8</f>
        <v>0</v>
      </c>
      <c r="F5">
        <f>Private_Final!O8</f>
        <v>0</v>
      </c>
      <c r="G5">
        <f>Private_Final!P8</f>
        <v>0</v>
      </c>
      <c r="H5">
        <f>Private_Final!Q8</f>
        <v>0</v>
      </c>
      <c r="I5">
        <f>Private_Final!R8</f>
        <v>0</v>
      </c>
      <c r="J5">
        <f>Private_Final!S8</f>
        <v>0</v>
      </c>
      <c r="K5">
        <f>Private_Final!T8</f>
        <v>0</v>
      </c>
      <c r="L5">
        <f>Private_Final!U8</f>
        <v>0</v>
      </c>
      <c r="M5">
        <f>Private_Final!V8</f>
        <v>0</v>
      </c>
      <c r="N5">
        <f>Private_Final!W8</f>
        <v>0</v>
      </c>
      <c r="O5">
        <f>Private_Final!X8</f>
        <v>0</v>
      </c>
      <c r="P5">
        <f>Private_Final!Y8</f>
        <v>0</v>
      </c>
      <c r="Q5">
        <f>Private_Final!Z8</f>
        <v>0</v>
      </c>
      <c r="R5">
        <f>Private_Final!AA8</f>
        <v>0</v>
      </c>
      <c r="S5">
        <f>Private_Final!AB8</f>
        <v>0</v>
      </c>
      <c r="T5">
        <f>Private_Final!AC8</f>
        <v>0</v>
      </c>
      <c r="U5">
        <f>Private_Final!AD8</f>
        <v>0</v>
      </c>
      <c r="V5">
        <f>Private_Final!AE8</f>
        <v>0</v>
      </c>
      <c r="W5">
        <f>Private_Final!AF8</f>
        <v>0</v>
      </c>
      <c r="X5">
        <f>Private_Final!AG8</f>
        <v>0</v>
      </c>
      <c r="Y5">
        <f>Private_Final!AH8</f>
        <v>0</v>
      </c>
      <c r="Z5">
        <f>Private_Final!AI8</f>
        <v>0</v>
      </c>
      <c r="AA5">
        <f>Private_Final!AJ8</f>
        <v>0</v>
      </c>
      <c r="AB5">
        <f>Private_Final!AK8</f>
        <v>0</v>
      </c>
      <c r="AC5">
        <f>Private_Final!AL8</f>
        <v>0</v>
      </c>
      <c r="AD5">
        <f>Private_Final!AM8</f>
        <v>0</v>
      </c>
      <c r="AE5">
        <f>Private_Final!AN8</f>
        <v>0</v>
      </c>
      <c r="AF5">
        <f>Private_Final!AO8</f>
        <v>0</v>
      </c>
      <c r="AG5">
        <f>Private_Final!AP8</f>
        <v>0</v>
      </c>
      <c r="AH5">
        <f>Private_Final!AQ8</f>
        <v>0</v>
      </c>
      <c r="AI5">
        <f>Private_Final!AR8</f>
        <v>0</v>
      </c>
      <c r="AJ5">
        <f>Private_Final!AS8</f>
        <v>0</v>
      </c>
      <c r="AK5">
        <f>Private_Final!AT8</f>
        <v>0</v>
      </c>
      <c r="AL5">
        <f>Private_Final!AU8</f>
        <v>0</v>
      </c>
    </row>
    <row r="6" spans="1:38" s="137" customFormat="1">
      <c r="A6" t="str">
        <f>Private_Final!B9</f>
        <v>heat (BTU)</v>
      </c>
      <c r="B6">
        <f>Private_Final!K9</f>
        <v>0</v>
      </c>
      <c r="C6">
        <f>Private_Final!L9</f>
        <v>0</v>
      </c>
      <c r="D6">
        <f>Private_Final!M9</f>
        <v>0</v>
      </c>
      <c r="E6">
        <f>Private_Final!N9</f>
        <v>0</v>
      </c>
      <c r="F6">
        <f>Private_Final!O9</f>
        <v>0</v>
      </c>
      <c r="G6">
        <f>Private_Final!P9</f>
        <v>0</v>
      </c>
      <c r="H6">
        <f>Private_Final!Q9</f>
        <v>0</v>
      </c>
      <c r="I6">
        <f>Private_Final!R9</f>
        <v>0</v>
      </c>
      <c r="J6">
        <f>Private_Final!S9</f>
        <v>0</v>
      </c>
      <c r="K6">
        <f>Private_Final!T9</f>
        <v>0</v>
      </c>
      <c r="L6">
        <f>Private_Final!U9</f>
        <v>0</v>
      </c>
      <c r="M6">
        <f>Private_Final!V9</f>
        <v>0</v>
      </c>
      <c r="N6">
        <f>Private_Final!W9</f>
        <v>0</v>
      </c>
      <c r="O6">
        <f>Private_Final!X9</f>
        <v>0</v>
      </c>
      <c r="P6">
        <f>Private_Final!Y9</f>
        <v>0</v>
      </c>
      <c r="Q6">
        <f>Private_Final!Z9</f>
        <v>0</v>
      </c>
      <c r="R6">
        <f>Private_Final!AA9</f>
        <v>0</v>
      </c>
      <c r="S6">
        <f>Private_Final!AB9</f>
        <v>0</v>
      </c>
      <c r="T6">
        <f>Private_Final!AC9</f>
        <v>0</v>
      </c>
      <c r="U6">
        <f>Private_Final!AD9</f>
        <v>0</v>
      </c>
      <c r="V6">
        <f>Private_Final!AE9</f>
        <v>0</v>
      </c>
      <c r="W6">
        <f>Private_Final!AF9</f>
        <v>0</v>
      </c>
      <c r="X6">
        <f>Private_Final!AG9</f>
        <v>0</v>
      </c>
      <c r="Y6">
        <f>Private_Final!AH9</f>
        <v>0</v>
      </c>
      <c r="Z6">
        <f>Private_Final!AI9</f>
        <v>0</v>
      </c>
      <c r="AA6">
        <f>Private_Final!AJ9</f>
        <v>0</v>
      </c>
      <c r="AB6">
        <f>Private_Final!AK9</f>
        <v>0</v>
      </c>
      <c r="AC6">
        <f>Private_Final!AL9</f>
        <v>0</v>
      </c>
      <c r="AD6">
        <f>Private_Final!AM9</f>
        <v>0</v>
      </c>
      <c r="AE6">
        <f>Private_Final!AN9</f>
        <v>0</v>
      </c>
      <c r="AF6">
        <f>Private_Final!AO9</f>
        <v>0</v>
      </c>
      <c r="AG6">
        <f>Private_Final!AP9</f>
        <v>0</v>
      </c>
      <c r="AH6">
        <f>Private_Final!AQ9</f>
        <v>0</v>
      </c>
      <c r="AI6">
        <f>Private_Final!AR9</f>
        <v>0</v>
      </c>
      <c r="AJ6">
        <f>Private_Final!AS9</f>
        <v>0</v>
      </c>
      <c r="AK6">
        <f>Private_Final!AT9</f>
        <v>0</v>
      </c>
      <c r="AL6">
        <f>Private_Final!AU9</f>
        <v>0</v>
      </c>
    </row>
    <row r="7" spans="1:38" s="137" customFormat="1">
      <c r="A7" t="str">
        <f>Private_Final!B10</f>
        <v>biomass (BTU)</v>
      </c>
      <c r="B7">
        <f>Private_Final!K10</f>
        <v>0</v>
      </c>
      <c r="C7">
        <f>Private_Final!L10</f>
        <v>0</v>
      </c>
      <c r="D7">
        <f>Private_Final!M10</f>
        <v>0</v>
      </c>
      <c r="E7">
        <f>Private_Final!N10</f>
        <v>0</v>
      </c>
      <c r="F7">
        <f>Private_Final!O10</f>
        <v>0</v>
      </c>
      <c r="G7">
        <f>Private_Final!P10</f>
        <v>0</v>
      </c>
      <c r="H7">
        <f>Private_Final!Q10</f>
        <v>0</v>
      </c>
      <c r="I7">
        <f>Private_Final!R10</f>
        <v>0</v>
      </c>
      <c r="J7">
        <f>Private_Final!S10</f>
        <v>0</v>
      </c>
      <c r="K7">
        <f>Private_Final!T10</f>
        <v>0</v>
      </c>
      <c r="L7">
        <f>Private_Final!U10</f>
        <v>0</v>
      </c>
      <c r="M7">
        <f>Private_Final!V10</f>
        <v>0</v>
      </c>
      <c r="N7">
        <f>Private_Final!W10</f>
        <v>0</v>
      </c>
      <c r="O7">
        <f>Private_Final!X10</f>
        <v>0</v>
      </c>
      <c r="P7">
        <f>Private_Final!Y10</f>
        <v>0</v>
      </c>
      <c r="Q7">
        <f>Private_Final!Z10</f>
        <v>0</v>
      </c>
      <c r="R7">
        <f>Private_Final!AA10</f>
        <v>0</v>
      </c>
      <c r="S7">
        <f>Private_Final!AB10</f>
        <v>0</v>
      </c>
      <c r="T7">
        <f>Private_Final!AC10</f>
        <v>0</v>
      </c>
      <c r="U7">
        <f>Private_Final!AD10</f>
        <v>0</v>
      </c>
      <c r="V7">
        <f>Private_Final!AE10</f>
        <v>0</v>
      </c>
      <c r="W7">
        <f>Private_Final!AF10</f>
        <v>0</v>
      </c>
      <c r="X7">
        <f>Private_Final!AG10</f>
        <v>0</v>
      </c>
      <c r="Y7">
        <f>Private_Final!AH10</f>
        <v>0</v>
      </c>
      <c r="Z7">
        <f>Private_Final!AI10</f>
        <v>0</v>
      </c>
      <c r="AA7">
        <f>Private_Final!AJ10</f>
        <v>0</v>
      </c>
      <c r="AB7">
        <f>Private_Final!AK10</f>
        <v>0</v>
      </c>
      <c r="AC7">
        <f>Private_Final!AL10</f>
        <v>0</v>
      </c>
      <c r="AD7">
        <f>Private_Final!AM10</f>
        <v>0</v>
      </c>
      <c r="AE7">
        <f>Private_Final!AN10</f>
        <v>0</v>
      </c>
      <c r="AF7">
        <f>Private_Final!AO10</f>
        <v>0</v>
      </c>
      <c r="AG7">
        <f>Private_Final!AP10</f>
        <v>0</v>
      </c>
      <c r="AH7">
        <f>Private_Final!AQ10</f>
        <v>0</v>
      </c>
      <c r="AI7">
        <f>Private_Final!AR10</f>
        <v>0</v>
      </c>
      <c r="AJ7">
        <f>Private_Final!AS10</f>
        <v>0</v>
      </c>
      <c r="AK7">
        <f>Private_Final!AT10</f>
        <v>0</v>
      </c>
      <c r="AL7">
        <f>Private_Final!AU10</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4" tint="-0.499984740745262"/>
  </sheetPr>
  <dimension ref="A1:AL11"/>
  <sheetViews>
    <sheetView workbookViewId="0">
      <pane xSplit="1" topLeftCell="B1" activePane="topRight" state="frozen"/>
      <selection activeCell="AJ11" sqref="AJ11"/>
      <selection pane="topRight" activeCell="A8" sqref="A8:XFD11"/>
    </sheetView>
  </sheetViews>
  <sheetFormatPr baseColWidth="10" defaultColWidth="8.796875" defaultRowHeight="14"/>
  <cols>
    <col min="1" max="1" width="19.796875" bestFit="1" customWidth="1"/>
  </cols>
  <sheetData>
    <row r="1" spans="1:38" s="48" customFormat="1">
      <c r="A1" s="48" t="str">
        <f>Private_Final!B31</f>
        <v>Year</v>
      </c>
      <c r="B1" s="48">
        <f>Private_Final!K31</f>
        <v>2014</v>
      </c>
      <c r="C1" s="48">
        <f>Private_Final!L31</f>
        <v>2015</v>
      </c>
      <c r="D1" s="48">
        <f>Private_Final!M31</f>
        <v>2016</v>
      </c>
      <c r="E1" s="48">
        <f>Private_Final!N31</f>
        <v>2017</v>
      </c>
      <c r="F1" s="48">
        <f>Private_Final!O31</f>
        <v>2018</v>
      </c>
      <c r="G1" s="48">
        <f>Private_Final!P31</f>
        <v>2019</v>
      </c>
      <c r="H1" s="48">
        <f>Private_Final!Q31</f>
        <v>2020</v>
      </c>
      <c r="I1" s="48">
        <f>Private_Final!R31</f>
        <v>2021</v>
      </c>
      <c r="J1" s="48">
        <f>Private_Final!S31</f>
        <v>2022</v>
      </c>
      <c r="K1" s="48">
        <f>Private_Final!T31</f>
        <v>2023</v>
      </c>
      <c r="L1" s="48">
        <f>Private_Final!U31</f>
        <v>2024</v>
      </c>
      <c r="M1" s="48">
        <f>Private_Final!V31</f>
        <v>2025</v>
      </c>
      <c r="N1" s="48">
        <f>Private_Final!W31</f>
        <v>2026</v>
      </c>
      <c r="O1" s="48">
        <f>Private_Final!X31</f>
        <v>2027</v>
      </c>
      <c r="P1" s="48">
        <f>Private_Final!Y31</f>
        <v>2028</v>
      </c>
      <c r="Q1" s="48">
        <f>Private_Final!Z31</f>
        <v>2029</v>
      </c>
      <c r="R1" s="48">
        <f>Private_Final!AA31</f>
        <v>2030</v>
      </c>
      <c r="S1" s="48">
        <f>Private_Final!AB31</f>
        <v>2031</v>
      </c>
      <c r="T1" s="48">
        <f>Private_Final!AC31</f>
        <v>2032</v>
      </c>
      <c r="U1" s="48">
        <f>Private_Final!AD31</f>
        <v>2033</v>
      </c>
      <c r="V1" s="48">
        <f>Private_Final!AE31</f>
        <v>2034</v>
      </c>
      <c r="W1" s="48">
        <f>Private_Final!AF31</f>
        <v>2035</v>
      </c>
      <c r="X1" s="48">
        <f>Private_Final!AG31</f>
        <v>2036</v>
      </c>
      <c r="Y1" s="48">
        <f>Private_Final!AH31</f>
        <v>2037</v>
      </c>
      <c r="Z1" s="48">
        <f>Private_Final!AI31</f>
        <v>2038</v>
      </c>
      <c r="AA1" s="48">
        <f>Private_Final!AJ31</f>
        <v>2039</v>
      </c>
      <c r="AB1" s="48">
        <f>Private_Final!AK31</f>
        <v>2040</v>
      </c>
      <c r="AC1" s="48">
        <f>Private_Final!AL31</f>
        <v>2041</v>
      </c>
      <c r="AD1" s="48">
        <f>Private_Final!AM31</f>
        <v>2042</v>
      </c>
      <c r="AE1" s="48">
        <f>Private_Final!AN31</f>
        <v>2043</v>
      </c>
      <c r="AF1" s="48">
        <f>Private_Final!AO31</f>
        <v>2044</v>
      </c>
      <c r="AG1" s="48">
        <f>Private_Final!AP31</f>
        <v>2045</v>
      </c>
      <c r="AH1" s="48">
        <f>Private_Final!AQ31</f>
        <v>2046</v>
      </c>
      <c r="AI1" s="48">
        <f>Private_Final!AR31</f>
        <v>2047</v>
      </c>
      <c r="AJ1" s="48">
        <f>Private_Final!AS31</f>
        <v>2048</v>
      </c>
      <c r="AK1" s="48">
        <f>Private_Final!AT31</f>
        <v>2049</v>
      </c>
      <c r="AL1" s="48">
        <f>Private_Final!AU31</f>
        <v>2050</v>
      </c>
    </row>
    <row r="2" spans="1:38" s="137" customFormat="1">
      <c r="A2" t="str">
        <f>Private_Final!B32</f>
        <v>electricity(BTU)</v>
      </c>
      <c r="B2">
        <f>Private_Final!K32</f>
        <v>9110284091273.084</v>
      </c>
      <c r="C2">
        <f>Private_Final!L32</f>
        <v>8713641876436.084</v>
      </c>
      <c r="D2">
        <f>Private_Final!M32</f>
        <v>9216926283690.4609</v>
      </c>
      <c r="E2">
        <f>Private_Final!N32</f>
        <v>9616378799999.998</v>
      </c>
      <c r="F2">
        <f>Private_Final!O32</f>
        <v>9457148400000</v>
      </c>
      <c r="G2">
        <f>Private_Final!P32</f>
        <v>9659029800000</v>
      </c>
      <c r="H2">
        <f>Private_Final!Q32</f>
        <v>10064413346173.59</v>
      </c>
      <c r="I2">
        <f>Private_Final!R32</f>
        <v>9877883011650.4121</v>
      </c>
      <c r="J2">
        <f>Private_Final!S32</f>
        <v>10170078641382.49</v>
      </c>
      <c r="K2">
        <f>Private_Final!T32</f>
        <v>10461785583435.463</v>
      </c>
      <c r="L2">
        <f>Private_Final!U32</f>
        <v>10653241588398.207</v>
      </c>
      <c r="M2">
        <f>Private_Final!V32</f>
        <v>10855730164075.99</v>
      </c>
      <c r="N2">
        <f>Private_Final!W32</f>
        <v>11071959043320.369</v>
      </c>
      <c r="O2">
        <f>Private_Final!X32</f>
        <v>11281115870395.461</v>
      </c>
      <c r="P2">
        <f>Private_Final!Y32</f>
        <v>11495334511786.193</v>
      </c>
      <c r="Q2">
        <f>Private_Final!Z32</f>
        <v>11778359453225.094</v>
      </c>
      <c r="R2">
        <f>Private_Final!AA32</f>
        <v>11980705382900.223</v>
      </c>
      <c r="S2">
        <f>Private_Final!AB32</f>
        <v>12266839679760.223</v>
      </c>
      <c r="T2">
        <f>Private_Final!AC32</f>
        <v>12489231596735.982</v>
      </c>
      <c r="U2">
        <f>Private_Final!AD32</f>
        <v>12759249251688.275</v>
      </c>
      <c r="V2">
        <f>Private_Final!AE32</f>
        <v>12972951766890.551</v>
      </c>
      <c r="W2">
        <f>Private_Final!AF32</f>
        <v>13179782778673.242</v>
      </c>
      <c r="X2">
        <f>Private_Final!AG32</f>
        <v>13284277369533.629</v>
      </c>
      <c r="Y2">
        <f>Private_Final!AH32</f>
        <v>13546279611137.918</v>
      </c>
      <c r="Z2">
        <f>Private_Final!AI32</f>
        <v>13778210063427.66</v>
      </c>
      <c r="AA2">
        <f>Private_Final!AJ32</f>
        <v>14008796502793.34</v>
      </c>
      <c r="AB2">
        <f>Private_Final!AK32</f>
        <v>14236608631086.199</v>
      </c>
      <c r="AC2">
        <f>Private_Final!AL32</f>
        <v>14455897675028.947</v>
      </c>
      <c r="AD2">
        <f>Private_Final!AM32</f>
        <v>14666980024006.078</v>
      </c>
      <c r="AE2">
        <f>Private_Final!AN32</f>
        <v>14873866226046.91</v>
      </c>
      <c r="AF2">
        <f>Private_Final!AO32</f>
        <v>15073806643230.467</v>
      </c>
      <c r="AG2">
        <f>Private_Final!AP32</f>
        <v>15265485465540.875</v>
      </c>
      <c r="AH2">
        <f>Private_Final!AQ32</f>
        <v>15458121359638.047</v>
      </c>
      <c r="AI2">
        <f>Private_Final!AR32</f>
        <v>15637835609805.955</v>
      </c>
      <c r="AJ2">
        <f>Private_Final!AS32</f>
        <v>15821150211045.564</v>
      </c>
      <c r="AK2">
        <f>Private_Final!AT32</f>
        <v>15997762761386.697</v>
      </c>
      <c r="AL2">
        <f>Private_Final!AU32</f>
        <v>16170990177081.139</v>
      </c>
    </row>
    <row r="3" spans="1:38" s="137" customFormat="1">
      <c r="A3" t="str">
        <f>Private_Final!B33</f>
        <v>coal(BTU)</v>
      </c>
      <c r="B3">
        <f>Private_Final!K33</f>
        <v>0</v>
      </c>
      <c r="C3">
        <f>Private_Final!L33</f>
        <v>0</v>
      </c>
      <c r="D3">
        <f>Private_Final!M33</f>
        <v>0</v>
      </c>
      <c r="E3">
        <f>Private_Final!N33</f>
        <v>0</v>
      </c>
      <c r="F3">
        <f>Private_Final!O33</f>
        <v>0</v>
      </c>
      <c r="G3">
        <f>Private_Final!P33</f>
        <v>0</v>
      </c>
      <c r="H3">
        <f>Private_Final!Q33</f>
        <v>0</v>
      </c>
      <c r="I3">
        <f>Private_Final!R33</f>
        <v>0</v>
      </c>
      <c r="J3">
        <f>Private_Final!S33</f>
        <v>0</v>
      </c>
      <c r="K3">
        <f>Private_Final!T33</f>
        <v>0</v>
      </c>
      <c r="L3">
        <f>Private_Final!U33</f>
        <v>0</v>
      </c>
      <c r="M3">
        <f>Private_Final!V33</f>
        <v>0</v>
      </c>
      <c r="N3">
        <f>Private_Final!W33</f>
        <v>0</v>
      </c>
      <c r="O3">
        <f>Private_Final!X33</f>
        <v>0</v>
      </c>
      <c r="P3">
        <f>Private_Final!Y33</f>
        <v>0</v>
      </c>
      <c r="Q3">
        <f>Private_Final!Z33</f>
        <v>0</v>
      </c>
      <c r="R3">
        <f>Private_Final!AA33</f>
        <v>0</v>
      </c>
      <c r="S3">
        <f>Private_Final!AB33</f>
        <v>0</v>
      </c>
      <c r="T3">
        <f>Private_Final!AC33</f>
        <v>0</v>
      </c>
      <c r="U3">
        <f>Private_Final!AD33</f>
        <v>0</v>
      </c>
      <c r="V3">
        <f>Private_Final!AE33</f>
        <v>0</v>
      </c>
      <c r="W3">
        <f>Private_Final!AF33</f>
        <v>0</v>
      </c>
      <c r="X3">
        <f>Private_Final!AG33</f>
        <v>0</v>
      </c>
      <c r="Y3">
        <f>Private_Final!AH33</f>
        <v>0</v>
      </c>
      <c r="Z3">
        <f>Private_Final!AI33</f>
        <v>0</v>
      </c>
      <c r="AA3">
        <f>Private_Final!AJ33</f>
        <v>0</v>
      </c>
      <c r="AB3">
        <f>Private_Final!AK33</f>
        <v>0</v>
      </c>
      <c r="AC3">
        <f>Private_Final!AL33</f>
        <v>0</v>
      </c>
      <c r="AD3">
        <f>Private_Final!AM33</f>
        <v>0</v>
      </c>
      <c r="AE3">
        <f>Private_Final!AN33</f>
        <v>0</v>
      </c>
      <c r="AF3">
        <f>Private_Final!AO33</f>
        <v>0</v>
      </c>
      <c r="AG3">
        <f>Private_Final!AP33</f>
        <v>0</v>
      </c>
      <c r="AH3">
        <f>Private_Final!AQ33</f>
        <v>0</v>
      </c>
      <c r="AI3">
        <f>Private_Final!AR33</f>
        <v>0</v>
      </c>
      <c r="AJ3">
        <f>Private_Final!AS33</f>
        <v>0</v>
      </c>
      <c r="AK3">
        <f>Private_Final!AT33</f>
        <v>0</v>
      </c>
      <c r="AL3">
        <f>Private_Final!AU33</f>
        <v>0</v>
      </c>
    </row>
    <row r="4" spans="1:38" s="137" customFormat="1">
      <c r="A4" t="str">
        <f>Private_Final!B34</f>
        <v>natural gas(BTU)</v>
      </c>
      <c r="B4">
        <f>Private_Final!K34</f>
        <v>8681744756250.9229</v>
      </c>
      <c r="C4">
        <f>Private_Final!L34</f>
        <v>8304456470533.6426</v>
      </c>
      <c r="D4">
        <f>Private_Final!M34</f>
        <v>8648800020051.4014</v>
      </c>
      <c r="E4">
        <f>Private_Final!N34</f>
        <v>7730256800000</v>
      </c>
      <c r="F4">
        <f>Private_Final!O34</f>
        <v>8126437200000</v>
      </c>
      <c r="G4">
        <f>Private_Final!P34</f>
        <v>7527427599999.998</v>
      </c>
      <c r="H4">
        <f>Private_Final!Q34</f>
        <v>8048755562964.7432</v>
      </c>
      <c r="I4">
        <f>Private_Final!R34</f>
        <v>7654850736794.8047</v>
      </c>
      <c r="J4">
        <f>Private_Final!S34</f>
        <v>7873676636529.7451</v>
      </c>
      <c r="K4">
        <f>Private_Final!T34</f>
        <v>7971015701755.8369</v>
      </c>
      <c r="L4">
        <f>Private_Final!U34</f>
        <v>7988090349688.1738</v>
      </c>
      <c r="M4">
        <f>Private_Final!V34</f>
        <v>8010717973017.5752</v>
      </c>
      <c r="N4">
        <f>Private_Final!W34</f>
        <v>8040537081484.5928</v>
      </c>
      <c r="O4">
        <f>Private_Final!X34</f>
        <v>8062262190415.8008</v>
      </c>
      <c r="P4">
        <f>Private_Final!Y34</f>
        <v>8084737564575.1748</v>
      </c>
      <c r="Q4">
        <f>Private_Final!Z34</f>
        <v>8151975385629.375</v>
      </c>
      <c r="R4">
        <f>Private_Final!AA34</f>
        <v>8159951334795.1299</v>
      </c>
      <c r="S4">
        <f>Private_Final!AB34</f>
        <v>8221621258119.8604</v>
      </c>
      <c r="T4">
        <f>Private_Final!AC34</f>
        <v>8237049016598.8936</v>
      </c>
      <c r="U4">
        <f>Private_Final!AD34</f>
        <v>8280619747571.4023</v>
      </c>
      <c r="V4">
        <f>Private_Final!AE34</f>
        <v>8284532746170.0127</v>
      </c>
      <c r="W4">
        <f>Private_Final!AF34</f>
        <v>8281666380309.4629</v>
      </c>
      <c r="X4">
        <f>Private_Final!AG34</f>
        <v>8213258634837.8984</v>
      </c>
      <c r="Y4">
        <f>Private_Final!AH34</f>
        <v>8240480783143.4229</v>
      </c>
      <c r="Z4">
        <f>Private_Final!AI34</f>
        <v>8246433622558.9395</v>
      </c>
      <c r="AA4">
        <f>Private_Final!AJ34</f>
        <v>8248974568296.0576</v>
      </c>
      <c r="AB4">
        <f>Private_Final!AK34</f>
        <v>8247368282050.5996</v>
      </c>
      <c r="AC4">
        <f>Private_Final!AL34</f>
        <v>8238469527447.9629</v>
      </c>
      <c r="AD4">
        <f>Private_Final!AM34</f>
        <v>8222743034175.1992</v>
      </c>
      <c r="AE4">
        <f>Private_Final!AN34</f>
        <v>8202671370133.8477</v>
      </c>
      <c r="AF4">
        <f>Private_Final!AO34</f>
        <v>8176917880195.1768</v>
      </c>
      <c r="AG4">
        <f>Private_Final!AP34</f>
        <v>8145004671811.167</v>
      </c>
      <c r="AH4">
        <f>Private_Final!AQ34</f>
        <v>8112022299854.5215</v>
      </c>
      <c r="AI4">
        <f>Private_Final!AR34</f>
        <v>8070814294996.001</v>
      </c>
      <c r="AJ4">
        <f>Private_Final!AS34</f>
        <v>8030128837290.1348</v>
      </c>
      <c r="AK4">
        <f>Private_Final!AT34</f>
        <v>7984758341100.71</v>
      </c>
      <c r="AL4">
        <f>Private_Final!AU34</f>
        <v>7936524374005.2939</v>
      </c>
    </row>
    <row r="5" spans="1:38" s="137" customFormat="1">
      <c r="A5" t="str">
        <f>Private_Final!B35</f>
        <v>petroleum diesel (BTU)</v>
      </c>
      <c r="B5">
        <f>Private_Final!K35</f>
        <v>0</v>
      </c>
      <c r="C5">
        <f>Private_Final!L35</f>
        <v>0</v>
      </c>
      <c r="D5">
        <f>Private_Final!M35</f>
        <v>0</v>
      </c>
      <c r="E5">
        <f>Private_Final!N35</f>
        <v>0</v>
      </c>
      <c r="F5">
        <f>Private_Final!O35</f>
        <v>0</v>
      </c>
      <c r="G5">
        <f>Private_Final!P35</f>
        <v>0</v>
      </c>
      <c r="H5">
        <f>Private_Final!Q35</f>
        <v>0</v>
      </c>
      <c r="I5">
        <f>Private_Final!R35</f>
        <v>0</v>
      </c>
      <c r="J5">
        <f>Private_Final!S35</f>
        <v>0</v>
      </c>
      <c r="K5">
        <f>Private_Final!T35</f>
        <v>0</v>
      </c>
      <c r="L5">
        <f>Private_Final!U35</f>
        <v>0</v>
      </c>
      <c r="M5">
        <f>Private_Final!V35</f>
        <v>0</v>
      </c>
      <c r="N5">
        <f>Private_Final!W35</f>
        <v>0</v>
      </c>
      <c r="O5">
        <f>Private_Final!X35</f>
        <v>0</v>
      </c>
      <c r="P5">
        <f>Private_Final!Y35</f>
        <v>0</v>
      </c>
      <c r="Q5">
        <f>Private_Final!Z35</f>
        <v>0</v>
      </c>
      <c r="R5">
        <f>Private_Final!AA35</f>
        <v>0</v>
      </c>
      <c r="S5">
        <f>Private_Final!AB35</f>
        <v>0</v>
      </c>
      <c r="T5">
        <f>Private_Final!AC35</f>
        <v>0</v>
      </c>
      <c r="U5">
        <f>Private_Final!AD35</f>
        <v>0</v>
      </c>
      <c r="V5">
        <f>Private_Final!AE35</f>
        <v>0</v>
      </c>
      <c r="W5">
        <f>Private_Final!AF35</f>
        <v>0</v>
      </c>
      <c r="X5">
        <f>Private_Final!AG35</f>
        <v>0</v>
      </c>
      <c r="Y5">
        <f>Private_Final!AH35</f>
        <v>0</v>
      </c>
      <c r="Z5">
        <f>Private_Final!AI35</f>
        <v>0</v>
      </c>
      <c r="AA5">
        <f>Private_Final!AJ35</f>
        <v>0</v>
      </c>
      <c r="AB5">
        <f>Private_Final!AK35</f>
        <v>0</v>
      </c>
      <c r="AC5">
        <f>Private_Final!AL35</f>
        <v>0</v>
      </c>
      <c r="AD5">
        <f>Private_Final!AM35</f>
        <v>0</v>
      </c>
      <c r="AE5">
        <f>Private_Final!AN35</f>
        <v>0</v>
      </c>
      <c r="AF5">
        <f>Private_Final!AO35</f>
        <v>0</v>
      </c>
      <c r="AG5">
        <f>Private_Final!AP35</f>
        <v>0</v>
      </c>
      <c r="AH5">
        <f>Private_Final!AQ35</f>
        <v>0</v>
      </c>
      <c r="AI5">
        <f>Private_Final!AR35</f>
        <v>0</v>
      </c>
      <c r="AJ5">
        <f>Private_Final!AS35</f>
        <v>0</v>
      </c>
      <c r="AK5">
        <f>Private_Final!AT35</f>
        <v>0</v>
      </c>
      <c r="AL5">
        <f>Private_Final!AU35</f>
        <v>0</v>
      </c>
    </row>
    <row r="6" spans="1:38">
      <c r="A6" t="str">
        <f>Private_Final!B36</f>
        <v>heat (BTU)</v>
      </c>
      <c r="B6">
        <f>Private_Final!K36</f>
        <v>0</v>
      </c>
      <c r="C6">
        <f>Private_Final!L36</f>
        <v>0</v>
      </c>
      <c r="D6">
        <f>Private_Final!M36</f>
        <v>0</v>
      </c>
      <c r="E6">
        <f>Private_Final!N36</f>
        <v>0</v>
      </c>
      <c r="F6">
        <f>Private_Final!O36</f>
        <v>0</v>
      </c>
      <c r="G6">
        <f>Private_Final!P36</f>
        <v>0</v>
      </c>
      <c r="H6">
        <f>Private_Final!Q36</f>
        <v>0</v>
      </c>
      <c r="I6">
        <f>Private_Final!R36</f>
        <v>0</v>
      </c>
      <c r="J6">
        <f>Private_Final!S36</f>
        <v>0</v>
      </c>
      <c r="K6">
        <f>Private_Final!T36</f>
        <v>0</v>
      </c>
      <c r="L6">
        <f>Private_Final!U36</f>
        <v>0</v>
      </c>
      <c r="M6">
        <f>Private_Final!V36</f>
        <v>0</v>
      </c>
      <c r="N6">
        <f>Private_Final!W36</f>
        <v>0</v>
      </c>
      <c r="O6">
        <f>Private_Final!X36</f>
        <v>0</v>
      </c>
      <c r="P6">
        <f>Private_Final!Y36</f>
        <v>0</v>
      </c>
      <c r="Q6">
        <f>Private_Final!Z36</f>
        <v>0</v>
      </c>
      <c r="R6">
        <f>Private_Final!AA36</f>
        <v>0</v>
      </c>
      <c r="S6">
        <f>Private_Final!AB36</f>
        <v>0</v>
      </c>
      <c r="T6">
        <f>Private_Final!AC36</f>
        <v>0</v>
      </c>
      <c r="U6">
        <f>Private_Final!AD36</f>
        <v>0</v>
      </c>
      <c r="V6">
        <f>Private_Final!AE36</f>
        <v>0</v>
      </c>
      <c r="W6">
        <f>Private_Final!AF36</f>
        <v>0</v>
      </c>
      <c r="X6">
        <f>Private_Final!AG36</f>
        <v>0</v>
      </c>
      <c r="Y6">
        <f>Private_Final!AH36</f>
        <v>0</v>
      </c>
      <c r="Z6">
        <f>Private_Final!AI36</f>
        <v>0</v>
      </c>
      <c r="AA6">
        <f>Private_Final!AJ36</f>
        <v>0</v>
      </c>
      <c r="AB6">
        <f>Private_Final!AK36</f>
        <v>0</v>
      </c>
      <c r="AC6">
        <f>Private_Final!AL36</f>
        <v>0</v>
      </c>
      <c r="AD6">
        <f>Private_Final!AM36</f>
        <v>0</v>
      </c>
      <c r="AE6">
        <f>Private_Final!AN36</f>
        <v>0</v>
      </c>
      <c r="AF6">
        <f>Private_Final!AO36</f>
        <v>0</v>
      </c>
      <c r="AG6">
        <f>Private_Final!AP36</f>
        <v>0</v>
      </c>
      <c r="AH6">
        <f>Private_Final!AQ36</f>
        <v>0</v>
      </c>
      <c r="AI6">
        <f>Private_Final!AR36</f>
        <v>0</v>
      </c>
      <c r="AJ6">
        <f>Private_Final!AS36</f>
        <v>0</v>
      </c>
      <c r="AK6">
        <f>Private_Final!AT36</f>
        <v>0</v>
      </c>
      <c r="AL6">
        <f>Private_Final!AU36</f>
        <v>0</v>
      </c>
    </row>
    <row r="7" spans="1:38">
      <c r="A7" t="str">
        <f>Private_Final!B37</f>
        <v>biomass (BTU)</v>
      </c>
      <c r="B7">
        <f>Private_Final!K37</f>
        <v>0</v>
      </c>
      <c r="C7">
        <f>Private_Final!L37</f>
        <v>0</v>
      </c>
      <c r="D7">
        <f>Private_Final!M37</f>
        <v>0</v>
      </c>
      <c r="E7">
        <f>Private_Final!N37</f>
        <v>0</v>
      </c>
      <c r="F7">
        <f>Private_Final!O37</f>
        <v>0</v>
      </c>
      <c r="G7">
        <f>Private_Final!P37</f>
        <v>0</v>
      </c>
      <c r="H7">
        <f>Private_Final!Q37</f>
        <v>0</v>
      </c>
      <c r="I7">
        <f>Private_Final!R37</f>
        <v>0</v>
      </c>
      <c r="J7">
        <f>Private_Final!S37</f>
        <v>0</v>
      </c>
      <c r="K7">
        <f>Private_Final!T37</f>
        <v>0</v>
      </c>
      <c r="L7">
        <f>Private_Final!U37</f>
        <v>0</v>
      </c>
      <c r="M7">
        <f>Private_Final!V37</f>
        <v>0</v>
      </c>
      <c r="N7">
        <f>Private_Final!W37</f>
        <v>0</v>
      </c>
      <c r="O7">
        <f>Private_Final!X37</f>
        <v>0</v>
      </c>
      <c r="P7">
        <f>Private_Final!Y37</f>
        <v>0</v>
      </c>
      <c r="Q7">
        <f>Private_Final!Z37</f>
        <v>0</v>
      </c>
      <c r="R7">
        <f>Private_Final!AA37</f>
        <v>0</v>
      </c>
      <c r="S7">
        <f>Private_Final!AB37</f>
        <v>0</v>
      </c>
      <c r="T7">
        <f>Private_Final!AC37</f>
        <v>0</v>
      </c>
      <c r="U7">
        <f>Private_Final!AD37</f>
        <v>0</v>
      </c>
      <c r="V7">
        <f>Private_Final!AE37</f>
        <v>0</v>
      </c>
      <c r="W7">
        <f>Private_Final!AF37</f>
        <v>0</v>
      </c>
      <c r="X7">
        <f>Private_Final!AG37</f>
        <v>0</v>
      </c>
      <c r="Y7">
        <f>Private_Final!AH37</f>
        <v>0</v>
      </c>
      <c r="Z7">
        <f>Private_Final!AI37</f>
        <v>0</v>
      </c>
      <c r="AA7">
        <f>Private_Final!AJ37</f>
        <v>0</v>
      </c>
      <c r="AB7">
        <f>Private_Final!AK37</f>
        <v>0</v>
      </c>
      <c r="AC7">
        <f>Private_Final!AL37</f>
        <v>0</v>
      </c>
      <c r="AD7">
        <f>Private_Final!AM37</f>
        <v>0</v>
      </c>
      <c r="AE7">
        <f>Private_Final!AN37</f>
        <v>0</v>
      </c>
      <c r="AF7">
        <f>Private_Final!AO37</f>
        <v>0</v>
      </c>
      <c r="AG7">
        <f>Private_Final!AP37</f>
        <v>0</v>
      </c>
      <c r="AH7">
        <f>Private_Final!AQ37</f>
        <v>0</v>
      </c>
      <c r="AI7">
        <f>Private_Final!AR37</f>
        <v>0</v>
      </c>
      <c r="AJ7">
        <f>Private_Final!AS37</f>
        <v>0</v>
      </c>
      <c r="AK7">
        <f>Private_Final!AT37</f>
        <v>0</v>
      </c>
      <c r="AL7">
        <f>Private_Final!AU37</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4" tint="-0.499984740745262"/>
  </sheetPr>
  <dimension ref="A1:AL11"/>
  <sheetViews>
    <sheetView zoomScale="97" workbookViewId="0">
      <pane xSplit="1" topLeftCell="B1" activePane="topRight" state="frozen"/>
      <selection activeCell="AJ11" sqref="AJ11"/>
      <selection pane="topRight" activeCell="A8" sqref="A8:XFD11"/>
    </sheetView>
  </sheetViews>
  <sheetFormatPr baseColWidth="10" defaultColWidth="8.796875" defaultRowHeight="14"/>
  <cols>
    <col min="1" max="1" width="19.796875" bestFit="1" customWidth="1"/>
  </cols>
  <sheetData>
    <row r="1" spans="1:38" s="48" customFormat="1">
      <c r="A1" s="48" t="str">
        <f>Private_Final!B40</f>
        <v>Year</v>
      </c>
      <c r="B1" s="48">
        <f>Private_Final!K40</f>
        <v>2014</v>
      </c>
      <c r="C1" s="48">
        <f>Private_Final!L40</f>
        <v>2015</v>
      </c>
      <c r="D1" s="48">
        <f>Private_Final!M40</f>
        <v>2016</v>
      </c>
      <c r="E1" s="48">
        <f>Private_Final!N40</f>
        <v>2017</v>
      </c>
      <c r="F1" s="48">
        <f>Private_Final!O40</f>
        <v>2018</v>
      </c>
      <c r="G1" s="48">
        <f>Private_Final!P40</f>
        <v>2019</v>
      </c>
      <c r="H1" s="48">
        <f>Private_Final!Q40</f>
        <v>2020</v>
      </c>
      <c r="I1" s="48">
        <f>Private_Final!R40</f>
        <v>2021</v>
      </c>
      <c r="J1" s="48">
        <f>Private_Final!S40</f>
        <v>2022</v>
      </c>
      <c r="K1" s="48">
        <f>Private_Final!T40</f>
        <v>2023</v>
      </c>
      <c r="L1" s="48">
        <f>Private_Final!U40</f>
        <v>2024</v>
      </c>
      <c r="M1" s="48">
        <f>Private_Final!V40</f>
        <v>2025</v>
      </c>
      <c r="N1" s="48">
        <f>Private_Final!W40</f>
        <v>2026</v>
      </c>
      <c r="O1" s="48">
        <f>Private_Final!X40</f>
        <v>2027</v>
      </c>
      <c r="P1" s="48">
        <f>Private_Final!Y40</f>
        <v>2028</v>
      </c>
      <c r="Q1" s="48">
        <f>Private_Final!Z40</f>
        <v>2029</v>
      </c>
      <c r="R1" s="48">
        <f>Private_Final!AA40</f>
        <v>2030</v>
      </c>
      <c r="S1" s="48">
        <f>Private_Final!AB40</f>
        <v>2031</v>
      </c>
      <c r="T1" s="48">
        <f>Private_Final!AC40</f>
        <v>2032</v>
      </c>
      <c r="U1" s="48">
        <f>Private_Final!AD40</f>
        <v>2033</v>
      </c>
      <c r="V1" s="48">
        <f>Private_Final!AE40</f>
        <v>2034</v>
      </c>
      <c r="W1" s="48">
        <f>Private_Final!AF40</f>
        <v>2035</v>
      </c>
      <c r="X1" s="48">
        <f>Private_Final!AG40</f>
        <v>2036</v>
      </c>
      <c r="Y1" s="48">
        <f>Private_Final!AH40</f>
        <v>2037</v>
      </c>
      <c r="Z1" s="48">
        <f>Private_Final!AI40</f>
        <v>2038</v>
      </c>
      <c r="AA1" s="48">
        <f>Private_Final!AJ40</f>
        <v>2039</v>
      </c>
      <c r="AB1" s="48">
        <f>Private_Final!AK40</f>
        <v>2040</v>
      </c>
      <c r="AC1" s="48">
        <f>Private_Final!AL40</f>
        <v>2041</v>
      </c>
      <c r="AD1" s="48">
        <f>Private_Final!AM40</f>
        <v>2042</v>
      </c>
      <c r="AE1" s="48">
        <f>Private_Final!AN40</f>
        <v>2043</v>
      </c>
      <c r="AF1" s="48">
        <f>Private_Final!AO40</f>
        <v>2044</v>
      </c>
      <c r="AG1" s="48">
        <f>Private_Final!AP40</f>
        <v>2045</v>
      </c>
      <c r="AH1" s="48">
        <f>Private_Final!AQ40</f>
        <v>2046</v>
      </c>
      <c r="AI1" s="48">
        <f>Private_Final!AR40</f>
        <v>2047</v>
      </c>
      <c r="AJ1" s="48">
        <f>Private_Final!AS40</f>
        <v>2048</v>
      </c>
      <c r="AK1" s="48">
        <f>Private_Final!AT40</f>
        <v>2049</v>
      </c>
      <c r="AL1" s="48">
        <f>Private_Final!AU40</f>
        <v>2050</v>
      </c>
    </row>
    <row r="2" spans="1:38" s="137" customFormat="1">
      <c r="A2" t="str">
        <f>Private_Final!B41</f>
        <v>electricity(BTU)</v>
      </c>
      <c r="B2">
        <f>Private_Final!K41</f>
        <v>2148662600000</v>
      </c>
      <c r="C2">
        <f>Private_Final!L41</f>
        <v>2167618600000</v>
      </c>
      <c r="D2">
        <f>Private_Final!M41</f>
        <v>2318318800000</v>
      </c>
      <c r="E2">
        <f>Private_Final!N41</f>
        <v>2335379200000</v>
      </c>
      <c r="F2">
        <f>Private_Final!O41</f>
        <v>2301258400000</v>
      </c>
      <c r="G2">
        <f>Private_Final!P41</f>
        <v>2372343400000</v>
      </c>
      <c r="H2">
        <f>Private_Final!Q41</f>
        <v>2526834800000</v>
      </c>
      <c r="I2">
        <f>Private_Final!R41</f>
        <v>2489870600000</v>
      </c>
      <c r="J2">
        <f>Private_Final!S41</f>
        <v>2462375423585.4395</v>
      </c>
      <c r="K2">
        <f>Private_Final!T41</f>
        <v>2516636805904.9897</v>
      </c>
      <c r="L2">
        <f>Private_Final!U41</f>
        <v>2546287935325.8169</v>
      </c>
      <c r="M2">
        <f>Private_Final!V41</f>
        <v>2578229640582.0898</v>
      </c>
      <c r="N2">
        <f>Private_Final!W41</f>
        <v>2613059206524.8652</v>
      </c>
      <c r="O2">
        <f>Private_Final!X41</f>
        <v>2645842942081.2646</v>
      </c>
      <c r="P2">
        <f>Private_Final!Y41</f>
        <v>2679448671376.626</v>
      </c>
      <c r="Q2">
        <f>Private_Final!Z41</f>
        <v>2728630201527.6753</v>
      </c>
      <c r="R2">
        <f>Private_Final!AA41</f>
        <v>2758685310954.2832</v>
      </c>
      <c r="S2">
        <f>Private_Final!AB41</f>
        <v>2807603913082.9702</v>
      </c>
      <c r="T2">
        <f>Private_Final!AC41</f>
        <v>2841484986401.4014</v>
      </c>
      <c r="U2">
        <f>Private_Final!AD41</f>
        <v>2885785422295.2837</v>
      </c>
      <c r="V2">
        <f>Private_Final!AE41</f>
        <v>2916952866377.3765</v>
      </c>
      <c r="W2">
        <f>Private_Final!AF41</f>
        <v>2946270701135.6592</v>
      </c>
      <c r="X2">
        <f>Private_Final!AG41</f>
        <v>2952554202798.9995</v>
      </c>
      <c r="Y2">
        <f>Private_Final!AH41</f>
        <v>2993622071073.7783</v>
      </c>
      <c r="Z2">
        <f>Private_Final!AI41</f>
        <v>3027665264973.8672</v>
      </c>
      <c r="AA2">
        <f>Private_Final!AJ41</f>
        <v>3061081016666.7925</v>
      </c>
      <c r="AB2">
        <f>Private_Final!AK41</f>
        <v>3093570402903.6436</v>
      </c>
      <c r="AC2">
        <f>Private_Final!AL41</f>
        <v>3123907804735.2812</v>
      </c>
      <c r="AD2">
        <f>Private_Final!AM41</f>
        <v>3152197818845.0791</v>
      </c>
      <c r="AE2">
        <f>Private_Final!AN41</f>
        <v>3179332205092.9912</v>
      </c>
      <c r="AF2">
        <f>Private_Final!AO41</f>
        <v>3204746110708.3823</v>
      </c>
      <c r="AG2">
        <f>Private_Final!AP41</f>
        <v>3228189832784.3208</v>
      </c>
      <c r="AH2">
        <f>Private_Final!AQ41</f>
        <v>3251634731953.0103</v>
      </c>
      <c r="AI2">
        <f>Private_Final!AR41</f>
        <v>3272177543424.5635</v>
      </c>
      <c r="AJ2">
        <f>Private_Final!AS41</f>
        <v>3293303606322.875</v>
      </c>
      <c r="AK2">
        <f>Private_Final!AT41</f>
        <v>3312871124317.3105</v>
      </c>
      <c r="AL2">
        <f>Private_Final!AU41</f>
        <v>3331588123251.1548</v>
      </c>
    </row>
    <row r="3" spans="1:38" s="137" customFormat="1">
      <c r="A3" t="str">
        <f>Private_Final!B42</f>
        <v>coal(BTU)</v>
      </c>
      <c r="B3">
        <f>Private_Final!K42</f>
        <v>0</v>
      </c>
      <c r="C3">
        <f>Private_Final!L42</f>
        <v>0</v>
      </c>
      <c r="D3">
        <f>Private_Final!M42</f>
        <v>0</v>
      </c>
      <c r="E3">
        <f>Private_Final!N42</f>
        <v>0</v>
      </c>
      <c r="F3">
        <f>Private_Final!O42</f>
        <v>0</v>
      </c>
      <c r="G3">
        <f>Private_Final!P42</f>
        <v>0</v>
      </c>
      <c r="H3">
        <f>Private_Final!Q42</f>
        <v>0</v>
      </c>
      <c r="I3">
        <f>Private_Final!R42</f>
        <v>0</v>
      </c>
      <c r="J3">
        <f>Private_Final!S42</f>
        <v>0</v>
      </c>
      <c r="K3">
        <f>Private_Final!T42</f>
        <v>0</v>
      </c>
      <c r="L3">
        <f>Private_Final!U42</f>
        <v>0</v>
      </c>
      <c r="M3">
        <f>Private_Final!V42</f>
        <v>0</v>
      </c>
      <c r="N3">
        <f>Private_Final!W42</f>
        <v>0</v>
      </c>
      <c r="O3">
        <f>Private_Final!X42</f>
        <v>0</v>
      </c>
      <c r="P3">
        <f>Private_Final!Y42</f>
        <v>0</v>
      </c>
      <c r="Q3">
        <f>Private_Final!Z42</f>
        <v>0</v>
      </c>
      <c r="R3">
        <f>Private_Final!AA42</f>
        <v>0</v>
      </c>
      <c r="S3">
        <f>Private_Final!AB42</f>
        <v>0</v>
      </c>
      <c r="T3">
        <f>Private_Final!AC42</f>
        <v>0</v>
      </c>
      <c r="U3">
        <f>Private_Final!AD42</f>
        <v>0</v>
      </c>
      <c r="V3">
        <f>Private_Final!AE42</f>
        <v>0</v>
      </c>
      <c r="W3">
        <f>Private_Final!AF42</f>
        <v>0</v>
      </c>
      <c r="X3">
        <f>Private_Final!AG42</f>
        <v>0</v>
      </c>
      <c r="Y3">
        <f>Private_Final!AH42</f>
        <v>0</v>
      </c>
      <c r="Z3">
        <f>Private_Final!AI42</f>
        <v>0</v>
      </c>
      <c r="AA3">
        <f>Private_Final!AJ42</f>
        <v>0</v>
      </c>
      <c r="AB3">
        <f>Private_Final!AK42</f>
        <v>0</v>
      </c>
      <c r="AC3">
        <f>Private_Final!AL42</f>
        <v>0</v>
      </c>
      <c r="AD3">
        <f>Private_Final!AM42</f>
        <v>0</v>
      </c>
      <c r="AE3">
        <f>Private_Final!AN42</f>
        <v>0</v>
      </c>
      <c r="AF3">
        <f>Private_Final!AO42</f>
        <v>0</v>
      </c>
      <c r="AG3">
        <f>Private_Final!AP42</f>
        <v>0</v>
      </c>
      <c r="AH3">
        <f>Private_Final!AQ42</f>
        <v>0</v>
      </c>
      <c r="AI3">
        <f>Private_Final!AR42</f>
        <v>0</v>
      </c>
      <c r="AJ3">
        <f>Private_Final!AS42</f>
        <v>0</v>
      </c>
      <c r="AK3">
        <f>Private_Final!AT42</f>
        <v>0</v>
      </c>
      <c r="AL3">
        <f>Private_Final!AU42</f>
        <v>0</v>
      </c>
    </row>
    <row r="4" spans="1:38" s="137" customFormat="1">
      <c r="A4" t="str">
        <f>Private_Final!B43</f>
        <v>natural gas(BTU)</v>
      </c>
      <c r="B4">
        <f>Private_Final!K43</f>
        <v>3791200000</v>
      </c>
      <c r="C4">
        <f>Private_Final!L43</f>
        <v>8530200000</v>
      </c>
      <c r="D4">
        <f>Private_Final!M43</f>
        <v>18008200000</v>
      </c>
      <c r="E4">
        <f>Private_Final!N43</f>
        <v>35068600000</v>
      </c>
      <c r="F4">
        <f>Private_Final!O43</f>
        <v>36016400000</v>
      </c>
      <c r="G4">
        <f>Private_Final!P43</f>
        <v>35068600000</v>
      </c>
      <c r="H4">
        <f>Private_Final!Q43</f>
        <v>38859800000</v>
      </c>
      <c r="I4">
        <f>Private_Final!R43</f>
        <v>36964200000</v>
      </c>
      <c r="J4">
        <f>Private_Final!S43</f>
        <v>18547559122.050014</v>
      </c>
      <c r="K4">
        <f>Private_Final!T43</f>
        <v>18776855059.705101</v>
      </c>
      <c r="L4">
        <f>Private_Final!U43</f>
        <v>18817076808.277287</v>
      </c>
      <c r="M4">
        <f>Private_Final!V43</f>
        <v>18870379375.917213</v>
      </c>
      <c r="N4">
        <f>Private_Final!W43</f>
        <v>18940622504.101177</v>
      </c>
      <c r="O4">
        <f>Private_Final!X43</f>
        <v>18991799071.40712</v>
      </c>
      <c r="P4">
        <f>Private_Final!Y43</f>
        <v>19044742994.589985</v>
      </c>
      <c r="Q4">
        <f>Private_Final!Z43</f>
        <v>19203131193.497562</v>
      </c>
      <c r="R4">
        <f>Private_Final!AA43</f>
        <v>19221919670.029598</v>
      </c>
      <c r="S4">
        <f>Private_Final!AB43</f>
        <v>19367191898.204552</v>
      </c>
      <c r="T4">
        <f>Private_Final!AC43</f>
        <v>19403534165.701672</v>
      </c>
      <c r="U4">
        <f>Private_Final!AD43</f>
        <v>19506171185.992065</v>
      </c>
      <c r="V4">
        <f>Private_Final!AE43</f>
        <v>19515388807.721096</v>
      </c>
      <c r="W4">
        <f>Private_Final!AF43</f>
        <v>19508636677.462494</v>
      </c>
      <c r="X4">
        <f>Private_Final!AG43</f>
        <v>19347492556.09314</v>
      </c>
      <c r="Y4">
        <f>Private_Final!AH43</f>
        <v>19411618177.252567</v>
      </c>
      <c r="Z4">
        <f>Private_Final!AI43</f>
        <v>19425640932.580254</v>
      </c>
      <c r="AA4">
        <f>Private_Final!AJ43</f>
        <v>19431626489.704411</v>
      </c>
      <c r="AB4">
        <f>Private_Final!AK43</f>
        <v>19427842655.229126</v>
      </c>
      <c r="AC4">
        <f>Private_Final!AL43</f>
        <v>19406880379.951111</v>
      </c>
      <c r="AD4">
        <f>Private_Final!AM43</f>
        <v>19369834400.38855</v>
      </c>
      <c r="AE4">
        <f>Private_Final!AN43</f>
        <v>19322552756.415806</v>
      </c>
      <c r="AF4">
        <f>Private_Final!AO43</f>
        <v>19261886767.794872</v>
      </c>
      <c r="AG4">
        <f>Private_Final!AP43</f>
        <v>19186710691.026546</v>
      </c>
      <c r="AH4">
        <f>Private_Final!AQ43</f>
        <v>19109016048.219757</v>
      </c>
      <c r="AI4">
        <f>Private_Final!AR43</f>
        <v>19011944763.520416</v>
      </c>
      <c r="AJ4">
        <f>Private_Final!AS43</f>
        <v>18916104412.5583</v>
      </c>
      <c r="AK4">
        <f>Private_Final!AT43</f>
        <v>18809227790.705948</v>
      </c>
      <c r="AL4">
        <f>Private_Final!AU43</f>
        <v>18695605858.069973</v>
      </c>
    </row>
    <row r="5" spans="1:38" s="137" customFormat="1">
      <c r="A5" t="str">
        <f>Private_Final!B44</f>
        <v>petroleum diesel (BTU)</v>
      </c>
      <c r="B5">
        <f>Private_Final!K44</f>
        <v>0</v>
      </c>
      <c r="C5">
        <f>Private_Final!L44</f>
        <v>0</v>
      </c>
      <c r="D5">
        <f>Private_Final!M44</f>
        <v>0</v>
      </c>
      <c r="E5">
        <f>Private_Final!N44</f>
        <v>0</v>
      </c>
      <c r="F5">
        <f>Private_Final!O44</f>
        <v>0</v>
      </c>
      <c r="G5">
        <f>Private_Final!P44</f>
        <v>0</v>
      </c>
      <c r="H5">
        <f>Private_Final!Q44</f>
        <v>0</v>
      </c>
      <c r="I5">
        <f>Private_Final!R44</f>
        <v>0</v>
      </c>
      <c r="J5">
        <f>Private_Final!S44</f>
        <v>0</v>
      </c>
      <c r="K5">
        <f>Private_Final!T44</f>
        <v>0</v>
      </c>
      <c r="L5">
        <f>Private_Final!U44</f>
        <v>0</v>
      </c>
      <c r="M5">
        <f>Private_Final!V44</f>
        <v>0</v>
      </c>
      <c r="N5">
        <f>Private_Final!W44</f>
        <v>0</v>
      </c>
      <c r="O5">
        <f>Private_Final!X44</f>
        <v>0</v>
      </c>
      <c r="P5">
        <f>Private_Final!Y44</f>
        <v>0</v>
      </c>
      <c r="Q5">
        <f>Private_Final!Z44</f>
        <v>0</v>
      </c>
      <c r="R5">
        <f>Private_Final!AA44</f>
        <v>0</v>
      </c>
      <c r="S5">
        <f>Private_Final!AB44</f>
        <v>0</v>
      </c>
      <c r="T5">
        <f>Private_Final!AC44</f>
        <v>0</v>
      </c>
      <c r="U5">
        <f>Private_Final!AD44</f>
        <v>0</v>
      </c>
      <c r="V5">
        <f>Private_Final!AE44</f>
        <v>0</v>
      </c>
      <c r="W5">
        <f>Private_Final!AF44</f>
        <v>0</v>
      </c>
      <c r="X5">
        <f>Private_Final!AG44</f>
        <v>0</v>
      </c>
      <c r="Y5">
        <f>Private_Final!AH44</f>
        <v>0</v>
      </c>
      <c r="Z5">
        <f>Private_Final!AI44</f>
        <v>0</v>
      </c>
      <c r="AA5">
        <f>Private_Final!AJ44</f>
        <v>0</v>
      </c>
      <c r="AB5">
        <f>Private_Final!AK44</f>
        <v>0</v>
      </c>
      <c r="AC5">
        <f>Private_Final!AL44</f>
        <v>0</v>
      </c>
      <c r="AD5">
        <f>Private_Final!AM44</f>
        <v>0</v>
      </c>
      <c r="AE5">
        <f>Private_Final!AN44</f>
        <v>0</v>
      </c>
      <c r="AF5">
        <f>Private_Final!AO44</f>
        <v>0</v>
      </c>
      <c r="AG5">
        <f>Private_Final!AP44</f>
        <v>0</v>
      </c>
      <c r="AH5">
        <f>Private_Final!AQ44</f>
        <v>0</v>
      </c>
      <c r="AI5">
        <f>Private_Final!AR44</f>
        <v>0</v>
      </c>
      <c r="AJ5">
        <f>Private_Final!AS44</f>
        <v>0</v>
      </c>
      <c r="AK5">
        <f>Private_Final!AT44</f>
        <v>0</v>
      </c>
      <c r="AL5">
        <f>Private_Final!AU44</f>
        <v>0</v>
      </c>
    </row>
    <row r="6" spans="1:38" s="137" customFormat="1">
      <c r="A6" t="str">
        <f>Private_Final!B45</f>
        <v>heat (BTU)</v>
      </c>
      <c r="B6">
        <f>Private_Final!K45</f>
        <v>0</v>
      </c>
      <c r="C6">
        <f>Private_Final!L45</f>
        <v>0</v>
      </c>
      <c r="D6">
        <f>Private_Final!M45</f>
        <v>0</v>
      </c>
      <c r="E6">
        <f>Private_Final!N45</f>
        <v>0</v>
      </c>
      <c r="F6">
        <f>Private_Final!O45</f>
        <v>0</v>
      </c>
      <c r="G6">
        <f>Private_Final!P45</f>
        <v>0</v>
      </c>
      <c r="H6">
        <f>Private_Final!Q45</f>
        <v>0</v>
      </c>
      <c r="I6">
        <f>Private_Final!R45</f>
        <v>0</v>
      </c>
      <c r="J6">
        <f>Private_Final!S45</f>
        <v>0</v>
      </c>
      <c r="K6">
        <f>Private_Final!T45</f>
        <v>0</v>
      </c>
      <c r="L6">
        <f>Private_Final!U45</f>
        <v>0</v>
      </c>
      <c r="M6">
        <f>Private_Final!V45</f>
        <v>0</v>
      </c>
      <c r="N6">
        <f>Private_Final!W45</f>
        <v>0</v>
      </c>
      <c r="O6">
        <f>Private_Final!X45</f>
        <v>0</v>
      </c>
      <c r="P6">
        <f>Private_Final!Y45</f>
        <v>0</v>
      </c>
      <c r="Q6">
        <f>Private_Final!Z45</f>
        <v>0</v>
      </c>
      <c r="R6">
        <f>Private_Final!AA45</f>
        <v>0</v>
      </c>
      <c r="S6">
        <f>Private_Final!AB45</f>
        <v>0</v>
      </c>
      <c r="T6">
        <f>Private_Final!AC45</f>
        <v>0</v>
      </c>
      <c r="U6">
        <f>Private_Final!AD45</f>
        <v>0</v>
      </c>
      <c r="V6">
        <f>Private_Final!AE45</f>
        <v>0</v>
      </c>
      <c r="W6">
        <f>Private_Final!AF45</f>
        <v>0</v>
      </c>
      <c r="X6">
        <f>Private_Final!AG45</f>
        <v>0</v>
      </c>
      <c r="Y6">
        <f>Private_Final!AH45</f>
        <v>0</v>
      </c>
      <c r="Z6">
        <f>Private_Final!AI45</f>
        <v>0</v>
      </c>
      <c r="AA6">
        <f>Private_Final!AJ45</f>
        <v>0</v>
      </c>
      <c r="AB6">
        <f>Private_Final!AK45</f>
        <v>0</v>
      </c>
      <c r="AC6">
        <f>Private_Final!AL45</f>
        <v>0</v>
      </c>
      <c r="AD6">
        <f>Private_Final!AM45</f>
        <v>0</v>
      </c>
      <c r="AE6">
        <f>Private_Final!AN45</f>
        <v>0</v>
      </c>
      <c r="AF6">
        <f>Private_Final!AO45</f>
        <v>0</v>
      </c>
      <c r="AG6">
        <f>Private_Final!AP45</f>
        <v>0</v>
      </c>
      <c r="AH6">
        <f>Private_Final!AQ45</f>
        <v>0</v>
      </c>
      <c r="AI6">
        <f>Private_Final!AR45</f>
        <v>0</v>
      </c>
      <c r="AJ6">
        <f>Private_Final!AS45</f>
        <v>0</v>
      </c>
      <c r="AK6">
        <f>Private_Final!AT45</f>
        <v>0</v>
      </c>
      <c r="AL6">
        <f>Private_Final!AU45</f>
        <v>0</v>
      </c>
    </row>
    <row r="7" spans="1:38" s="137" customFormat="1">
      <c r="A7" t="str">
        <f>Private_Final!B46</f>
        <v>biomass (BTU)</v>
      </c>
      <c r="B7">
        <f>Private_Final!K46</f>
        <v>0</v>
      </c>
      <c r="C7">
        <f>Private_Final!L46</f>
        <v>0</v>
      </c>
      <c r="D7">
        <f>Private_Final!M46</f>
        <v>0</v>
      </c>
      <c r="E7">
        <f>Private_Final!N46</f>
        <v>0</v>
      </c>
      <c r="F7">
        <f>Private_Final!O46</f>
        <v>0</v>
      </c>
      <c r="G7">
        <f>Private_Final!P46</f>
        <v>0</v>
      </c>
      <c r="H7">
        <f>Private_Final!Q46</f>
        <v>0</v>
      </c>
      <c r="I7">
        <f>Private_Final!R46</f>
        <v>0</v>
      </c>
      <c r="J7">
        <f>Private_Final!S46</f>
        <v>0</v>
      </c>
      <c r="K7">
        <f>Private_Final!T46</f>
        <v>0</v>
      </c>
      <c r="L7">
        <f>Private_Final!U46</f>
        <v>0</v>
      </c>
      <c r="M7">
        <f>Private_Final!V46</f>
        <v>0</v>
      </c>
      <c r="N7">
        <f>Private_Final!W46</f>
        <v>0</v>
      </c>
      <c r="O7">
        <f>Private_Final!X46</f>
        <v>0</v>
      </c>
      <c r="P7">
        <f>Private_Final!Y46</f>
        <v>0</v>
      </c>
      <c r="Q7">
        <f>Private_Final!Z46</f>
        <v>0</v>
      </c>
      <c r="R7">
        <f>Private_Final!AA46</f>
        <v>0</v>
      </c>
      <c r="S7">
        <f>Private_Final!AB46</f>
        <v>0</v>
      </c>
      <c r="T7">
        <f>Private_Final!AC46</f>
        <v>0</v>
      </c>
      <c r="U7">
        <f>Private_Final!AD46</f>
        <v>0</v>
      </c>
      <c r="V7">
        <f>Private_Final!AE46</f>
        <v>0</v>
      </c>
      <c r="W7">
        <f>Private_Final!AF46</f>
        <v>0</v>
      </c>
      <c r="X7">
        <f>Private_Final!AG46</f>
        <v>0</v>
      </c>
      <c r="Y7">
        <f>Private_Final!AH46</f>
        <v>0</v>
      </c>
      <c r="Z7">
        <f>Private_Final!AI46</f>
        <v>0</v>
      </c>
      <c r="AA7">
        <f>Private_Final!AJ46</f>
        <v>0</v>
      </c>
      <c r="AB7">
        <f>Private_Final!AK46</f>
        <v>0</v>
      </c>
      <c r="AC7">
        <f>Private_Final!AL46</f>
        <v>0</v>
      </c>
      <c r="AD7">
        <f>Private_Final!AM46</f>
        <v>0</v>
      </c>
      <c r="AE7">
        <f>Private_Final!AN46</f>
        <v>0</v>
      </c>
      <c r="AF7">
        <f>Private_Final!AO46</f>
        <v>0</v>
      </c>
      <c r="AG7">
        <f>Private_Final!AP46</f>
        <v>0</v>
      </c>
      <c r="AH7">
        <f>Private_Final!AQ46</f>
        <v>0</v>
      </c>
      <c r="AI7">
        <f>Private_Final!AR46</f>
        <v>0</v>
      </c>
      <c r="AJ7">
        <f>Private_Final!AS46</f>
        <v>0</v>
      </c>
      <c r="AK7">
        <f>Private_Final!AT46</f>
        <v>0</v>
      </c>
      <c r="AL7">
        <f>Private_Final!AU46</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Public_Final!B22</f>
        <v>Year</v>
      </c>
      <c r="B1" s="48">
        <f>Public_Final!K22</f>
        <v>2014</v>
      </c>
      <c r="C1" s="48">
        <f>Public_Final!L22</f>
        <v>2015</v>
      </c>
      <c r="D1" s="48">
        <f>Public_Final!M22</f>
        <v>2016</v>
      </c>
      <c r="E1" s="48">
        <f>Public_Final!N22</f>
        <v>2017</v>
      </c>
      <c r="F1" s="48">
        <f>Public_Final!O22</f>
        <v>2018</v>
      </c>
      <c r="G1" s="48">
        <f>Public_Final!P22</f>
        <v>2019</v>
      </c>
      <c r="H1" s="48">
        <f>Public_Final!Q22</f>
        <v>2020</v>
      </c>
      <c r="I1" s="48">
        <f>Public_Final!R22</f>
        <v>2021</v>
      </c>
      <c r="J1" s="48">
        <f>Public_Final!S22</f>
        <v>2022</v>
      </c>
      <c r="K1" s="48">
        <f>Public_Final!T22</f>
        <v>2023</v>
      </c>
      <c r="L1" s="48">
        <f>Public_Final!U22</f>
        <v>2024</v>
      </c>
      <c r="M1" s="48">
        <f>Public_Final!V22</f>
        <v>2025</v>
      </c>
      <c r="N1" s="48">
        <f>Public_Final!W22</f>
        <v>2026</v>
      </c>
      <c r="O1" s="48">
        <f>Public_Final!X22</f>
        <v>2027</v>
      </c>
      <c r="P1" s="48">
        <f>Public_Final!Y22</f>
        <v>2028</v>
      </c>
      <c r="Q1" s="48">
        <f>Public_Final!Z22</f>
        <v>2029</v>
      </c>
      <c r="R1" s="48">
        <f>Public_Final!AA22</f>
        <v>2030</v>
      </c>
      <c r="S1" s="48">
        <f>Public_Final!AB22</f>
        <v>2031</v>
      </c>
      <c r="T1" s="48">
        <f>Public_Final!AC22</f>
        <v>2032</v>
      </c>
      <c r="U1" s="48">
        <f>Public_Final!AD22</f>
        <v>2033</v>
      </c>
      <c r="V1" s="48">
        <f>Public_Final!AE22</f>
        <v>2034</v>
      </c>
      <c r="W1" s="48">
        <f>Public_Final!AF22</f>
        <v>2035</v>
      </c>
      <c r="X1" s="48">
        <f>Public_Final!AG22</f>
        <v>2036</v>
      </c>
      <c r="Y1" s="48">
        <f>Public_Final!AH22</f>
        <v>2037</v>
      </c>
      <c r="Z1" s="48">
        <f>Public_Final!AI22</f>
        <v>2038</v>
      </c>
      <c r="AA1" s="48">
        <f>Public_Final!AJ22</f>
        <v>2039</v>
      </c>
      <c r="AB1" s="48">
        <f>Public_Final!AK22</f>
        <v>2040</v>
      </c>
      <c r="AC1" s="48">
        <f>Public_Final!AL22</f>
        <v>2041</v>
      </c>
      <c r="AD1" s="48">
        <f>Public_Final!AM22</f>
        <v>2042</v>
      </c>
      <c r="AE1" s="48">
        <f>Public_Final!AN22</f>
        <v>2043</v>
      </c>
      <c r="AF1" s="48">
        <f>Public_Final!AO22</f>
        <v>2044</v>
      </c>
      <c r="AG1" s="48">
        <f>Public_Final!AP22</f>
        <v>2045</v>
      </c>
      <c r="AH1" s="48">
        <f>Public_Final!AQ22</f>
        <v>2046</v>
      </c>
      <c r="AI1" s="48">
        <f>Public_Final!AR22</f>
        <v>2047</v>
      </c>
      <c r="AJ1" s="48">
        <f>Public_Final!AS22</f>
        <v>2048</v>
      </c>
      <c r="AK1" s="48">
        <f>Public_Final!AT22</f>
        <v>2049</v>
      </c>
      <c r="AL1" s="48">
        <f>Public_Final!AU22</f>
        <v>2050</v>
      </c>
    </row>
    <row r="2" spans="1:38">
      <c r="A2" t="str">
        <f>Public_Final!B23</f>
        <v>electricity(BTU)</v>
      </c>
      <c r="B2">
        <f>Public_Final!K23</f>
        <v>0</v>
      </c>
      <c r="C2">
        <f>Public_Final!L23</f>
        <v>0</v>
      </c>
      <c r="D2">
        <f>Public_Final!M23</f>
        <v>0</v>
      </c>
      <c r="E2">
        <f>Public_Final!N23</f>
        <v>0</v>
      </c>
      <c r="F2">
        <f>Public_Final!O23</f>
        <v>0</v>
      </c>
      <c r="G2">
        <f>Public_Final!P23</f>
        <v>0</v>
      </c>
      <c r="H2">
        <f>Public_Final!Q23</f>
        <v>0</v>
      </c>
      <c r="I2">
        <f>Public_Final!R23</f>
        <v>0</v>
      </c>
      <c r="J2">
        <f>Public_Final!S23</f>
        <v>0</v>
      </c>
      <c r="K2">
        <f>Public_Final!T23</f>
        <v>0</v>
      </c>
      <c r="L2">
        <f>Public_Final!U23</f>
        <v>0</v>
      </c>
      <c r="M2">
        <f>Public_Final!V23</f>
        <v>0</v>
      </c>
      <c r="N2">
        <f>Public_Final!W23</f>
        <v>0</v>
      </c>
      <c r="O2">
        <f>Public_Final!X23</f>
        <v>0</v>
      </c>
      <c r="P2">
        <f>Public_Final!Y23</f>
        <v>0</v>
      </c>
      <c r="Q2">
        <f>Public_Final!Z23</f>
        <v>0</v>
      </c>
      <c r="R2">
        <f>Public_Final!AA23</f>
        <v>0</v>
      </c>
      <c r="S2">
        <f>Public_Final!AB23</f>
        <v>0</v>
      </c>
      <c r="T2">
        <f>Public_Final!AC23</f>
        <v>0</v>
      </c>
      <c r="U2">
        <f>Public_Final!AD23</f>
        <v>0</v>
      </c>
      <c r="V2">
        <f>Public_Final!AE23</f>
        <v>0</v>
      </c>
      <c r="W2">
        <f>Public_Final!AF23</f>
        <v>0</v>
      </c>
      <c r="X2">
        <f>Public_Final!AG23</f>
        <v>0</v>
      </c>
      <c r="Y2">
        <f>Public_Final!AH23</f>
        <v>0</v>
      </c>
      <c r="Z2">
        <f>Public_Final!AI23</f>
        <v>0</v>
      </c>
      <c r="AA2">
        <f>Public_Final!AJ23</f>
        <v>0</v>
      </c>
      <c r="AB2">
        <f>Public_Final!AK23</f>
        <v>0</v>
      </c>
      <c r="AC2">
        <f>Public_Final!AL23</f>
        <v>0</v>
      </c>
      <c r="AD2">
        <f>Public_Final!AM23</f>
        <v>0</v>
      </c>
      <c r="AE2">
        <f>Public_Final!AN23</f>
        <v>0</v>
      </c>
      <c r="AF2">
        <f>Public_Final!AO23</f>
        <v>0</v>
      </c>
      <c r="AG2">
        <f>Public_Final!AP23</f>
        <v>0</v>
      </c>
      <c r="AH2">
        <f>Public_Final!AQ23</f>
        <v>0</v>
      </c>
      <c r="AI2">
        <f>Public_Final!AR23</f>
        <v>0</v>
      </c>
      <c r="AJ2">
        <f>Public_Final!AS23</f>
        <v>0</v>
      </c>
      <c r="AK2">
        <f>Public_Final!AT23</f>
        <v>0</v>
      </c>
      <c r="AL2">
        <f>Public_Final!AU23</f>
        <v>0</v>
      </c>
    </row>
    <row r="3" spans="1:38">
      <c r="A3" t="str">
        <f>Public_Final!B24</f>
        <v>coal(BTU)</v>
      </c>
      <c r="B3">
        <f>Public_Final!K24</f>
        <v>0</v>
      </c>
      <c r="C3">
        <f>Public_Final!L24</f>
        <v>0</v>
      </c>
      <c r="D3">
        <f>Public_Final!M24</f>
        <v>0</v>
      </c>
      <c r="E3">
        <f>Public_Final!N24</f>
        <v>0</v>
      </c>
      <c r="F3">
        <f>Public_Final!O24</f>
        <v>0</v>
      </c>
      <c r="G3">
        <f>Public_Final!P24</f>
        <v>0</v>
      </c>
      <c r="H3">
        <f>Public_Final!Q24</f>
        <v>0</v>
      </c>
      <c r="I3">
        <f>Public_Final!R24</f>
        <v>0</v>
      </c>
      <c r="J3">
        <f>Public_Final!S24</f>
        <v>0</v>
      </c>
      <c r="K3">
        <f>Public_Final!T24</f>
        <v>0</v>
      </c>
      <c r="L3">
        <f>Public_Final!U24</f>
        <v>0</v>
      </c>
      <c r="M3">
        <f>Public_Final!V24</f>
        <v>0</v>
      </c>
      <c r="N3">
        <f>Public_Final!W24</f>
        <v>0</v>
      </c>
      <c r="O3">
        <f>Public_Final!X24</f>
        <v>0</v>
      </c>
      <c r="P3">
        <f>Public_Final!Y24</f>
        <v>0</v>
      </c>
      <c r="Q3">
        <f>Public_Final!Z24</f>
        <v>0</v>
      </c>
      <c r="R3">
        <f>Public_Final!AA24</f>
        <v>0</v>
      </c>
      <c r="S3">
        <f>Public_Final!AB24</f>
        <v>0</v>
      </c>
      <c r="T3">
        <f>Public_Final!AC24</f>
        <v>0</v>
      </c>
      <c r="U3">
        <f>Public_Final!AD24</f>
        <v>0</v>
      </c>
      <c r="V3">
        <f>Public_Final!AE24</f>
        <v>0</v>
      </c>
      <c r="W3">
        <f>Public_Final!AF24</f>
        <v>0</v>
      </c>
      <c r="X3">
        <f>Public_Final!AG24</f>
        <v>0</v>
      </c>
      <c r="Y3">
        <f>Public_Final!AH24</f>
        <v>0</v>
      </c>
      <c r="Z3">
        <f>Public_Final!AI24</f>
        <v>0</v>
      </c>
      <c r="AA3">
        <f>Public_Final!AJ24</f>
        <v>0</v>
      </c>
      <c r="AB3">
        <f>Public_Final!AK24</f>
        <v>0</v>
      </c>
      <c r="AC3">
        <f>Public_Final!AL24</f>
        <v>0</v>
      </c>
      <c r="AD3">
        <f>Public_Final!AM24</f>
        <v>0</v>
      </c>
      <c r="AE3">
        <f>Public_Final!AN24</f>
        <v>0</v>
      </c>
      <c r="AF3">
        <f>Public_Final!AO24</f>
        <v>0</v>
      </c>
      <c r="AG3">
        <f>Public_Final!AP24</f>
        <v>0</v>
      </c>
      <c r="AH3">
        <f>Public_Final!AQ24</f>
        <v>0</v>
      </c>
      <c r="AI3">
        <f>Public_Final!AR24</f>
        <v>0</v>
      </c>
      <c r="AJ3">
        <f>Public_Final!AS24</f>
        <v>0</v>
      </c>
      <c r="AK3">
        <f>Public_Final!AT24</f>
        <v>0</v>
      </c>
      <c r="AL3">
        <f>Public_Final!AU24</f>
        <v>0</v>
      </c>
    </row>
    <row r="4" spans="1:38">
      <c r="A4" t="str">
        <f>Public_Final!B25</f>
        <v>natural gas(BTU)</v>
      </c>
      <c r="B4">
        <f>Public_Final!K25</f>
        <v>0</v>
      </c>
      <c r="C4">
        <f>Public_Final!L25</f>
        <v>0</v>
      </c>
      <c r="D4">
        <f>Public_Final!M25</f>
        <v>0</v>
      </c>
      <c r="E4">
        <f>Public_Final!N25</f>
        <v>0</v>
      </c>
      <c r="F4">
        <f>Public_Final!O25</f>
        <v>0</v>
      </c>
      <c r="G4">
        <f>Public_Final!P25</f>
        <v>0</v>
      </c>
      <c r="H4">
        <f>Public_Final!Q25</f>
        <v>0</v>
      </c>
      <c r="I4">
        <f>Public_Final!R25</f>
        <v>0</v>
      </c>
      <c r="J4">
        <f>Public_Final!S25</f>
        <v>0</v>
      </c>
      <c r="K4">
        <f>Public_Final!T25</f>
        <v>0</v>
      </c>
      <c r="L4">
        <f>Public_Final!U25</f>
        <v>0</v>
      </c>
      <c r="M4">
        <f>Public_Final!V25</f>
        <v>0</v>
      </c>
      <c r="N4">
        <f>Public_Final!W25</f>
        <v>0</v>
      </c>
      <c r="O4">
        <f>Public_Final!X25</f>
        <v>0</v>
      </c>
      <c r="P4">
        <f>Public_Final!Y25</f>
        <v>0</v>
      </c>
      <c r="Q4">
        <f>Public_Final!Z25</f>
        <v>0</v>
      </c>
      <c r="R4">
        <f>Public_Final!AA25</f>
        <v>0</v>
      </c>
      <c r="S4">
        <f>Public_Final!AB25</f>
        <v>0</v>
      </c>
      <c r="T4">
        <f>Public_Final!AC25</f>
        <v>0</v>
      </c>
      <c r="U4">
        <f>Public_Final!AD25</f>
        <v>0</v>
      </c>
      <c r="V4">
        <f>Public_Final!AE25</f>
        <v>0</v>
      </c>
      <c r="W4">
        <f>Public_Final!AF25</f>
        <v>0</v>
      </c>
      <c r="X4">
        <f>Public_Final!AG25</f>
        <v>0</v>
      </c>
      <c r="Y4">
        <f>Public_Final!AH25</f>
        <v>0</v>
      </c>
      <c r="Z4">
        <f>Public_Final!AI25</f>
        <v>0</v>
      </c>
      <c r="AA4">
        <f>Public_Final!AJ25</f>
        <v>0</v>
      </c>
      <c r="AB4">
        <f>Public_Final!AK25</f>
        <v>0</v>
      </c>
      <c r="AC4">
        <f>Public_Final!AL25</f>
        <v>0</v>
      </c>
      <c r="AD4">
        <f>Public_Final!AM25</f>
        <v>0</v>
      </c>
      <c r="AE4">
        <f>Public_Final!AN25</f>
        <v>0</v>
      </c>
      <c r="AF4">
        <f>Public_Final!AO25</f>
        <v>0</v>
      </c>
      <c r="AG4">
        <f>Public_Final!AP25</f>
        <v>0</v>
      </c>
      <c r="AH4">
        <f>Public_Final!AQ25</f>
        <v>0</v>
      </c>
      <c r="AI4">
        <f>Public_Final!AR25</f>
        <v>0</v>
      </c>
      <c r="AJ4">
        <f>Public_Final!AS25</f>
        <v>0</v>
      </c>
      <c r="AK4">
        <f>Public_Final!AT25</f>
        <v>0</v>
      </c>
      <c r="AL4">
        <f>Public_Final!AU25</f>
        <v>0</v>
      </c>
    </row>
    <row r="5" spans="1:38">
      <c r="A5" t="str">
        <f>Public_Final!B26</f>
        <v>petroleum diesel (BTU)</v>
      </c>
      <c r="B5">
        <f>Public_Final!K26</f>
        <v>0</v>
      </c>
      <c r="C5">
        <f>Public_Final!L26</f>
        <v>0</v>
      </c>
      <c r="D5">
        <f>Public_Final!M26</f>
        <v>0</v>
      </c>
      <c r="E5">
        <f>Public_Final!N26</f>
        <v>0</v>
      </c>
      <c r="F5">
        <f>Public_Final!O26</f>
        <v>0</v>
      </c>
      <c r="G5">
        <f>Public_Final!P26</f>
        <v>0</v>
      </c>
      <c r="H5">
        <f>Public_Final!Q26</f>
        <v>0</v>
      </c>
      <c r="I5">
        <f>Public_Final!R26</f>
        <v>0</v>
      </c>
      <c r="J5">
        <f>Public_Final!S26</f>
        <v>0</v>
      </c>
      <c r="K5">
        <f>Public_Final!T26</f>
        <v>0</v>
      </c>
      <c r="L5">
        <f>Public_Final!U26</f>
        <v>0</v>
      </c>
      <c r="M5">
        <f>Public_Final!V26</f>
        <v>0</v>
      </c>
      <c r="N5">
        <f>Public_Final!W26</f>
        <v>0</v>
      </c>
      <c r="O5">
        <f>Public_Final!X26</f>
        <v>0</v>
      </c>
      <c r="P5">
        <f>Public_Final!Y26</f>
        <v>0</v>
      </c>
      <c r="Q5">
        <f>Public_Final!Z26</f>
        <v>0</v>
      </c>
      <c r="R5">
        <f>Public_Final!AA26</f>
        <v>0</v>
      </c>
      <c r="S5">
        <f>Public_Final!AB26</f>
        <v>0</v>
      </c>
      <c r="T5">
        <f>Public_Final!AC26</f>
        <v>0</v>
      </c>
      <c r="U5">
        <f>Public_Final!AD26</f>
        <v>0</v>
      </c>
      <c r="V5">
        <f>Public_Final!AE26</f>
        <v>0</v>
      </c>
      <c r="W5">
        <f>Public_Final!AF26</f>
        <v>0</v>
      </c>
      <c r="X5">
        <f>Public_Final!AG26</f>
        <v>0</v>
      </c>
      <c r="Y5">
        <f>Public_Final!AH26</f>
        <v>0</v>
      </c>
      <c r="Z5">
        <f>Public_Final!AI26</f>
        <v>0</v>
      </c>
      <c r="AA5">
        <f>Public_Final!AJ26</f>
        <v>0</v>
      </c>
      <c r="AB5">
        <f>Public_Final!AK26</f>
        <v>0</v>
      </c>
      <c r="AC5">
        <f>Public_Final!AL26</f>
        <v>0</v>
      </c>
      <c r="AD5">
        <f>Public_Final!AM26</f>
        <v>0</v>
      </c>
      <c r="AE5">
        <f>Public_Final!AN26</f>
        <v>0</v>
      </c>
      <c r="AF5">
        <f>Public_Final!AO26</f>
        <v>0</v>
      </c>
      <c r="AG5">
        <f>Public_Final!AP26</f>
        <v>0</v>
      </c>
      <c r="AH5">
        <f>Public_Final!AQ26</f>
        <v>0</v>
      </c>
      <c r="AI5">
        <f>Public_Final!AR26</f>
        <v>0</v>
      </c>
      <c r="AJ5">
        <f>Public_Final!AS26</f>
        <v>0</v>
      </c>
      <c r="AK5">
        <f>Public_Final!AT26</f>
        <v>0</v>
      </c>
      <c r="AL5">
        <f>Public_Final!AU26</f>
        <v>0</v>
      </c>
    </row>
    <row r="6" spans="1:38">
      <c r="A6" t="str">
        <f>Public_Final!B27</f>
        <v>heat (BTU)</v>
      </c>
      <c r="B6">
        <f>Public_Final!K27</f>
        <v>0</v>
      </c>
      <c r="C6">
        <f>Public_Final!L27</f>
        <v>0</v>
      </c>
      <c r="D6">
        <f>Public_Final!M27</f>
        <v>0</v>
      </c>
      <c r="E6">
        <f>Public_Final!N27</f>
        <v>0</v>
      </c>
      <c r="F6">
        <f>Public_Final!O27</f>
        <v>0</v>
      </c>
      <c r="G6">
        <f>Public_Final!P27</f>
        <v>0</v>
      </c>
      <c r="H6">
        <f>Public_Final!Q27</f>
        <v>0</v>
      </c>
      <c r="I6">
        <f>Public_Final!R27</f>
        <v>0</v>
      </c>
      <c r="J6">
        <f>Public_Final!S27</f>
        <v>0</v>
      </c>
      <c r="K6">
        <f>Public_Final!T27</f>
        <v>0</v>
      </c>
      <c r="L6">
        <f>Public_Final!U27</f>
        <v>0</v>
      </c>
      <c r="M6">
        <f>Public_Final!V27</f>
        <v>0</v>
      </c>
      <c r="N6">
        <f>Public_Final!W27</f>
        <v>0</v>
      </c>
      <c r="O6">
        <f>Public_Final!X27</f>
        <v>0</v>
      </c>
      <c r="P6">
        <f>Public_Final!Y27</f>
        <v>0</v>
      </c>
      <c r="Q6">
        <f>Public_Final!Z27</f>
        <v>0</v>
      </c>
      <c r="R6">
        <f>Public_Final!AA27</f>
        <v>0</v>
      </c>
      <c r="S6">
        <f>Public_Final!AB27</f>
        <v>0</v>
      </c>
      <c r="T6">
        <f>Public_Final!AC27</f>
        <v>0</v>
      </c>
      <c r="U6">
        <f>Public_Final!AD27</f>
        <v>0</v>
      </c>
      <c r="V6">
        <f>Public_Final!AE27</f>
        <v>0</v>
      </c>
      <c r="W6">
        <f>Public_Final!AF27</f>
        <v>0</v>
      </c>
      <c r="X6">
        <f>Public_Final!AG27</f>
        <v>0</v>
      </c>
      <c r="Y6">
        <f>Public_Final!AH27</f>
        <v>0</v>
      </c>
      <c r="Z6">
        <f>Public_Final!AI27</f>
        <v>0</v>
      </c>
      <c r="AA6">
        <f>Public_Final!AJ27</f>
        <v>0</v>
      </c>
      <c r="AB6">
        <f>Public_Final!AK27</f>
        <v>0</v>
      </c>
      <c r="AC6">
        <f>Public_Final!AL27</f>
        <v>0</v>
      </c>
      <c r="AD6">
        <f>Public_Final!AM27</f>
        <v>0</v>
      </c>
      <c r="AE6">
        <f>Public_Final!AN27</f>
        <v>0</v>
      </c>
      <c r="AF6">
        <f>Public_Final!AO27</f>
        <v>0</v>
      </c>
      <c r="AG6">
        <f>Public_Final!AP27</f>
        <v>0</v>
      </c>
      <c r="AH6">
        <f>Public_Final!AQ27</f>
        <v>0</v>
      </c>
      <c r="AI6">
        <f>Public_Final!AR27</f>
        <v>0</v>
      </c>
      <c r="AJ6">
        <f>Public_Final!AS27</f>
        <v>0</v>
      </c>
      <c r="AK6">
        <f>Public_Final!AT27</f>
        <v>0</v>
      </c>
      <c r="AL6">
        <f>Public_Final!AU27</f>
        <v>0</v>
      </c>
    </row>
    <row r="7" spans="1:38">
      <c r="A7" t="str">
        <f>Public_Final!B28</f>
        <v>biomass (BTU)</v>
      </c>
      <c r="B7">
        <f>Public_Final!K28</f>
        <v>0</v>
      </c>
      <c r="C7">
        <f>Public_Final!L28</f>
        <v>0</v>
      </c>
      <c r="D7">
        <f>Public_Final!M28</f>
        <v>0</v>
      </c>
      <c r="E7">
        <f>Public_Final!N28</f>
        <v>0</v>
      </c>
      <c r="F7">
        <f>Public_Final!O28</f>
        <v>0</v>
      </c>
      <c r="G7">
        <f>Public_Final!P28</f>
        <v>0</v>
      </c>
      <c r="H7">
        <f>Public_Final!Q28</f>
        <v>0</v>
      </c>
      <c r="I7">
        <f>Public_Final!R28</f>
        <v>0</v>
      </c>
      <c r="J7">
        <f>Public_Final!S28</f>
        <v>0</v>
      </c>
      <c r="K7">
        <f>Public_Final!T28</f>
        <v>0</v>
      </c>
      <c r="L7">
        <f>Public_Final!U28</f>
        <v>0</v>
      </c>
      <c r="M7">
        <f>Public_Final!V28</f>
        <v>0</v>
      </c>
      <c r="N7">
        <f>Public_Final!W28</f>
        <v>0</v>
      </c>
      <c r="O7">
        <f>Public_Final!X28</f>
        <v>0</v>
      </c>
      <c r="P7">
        <f>Public_Final!Y28</f>
        <v>0</v>
      </c>
      <c r="Q7">
        <f>Public_Final!Z28</f>
        <v>0</v>
      </c>
      <c r="R7">
        <f>Public_Final!AA28</f>
        <v>0</v>
      </c>
      <c r="S7">
        <f>Public_Final!AB28</f>
        <v>0</v>
      </c>
      <c r="T7">
        <f>Public_Final!AC28</f>
        <v>0</v>
      </c>
      <c r="U7">
        <f>Public_Final!AD28</f>
        <v>0</v>
      </c>
      <c r="V7">
        <f>Public_Final!AE28</f>
        <v>0</v>
      </c>
      <c r="W7">
        <f>Public_Final!AF28</f>
        <v>0</v>
      </c>
      <c r="X7">
        <f>Public_Final!AG28</f>
        <v>0</v>
      </c>
      <c r="Y7">
        <f>Public_Final!AH28</f>
        <v>0</v>
      </c>
      <c r="Z7">
        <f>Public_Final!AI28</f>
        <v>0</v>
      </c>
      <c r="AA7">
        <f>Public_Final!AJ28</f>
        <v>0</v>
      </c>
      <c r="AB7">
        <f>Public_Final!AK28</f>
        <v>0</v>
      </c>
      <c r="AC7">
        <f>Public_Final!AL28</f>
        <v>0</v>
      </c>
      <c r="AD7">
        <f>Public_Final!AM28</f>
        <v>0</v>
      </c>
      <c r="AE7">
        <f>Public_Final!AN28</f>
        <v>0</v>
      </c>
      <c r="AF7">
        <f>Public_Final!AO28</f>
        <v>0</v>
      </c>
      <c r="AG7">
        <f>Public_Final!AP28</f>
        <v>0</v>
      </c>
      <c r="AH7">
        <f>Public_Final!AQ28</f>
        <v>0</v>
      </c>
      <c r="AI7">
        <f>Public_Final!AR28</f>
        <v>0</v>
      </c>
      <c r="AJ7">
        <f>Public_Final!AS28</f>
        <v>0</v>
      </c>
      <c r="AK7">
        <f>Public_Final!AT28</f>
        <v>0</v>
      </c>
      <c r="AL7">
        <f>Public_Final!AU28</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4" tint="-0.499984740745262"/>
  </sheetPr>
  <dimension ref="A1:AL11"/>
  <sheetViews>
    <sheetView workbookViewId="0">
      <pane xSplit="1" topLeftCell="B1" activePane="topRight" state="frozen"/>
      <selection activeCell="G19" sqref="G19"/>
      <selection pane="topRight" activeCell="P37" sqref="P37"/>
    </sheetView>
  </sheetViews>
  <sheetFormatPr baseColWidth="10" defaultColWidth="8.796875" defaultRowHeight="14"/>
  <cols>
    <col min="1" max="1" width="19.796875" bestFit="1" customWidth="1"/>
  </cols>
  <sheetData>
    <row r="1" spans="1:38" s="48" customFormat="1">
      <c r="A1" s="48" t="str">
        <f>Public_Final!B13</f>
        <v>Year</v>
      </c>
      <c r="B1" s="48">
        <f>Public_Final!K13</f>
        <v>2014</v>
      </c>
      <c r="C1" s="48">
        <f>Public_Final!L13</f>
        <v>2015</v>
      </c>
      <c r="D1" s="48">
        <f>Public_Final!M13</f>
        <v>2016</v>
      </c>
      <c r="E1" s="48">
        <f>Public_Final!N13</f>
        <v>2017</v>
      </c>
      <c r="F1" s="48">
        <f>Public_Final!O13</f>
        <v>2018</v>
      </c>
      <c r="G1" s="48">
        <f>Public_Final!P13</f>
        <v>2019</v>
      </c>
      <c r="H1" s="48">
        <f>Public_Final!Q13</f>
        <v>2020</v>
      </c>
      <c r="I1" s="48">
        <f>Public_Final!R13</f>
        <v>2021</v>
      </c>
      <c r="J1" s="48">
        <f>Public_Final!S13</f>
        <v>2022</v>
      </c>
      <c r="K1" s="48">
        <f>Public_Final!T13</f>
        <v>2023</v>
      </c>
      <c r="L1" s="48">
        <f>Public_Final!U13</f>
        <v>2024</v>
      </c>
      <c r="M1" s="48">
        <f>Public_Final!V13</f>
        <v>2025</v>
      </c>
      <c r="N1" s="48">
        <f>Public_Final!W13</f>
        <v>2026</v>
      </c>
      <c r="O1" s="48">
        <f>Public_Final!X13</f>
        <v>2027</v>
      </c>
      <c r="P1" s="48">
        <f>Public_Final!Y13</f>
        <v>2028</v>
      </c>
      <c r="Q1" s="48">
        <f>Public_Final!Z13</f>
        <v>2029</v>
      </c>
      <c r="R1" s="48">
        <f>Public_Final!AA13</f>
        <v>2030</v>
      </c>
      <c r="S1" s="48">
        <f>Public_Final!AB13</f>
        <v>2031</v>
      </c>
      <c r="T1" s="48">
        <f>Public_Final!AC13</f>
        <v>2032</v>
      </c>
      <c r="U1" s="48">
        <f>Public_Final!AD13</f>
        <v>2033</v>
      </c>
      <c r="V1" s="48">
        <f>Public_Final!AE13</f>
        <v>2034</v>
      </c>
      <c r="W1" s="48">
        <f>Public_Final!AF13</f>
        <v>2035</v>
      </c>
      <c r="X1" s="48">
        <f>Public_Final!AG13</f>
        <v>2036</v>
      </c>
      <c r="Y1" s="48">
        <f>Public_Final!AH13</f>
        <v>2037</v>
      </c>
      <c r="Z1" s="48">
        <f>Public_Final!AI13</f>
        <v>2038</v>
      </c>
      <c r="AA1" s="48">
        <f>Public_Final!AJ13</f>
        <v>2039</v>
      </c>
      <c r="AB1" s="48">
        <f>Public_Final!AK13</f>
        <v>2040</v>
      </c>
      <c r="AC1" s="48">
        <f>Public_Final!AL13</f>
        <v>2041</v>
      </c>
      <c r="AD1" s="48">
        <f>Public_Final!AM13</f>
        <v>2042</v>
      </c>
      <c r="AE1" s="48">
        <f>Public_Final!AN13</f>
        <v>2043</v>
      </c>
      <c r="AF1" s="48">
        <f>Public_Final!AO13</f>
        <v>2044</v>
      </c>
      <c r="AG1" s="48">
        <f>Public_Final!AP13</f>
        <v>2045</v>
      </c>
      <c r="AH1" s="48">
        <f>Public_Final!AQ13</f>
        <v>2046</v>
      </c>
      <c r="AI1" s="48">
        <f>Public_Final!AR13</f>
        <v>2047</v>
      </c>
      <c r="AJ1" s="48">
        <f>Public_Final!AS13</f>
        <v>2048</v>
      </c>
      <c r="AK1" s="48">
        <f>Public_Final!AT13</f>
        <v>2049</v>
      </c>
      <c r="AL1" s="48">
        <f>Public_Final!AU13</f>
        <v>2050</v>
      </c>
    </row>
    <row r="2" spans="1:38">
      <c r="A2" t="str">
        <f>Public_Final!B14</f>
        <v>electricity(BTU)</v>
      </c>
      <c r="B2">
        <f>Public_Final!K14</f>
        <v>3313508800000</v>
      </c>
      <c r="C2">
        <f>Public_Final!L14</f>
        <v>3393124000000</v>
      </c>
      <c r="D2">
        <f>Public_Final!M14</f>
        <v>3561832400000</v>
      </c>
      <c r="E2">
        <f>Public_Final!N14</f>
        <v>3621543800000</v>
      </c>
      <c r="F2">
        <f>Public_Final!O14</f>
        <v>3570362599999.9995</v>
      </c>
      <c r="G2">
        <f>Public_Final!P14</f>
        <v>3619648199999.9995</v>
      </c>
      <c r="H2">
        <f>Public_Final!Q14</f>
        <v>4056584000000</v>
      </c>
      <c r="I2">
        <f>Public_Final!R14</f>
        <v>4213918800000</v>
      </c>
      <c r="J2">
        <f>Public_Final!S14</f>
        <v>3597970073158.604</v>
      </c>
      <c r="K2">
        <f>Public_Final!T14</f>
        <v>3579438811221.5342</v>
      </c>
      <c r="L2">
        <f>Public_Final!U14</f>
        <v>3576165916532.0664</v>
      </c>
      <c r="M2">
        <f>Public_Final!V14</f>
        <v>3600868855064.126</v>
      </c>
      <c r="N2">
        <f>Public_Final!W14</f>
        <v>3611460514498.9111</v>
      </c>
      <c r="O2">
        <f>Public_Final!X14</f>
        <v>3628944287644.9331</v>
      </c>
      <c r="P2">
        <f>Public_Final!Y14</f>
        <v>3639887775038.7852</v>
      </c>
      <c r="Q2">
        <f>Public_Final!Z14</f>
        <v>3633409458854.4771</v>
      </c>
      <c r="R2">
        <f>Public_Final!AA14</f>
        <v>3599248075587.9165</v>
      </c>
      <c r="S2">
        <f>Public_Final!AB14</f>
        <v>3604455416707.1997</v>
      </c>
      <c r="T2">
        <f>Public_Final!AC14</f>
        <v>3619928905240.145</v>
      </c>
      <c r="U2">
        <f>Public_Final!AD14</f>
        <v>3619073582923.1958</v>
      </c>
      <c r="V2">
        <f>Public_Final!AE14</f>
        <v>3616635758078.3228</v>
      </c>
      <c r="W2">
        <f>Public_Final!AF14</f>
        <v>3607798622603.5762</v>
      </c>
      <c r="X2">
        <f>Public_Final!AG14</f>
        <v>3582427490522.2563</v>
      </c>
      <c r="Y2">
        <f>Public_Final!AH14</f>
        <v>3569262141380.793</v>
      </c>
      <c r="Z2">
        <f>Public_Final!AI14</f>
        <v>3558142338732.311</v>
      </c>
      <c r="AA2">
        <f>Public_Final!AJ14</f>
        <v>3548552852447.5234</v>
      </c>
      <c r="AB2">
        <f>Public_Final!AK14</f>
        <v>3538230163457.9585</v>
      </c>
      <c r="AC2">
        <f>Public_Final!AL14</f>
        <v>3519893278022.8711</v>
      </c>
      <c r="AD2">
        <f>Public_Final!AM14</f>
        <v>3498881736309.1489</v>
      </c>
      <c r="AE2">
        <f>Public_Final!AN14</f>
        <v>3478778868467.731</v>
      </c>
      <c r="AF2">
        <f>Public_Final!AO14</f>
        <v>3457547338500.791</v>
      </c>
      <c r="AG2">
        <f>Public_Final!AP14</f>
        <v>3435308870347.8687</v>
      </c>
      <c r="AH2">
        <f>Public_Final!AQ14</f>
        <v>3411174805636.4849</v>
      </c>
      <c r="AI2">
        <f>Public_Final!AR14</f>
        <v>3384453338438.8545</v>
      </c>
      <c r="AJ2">
        <f>Public_Final!AS14</f>
        <v>3355844374170.3008</v>
      </c>
      <c r="AK2">
        <f>Public_Final!AT14</f>
        <v>3325090627645.5859</v>
      </c>
      <c r="AL2">
        <f>Public_Final!AU14</f>
        <v>3317843289164.3398</v>
      </c>
    </row>
    <row r="3" spans="1:38">
      <c r="A3" t="str">
        <f>Public_Final!B15</f>
        <v>coal(BTU)</v>
      </c>
      <c r="B3">
        <f>Public_Final!K15</f>
        <v>0</v>
      </c>
      <c r="C3">
        <f>Public_Final!L15</f>
        <v>0</v>
      </c>
      <c r="D3">
        <f>Public_Final!M15</f>
        <v>0</v>
      </c>
      <c r="E3">
        <f>Public_Final!N15</f>
        <v>0</v>
      </c>
      <c r="F3">
        <f>Public_Final!O15</f>
        <v>0</v>
      </c>
      <c r="G3">
        <f>Public_Final!P15</f>
        <v>0</v>
      </c>
      <c r="H3">
        <f>Public_Final!Q15</f>
        <v>0</v>
      </c>
      <c r="I3">
        <f>Public_Final!R15</f>
        <v>0</v>
      </c>
      <c r="J3">
        <f>Public_Final!S15</f>
        <v>0</v>
      </c>
      <c r="K3">
        <f>Public_Final!T15</f>
        <v>0</v>
      </c>
      <c r="L3">
        <f>Public_Final!U15</f>
        <v>0</v>
      </c>
      <c r="M3">
        <f>Public_Final!V15</f>
        <v>0</v>
      </c>
      <c r="N3">
        <f>Public_Final!W15</f>
        <v>0</v>
      </c>
      <c r="O3">
        <f>Public_Final!X15</f>
        <v>0</v>
      </c>
      <c r="P3">
        <f>Public_Final!Y15</f>
        <v>0</v>
      </c>
      <c r="Q3">
        <f>Public_Final!Z15</f>
        <v>0</v>
      </c>
      <c r="R3">
        <f>Public_Final!AA15</f>
        <v>0</v>
      </c>
      <c r="S3">
        <f>Public_Final!AB15</f>
        <v>0</v>
      </c>
      <c r="T3">
        <f>Public_Final!AC15</f>
        <v>0</v>
      </c>
      <c r="U3">
        <f>Public_Final!AD15</f>
        <v>0</v>
      </c>
      <c r="V3">
        <f>Public_Final!AE15</f>
        <v>0</v>
      </c>
      <c r="W3">
        <f>Public_Final!AF15</f>
        <v>0</v>
      </c>
      <c r="X3">
        <f>Public_Final!AG15</f>
        <v>0</v>
      </c>
      <c r="Y3">
        <f>Public_Final!AH15</f>
        <v>0</v>
      </c>
      <c r="Z3">
        <f>Public_Final!AI15</f>
        <v>0</v>
      </c>
      <c r="AA3">
        <f>Public_Final!AJ15</f>
        <v>0</v>
      </c>
      <c r="AB3">
        <f>Public_Final!AK15</f>
        <v>0</v>
      </c>
      <c r="AC3">
        <f>Public_Final!AL15</f>
        <v>0</v>
      </c>
      <c r="AD3">
        <f>Public_Final!AM15</f>
        <v>0</v>
      </c>
      <c r="AE3">
        <f>Public_Final!AN15</f>
        <v>0</v>
      </c>
      <c r="AF3">
        <f>Public_Final!AO15</f>
        <v>0</v>
      </c>
      <c r="AG3">
        <f>Public_Final!AP15</f>
        <v>0</v>
      </c>
      <c r="AH3">
        <f>Public_Final!AQ15</f>
        <v>0</v>
      </c>
      <c r="AI3">
        <f>Public_Final!AR15</f>
        <v>0</v>
      </c>
      <c r="AJ3">
        <f>Public_Final!AS15</f>
        <v>0</v>
      </c>
      <c r="AK3">
        <f>Public_Final!AT15</f>
        <v>0</v>
      </c>
      <c r="AL3">
        <f>Public_Final!AU15</f>
        <v>0</v>
      </c>
    </row>
    <row r="4" spans="1:38">
      <c r="A4" t="str">
        <f>Public_Final!B16</f>
        <v>natural gas(BTU)</v>
      </c>
      <c r="B4">
        <f>Public_Final!K16</f>
        <v>0</v>
      </c>
      <c r="C4">
        <f>Public_Final!L16</f>
        <v>0</v>
      </c>
      <c r="D4">
        <f>Public_Final!M16</f>
        <v>0</v>
      </c>
      <c r="E4">
        <f>Public_Final!N16</f>
        <v>0</v>
      </c>
      <c r="F4">
        <f>Public_Final!O16</f>
        <v>0</v>
      </c>
      <c r="G4">
        <f>Public_Final!P16</f>
        <v>0</v>
      </c>
      <c r="H4">
        <f>Public_Final!Q16</f>
        <v>0</v>
      </c>
      <c r="I4">
        <f>Public_Final!R16</f>
        <v>0</v>
      </c>
      <c r="J4">
        <f>Public_Final!S16</f>
        <v>0</v>
      </c>
      <c r="K4">
        <f>Public_Final!T16</f>
        <v>0</v>
      </c>
      <c r="L4">
        <f>Public_Final!U16</f>
        <v>0</v>
      </c>
      <c r="M4">
        <f>Public_Final!V16</f>
        <v>0</v>
      </c>
      <c r="N4">
        <f>Public_Final!W16</f>
        <v>0</v>
      </c>
      <c r="O4">
        <f>Public_Final!X16</f>
        <v>0</v>
      </c>
      <c r="P4">
        <f>Public_Final!Y16</f>
        <v>0</v>
      </c>
      <c r="Q4">
        <f>Public_Final!Z16</f>
        <v>0</v>
      </c>
      <c r="R4">
        <f>Public_Final!AA16</f>
        <v>0</v>
      </c>
      <c r="S4">
        <f>Public_Final!AB16</f>
        <v>0</v>
      </c>
      <c r="T4">
        <f>Public_Final!AC16</f>
        <v>0</v>
      </c>
      <c r="U4">
        <f>Public_Final!AD16</f>
        <v>0</v>
      </c>
      <c r="V4">
        <f>Public_Final!AE16</f>
        <v>0</v>
      </c>
      <c r="W4">
        <f>Public_Final!AF16</f>
        <v>0</v>
      </c>
      <c r="X4">
        <f>Public_Final!AG16</f>
        <v>0</v>
      </c>
      <c r="Y4">
        <f>Public_Final!AH16</f>
        <v>0</v>
      </c>
      <c r="Z4">
        <f>Public_Final!AI16</f>
        <v>0</v>
      </c>
      <c r="AA4">
        <f>Public_Final!AJ16</f>
        <v>0</v>
      </c>
      <c r="AB4">
        <f>Public_Final!AK16</f>
        <v>0</v>
      </c>
      <c r="AC4">
        <f>Public_Final!AL16</f>
        <v>0</v>
      </c>
      <c r="AD4">
        <f>Public_Final!AM16</f>
        <v>0</v>
      </c>
      <c r="AE4">
        <f>Public_Final!AN16</f>
        <v>0</v>
      </c>
      <c r="AF4">
        <f>Public_Final!AO16</f>
        <v>0</v>
      </c>
      <c r="AG4">
        <f>Public_Final!AP16</f>
        <v>0</v>
      </c>
      <c r="AH4">
        <f>Public_Final!AQ16</f>
        <v>0</v>
      </c>
      <c r="AI4">
        <f>Public_Final!AR16</f>
        <v>0</v>
      </c>
      <c r="AJ4">
        <f>Public_Final!AS16</f>
        <v>0</v>
      </c>
      <c r="AK4">
        <f>Public_Final!AT16</f>
        <v>0</v>
      </c>
      <c r="AL4">
        <f>Public_Final!AU16</f>
        <v>0</v>
      </c>
    </row>
    <row r="5" spans="1:38">
      <c r="A5" t="str">
        <f>Public_Final!B17</f>
        <v>petroleum diesel (BTU)</v>
      </c>
      <c r="B5">
        <f>Public_Final!K17</f>
        <v>0</v>
      </c>
      <c r="C5">
        <f>Public_Final!L17</f>
        <v>0</v>
      </c>
      <c r="D5">
        <f>Public_Final!M17</f>
        <v>0</v>
      </c>
      <c r="E5">
        <f>Public_Final!N17</f>
        <v>0</v>
      </c>
      <c r="F5">
        <f>Public_Final!O17</f>
        <v>0</v>
      </c>
      <c r="G5">
        <f>Public_Final!P17</f>
        <v>0</v>
      </c>
      <c r="H5">
        <f>Public_Final!Q17</f>
        <v>0</v>
      </c>
      <c r="I5">
        <f>Public_Final!R17</f>
        <v>0</v>
      </c>
      <c r="J5">
        <f>Public_Final!S17</f>
        <v>0</v>
      </c>
      <c r="K5">
        <f>Public_Final!T17</f>
        <v>0</v>
      </c>
      <c r="L5">
        <f>Public_Final!U17</f>
        <v>0</v>
      </c>
      <c r="M5">
        <f>Public_Final!V17</f>
        <v>0</v>
      </c>
      <c r="N5">
        <f>Public_Final!W17</f>
        <v>0</v>
      </c>
      <c r="O5">
        <f>Public_Final!X17</f>
        <v>0</v>
      </c>
      <c r="P5">
        <f>Public_Final!Y17</f>
        <v>0</v>
      </c>
      <c r="Q5">
        <f>Public_Final!Z17</f>
        <v>0</v>
      </c>
      <c r="R5">
        <f>Public_Final!AA17</f>
        <v>0</v>
      </c>
      <c r="S5">
        <f>Public_Final!AB17</f>
        <v>0</v>
      </c>
      <c r="T5">
        <f>Public_Final!AC17</f>
        <v>0</v>
      </c>
      <c r="U5">
        <f>Public_Final!AD17</f>
        <v>0</v>
      </c>
      <c r="V5">
        <f>Public_Final!AE17</f>
        <v>0</v>
      </c>
      <c r="W5">
        <f>Public_Final!AF17</f>
        <v>0</v>
      </c>
      <c r="X5">
        <f>Public_Final!AG17</f>
        <v>0</v>
      </c>
      <c r="Y5">
        <f>Public_Final!AH17</f>
        <v>0</v>
      </c>
      <c r="Z5">
        <f>Public_Final!AI17</f>
        <v>0</v>
      </c>
      <c r="AA5">
        <f>Public_Final!AJ17</f>
        <v>0</v>
      </c>
      <c r="AB5">
        <f>Public_Final!AK17</f>
        <v>0</v>
      </c>
      <c r="AC5">
        <f>Public_Final!AL17</f>
        <v>0</v>
      </c>
      <c r="AD5">
        <f>Public_Final!AM17</f>
        <v>0</v>
      </c>
      <c r="AE5">
        <f>Public_Final!AN17</f>
        <v>0</v>
      </c>
      <c r="AF5">
        <f>Public_Final!AO17</f>
        <v>0</v>
      </c>
      <c r="AG5">
        <f>Public_Final!AP17</f>
        <v>0</v>
      </c>
      <c r="AH5">
        <f>Public_Final!AQ17</f>
        <v>0</v>
      </c>
      <c r="AI5">
        <f>Public_Final!AR17</f>
        <v>0</v>
      </c>
      <c r="AJ5">
        <f>Public_Final!AS17</f>
        <v>0</v>
      </c>
      <c r="AK5">
        <f>Public_Final!AT17</f>
        <v>0</v>
      </c>
      <c r="AL5">
        <f>Public_Final!AU17</f>
        <v>0</v>
      </c>
    </row>
    <row r="6" spans="1:38">
      <c r="A6" t="str">
        <f>Public_Final!B18</f>
        <v>heat (BTU)</v>
      </c>
      <c r="B6">
        <f>Public_Final!K18</f>
        <v>0</v>
      </c>
      <c r="C6">
        <f>Public_Final!L18</f>
        <v>0</v>
      </c>
      <c r="D6">
        <f>Public_Final!M18</f>
        <v>0</v>
      </c>
      <c r="E6">
        <f>Public_Final!N18</f>
        <v>0</v>
      </c>
      <c r="F6">
        <f>Public_Final!O18</f>
        <v>0</v>
      </c>
      <c r="G6">
        <f>Public_Final!P18</f>
        <v>0</v>
      </c>
      <c r="H6">
        <f>Public_Final!Q18</f>
        <v>0</v>
      </c>
      <c r="I6">
        <f>Public_Final!R18</f>
        <v>0</v>
      </c>
      <c r="J6">
        <f>Public_Final!S18</f>
        <v>0</v>
      </c>
      <c r="K6">
        <f>Public_Final!T18</f>
        <v>0</v>
      </c>
      <c r="L6">
        <f>Public_Final!U18</f>
        <v>0</v>
      </c>
      <c r="M6">
        <f>Public_Final!V18</f>
        <v>0</v>
      </c>
      <c r="N6">
        <f>Public_Final!W18</f>
        <v>0</v>
      </c>
      <c r="O6">
        <f>Public_Final!X18</f>
        <v>0</v>
      </c>
      <c r="P6">
        <f>Public_Final!Y18</f>
        <v>0</v>
      </c>
      <c r="Q6">
        <f>Public_Final!Z18</f>
        <v>0</v>
      </c>
      <c r="R6">
        <f>Public_Final!AA18</f>
        <v>0</v>
      </c>
      <c r="S6">
        <f>Public_Final!AB18</f>
        <v>0</v>
      </c>
      <c r="T6">
        <f>Public_Final!AC18</f>
        <v>0</v>
      </c>
      <c r="U6">
        <f>Public_Final!AD18</f>
        <v>0</v>
      </c>
      <c r="V6">
        <f>Public_Final!AE18</f>
        <v>0</v>
      </c>
      <c r="W6">
        <f>Public_Final!AF18</f>
        <v>0</v>
      </c>
      <c r="X6">
        <f>Public_Final!AG18</f>
        <v>0</v>
      </c>
      <c r="Y6">
        <f>Public_Final!AH18</f>
        <v>0</v>
      </c>
      <c r="Z6">
        <f>Public_Final!AI18</f>
        <v>0</v>
      </c>
      <c r="AA6">
        <f>Public_Final!AJ18</f>
        <v>0</v>
      </c>
      <c r="AB6">
        <f>Public_Final!AK18</f>
        <v>0</v>
      </c>
      <c r="AC6">
        <f>Public_Final!AL18</f>
        <v>0</v>
      </c>
      <c r="AD6">
        <f>Public_Final!AM18</f>
        <v>0</v>
      </c>
      <c r="AE6">
        <f>Public_Final!AN18</f>
        <v>0</v>
      </c>
      <c r="AF6">
        <f>Public_Final!AO18</f>
        <v>0</v>
      </c>
      <c r="AG6">
        <f>Public_Final!AP18</f>
        <v>0</v>
      </c>
      <c r="AH6">
        <f>Public_Final!AQ18</f>
        <v>0</v>
      </c>
      <c r="AI6">
        <f>Public_Final!AR18</f>
        <v>0</v>
      </c>
      <c r="AJ6">
        <f>Public_Final!AS18</f>
        <v>0</v>
      </c>
      <c r="AK6">
        <f>Public_Final!AT18</f>
        <v>0</v>
      </c>
      <c r="AL6">
        <f>Public_Final!AU18</f>
        <v>0</v>
      </c>
    </row>
    <row r="7" spans="1:38">
      <c r="A7" t="str">
        <f>Public_Final!B19</f>
        <v>biomass (BTU)</v>
      </c>
      <c r="B7">
        <f>Public_Final!K19</f>
        <v>0</v>
      </c>
      <c r="C7">
        <f>Public_Final!L19</f>
        <v>0</v>
      </c>
      <c r="D7">
        <f>Public_Final!M19</f>
        <v>0</v>
      </c>
      <c r="E7">
        <f>Public_Final!N19</f>
        <v>0</v>
      </c>
      <c r="F7">
        <f>Public_Final!O19</f>
        <v>0</v>
      </c>
      <c r="G7">
        <f>Public_Final!P19</f>
        <v>0</v>
      </c>
      <c r="H7">
        <f>Public_Final!Q19</f>
        <v>0</v>
      </c>
      <c r="I7">
        <f>Public_Final!R19</f>
        <v>0</v>
      </c>
      <c r="J7">
        <f>Public_Final!S19</f>
        <v>0</v>
      </c>
      <c r="K7">
        <f>Public_Final!T19</f>
        <v>0</v>
      </c>
      <c r="L7">
        <f>Public_Final!U19</f>
        <v>0</v>
      </c>
      <c r="M7">
        <f>Public_Final!V19</f>
        <v>0</v>
      </c>
      <c r="N7">
        <f>Public_Final!W19</f>
        <v>0</v>
      </c>
      <c r="O7">
        <f>Public_Final!X19</f>
        <v>0</v>
      </c>
      <c r="P7">
        <f>Public_Final!Y19</f>
        <v>0</v>
      </c>
      <c r="Q7">
        <f>Public_Final!Z19</f>
        <v>0</v>
      </c>
      <c r="R7">
        <f>Public_Final!AA19</f>
        <v>0</v>
      </c>
      <c r="S7">
        <f>Public_Final!AB19</f>
        <v>0</v>
      </c>
      <c r="T7">
        <f>Public_Final!AC19</f>
        <v>0</v>
      </c>
      <c r="U7">
        <f>Public_Final!AD19</f>
        <v>0</v>
      </c>
      <c r="V7">
        <f>Public_Final!AE19</f>
        <v>0</v>
      </c>
      <c r="W7">
        <f>Public_Final!AF19</f>
        <v>0</v>
      </c>
      <c r="X7">
        <f>Public_Final!AG19</f>
        <v>0</v>
      </c>
      <c r="Y7">
        <f>Public_Final!AH19</f>
        <v>0</v>
      </c>
      <c r="Z7">
        <f>Public_Final!AI19</f>
        <v>0</v>
      </c>
      <c r="AA7">
        <f>Public_Final!AJ19</f>
        <v>0</v>
      </c>
      <c r="AB7">
        <f>Public_Final!AK19</f>
        <v>0</v>
      </c>
      <c r="AC7">
        <f>Public_Final!AL19</f>
        <v>0</v>
      </c>
      <c r="AD7">
        <f>Public_Final!AM19</f>
        <v>0</v>
      </c>
      <c r="AE7">
        <f>Public_Final!AN19</f>
        <v>0</v>
      </c>
      <c r="AF7">
        <f>Public_Final!AO19</f>
        <v>0</v>
      </c>
      <c r="AG7">
        <f>Public_Final!AP19</f>
        <v>0</v>
      </c>
      <c r="AH7">
        <f>Public_Final!AQ19</f>
        <v>0</v>
      </c>
      <c r="AI7">
        <f>Public_Final!AR19</f>
        <v>0</v>
      </c>
      <c r="AJ7">
        <f>Public_Final!AS19</f>
        <v>0</v>
      </c>
      <c r="AK7">
        <f>Public_Final!AT19</f>
        <v>0</v>
      </c>
      <c r="AL7">
        <f>Public_Final!AU19</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Public_Final!B4</f>
        <v>Year</v>
      </c>
      <c r="B1" s="48">
        <f>Public_Final!K4</f>
        <v>2014</v>
      </c>
      <c r="C1" s="48">
        <f>Public_Final!L4</f>
        <v>2015</v>
      </c>
      <c r="D1" s="48">
        <f>Public_Final!M4</f>
        <v>2016</v>
      </c>
      <c r="E1" s="48">
        <f>Public_Final!N4</f>
        <v>2017</v>
      </c>
      <c r="F1" s="48">
        <f>Public_Final!O4</f>
        <v>2018</v>
      </c>
      <c r="G1" s="48">
        <f>Public_Final!P4</f>
        <v>2019</v>
      </c>
      <c r="H1" s="48">
        <f>Public_Final!Q4</f>
        <v>2020</v>
      </c>
      <c r="I1" s="48">
        <f>Public_Final!R4</f>
        <v>2021</v>
      </c>
      <c r="J1" s="48">
        <f>Public_Final!S4</f>
        <v>2022</v>
      </c>
      <c r="K1" s="48">
        <f>Public_Final!T4</f>
        <v>2023</v>
      </c>
      <c r="L1" s="48">
        <f>Public_Final!U4</f>
        <v>2024</v>
      </c>
      <c r="M1" s="48">
        <f>Public_Final!V4</f>
        <v>2025</v>
      </c>
      <c r="N1" s="48">
        <f>Public_Final!W4</f>
        <v>2026</v>
      </c>
      <c r="O1" s="48">
        <f>Public_Final!X4</f>
        <v>2027</v>
      </c>
      <c r="P1" s="48">
        <f>Public_Final!Y4</f>
        <v>2028</v>
      </c>
      <c r="Q1" s="48">
        <f>Public_Final!Z4</f>
        <v>2029</v>
      </c>
      <c r="R1" s="48">
        <f>Public_Final!AA4</f>
        <v>2030</v>
      </c>
      <c r="S1" s="48">
        <f>Public_Final!AB4</f>
        <v>2031</v>
      </c>
      <c r="T1" s="48">
        <f>Public_Final!AC4</f>
        <v>2032</v>
      </c>
      <c r="U1" s="48">
        <f>Public_Final!AD4</f>
        <v>2033</v>
      </c>
      <c r="V1" s="48">
        <f>Public_Final!AE4</f>
        <v>2034</v>
      </c>
      <c r="W1" s="48">
        <f>Public_Final!AF4</f>
        <v>2035</v>
      </c>
      <c r="X1" s="48">
        <f>Public_Final!AG4</f>
        <v>2036</v>
      </c>
      <c r="Y1" s="48">
        <f>Public_Final!AH4</f>
        <v>2037</v>
      </c>
      <c r="Z1" s="48">
        <f>Public_Final!AI4</f>
        <v>2038</v>
      </c>
      <c r="AA1" s="48">
        <f>Public_Final!AJ4</f>
        <v>2039</v>
      </c>
      <c r="AB1" s="48">
        <f>Public_Final!AK4</f>
        <v>2040</v>
      </c>
      <c r="AC1" s="48">
        <f>Public_Final!AL4</f>
        <v>2041</v>
      </c>
      <c r="AD1" s="48">
        <f>Public_Final!AM4</f>
        <v>2042</v>
      </c>
      <c r="AE1" s="48">
        <f>Public_Final!AN4</f>
        <v>2043</v>
      </c>
      <c r="AF1" s="48">
        <f>Public_Final!AO4</f>
        <v>2044</v>
      </c>
      <c r="AG1" s="48">
        <f>Public_Final!AP4</f>
        <v>2045</v>
      </c>
      <c r="AH1" s="48">
        <f>Public_Final!AQ4</f>
        <v>2046</v>
      </c>
      <c r="AI1" s="48">
        <f>Public_Final!AR4</f>
        <v>2047</v>
      </c>
      <c r="AJ1" s="48">
        <f>Public_Final!AS4</f>
        <v>2048</v>
      </c>
      <c r="AK1" s="48">
        <f>Public_Final!AT4</f>
        <v>2049</v>
      </c>
      <c r="AL1" s="48">
        <f>Public_Final!AU4</f>
        <v>2050</v>
      </c>
    </row>
    <row r="2" spans="1:38" s="137" customFormat="1">
      <c r="A2" t="str">
        <f>Public_Final!B5</f>
        <v>electricity(BTU)</v>
      </c>
      <c r="B2">
        <f>Public_Final!K5</f>
        <v>734545000000</v>
      </c>
      <c r="C2">
        <f>Public_Final!L5</f>
        <v>654929800000</v>
      </c>
      <c r="D2">
        <f>Public_Final!M5</f>
        <v>599957400000</v>
      </c>
      <c r="E2">
        <f>Public_Final!N5</f>
        <v>540246000000</v>
      </c>
      <c r="F2">
        <f>Public_Final!O5</f>
        <v>538350400000</v>
      </c>
      <c r="G2">
        <f>Public_Final!P5</f>
        <v>553515200000</v>
      </c>
      <c r="H2">
        <f>Public_Final!Q5</f>
        <v>584792600000</v>
      </c>
      <c r="I2">
        <f>Public_Final!R5</f>
        <v>597114000000</v>
      </c>
      <c r="J2">
        <f>Public_Final!S5</f>
        <v>642138811114.88623</v>
      </c>
      <c r="K2">
        <f>Public_Final!T5</f>
        <v>644623111062.57104</v>
      </c>
      <c r="L2">
        <f>Public_Final!U5</f>
        <v>649925896195.45605</v>
      </c>
      <c r="M2">
        <f>Public_Final!V5</f>
        <v>660457828743.79089</v>
      </c>
      <c r="N2">
        <f>Public_Final!W5</f>
        <v>668573705830.94189</v>
      </c>
      <c r="O2">
        <f>Public_Final!X5</f>
        <v>678130185716.04504</v>
      </c>
      <c r="P2">
        <f>Public_Final!Y5</f>
        <v>686634400290.84778</v>
      </c>
      <c r="Q2">
        <f>Public_Final!Z5</f>
        <v>691983696181.58008</v>
      </c>
      <c r="R2">
        <f>Public_Final!AA5</f>
        <v>692113273942.93005</v>
      </c>
      <c r="S2">
        <f>Public_Final!AB5</f>
        <v>699889748197.18787</v>
      </c>
      <c r="T2">
        <f>Public_Final!AC5</f>
        <v>709832843534.70728</v>
      </c>
      <c r="U2">
        <f>Public_Final!AD5</f>
        <v>716740357087.04041</v>
      </c>
      <c r="V2">
        <f>Public_Final!AE5</f>
        <v>723470427787.7793</v>
      </c>
      <c r="W2">
        <f>Public_Final!AF5</f>
        <v>729044286106.07812</v>
      </c>
      <c r="X2">
        <f>Public_Final!AG5</f>
        <v>731357274696.96667</v>
      </c>
      <c r="Y2">
        <f>Public_Final!AH5</f>
        <v>736236000630.67224</v>
      </c>
      <c r="Z2">
        <f>Public_Final!AI5</f>
        <v>741643475025.54529</v>
      </c>
      <c r="AA2">
        <f>Public_Final!AJ5</f>
        <v>747487987567.94446</v>
      </c>
      <c r="AB2">
        <f>Public_Final!AK5</f>
        <v>753301679331.61963</v>
      </c>
      <c r="AC2">
        <f>Public_Final!AL5</f>
        <v>757516605153.09863</v>
      </c>
      <c r="AD2">
        <f>Public_Final!AM5</f>
        <v>761241942071.69324</v>
      </c>
      <c r="AE2">
        <f>Public_Final!AN5</f>
        <v>765249673664.17017</v>
      </c>
      <c r="AF2">
        <f>Public_Final!AO5</f>
        <v>769096101995.59583</v>
      </c>
      <c r="AG2">
        <f>Public_Final!AP5</f>
        <v>772803129819.38159</v>
      </c>
      <c r="AH2">
        <f>Public_Final!AQ5</f>
        <v>776163765457.22119</v>
      </c>
      <c r="AI2">
        <f>Public_Final!AR5</f>
        <v>779006733420.20312</v>
      </c>
      <c r="AJ2">
        <f>Public_Final!AS5</f>
        <v>781476815172.88306</v>
      </c>
      <c r="AK2">
        <f>Public_Final!AT5</f>
        <v>783500116364.11426</v>
      </c>
      <c r="AL2">
        <f>Public_Final!AU5</f>
        <v>791177364250.77893</v>
      </c>
    </row>
    <row r="3" spans="1:38" s="137" customFormat="1">
      <c r="A3" t="str">
        <f>Public_Final!B6</f>
        <v>coal(BTU)</v>
      </c>
      <c r="B3">
        <f>Public_Final!K6</f>
        <v>0</v>
      </c>
      <c r="C3">
        <f>Public_Final!L6</f>
        <v>0</v>
      </c>
      <c r="D3">
        <f>Public_Final!M6</f>
        <v>0</v>
      </c>
      <c r="E3">
        <f>Public_Final!N6</f>
        <v>0</v>
      </c>
      <c r="F3">
        <f>Public_Final!O6</f>
        <v>0</v>
      </c>
      <c r="G3">
        <f>Public_Final!P6</f>
        <v>0</v>
      </c>
      <c r="H3">
        <f>Public_Final!Q6</f>
        <v>0</v>
      </c>
      <c r="I3">
        <f>Public_Final!R6</f>
        <v>0</v>
      </c>
      <c r="J3">
        <f>Public_Final!S6</f>
        <v>0</v>
      </c>
      <c r="K3">
        <f>Public_Final!T6</f>
        <v>0</v>
      </c>
      <c r="L3">
        <f>Public_Final!U6</f>
        <v>0</v>
      </c>
      <c r="M3">
        <f>Public_Final!V6</f>
        <v>0</v>
      </c>
      <c r="N3">
        <f>Public_Final!W6</f>
        <v>0</v>
      </c>
      <c r="O3">
        <f>Public_Final!X6</f>
        <v>0</v>
      </c>
      <c r="P3">
        <f>Public_Final!Y6</f>
        <v>0</v>
      </c>
      <c r="Q3">
        <f>Public_Final!Z6</f>
        <v>0</v>
      </c>
      <c r="R3">
        <f>Public_Final!AA6</f>
        <v>0</v>
      </c>
      <c r="S3">
        <f>Public_Final!AB6</f>
        <v>0</v>
      </c>
      <c r="T3">
        <f>Public_Final!AC6</f>
        <v>0</v>
      </c>
      <c r="U3">
        <f>Public_Final!AD6</f>
        <v>0</v>
      </c>
      <c r="V3">
        <f>Public_Final!AE6</f>
        <v>0</v>
      </c>
      <c r="W3">
        <f>Public_Final!AF6</f>
        <v>0</v>
      </c>
      <c r="X3">
        <f>Public_Final!AG6</f>
        <v>0</v>
      </c>
      <c r="Y3">
        <f>Public_Final!AH6</f>
        <v>0</v>
      </c>
      <c r="Z3">
        <f>Public_Final!AI6</f>
        <v>0</v>
      </c>
      <c r="AA3">
        <f>Public_Final!AJ6</f>
        <v>0</v>
      </c>
      <c r="AB3">
        <f>Public_Final!AK6</f>
        <v>0</v>
      </c>
      <c r="AC3">
        <f>Public_Final!AL6</f>
        <v>0</v>
      </c>
      <c r="AD3">
        <f>Public_Final!AM6</f>
        <v>0</v>
      </c>
      <c r="AE3">
        <f>Public_Final!AN6</f>
        <v>0</v>
      </c>
      <c r="AF3">
        <f>Public_Final!AO6</f>
        <v>0</v>
      </c>
      <c r="AG3">
        <f>Public_Final!AP6</f>
        <v>0</v>
      </c>
      <c r="AH3">
        <f>Public_Final!AQ6</f>
        <v>0</v>
      </c>
      <c r="AI3">
        <f>Public_Final!AR6</f>
        <v>0</v>
      </c>
      <c r="AJ3">
        <f>Public_Final!AS6</f>
        <v>0</v>
      </c>
      <c r="AK3">
        <f>Public_Final!AT6</f>
        <v>0</v>
      </c>
      <c r="AL3">
        <f>Public_Final!AU6</f>
        <v>0</v>
      </c>
    </row>
    <row r="4" spans="1:38" s="137" customFormat="1">
      <c r="A4" t="str">
        <f>Public_Final!B7</f>
        <v>natural gas(BTU)</v>
      </c>
      <c r="B4">
        <f>Public_Final!K7</f>
        <v>0</v>
      </c>
      <c r="C4">
        <f>Public_Final!L7</f>
        <v>0</v>
      </c>
      <c r="D4">
        <f>Public_Final!M7</f>
        <v>0</v>
      </c>
      <c r="E4">
        <f>Public_Final!N7</f>
        <v>0</v>
      </c>
      <c r="F4">
        <f>Public_Final!O7</f>
        <v>0</v>
      </c>
      <c r="G4">
        <f>Public_Final!P7</f>
        <v>0</v>
      </c>
      <c r="H4">
        <f>Public_Final!Q7</f>
        <v>0</v>
      </c>
      <c r="I4">
        <f>Public_Final!R7</f>
        <v>0</v>
      </c>
      <c r="J4">
        <f>Public_Final!S7</f>
        <v>0</v>
      </c>
      <c r="K4">
        <f>Public_Final!T7</f>
        <v>0</v>
      </c>
      <c r="L4">
        <f>Public_Final!U7</f>
        <v>0</v>
      </c>
      <c r="M4">
        <f>Public_Final!V7</f>
        <v>0</v>
      </c>
      <c r="N4">
        <f>Public_Final!W7</f>
        <v>0</v>
      </c>
      <c r="O4">
        <f>Public_Final!X7</f>
        <v>0</v>
      </c>
      <c r="P4">
        <f>Public_Final!Y7</f>
        <v>0</v>
      </c>
      <c r="Q4">
        <f>Public_Final!Z7</f>
        <v>0</v>
      </c>
      <c r="R4">
        <f>Public_Final!AA7</f>
        <v>0</v>
      </c>
      <c r="S4">
        <f>Public_Final!AB7</f>
        <v>0</v>
      </c>
      <c r="T4">
        <f>Public_Final!AC7</f>
        <v>0</v>
      </c>
      <c r="U4">
        <f>Public_Final!AD7</f>
        <v>0</v>
      </c>
      <c r="V4">
        <f>Public_Final!AE7</f>
        <v>0</v>
      </c>
      <c r="W4">
        <f>Public_Final!AF7</f>
        <v>0</v>
      </c>
      <c r="X4">
        <f>Public_Final!AG7</f>
        <v>0</v>
      </c>
      <c r="Y4">
        <f>Public_Final!AH7</f>
        <v>0</v>
      </c>
      <c r="Z4">
        <f>Public_Final!AI7</f>
        <v>0</v>
      </c>
      <c r="AA4">
        <f>Public_Final!AJ7</f>
        <v>0</v>
      </c>
      <c r="AB4">
        <f>Public_Final!AK7</f>
        <v>0</v>
      </c>
      <c r="AC4">
        <f>Public_Final!AL7</f>
        <v>0</v>
      </c>
      <c r="AD4">
        <f>Public_Final!AM7</f>
        <v>0</v>
      </c>
      <c r="AE4">
        <f>Public_Final!AN7</f>
        <v>0</v>
      </c>
      <c r="AF4">
        <f>Public_Final!AO7</f>
        <v>0</v>
      </c>
      <c r="AG4">
        <f>Public_Final!AP7</f>
        <v>0</v>
      </c>
      <c r="AH4">
        <f>Public_Final!AQ7</f>
        <v>0</v>
      </c>
      <c r="AI4">
        <f>Public_Final!AR7</f>
        <v>0</v>
      </c>
      <c r="AJ4">
        <f>Public_Final!AS7</f>
        <v>0</v>
      </c>
      <c r="AK4">
        <f>Public_Final!AT7</f>
        <v>0</v>
      </c>
      <c r="AL4">
        <f>Public_Final!AU7</f>
        <v>0</v>
      </c>
    </row>
    <row r="5" spans="1:38" s="137" customFormat="1">
      <c r="A5" t="str">
        <f>Public_Final!B8</f>
        <v>petroleum diesel (BTU)</v>
      </c>
      <c r="B5">
        <f>Public_Final!K8</f>
        <v>0</v>
      </c>
      <c r="C5">
        <f>Public_Final!L8</f>
        <v>0</v>
      </c>
      <c r="D5">
        <f>Public_Final!M8</f>
        <v>0</v>
      </c>
      <c r="E5">
        <f>Public_Final!N8</f>
        <v>0</v>
      </c>
      <c r="F5">
        <f>Public_Final!O8</f>
        <v>0</v>
      </c>
      <c r="G5">
        <f>Public_Final!P8</f>
        <v>0</v>
      </c>
      <c r="H5">
        <f>Public_Final!Q8</f>
        <v>0</v>
      </c>
      <c r="I5">
        <f>Public_Final!R8</f>
        <v>0</v>
      </c>
      <c r="J5">
        <f>Public_Final!S8</f>
        <v>0</v>
      </c>
      <c r="K5">
        <f>Public_Final!T8</f>
        <v>0</v>
      </c>
      <c r="L5">
        <f>Public_Final!U8</f>
        <v>0</v>
      </c>
      <c r="M5">
        <f>Public_Final!V8</f>
        <v>0</v>
      </c>
      <c r="N5">
        <f>Public_Final!W8</f>
        <v>0</v>
      </c>
      <c r="O5">
        <f>Public_Final!X8</f>
        <v>0</v>
      </c>
      <c r="P5">
        <f>Public_Final!Y8</f>
        <v>0</v>
      </c>
      <c r="Q5">
        <f>Public_Final!Z8</f>
        <v>0</v>
      </c>
      <c r="R5">
        <f>Public_Final!AA8</f>
        <v>0</v>
      </c>
      <c r="S5">
        <f>Public_Final!AB8</f>
        <v>0</v>
      </c>
      <c r="T5">
        <f>Public_Final!AC8</f>
        <v>0</v>
      </c>
      <c r="U5">
        <f>Public_Final!AD8</f>
        <v>0</v>
      </c>
      <c r="V5">
        <f>Public_Final!AE8</f>
        <v>0</v>
      </c>
      <c r="W5">
        <f>Public_Final!AF8</f>
        <v>0</v>
      </c>
      <c r="X5">
        <f>Public_Final!AG8</f>
        <v>0</v>
      </c>
      <c r="Y5">
        <f>Public_Final!AH8</f>
        <v>0</v>
      </c>
      <c r="Z5">
        <f>Public_Final!AI8</f>
        <v>0</v>
      </c>
      <c r="AA5">
        <f>Public_Final!AJ8</f>
        <v>0</v>
      </c>
      <c r="AB5">
        <f>Public_Final!AK8</f>
        <v>0</v>
      </c>
      <c r="AC5">
        <f>Public_Final!AL8</f>
        <v>0</v>
      </c>
      <c r="AD5">
        <f>Public_Final!AM8</f>
        <v>0</v>
      </c>
      <c r="AE5">
        <f>Public_Final!AN8</f>
        <v>0</v>
      </c>
      <c r="AF5">
        <f>Public_Final!AO8</f>
        <v>0</v>
      </c>
      <c r="AG5">
        <f>Public_Final!AP8</f>
        <v>0</v>
      </c>
      <c r="AH5">
        <f>Public_Final!AQ8</f>
        <v>0</v>
      </c>
      <c r="AI5">
        <f>Public_Final!AR8</f>
        <v>0</v>
      </c>
      <c r="AJ5">
        <f>Public_Final!AS8</f>
        <v>0</v>
      </c>
      <c r="AK5">
        <f>Public_Final!AT8</f>
        <v>0</v>
      </c>
      <c r="AL5">
        <f>Public_Final!AU8</f>
        <v>0</v>
      </c>
    </row>
    <row r="6" spans="1:38">
      <c r="A6" t="str">
        <f>Public_Final!B9</f>
        <v>heat (BTU)</v>
      </c>
      <c r="B6">
        <f>Public_Final!K9</f>
        <v>0</v>
      </c>
      <c r="C6">
        <f>Public_Final!L9</f>
        <v>0</v>
      </c>
      <c r="D6">
        <f>Public_Final!M9</f>
        <v>0</v>
      </c>
      <c r="E6">
        <f>Public_Final!N9</f>
        <v>0</v>
      </c>
      <c r="F6">
        <f>Public_Final!O9</f>
        <v>0</v>
      </c>
      <c r="G6">
        <f>Public_Final!P9</f>
        <v>0</v>
      </c>
      <c r="H6">
        <f>Public_Final!Q9</f>
        <v>0</v>
      </c>
      <c r="I6">
        <f>Public_Final!R9</f>
        <v>0</v>
      </c>
      <c r="J6">
        <f>Public_Final!S9</f>
        <v>0</v>
      </c>
      <c r="K6">
        <f>Public_Final!T9</f>
        <v>0</v>
      </c>
      <c r="L6">
        <f>Public_Final!U9</f>
        <v>0</v>
      </c>
      <c r="M6">
        <f>Public_Final!V9</f>
        <v>0</v>
      </c>
      <c r="N6">
        <f>Public_Final!W9</f>
        <v>0</v>
      </c>
      <c r="O6">
        <f>Public_Final!X9</f>
        <v>0</v>
      </c>
      <c r="P6">
        <f>Public_Final!Y9</f>
        <v>0</v>
      </c>
      <c r="Q6">
        <f>Public_Final!Z9</f>
        <v>0</v>
      </c>
      <c r="R6">
        <f>Public_Final!AA9</f>
        <v>0</v>
      </c>
      <c r="S6">
        <f>Public_Final!AB9</f>
        <v>0</v>
      </c>
      <c r="T6">
        <f>Public_Final!AC9</f>
        <v>0</v>
      </c>
      <c r="U6">
        <f>Public_Final!AD9</f>
        <v>0</v>
      </c>
      <c r="V6">
        <f>Public_Final!AE9</f>
        <v>0</v>
      </c>
      <c r="W6">
        <f>Public_Final!AF9</f>
        <v>0</v>
      </c>
      <c r="X6">
        <f>Public_Final!AG9</f>
        <v>0</v>
      </c>
      <c r="Y6">
        <f>Public_Final!AH9</f>
        <v>0</v>
      </c>
      <c r="Z6">
        <f>Public_Final!AI9</f>
        <v>0</v>
      </c>
      <c r="AA6">
        <f>Public_Final!AJ9</f>
        <v>0</v>
      </c>
      <c r="AB6">
        <f>Public_Final!AK9</f>
        <v>0</v>
      </c>
      <c r="AC6">
        <f>Public_Final!AL9</f>
        <v>0</v>
      </c>
      <c r="AD6">
        <f>Public_Final!AM9</f>
        <v>0</v>
      </c>
      <c r="AE6">
        <f>Public_Final!AN9</f>
        <v>0</v>
      </c>
      <c r="AF6">
        <f>Public_Final!AO9</f>
        <v>0</v>
      </c>
      <c r="AG6">
        <f>Public_Final!AP9</f>
        <v>0</v>
      </c>
      <c r="AH6">
        <f>Public_Final!AQ9</f>
        <v>0</v>
      </c>
      <c r="AI6">
        <f>Public_Final!AR9</f>
        <v>0</v>
      </c>
      <c r="AJ6">
        <f>Public_Final!AS9</f>
        <v>0</v>
      </c>
      <c r="AK6">
        <f>Public_Final!AT9</f>
        <v>0</v>
      </c>
      <c r="AL6">
        <f>Public_Final!AU9</f>
        <v>0</v>
      </c>
    </row>
    <row r="7" spans="1:38">
      <c r="A7" t="str">
        <f>Public_Final!B10</f>
        <v>biomass (BTU)</v>
      </c>
      <c r="B7">
        <f>Public_Final!K10</f>
        <v>0</v>
      </c>
      <c r="C7">
        <f>Public_Final!L10</f>
        <v>0</v>
      </c>
      <c r="D7">
        <f>Public_Final!M10</f>
        <v>0</v>
      </c>
      <c r="E7">
        <f>Public_Final!N10</f>
        <v>0</v>
      </c>
      <c r="F7">
        <f>Public_Final!O10</f>
        <v>0</v>
      </c>
      <c r="G7">
        <f>Public_Final!P10</f>
        <v>0</v>
      </c>
      <c r="H7">
        <f>Public_Final!Q10</f>
        <v>0</v>
      </c>
      <c r="I7">
        <f>Public_Final!R10</f>
        <v>0</v>
      </c>
      <c r="J7">
        <f>Public_Final!S10</f>
        <v>0</v>
      </c>
      <c r="K7">
        <f>Public_Final!T10</f>
        <v>0</v>
      </c>
      <c r="L7">
        <f>Public_Final!U10</f>
        <v>0</v>
      </c>
      <c r="M7">
        <f>Public_Final!V10</f>
        <v>0</v>
      </c>
      <c r="N7">
        <f>Public_Final!W10</f>
        <v>0</v>
      </c>
      <c r="O7">
        <f>Public_Final!X10</f>
        <v>0</v>
      </c>
      <c r="P7">
        <f>Public_Final!Y10</f>
        <v>0</v>
      </c>
      <c r="Q7">
        <f>Public_Final!Z10</f>
        <v>0</v>
      </c>
      <c r="R7">
        <f>Public_Final!AA10</f>
        <v>0</v>
      </c>
      <c r="S7">
        <f>Public_Final!AB10</f>
        <v>0</v>
      </c>
      <c r="T7">
        <f>Public_Final!AC10</f>
        <v>0</v>
      </c>
      <c r="U7">
        <f>Public_Final!AD10</f>
        <v>0</v>
      </c>
      <c r="V7">
        <f>Public_Final!AE10</f>
        <v>0</v>
      </c>
      <c r="W7">
        <f>Public_Final!AF10</f>
        <v>0</v>
      </c>
      <c r="X7">
        <f>Public_Final!AG10</f>
        <v>0</v>
      </c>
      <c r="Y7">
        <f>Public_Final!AH10</f>
        <v>0</v>
      </c>
      <c r="Z7">
        <f>Public_Final!AI10</f>
        <v>0</v>
      </c>
      <c r="AA7">
        <f>Public_Final!AJ10</f>
        <v>0</v>
      </c>
      <c r="AB7">
        <f>Public_Final!AK10</f>
        <v>0</v>
      </c>
      <c r="AC7">
        <f>Public_Final!AL10</f>
        <v>0</v>
      </c>
      <c r="AD7">
        <f>Public_Final!AM10</f>
        <v>0</v>
      </c>
      <c r="AE7">
        <f>Public_Final!AN10</f>
        <v>0</v>
      </c>
      <c r="AF7">
        <f>Public_Final!AO10</f>
        <v>0</v>
      </c>
      <c r="AG7">
        <f>Public_Final!AP10</f>
        <v>0</v>
      </c>
      <c r="AH7">
        <f>Public_Final!AQ10</f>
        <v>0</v>
      </c>
      <c r="AI7">
        <f>Public_Final!AR10</f>
        <v>0</v>
      </c>
      <c r="AJ7">
        <f>Public_Final!AS10</f>
        <v>0</v>
      </c>
      <c r="AK7">
        <f>Public_Final!AT10</f>
        <v>0</v>
      </c>
      <c r="AL7">
        <f>Public_Final!AU10</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4" tint="-0.499984740745262"/>
  </sheetPr>
  <dimension ref="A1:AL11"/>
  <sheetViews>
    <sheetView workbookViewId="0">
      <pane xSplit="1" topLeftCell="B1" activePane="topRight" state="frozen"/>
      <selection activeCell="G23" sqref="G23"/>
      <selection pane="topRight" activeCell="A8" sqref="A8:XFD11"/>
    </sheetView>
  </sheetViews>
  <sheetFormatPr baseColWidth="10" defaultColWidth="8.796875" defaultRowHeight="14"/>
  <cols>
    <col min="1" max="1" width="19.796875" bestFit="1" customWidth="1"/>
  </cols>
  <sheetData>
    <row r="1" spans="1:38" s="48" customFormat="1">
      <c r="A1" s="48" t="str">
        <f>Public_Final!B31</f>
        <v>Year</v>
      </c>
      <c r="B1" s="48">
        <f>Public_Final!K31</f>
        <v>2014</v>
      </c>
      <c r="C1" s="48">
        <f>Public_Final!L31</f>
        <v>2015</v>
      </c>
      <c r="D1" s="48">
        <f>Public_Final!M31</f>
        <v>2016</v>
      </c>
      <c r="E1" s="48">
        <f>Public_Final!N31</f>
        <v>2017</v>
      </c>
      <c r="F1" s="48">
        <f>Public_Final!O31</f>
        <v>2018</v>
      </c>
      <c r="G1" s="48">
        <f>Public_Final!P31</f>
        <v>2019</v>
      </c>
      <c r="H1" s="48">
        <f>Public_Final!Q31</f>
        <v>2020</v>
      </c>
      <c r="I1" s="48">
        <f>Public_Final!R31</f>
        <v>2021</v>
      </c>
      <c r="J1" s="48">
        <f>Public_Final!S31</f>
        <v>2022</v>
      </c>
      <c r="K1" s="48">
        <f>Public_Final!T31</f>
        <v>2023</v>
      </c>
      <c r="L1" s="48">
        <f>Public_Final!U31</f>
        <v>2024</v>
      </c>
      <c r="M1" s="48">
        <f>Public_Final!V31</f>
        <v>2025</v>
      </c>
      <c r="N1" s="48">
        <f>Public_Final!W31</f>
        <v>2026</v>
      </c>
      <c r="O1" s="48">
        <f>Public_Final!X31</f>
        <v>2027</v>
      </c>
      <c r="P1" s="48">
        <f>Public_Final!Y31</f>
        <v>2028</v>
      </c>
      <c r="Q1" s="48">
        <f>Public_Final!Z31</f>
        <v>2029</v>
      </c>
      <c r="R1" s="48">
        <f>Public_Final!AA31</f>
        <v>2030</v>
      </c>
      <c r="S1" s="48">
        <f>Public_Final!AB31</f>
        <v>2031</v>
      </c>
      <c r="T1" s="48">
        <f>Public_Final!AC31</f>
        <v>2032</v>
      </c>
      <c r="U1" s="48">
        <f>Public_Final!AD31</f>
        <v>2033</v>
      </c>
      <c r="V1" s="48">
        <f>Public_Final!AE31</f>
        <v>2034</v>
      </c>
      <c r="W1" s="48">
        <f>Public_Final!AF31</f>
        <v>2035</v>
      </c>
      <c r="X1" s="48">
        <f>Public_Final!AG31</f>
        <v>2036</v>
      </c>
      <c r="Y1" s="48">
        <f>Public_Final!AH31</f>
        <v>2037</v>
      </c>
      <c r="Z1" s="48">
        <f>Public_Final!AI31</f>
        <v>2038</v>
      </c>
      <c r="AA1" s="48">
        <f>Public_Final!AJ31</f>
        <v>2039</v>
      </c>
      <c r="AB1" s="48">
        <f>Public_Final!AK31</f>
        <v>2040</v>
      </c>
      <c r="AC1" s="48">
        <f>Public_Final!AL31</f>
        <v>2041</v>
      </c>
      <c r="AD1" s="48">
        <f>Public_Final!AM31</f>
        <v>2042</v>
      </c>
      <c r="AE1" s="48">
        <f>Public_Final!AN31</f>
        <v>2043</v>
      </c>
      <c r="AF1" s="48">
        <f>Public_Final!AO31</f>
        <v>2044</v>
      </c>
      <c r="AG1" s="48">
        <f>Public_Final!AP31</f>
        <v>2045</v>
      </c>
      <c r="AH1" s="48">
        <f>Public_Final!AQ31</f>
        <v>2046</v>
      </c>
      <c r="AI1" s="48">
        <f>Public_Final!AR31</f>
        <v>2047</v>
      </c>
      <c r="AJ1" s="48">
        <f>Public_Final!AS31</f>
        <v>2048</v>
      </c>
      <c r="AK1" s="48">
        <f>Public_Final!AT31</f>
        <v>2049</v>
      </c>
      <c r="AL1" s="48">
        <f>Public_Final!AU31</f>
        <v>2050</v>
      </c>
    </row>
    <row r="2" spans="1:38" s="137" customFormat="1">
      <c r="A2" t="str">
        <f>Public_Final!B32</f>
        <v>electricity(BTU)</v>
      </c>
      <c r="B2">
        <f>Public_Final!K32</f>
        <v>5552212399999.999</v>
      </c>
      <c r="C2">
        <f>Public_Final!L32</f>
        <v>5260290000000</v>
      </c>
      <c r="D2">
        <f>Public_Final!M32</f>
        <v>5158875400000</v>
      </c>
      <c r="E2">
        <f>Public_Final!N32</f>
        <v>4782598800000.001</v>
      </c>
      <c r="F2">
        <f>Public_Final!O32</f>
        <v>4757956000000</v>
      </c>
      <c r="G2">
        <f>Public_Final!P32</f>
        <v>4866005199999.999</v>
      </c>
      <c r="H2">
        <f>Public_Final!Q32</f>
        <v>5150345200000</v>
      </c>
      <c r="I2">
        <f>Public_Final!R32</f>
        <v>5243229600000</v>
      </c>
      <c r="J2">
        <f>Public_Final!S32</f>
        <v>5912663414271.5469</v>
      </c>
      <c r="K2">
        <f>Public_Final!T32</f>
        <v>6021380540477.5312</v>
      </c>
      <c r="L2">
        <f>Public_Final!U32</f>
        <v>6157449944709.9961</v>
      </c>
      <c r="M2">
        <f>Public_Final!V32</f>
        <v>6345156899964.2969</v>
      </c>
      <c r="N2">
        <f>Public_Final!W32</f>
        <v>6512122558352.8213</v>
      </c>
      <c r="O2">
        <f>Public_Final!X32</f>
        <v>6695460041625.6582</v>
      </c>
      <c r="P2">
        <f>Public_Final!Y32</f>
        <v>6870799167441.2148</v>
      </c>
      <c r="Q2">
        <f>Public_Final!Z32</f>
        <v>7016399429363.2939</v>
      </c>
      <c r="R2">
        <f>Public_Final!AA32</f>
        <v>7109790367208.7715</v>
      </c>
      <c r="S2">
        <f>Public_Final!AB32</f>
        <v>7282773577810.0283</v>
      </c>
      <c r="T2">
        <f>Public_Final!AC32</f>
        <v>7480645741467.7686</v>
      </c>
      <c r="U2">
        <f>Public_Final!AD32</f>
        <v>7648755049065.3428</v>
      </c>
      <c r="V2">
        <f>Public_Final!AE32</f>
        <v>7816770982178.6514</v>
      </c>
      <c r="W2">
        <f>Public_Final!AF32</f>
        <v>7973917102865.3623</v>
      </c>
      <c r="X2">
        <f>Public_Final!AG32</f>
        <v>8096432521786.4141</v>
      </c>
      <c r="Y2">
        <f>Public_Final!AH32</f>
        <v>8248294134185.5137</v>
      </c>
      <c r="Z2">
        <f>Public_Final!AI32</f>
        <v>8407432943321.3906</v>
      </c>
      <c r="AA2">
        <f>Public_Final!AJ32</f>
        <v>8573007612607.8389</v>
      </c>
      <c r="AB2">
        <f>Public_Final!AK32</f>
        <v>8739763955757.4141</v>
      </c>
      <c r="AC2">
        <f>Public_Final!AL32</f>
        <v>8889289877539.2793</v>
      </c>
      <c r="AD2">
        <f>Public_Final!AM32</f>
        <v>9034111293700.0254</v>
      </c>
      <c r="AE2">
        <f>Public_Final!AN32</f>
        <v>9183297028452.1562</v>
      </c>
      <c r="AF2">
        <f>Public_Final!AO32</f>
        <v>9331575900778.8652</v>
      </c>
      <c r="AG2">
        <f>Public_Final!AP32</f>
        <v>9479152102394.6367</v>
      </c>
      <c r="AH2">
        <f>Public_Final!AQ32</f>
        <v>9623403484547.6973</v>
      </c>
      <c r="AI2">
        <f>Public_Final!AR32</f>
        <v>9762045596539.8477</v>
      </c>
      <c r="AJ2">
        <f>Public_Final!AS32</f>
        <v>9896705687926.2598</v>
      </c>
      <c r="AK2">
        <f>Public_Final!AT32</f>
        <v>10026289558841.605</v>
      </c>
      <c r="AL2">
        <f>Public_Final!AU32</f>
        <v>10229498377717.018</v>
      </c>
    </row>
    <row r="3" spans="1:38" s="137" customFormat="1">
      <c r="A3" t="str">
        <f>Public_Final!B33</f>
        <v>coal(BTU)</v>
      </c>
      <c r="B3">
        <f>Public_Final!K33</f>
        <v>0</v>
      </c>
      <c r="C3">
        <f>Public_Final!L33</f>
        <v>0</v>
      </c>
      <c r="D3">
        <f>Public_Final!M33</f>
        <v>0</v>
      </c>
      <c r="E3">
        <f>Public_Final!N33</f>
        <v>0</v>
      </c>
      <c r="F3">
        <f>Public_Final!O33</f>
        <v>0</v>
      </c>
      <c r="G3">
        <f>Public_Final!P33</f>
        <v>0</v>
      </c>
      <c r="H3">
        <f>Public_Final!Q33</f>
        <v>0</v>
      </c>
      <c r="I3">
        <f>Public_Final!R33</f>
        <v>0</v>
      </c>
      <c r="J3">
        <f>Public_Final!S33</f>
        <v>0</v>
      </c>
      <c r="K3">
        <f>Public_Final!T33</f>
        <v>0</v>
      </c>
      <c r="L3">
        <f>Public_Final!U33</f>
        <v>0</v>
      </c>
      <c r="M3">
        <f>Public_Final!V33</f>
        <v>0</v>
      </c>
      <c r="N3">
        <f>Public_Final!W33</f>
        <v>0</v>
      </c>
      <c r="O3">
        <f>Public_Final!X33</f>
        <v>0</v>
      </c>
      <c r="P3">
        <f>Public_Final!Y33</f>
        <v>0</v>
      </c>
      <c r="Q3">
        <f>Public_Final!Z33</f>
        <v>0</v>
      </c>
      <c r="R3">
        <f>Public_Final!AA33</f>
        <v>0</v>
      </c>
      <c r="S3">
        <f>Public_Final!AB33</f>
        <v>0</v>
      </c>
      <c r="T3">
        <f>Public_Final!AC33</f>
        <v>0</v>
      </c>
      <c r="U3">
        <f>Public_Final!AD33</f>
        <v>0</v>
      </c>
      <c r="V3">
        <f>Public_Final!AE33</f>
        <v>0</v>
      </c>
      <c r="W3">
        <f>Public_Final!AF33</f>
        <v>0</v>
      </c>
      <c r="X3">
        <f>Public_Final!AG33</f>
        <v>0</v>
      </c>
      <c r="Y3">
        <f>Public_Final!AH33</f>
        <v>0</v>
      </c>
      <c r="Z3">
        <f>Public_Final!AI33</f>
        <v>0</v>
      </c>
      <c r="AA3">
        <f>Public_Final!AJ33</f>
        <v>0</v>
      </c>
      <c r="AB3">
        <f>Public_Final!AK33</f>
        <v>0</v>
      </c>
      <c r="AC3">
        <f>Public_Final!AL33</f>
        <v>0</v>
      </c>
      <c r="AD3">
        <f>Public_Final!AM33</f>
        <v>0</v>
      </c>
      <c r="AE3">
        <f>Public_Final!AN33</f>
        <v>0</v>
      </c>
      <c r="AF3">
        <f>Public_Final!AO33</f>
        <v>0</v>
      </c>
      <c r="AG3">
        <f>Public_Final!AP33</f>
        <v>0</v>
      </c>
      <c r="AH3">
        <f>Public_Final!AQ33</f>
        <v>0</v>
      </c>
      <c r="AI3">
        <f>Public_Final!AR33</f>
        <v>0</v>
      </c>
      <c r="AJ3">
        <f>Public_Final!AS33</f>
        <v>0</v>
      </c>
      <c r="AK3">
        <f>Public_Final!AT33</f>
        <v>0</v>
      </c>
      <c r="AL3">
        <f>Public_Final!AU33</f>
        <v>0</v>
      </c>
    </row>
    <row r="4" spans="1:38" s="137" customFormat="1">
      <c r="A4" t="str">
        <f>Public_Final!B34</f>
        <v>natural gas(BTU)</v>
      </c>
      <c r="B4">
        <f>Public_Final!K34</f>
        <v>5757885000000</v>
      </c>
      <c r="C4">
        <f>Public_Final!L34</f>
        <v>5606237000000</v>
      </c>
      <c r="D4">
        <f>Public_Final!M34</f>
        <v>5719973000000</v>
      </c>
      <c r="E4">
        <f>Public_Final!N34</f>
        <v>5596759000000</v>
      </c>
      <c r="F4">
        <f>Public_Final!O34</f>
        <v>5848873800000</v>
      </c>
      <c r="G4">
        <f>Public_Final!P34</f>
        <v>5491553200000</v>
      </c>
      <c r="H4">
        <f>Public_Final!Q34</f>
        <v>6006208599999.999</v>
      </c>
      <c r="I4">
        <f>Public_Final!R34</f>
        <v>5889629200000</v>
      </c>
      <c r="J4">
        <f>Public_Final!S34</f>
        <v>5863342974510.0195</v>
      </c>
      <c r="K4">
        <f>Public_Final!T34</f>
        <v>5830757380797.2305</v>
      </c>
      <c r="L4">
        <f>Public_Final!U34</f>
        <v>5823009922848.1572</v>
      </c>
      <c r="M4">
        <f>Public_Final!V34</f>
        <v>5860767807610.8682</v>
      </c>
      <c r="N4">
        <f>Public_Final!W34</f>
        <v>5875500267782.2959</v>
      </c>
      <c r="O4">
        <f>Public_Final!X34</f>
        <v>5901391164521.1475</v>
      </c>
      <c r="P4">
        <f>Public_Final!Y34</f>
        <v>5916590253311.8096</v>
      </c>
      <c r="Q4">
        <f>Public_Final!Z34</f>
        <v>5903430282865.5322</v>
      </c>
      <c r="R4">
        <f>Public_Final!AA34</f>
        <v>5845283619330.6152</v>
      </c>
      <c r="S4">
        <f>Public_Final!AB34</f>
        <v>5851055332890.2588</v>
      </c>
      <c r="T4">
        <f>Public_Final!AC34</f>
        <v>5873436358241.5518</v>
      </c>
      <c r="U4">
        <f>Public_Final!AD34</f>
        <v>5869271029627.1475</v>
      </c>
      <c r="V4">
        <f>Public_Final!AE34</f>
        <v>5862499220167.3193</v>
      </c>
      <c r="W4">
        <f>Public_Final!AF34</f>
        <v>5845319273414.3262</v>
      </c>
      <c r="X4">
        <f>Public_Final!AG34</f>
        <v>5801333390264.752</v>
      </c>
      <c r="Y4">
        <f>Public_Final!AH34</f>
        <v>5777098343839.5098</v>
      </c>
      <c r="Z4">
        <f>Public_Final!AI34</f>
        <v>5756146673525.1836</v>
      </c>
      <c r="AA4">
        <f>Public_Final!AJ34</f>
        <v>5737639154381.9033</v>
      </c>
      <c r="AB4">
        <f>Public_Final!AK34</f>
        <v>5717912813497.5439</v>
      </c>
      <c r="AC4">
        <f>Public_Final!AL34</f>
        <v>5685208346919.1973</v>
      </c>
      <c r="AD4">
        <f>Public_Final!AM34</f>
        <v>5648165357929.3877</v>
      </c>
      <c r="AE4">
        <f>Public_Final!AN34</f>
        <v>5612571429301.4434</v>
      </c>
      <c r="AF4">
        <f>Public_Final!AO34</f>
        <v>5575138114343.2383</v>
      </c>
      <c r="AG4">
        <f>Public_Final!AP34</f>
        <v>5536063831485.8496</v>
      </c>
      <c r="AH4">
        <f>Public_Final!AQ34</f>
        <v>5493919323480.832</v>
      </c>
      <c r="AI4">
        <f>Public_Final!AR34</f>
        <v>5447595704189.4961</v>
      </c>
      <c r="AJ4">
        <f>Public_Final!AS34</f>
        <v>5398225707753.3779</v>
      </c>
      <c r="AK4">
        <f>Public_Final!AT34</f>
        <v>5345400726959.6592</v>
      </c>
      <c r="AL4">
        <f>Public_Final!AU34</f>
        <v>5330337101987.335</v>
      </c>
    </row>
    <row r="5" spans="1:38" s="137" customFormat="1">
      <c r="A5" t="str">
        <f>Public_Final!B35</f>
        <v>petroleum diesel (BTU)</v>
      </c>
      <c r="B5">
        <f>Public_Final!K35</f>
        <v>0</v>
      </c>
      <c r="C5">
        <f>Public_Final!L35</f>
        <v>0</v>
      </c>
      <c r="D5">
        <f>Public_Final!M35</f>
        <v>0</v>
      </c>
      <c r="E5">
        <f>Public_Final!N35</f>
        <v>0</v>
      </c>
      <c r="F5">
        <f>Public_Final!O35</f>
        <v>0</v>
      </c>
      <c r="G5">
        <f>Public_Final!P35</f>
        <v>0</v>
      </c>
      <c r="H5">
        <f>Public_Final!Q35</f>
        <v>0</v>
      </c>
      <c r="I5">
        <f>Public_Final!R35</f>
        <v>0</v>
      </c>
      <c r="J5">
        <f>Public_Final!S35</f>
        <v>0</v>
      </c>
      <c r="K5">
        <f>Public_Final!T35</f>
        <v>0</v>
      </c>
      <c r="L5">
        <f>Public_Final!U35</f>
        <v>0</v>
      </c>
      <c r="M5">
        <f>Public_Final!V35</f>
        <v>0</v>
      </c>
      <c r="N5">
        <f>Public_Final!W35</f>
        <v>0</v>
      </c>
      <c r="O5">
        <f>Public_Final!X35</f>
        <v>0</v>
      </c>
      <c r="P5">
        <f>Public_Final!Y35</f>
        <v>0</v>
      </c>
      <c r="Q5">
        <f>Public_Final!Z35</f>
        <v>0</v>
      </c>
      <c r="R5">
        <f>Public_Final!AA35</f>
        <v>0</v>
      </c>
      <c r="S5">
        <f>Public_Final!AB35</f>
        <v>0</v>
      </c>
      <c r="T5">
        <f>Public_Final!AC35</f>
        <v>0</v>
      </c>
      <c r="U5">
        <f>Public_Final!AD35</f>
        <v>0</v>
      </c>
      <c r="V5">
        <f>Public_Final!AE35</f>
        <v>0</v>
      </c>
      <c r="W5">
        <f>Public_Final!AF35</f>
        <v>0</v>
      </c>
      <c r="X5">
        <f>Public_Final!AG35</f>
        <v>0</v>
      </c>
      <c r="Y5">
        <f>Public_Final!AH35</f>
        <v>0</v>
      </c>
      <c r="Z5">
        <f>Public_Final!AI35</f>
        <v>0</v>
      </c>
      <c r="AA5">
        <f>Public_Final!AJ35</f>
        <v>0</v>
      </c>
      <c r="AB5">
        <f>Public_Final!AK35</f>
        <v>0</v>
      </c>
      <c r="AC5">
        <f>Public_Final!AL35</f>
        <v>0</v>
      </c>
      <c r="AD5">
        <f>Public_Final!AM35</f>
        <v>0</v>
      </c>
      <c r="AE5">
        <f>Public_Final!AN35</f>
        <v>0</v>
      </c>
      <c r="AF5">
        <f>Public_Final!AO35</f>
        <v>0</v>
      </c>
      <c r="AG5">
        <f>Public_Final!AP35</f>
        <v>0</v>
      </c>
      <c r="AH5">
        <f>Public_Final!AQ35</f>
        <v>0</v>
      </c>
      <c r="AI5">
        <f>Public_Final!AR35</f>
        <v>0</v>
      </c>
      <c r="AJ5">
        <f>Public_Final!AS35</f>
        <v>0</v>
      </c>
      <c r="AK5">
        <f>Public_Final!AT35</f>
        <v>0</v>
      </c>
      <c r="AL5">
        <f>Public_Final!AU35</f>
        <v>0</v>
      </c>
    </row>
    <row r="6" spans="1:38">
      <c r="A6" t="str">
        <f>Public_Final!B36</f>
        <v>heat (BTU)</v>
      </c>
      <c r="B6">
        <f>Public_Final!K36</f>
        <v>0</v>
      </c>
      <c r="C6">
        <f>Public_Final!L36</f>
        <v>0</v>
      </c>
      <c r="D6">
        <f>Public_Final!M36</f>
        <v>0</v>
      </c>
      <c r="E6">
        <f>Public_Final!N36</f>
        <v>0</v>
      </c>
      <c r="F6">
        <f>Public_Final!O36</f>
        <v>0</v>
      </c>
      <c r="G6">
        <f>Public_Final!P36</f>
        <v>0</v>
      </c>
      <c r="H6">
        <f>Public_Final!Q36</f>
        <v>0</v>
      </c>
      <c r="I6">
        <f>Public_Final!R36</f>
        <v>0</v>
      </c>
      <c r="J6">
        <f>Public_Final!S36</f>
        <v>0</v>
      </c>
      <c r="K6">
        <f>Public_Final!T36</f>
        <v>0</v>
      </c>
      <c r="L6">
        <f>Public_Final!U36</f>
        <v>0</v>
      </c>
      <c r="M6">
        <f>Public_Final!V36</f>
        <v>0</v>
      </c>
      <c r="N6">
        <f>Public_Final!W36</f>
        <v>0</v>
      </c>
      <c r="O6">
        <f>Public_Final!X36</f>
        <v>0</v>
      </c>
      <c r="P6">
        <f>Public_Final!Y36</f>
        <v>0</v>
      </c>
      <c r="Q6">
        <f>Public_Final!Z36</f>
        <v>0</v>
      </c>
      <c r="R6">
        <f>Public_Final!AA36</f>
        <v>0</v>
      </c>
      <c r="S6">
        <f>Public_Final!AB36</f>
        <v>0</v>
      </c>
      <c r="T6">
        <f>Public_Final!AC36</f>
        <v>0</v>
      </c>
      <c r="U6">
        <f>Public_Final!AD36</f>
        <v>0</v>
      </c>
      <c r="V6">
        <f>Public_Final!AE36</f>
        <v>0</v>
      </c>
      <c r="W6">
        <f>Public_Final!AF36</f>
        <v>0</v>
      </c>
      <c r="X6">
        <f>Public_Final!AG36</f>
        <v>0</v>
      </c>
      <c r="Y6">
        <f>Public_Final!AH36</f>
        <v>0</v>
      </c>
      <c r="Z6">
        <f>Public_Final!AI36</f>
        <v>0</v>
      </c>
      <c r="AA6">
        <f>Public_Final!AJ36</f>
        <v>0</v>
      </c>
      <c r="AB6">
        <f>Public_Final!AK36</f>
        <v>0</v>
      </c>
      <c r="AC6">
        <f>Public_Final!AL36</f>
        <v>0</v>
      </c>
      <c r="AD6">
        <f>Public_Final!AM36</f>
        <v>0</v>
      </c>
      <c r="AE6">
        <f>Public_Final!AN36</f>
        <v>0</v>
      </c>
      <c r="AF6">
        <f>Public_Final!AO36</f>
        <v>0</v>
      </c>
      <c r="AG6">
        <f>Public_Final!AP36</f>
        <v>0</v>
      </c>
      <c r="AH6">
        <f>Public_Final!AQ36</f>
        <v>0</v>
      </c>
      <c r="AI6">
        <f>Public_Final!AR36</f>
        <v>0</v>
      </c>
      <c r="AJ6">
        <f>Public_Final!AS36</f>
        <v>0</v>
      </c>
      <c r="AK6">
        <f>Public_Final!AT36</f>
        <v>0</v>
      </c>
      <c r="AL6">
        <f>Public_Final!AU36</f>
        <v>0</v>
      </c>
    </row>
    <row r="7" spans="1:38">
      <c r="A7" t="str">
        <f>Public_Final!B37</f>
        <v>biomass (BTU)</v>
      </c>
      <c r="B7">
        <f>Public_Final!K37</f>
        <v>0</v>
      </c>
      <c r="C7">
        <f>Public_Final!L37</f>
        <v>0</v>
      </c>
      <c r="D7">
        <f>Public_Final!M37</f>
        <v>0</v>
      </c>
      <c r="E7">
        <f>Public_Final!N37</f>
        <v>0</v>
      </c>
      <c r="F7">
        <f>Public_Final!O37</f>
        <v>0</v>
      </c>
      <c r="G7">
        <f>Public_Final!P37</f>
        <v>0</v>
      </c>
      <c r="H7">
        <f>Public_Final!Q37</f>
        <v>0</v>
      </c>
      <c r="I7">
        <f>Public_Final!R37</f>
        <v>0</v>
      </c>
      <c r="J7">
        <f>Public_Final!S37</f>
        <v>0</v>
      </c>
      <c r="K7">
        <f>Public_Final!T37</f>
        <v>0</v>
      </c>
      <c r="L7">
        <f>Public_Final!U37</f>
        <v>0</v>
      </c>
      <c r="M7">
        <f>Public_Final!V37</f>
        <v>0</v>
      </c>
      <c r="N7">
        <f>Public_Final!W37</f>
        <v>0</v>
      </c>
      <c r="O7">
        <f>Public_Final!X37</f>
        <v>0</v>
      </c>
      <c r="P7">
        <f>Public_Final!Y37</f>
        <v>0</v>
      </c>
      <c r="Q7">
        <f>Public_Final!Z37</f>
        <v>0</v>
      </c>
      <c r="R7">
        <f>Public_Final!AA37</f>
        <v>0</v>
      </c>
      <c r="S7">
        <f>Public_Final!AB37</f>
        <v>0</v>
      </c>
      <c r="T7">
        <f>Public_Final!AC37</f>
        <v>0</v>
      </c>
      <c r="U7">
        <f>Public_Final!AD37</f>
        <v>0</v>
      </c>
      <c r="V7">
        <f>Public_Final!AE37</f>
        <v>0</v>
      </c>
      <c r="W7">
        <f>Public_Final!AF37</f>
        <v>0</v>
      </c>
      <c r="X7">
        <f>Public_Final!AG37</f>
        <v>0</v>
      </c>
      <c r="Y7">
        <f>Public_Final!AH37</f>
        <v>0</v>
      </c>
      <c r="Z7">
        <f>Public_Final!AI37</f>
        <v>0</v>
      </c>
      <c r="AA7">
        <f>Public_Final!AJ37</f>
        <v>0</v>
      </c>
      <c r="AB7">
        <f>Public_Final!AK37</f>
        <v>0</v>
      </c>
      <c r="AC7">
        <f>Public_Final!AL37</f>
        <v>0</v>
      </c>
      <c r="AD7">
        <f>Public_Final!AM37</f>
        <v>0</v>
      </c>
      <c r="AE7">
        <f>Public_Final!AN37</f>
        <v>0</v>
      </c>
      <c r="AF7">
        <f>Public_Final!AO37</f>
        <v>0</v>
      </c>
      <c r="AG7">
        <f>Public_Final!AP37</f>
        <v>0</v>
      </c>
      <c r="AH7">
        <f>Public_Final!AQ37</f>
        <v>0</v>
      </c>
      <c r="AI7">
        <f>Public_Final!AR37</f>
        <v>0</v>
      </c>
      <c r="AJ7">
        <f>Public_Final!AS37</f>
        <v>0</v>
      </c>
      <c r="AK7">
        <f>Public_Final!AT37</f>
        <v>0</v>
      </c>
      <c r="AL7">
        <f>Public_Final!AU37</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4" tint="-0.499984740745262"/>
  </sheetPr>
  <dimension ref="A1:AL11"/>
  <sheetViews>
    <sheetView workbookViewId="0">
      <pane xSplit="1" topLeftCell="B1" activePane="topRight" state="frozen"/>
      <selection activeCell="G19" sqref="G19"/>
      <selection pane="topRight" activeCell="A8" sqref="A8:XFD11"/>
    </sheetView>
  </sheetViews>
  <sheetFormatPr baseColWidth="10" defaultColWidth="8.796875" defaultRowHeight="14"/>
  <cols>
    <col min="1" max="1" width="19.796875" bestFit="1" customWidth="1"/>
  </cols>
  <sheetData>
    <row r="1" spans="1:38" s="48" customFormat="1">
      <c r="A1" s="48" t="str">
        <f>Public_Final!B40</f>
        <v>Year</v>
      </c>
      <c r="B1" s="48">
        <f>Public_Final!K40</f>
        <v>2014</v>
      </c>
      <c r="C1" s="48">
        <f>Public_Final!L40</f>
        <v>2015</v>
      </c>
      <c r="D1" s="48">
        <f>Public_Final!M40</f>
        <v>2016</v>
      </c>
      <c r="E1" s="48">
        <f>Public_Final!N40</f>
        <v>2017</v>
      </c>
      <c r="F1" s="48">
        <f>Public_Final!O40</f>
        <v>2018</v>
      </c>
      <c r="G1" s="48">
        <f>Public_Final!P40</f>
        <v>2019</v>
      </c>
      <c r="H1" s="48">
        <f>Public_Final!Q40</f>
        <v>2020</v>
      </c>
      <c r="I1" s="48">
        <f>Public_Final!R40</f>
        <v>2021</v>
      </c>
      <c r="J1" s="48">
        <f>Public_Final!S40</f>
        <v>2022</v>
      </c>
      <c r="K1" s="48">
        <f>Public_Final!T40</f>
        <v>2023</v>
      </c>
      <c r="L1" s="48">
        <f>Public_Final!U40</f>
        <v>2024</v>
      </c>
      <c r="M1" s="48">
        <f>Public_Final!V40</f>
        <v>2025</v>
      </c>
      <c r="N1" s="48">
        <f>Public_Final!W40</f>
        <v>2026</v>
      </c>
      <c r="O1" s="48">
        <f>Public_Final!X40</f>
        <v>2027</v>
      </c>
      <c r="P1" s="48">
        <f>Public_Final!Y40</f>
        <v>2028</v>
      </c>
      <c r="Q1" s="48">
        <f>Public_Final!Z40</f>
        <v>2029</v>
      </c>
      <c r="R1" s="48">
        <f>Public_Final!AA40</f>
        <v>2030</v>
      </c>
      <c r="S1" s="48">
        <f>Public_Final!AB40</f>
        <v>2031</v>
      </c>
      <c r="T1" s="48">
        <f>Public_Final!AC40</f>
        <v>2032</v>
      </c>
      <c r="U1" s="48">
        <f>Public_Final!AD40</f>
        <v>2033</v>
      </c>
      <c r="V1" s="48">
        <f>Public_Final!AE40</f>
        <v>2034</v>
      </c>
      <c r="W1" s="48">
        <f>Public_Final!AF40</f>
        <v>2035</v>
      </c>
      <c r="X1" s="48">
        <f>Public_Final!AG40</f>
        <v>2036</v>
      </c>
      <c r="Y1" s="48">
        <f>Public_Final!AH40</f>
        <v>2037</v>
      </c>
      <c r="Z1" s="48">
        <f>Public_Final!AI40</f>
        <v>2038</v>
      </c>
      <c r="AA1" s="48">
        <f>Public_Final!AJ40</f>
        <v>2039</v>
      </c>
      <c r="AB1" s="48">
        <f>Public_Final!AK40</f>
        <v>2040</v>
      </c>
      <c r="AC1" s="48">
        <f>Public_Final!AL40</f>
        <v>2041</v>
      </c>
      <c r="AD1" s="48">
        <f>Public_Final!AM40</f>
        <v>2042</v>
      </c>
      <c r="AE1" s="48">
        <f>Public_Final!AN40</f>
        <v>2043</v>
      </c>
      <c r="AF1" s="48">
        <f>Public_Final!AO40</f>
        <v>2044</v>
      </c>
      <c r="AG1" s="48">
        <f>Public_Final!AP40</f>
        <v>2045</v>
      </c>
      <c r="AH1" s="48">
        <f>Public_Final!AQ40</f>
        <v>2046</v>
      </c>
      <c r="AI1" s="48">
        <f>Public_Final!AR40</f>
        <v>2047</v>
      </c>
      <c r="AJ1" s="48">
        <f>Public_Final!AS40</f>
        <v>2048</v>
      </c>
      <c r="AK1" s="48">
        <f>Public_Final!AT40</f>
        <v>2049</v>
      </c>
      <c r="AL1" s="48">
        <f>Public_Final!AU40</f>
        <v>2050</v>
      </c>
    </row>
    <row r="2" spans="1:38" s="137" customFormat="1">
      <c r="A2" t="str">
        <f>Public_Final!B41</f>
        <v>electricity(BTU)</v>
      </c>
      <c r="B2">
        <f>Public_Final!K41</f>
        <v>1085231000000</v>
      </c>
      <c r="C2">
        <f>Public_Final!L41</f>
        <v>1148733600000</v>
      </c>
      <c r="D2">
        <f>Public_Final!M41</f>
        <v>1229296600000</v>
      </c>
      <c r="E2">
        <f>Public_Final!N41</f>
        <v>1246357000000</v>
      </c>
      <c r="F2">
        <f>Public_Final!O41</f>
        <v>1241618000000</v>
      </c>
      <c r="G2">
        <f>Public_Final!P41</f>
        <v>1277634400000</v>
      </c>
      <c r="H2">
        <f>Public_Final!Q41</f>
        <v>1350615000000</v>
      </c>
      <c r="I2">
        <f>Public_Final!R41</f>
        <v>1377153400000</v>
      </c>
      <c r="J2">
        <f>Public_Final!S41</f>
        <v>1394230563083.001</v>
      </c>
      <c r="K2">
        <f>Public_Final!T41</f>
        <v>1401118745326.7864</v>
      </c>
      <c r="L2">
        <f>Public_Final!U41</f>
        <v>1414163067796.7668</v>
      </c>
      <c r="M2">
        <f>Public_Final!V41</f>
        <v>1438634575749.3987</v>
      </c>
      <c r="N2">
        <f>Public_Final!W41</f>
        <v>1457899574401.5342</v>
      </c>
      <c r="O2">
        <f>Public_Final!X41</f>
        <v>1480360408487.8142</v>
      </c>
      <c r="P2">
        <f>Public_Final!Y41</f>
        <v>1500579995510.5774</v>
      </c>
      <c r="Q2">
        <f>Public_Final!Z41</f>
        <v>1513950924378.1697</v>
      </c>
      <c r="R2">
        <f>Public_Final!AA41</f>
        <v>1515927998171.0378</v>
      </c>
      <c r="S2">
        <f>Public_Final!AB41</f>
        <v>1534686230720.2876</v>
      </c>
      <c r="T2">
        <f>Public_Final!AC41</f>
        <v>1558252100637.8945</v>
      </c>
      <c r="U2">
        <f>Public_Final!AD41</f>
        <v>1575209211105.1062</v>
      </c>
      <c r="V2">
        <f>Public_Final!AE41</f>
        <v>1591823808399.8291</v>
      </c>
      <c r="W2">
        <f>Public_Final!AF41</f>
        <v>1605938889133.0896</v>
      </c>
      <c r="X2">
        <f>Public_Final!AG41</f>
        <v>1612904431826.2617</v>
      </c>
      <c r="Y2">
        <f>Public_Final!AH41</f>
        <v>1625560307105.2019</v>
      </c>
      <c r="Z2">
        <f>Public_Final!AI41</f>
        <v>1639423791420.3906</v>
      </c>
      <c r="AA2">
        <f>Public_Final!AJ41</f>
        <v>1654296331329.054</v>
      </c>
      <c r="AB2">
        <f>Public_Final!AK41</f>
        <v>1669145006916.394</v>
      </c>
      <c r="AC2">
        <f>Public_Final!AL41</f>
        <v>1680491532260.7</v>
      </c>
      <c r="AD2">
        <f>Public_Final!AM41</f>
        <v>1690787013820.6282</v>
      </c>
      <c r="AE2">
        <f>Public_Final!AN41</f>
        <v>1701744457854.0266</v>
      </c>
      <c r="AF2">
        <f>Public_Final!AO41</f>
        <v>1712378476633.3606</v>
      </c>
      <c r="AG2">
        <f>Public_Final!AP41</f>
        <v>1722736799602.6863</v>
      </c>
      <c r="AH2">
        <f>Public_Final!AQ41</f>
        <v>1732356498313.3894</v>
      </c>
      <c r="AI2">
        <f>Public_Final!AR41</f>
        <v>1740852158683.5627</v>
      </c>
      <c r="AJ2">
        <f>Public_Final!AS41</f>
        <v>1748543597670.093</v>
      </c>
      <c r="AK2">
        <f>Public_Final!AT41</f>
        <v>1755262299101.0935</v>
      </c>
      <c r="AL2">
        <f>Public_Final!AU41</f>
        <v>1774689160937.3367</v>
      </c>
    </row>
    <row r="3" spans="1:38" s="137" customFormat="1">
      <c r="A3" t="str">
        <f>Public_Final!B42</f>
        <v>coal(BTU)</v>
      </c>
      <c r="B3">
        <f>Public_Final!K42</f>
        <v>0</v>
      </c>
      <c r="C3">
        <f>Public_Final!L42</f>
        <v>0</v>
      </c>
      <c r="D3">
        <f>Public_Final!M42</f>
        <v>0</v>
      </c>
      <c r="E3">
        <f>Public_Final!N42</f>
        <v>0</v>
      </c>
      <c r="F3">
        <f>Public_Final!O42</f>
        <v>0</v>
      </c>
      <c r="G3">
        <f>Public_Final!P42</f>
        <v>0</v>
      </c>
      <c r="H3">
        <f>Public_Final!Q42</f>
        <v>0</v>
      </c>
      <c r="I3">
        <f>Public_Final!R42</f>
        <v>0</v>
      </c>
      <c r="J3">
        <f>Public_Final!S42</f>
        <v>0</v>
      </c>
      <c r="K3">
        <f>Public_Final!T42</f>
        <v>0</v>
      </c>
      <c r="L3">
        <f>Public_Final!U42</f>
        <v>0</v>
      </c>
      <c r="M3">
        <f>Public_Final!V42</f>
        <v>0</v>
      </c>
      <c r="N3">
        <f>Public_Final!W42</f>
        <v>0</v>
      </c>
      <c r="O3">
        <f>Public_Final!X42</f>
        <v>0</v>
      </c>
      <c r="P3">
        <f>Public_Final!Y42</f>
        <v>0</v>
      </c>
      <c r="Q3">
        <f>Public_Final!Z42</f>
        <v>0</v>
      </c>
      <c r="R3">
        <f>Public_Final!AA42</f>
        <v>0</v>
      </c>
      <c r="S3">
        <f>Public_Final!AB42</f>
        <v>0</v>
      </c>
      <c r="T3">
        <f>Public_Final!AC42</f>
        <v>0</v>
      </c>
      <c r="U3">
        <f>Public_Final!AD42</f>
        <v>0</v>
      </c>
      <c r="V3">
        <f>Public_Final!AE42</f>
        <v>0</v>
      </c>
      <c r="W3">
        <f>Public_Final!AF42</f>
        <v>0</v>
      </c>
      <c r="X3">
        <f>Public_Final!AG42</f>
        <v>0</v>
      </c>
      <c r="Y3">
        <f>Public_Final!AH42</f>
        <v>0</v>
      </c>
      <c r="Z3">
        <f>Public_Final!AI42</f>
        <v>0</v>
      </c>
      <c r="AA3">
        <f>Public_Final!AJ42</f>
        <v>0</v>
      </c>
      <c r="AB3">
        <f>Public_Final!AK42</f>
        <v>0</v>
      </c>
      <c r="AC3">
        <f>Public_Final!AL42</f>
        <v>0</v>
      </c>
      <c r="AD3">
        <f>Public_Final!AM42</f>
        <v>0</v>
      </c>
      <c r="AE3">
        <f>Public_Final!AN42</f>
        <v>0</v>
      </c>
      <c r="AF3">
        <f>Public_Final!AO42</f>
        <v>0</v>
      </c>
      <c r="AG3">
        <f>Public_Final!AP42</f>
        <v>0</v>
      </c>
      <c r="AH3">
        <f>Public_Final!AQ42</f>
        <v>0</v>
      </c>
      <c r="AI3">
        <f>Public_Final!AR42</f>
        <v>0</v>
      </c>
      <c r="AJ3">
        <f>Public_Final!AS42</f>
        <v>0</v>
      </c>
      <c r="AK3">
        <f>Public_Final!AT42</f>
        <v>0</v>
      </c>
      <c r="AL3">
        <f>Public_Final!AU42</f>
        <v>0</v>
      </c>
    </row>
    <row r="4" spans="1:38" s="137" customFormat="1">
      <c r="A4" t="str">
        <f>Public_Final!B43</f>
        <v>natural gas(BTU)</v>
      </c>
      <c r="B4">
        <f>Public_Final!K43</f>
        <v>21799400000</v>
      </c>
      <c r="C4">
        <f>Public_Final!L43</f>
        <v>21799400000</v>
      </c>
      <c r="D4">
        <f>Public_Final!M43</f>
        <v>21799400000</v>
      </c>
      <c r="E4">
        <f>Public_Final!N43</f>
        <v>22747199999.999996</v>
      </c>
      <c r="F4">
        <f>Public_Final!O43</f>
        <v>22747200000</v>
      </c>
      <c r="G4">
        <f>Public_Final!P43</f>
        <v>21799400000</v>
      </c>
      <c r="H4">
        <f>Public_Final!Q43</f>
        <v>23695000000.000004</v>
      </c>
      <c r="I4">
        <f>Public_Final!R43</f>
        <v>23695000000.000004</v>
      </c>
      <c r="J4">
        <f>Public_Final!S43</f>
        <v>26816919397.138783</v>
      </c>
      <c r="K4">
        <f>Public_Final!T43</f>
        <v>27304880394.806526</v>
      </c>
      <c r="L4">
        <f>Public_Final!U43</f>
        <v>27904888100.32737</v>
      </c>
      <c r="M4">
        <f>Public_Final!V43</f>
        <v>28726384016.053608</v>
      </c>
      <c r="N4">
        <f>Public_Final!W43</f>
        <v>29440898135.169415</v>
      </c>
      <c r="O4">
        <f>Public_Final!X43</f>
        <v>30215906116.717419</v>
      </c>
      <c r="P4">
        <f>Public_Final!Y43</f>
        <v>30940804298.361031</v>
      </c>
      <c r="Q4">
        <f>Public_Final!Z43</f>
        <v>31517762330.374989</v>
      </c>
      <c r="R4">
        <f>Public_Final!AA43</f>
        <v>31846880300.630314</v>
      </c>
      <c r="S4">
        <f>Public_Final!AB43</f>
        <v>32518653803.727993</v>
      </c>
      <c r="T4">
        <f>Public_Final!AC43</f>
        <v>33285958489.439548</v>
      </c>
      <c r="U4">
        <f>Public_Final!AD43</f>
        <v>33904953397.757385</v>
      </c>
      <c r="V4">
        <f>Public_Final!AE43</f>
        <v>34507833789.57959</v>
      </c>
      <c r="W4">
        <f>Public_Final!AF43</f>
        <v>35046966284.166252</v>
      </c>
      <c r="X4">
        <f>Public_Final!AG43</f>
        <v>35418816284.328766</v>
      </c>
      <c r="Y4">
        <f>Public_Final!AH43</f>
        <v>35903914628.648117</v>
      </c>
      <c r="Z4">
        <f>Public_Final!AI43</f>
        <v>36404604537.730927</v>
      </c>
      <c r="AA4">
        <f>Public_Final!AJ43</f>
        <v>36916564517.863495</v>
      </c>
      <c r="AB4">
        <f>Public_Final!AK43</f>
        <v>37416627533.869377</v>
      </c>
      <c r="AC4">
        <f>Public_Final!AL43</f>
        <v>37826151537.101341</v>
      </c>
      <c r="AD4">
        <f>Public_Final!AM43</f>
        <v>38199294826.827965</v>
      </c>
      <c r="AE4">
        <f>Public_Final!AN43</f>
        <v>38574404209.001442</v>
      </c>
      <c r="AF4">
        <f>Public_Final!AO43</f>
        <v>38928992238.346062</v>
      </c>
      <c r="AG4">
        <f>Public_Final!AP43</f>
        <v>39263857922.007866</v>
      </c>
      <c r="AH4">
        <f>Public_Final!AQ43</f>
        <v>39568164340.317528</v>
      </c>
      <c r="AI4">
        <f>Public_Final!AR43</f>
        <v>39832789043.787117</v>
      </c>
      <c r="AJ4">
        <f>Public_Final!AS43</f>
        <v>40064758865.830086</v>
      </c>
      <c r="AK4">
        <f>Public_Final!AT43</f>
        <v>40259988912.204788</v>
      </c>
      <c r="AL4">
        <f>Public_Final!AU43</f>
        <v>40732295369.157463</v>
      </c>
    </row>
    <row r="5" spans="1:38" s="137" customFormat="1">
      <c r="A5" t="str">
        <f>Public_Final!B44</f>
        <v>petroleum diesel (BTU)</v>
      </c>
      <c r="B5">
        <f>Public_Final!K44</f>
        <v>0</v>
      </c>
      <c r="C5">
        <f>Public_Final!L44</f>
        <v>0</v>
      </c>
      <c r="D5">
        <f>Public_Final!M44</f>
        <v>0</v>
      </c>
      <c r="E5">
        <f>Public_Final!N44</f>
        <v>0</v>
      </c>
      <c r="F5">
        <f>Public_Final!O44</f>
        <v>0</v>
      </c>
      <c r="G5">
        <f>Public_Final!P44</f>
        <v>0</v>
      </c>
      <c r="H5">
        <f>Public_Final!Q44</f>
        <v>0</v>
      </c>
      <c r="I5">
        <f>Public_Final!R44</f>
        <v>0</v>
      </c>
      <c r="J5">
        <f>Public_Final!S44</f>
        <v>0</v>
      </c>
      <c r="K5">
        <f>Public_Final!T44</f>
        <v>0</v>
      </c>
      <c r="L5">
        <f>Public_Final!U44</f>
        <v>0</v>
      </c>
      <c r="M5">
        <f>Public_Final!V44</f>
        <v>0</v>
      </c>
      <c r="N5">
        <f>Public_Final!W44</f>
        <v>0</v>
      </c>
      <c r="O5">
        <f>Public_Final!X44</f>
        <v>0</v>
      </c>
      <c r="P5">
        <f>Public_Final!Y44</f>
        <v>0</v>
      </c>
      <c r="Q5">
        <f>Public_Final!Z44</f>
        <v>0</v>
      </c>
      <c r="R5">
        <f>Public_Final!AA44</f>
        <v>0</v>
      </c>
      <c r="S5">
        <f>Public_Final!AB44</f>
        <v>0</v>
      </c>
      <c r="T5">
        <f>Public_Final!AC44</f>
        <v>0</v>
      </c>
      <c r="U5">
        <f>Public_Final!AD44</f>
        <v>0</v>
      </c>
      <c r="V5">
        <f>Public_Final!AE44</f>
        <v>0</v>
      </c>
      <c r="W5">
        <f>Public_Final!AF44</f>
        <v>0</v>
      </c>
      <c r="X5">
        <f>Public_Final!AG44</f>
        <v>0</v>
      </c>
      <c r="Y5">
        <f>Public_Final!AH44</f>
        <v>0</v>
      </c>
      <c r="Z5">
        <f>Public_Final!AI44</f>
        <v>0</v>
      </c>
      <c r="AA5">
        <f>Public_Final!AJ44</f>
        <v>0</v>
      </c>
      <c r="AB5">
        <f>Public_Final!AK44</f>
        <v>0</v>
      </c>
      <c r="AC5">
        <f>Public_Final!AL44</f>
        <v>0</v>
      </c>
      <c r="AD5">
        <f>Public_Final!AM44</f>
        <v>0</v>
      </c>
      <c r="AE5">
        <f>Public_Final!AN44</f>
        <v>0</v>
      </c>
      <c r="AF5">
        <f>Public_Final!AO44</f>
        <v>0</v>
      </c>
      <c r="AG5">
        <f>Public_Final!AP44</f>
        <v>0</v>
      </c>
      <c r="AH5">
        <f>Public_Final!AQ44</f>
        <v>0</v>
      </c>
      <c r="AI5">
        <f>Public_Final!AR44</f>
        <v>0</v>
      </c>
      <c r="AJ5">
        <f>Public_Final!AS44</f>
        <v>0</v>
      </c>
      <c r="AK5">
        <f>Public_Final!AT44</f>
        <v>0</v>
      </c>
      <c r="AL5">
        <f>Public_Final!AU44</f>
        <v>0</v>
      </c>
    </row>
    <row r="6" spans="1:38" s="137" customFormat="1">
      <c r="A6" t="str">
        <f>Public_Final!B45</f>
        <v>heat (BTU)</v>
      </c>
      <c r="B6">
        <f>Public_Final!K45</f>
        <v>0</v>
      </c>
      <c r="C6">
        <f>Public_Final!L45</f>
        <v>0</v>
      </c>
      <c r="D6">
        <f>Public_Final!M45</f>
        <v>0</v>
      </c>
      <c r="E6">
        <f>Public_Final!N45</f>
        <v>0</v>
      </c>
      <c r="F6">
        <f>Public_Final!O45</f>
        <v>0</v>
      </c>
      <c r="G6">
        <f>Public_Final!P45</f>
        <v>0</v>
      </c>
      <c r="H6">
        <f>Public_Final!Q45</f>
        <v>0</v>
      </c>
      <c r="I6">
        <f>Public_Final!R45</f>
        <v>0</v>
      </c>
      <c r="J6">
        <f>Public_Final!S45</f>
        <v>0</v>
      </c>
      <c r="K6">
        <f>Public_Final!T45</f>
        <v>0</v>
      </c>
      <c r="L6">
        <f>Public_Final!U45</f>
        <v>0</v>
      </c>
      <c r="M6">
        <f>Public_Final!V45</f>
        <v>0</v>
      </c>
      <c r="N6">
        <f>Public_Final!W45</f>
        <v>0</v>
      </c>
      <c r="O6">
        <f>Public_Final!X45</f>
        <v>0</v>
      </c>
      <c r="P6">
        <f>Public_Final!Y45</f>
        <v>0</v>
      </c>
      <c r="Q6">
        <f>Public_Final!Z45</f>
        <v>0</v>
      </c>
      <c r="R6">
        <f>Public_Final!AA45</f>
        <v>0</v>
      </c>
      <c r="S6">
        <f>Public_Final!AB45</f>
        <v>0</v>
      </c>
      <c r="T6">
        <f>Public_Final!AC45</f>
        <v>0</v>
      </c>
      <c r="U6">
        <f>Public_Final!AD45</f>
        <v>0</v>
      </c>
      <c r="V6">
        <f>Public_Final!AE45</f>
        <v>0</v>
      </c>
      <c r="W6">
        <f>Public_Final!AF45</f>
        <v>0</v>
      </c>
      <c r="X6">
        <f>Public_Final!AG45</f>
        <v>0</v>
      </c>
      <c r="Y6">
        <f>Public_Final!AH45</f>
        <v>0</v>
      </c>
      <c r="Z6">
        <f>Public_Final!AI45</f>
        <v>0</v>
      </c>
      <c r="AA6">
        <f>Public_Final!AJ45</f>
        <v>0</v>
      </c>
      <c r="AB6">
        <f>Public_Final!AK45</f>
        <v>0</v>
      </c>
      <c r="AC6">
        <f>Public_Final!AL45</f>
        <v>0</v>
      </c>
      <c r="AD6">
        <f>Public_Final!AM45</f>
        <v>0</v>
      </c>
      <c r="AE6">
        <f>Public_Final!AN45</f>
        <v>0</v>
      </c>
      <c r="AF6">
        <f>Public_Final!AO45</f>
        <v>0</v>
      </c>
      <c r="AG6">
        <f>Public_Final!AP45</f>
        <v>0</v>
      </c>
      <c r="AH6">
        <f>Public_Final!AQ45</f>
        <v>0</v>
      </c>
      <c r="AI6">
        <f>Public_Final!AR45</f>
        <v>0</v>
      </c>
      <c r="AJ6">
        <f>Public_Final!AS45</f>
        <v>0</v>
      </c>
      <c r="AK6">
        <f>Public_Final!AT45</f>
        <v>0</v>
      </c>
      <c r="AL6">
        <f>Public_Final!AU45</f>
        <v>0</v>
      </c>
    </row>
    <row r="7" spans="1:38" s="137" customFormat="1">
      <c r="A7" t="str">
        <f>Public_Final!B46</f>
        <v>biomass (BTU)</v>
      </c>
      <c r="B7">
        <f>Public_Final!K46</f>
        <v>0</v>
      </c>
      <c r="C7">
        <f>Public_Final!L46</f>
        <v>0</v>
      </c>
      <c r="D7">
        <f>Public_Final!M46</f>
        <v>0</v>
      </c>
      <c r="E7">
        <f>Public_Final!N46</f>
        <v>0</v>
      </c>
      <c r="F7">
        <f>Public_Final!O46</f>
        <v>0</v>
      </c>
      <c r="G7">
        <f>Public_Final!P46</f>
        <v>0</v>
      </c>
      <c r="H7">
        <f>Public_Final!Q46</f>
        <v>0</v>
      </c>
      <c r="I7">
        <f>Public_Final!R46</f>
        <v>0</v>
      </c>
      <c r="J7">
        <f>Public_Final!S46</f>
        <v>0</v>
      </c>
      <c r="K7">
        <f>Public_Final!T46</f>
        <v>0</v>
      </c>
      <c r="L7">
        <f>Public_Final!U46</f>
        <v>0</v>
      </c>
      <c r="M7">
        <f>Public_Final!V46</f>
        <v>0</v>
      </c>
      <c r="N7">
        <f>Public_Final!W46</f>
        <v>0</v>
      </c>
      <c r="O7">
        <f>Public_Final!X46</f>
        <v>0</v>
      </c>
      <c r="P7">
        <f>Public_Final!Y46</f>
        <v>0</v>
      </c>
      <c r="Q7">
        <f>Public_Final!Z46</f>
        <v>0</v>
      </c>
      <c r="R7">
        <f>Public_Final!AA46</f>
        <v>0</v>
      </c>
      <c r="S7">
        <f>Public_Final!AB46</f>
        <v>0</v>
      </c>
      <c r="T7">
        <f>Public_Final!AC46</f>
        <v>0</v>
      </c>
      <c r="U7">
        <f>Public_Final!AD46</f>
        <v>0</v>
      </c>
      <c r="V7">
        <f>Public_Final!AE46</f>
        <v>0</v>
      </c>
      <c r="W7">
        <f>Public_Final!AF46</f>
        <v>0</v>
      </c>
      <c r="X7">
        <f>Public_Final!AG46</f>
        <v>0</v>
      </c>
      <c r="Y7">
        <f>Public_Final!AH46</f>
        <v>0</v>
      </c>
      <c r="Z7">
        <f>Public_Final!AI46</f>
        <v>0</v>
      </c>
      <c r="AA7">
        <f>Public_Final!AJ46</f>
        <v>0</v>
      </c>
      <c r="AB7">
        <f>Public_Final!AK46</f>
        <v>0</v>
      </c>
      <c r="AC7">
        <f>Public_Final!AL46</f>
        <v>0</v>
      </c>
      <c r="AD7">
        <f>Public_Final!AM46</f>
        <v>0</v>
      </c>
      <c r="AE7">
        <f>Public_Final!AN46</f>
        <v>0</v>
      </c>
      <c r="AF7">
        <f>Public_Final!AO46</f>
        <v>0</v>
      </c>
      <c r="AG7">
        <f>Public_Final!AP46</f>
        <v>0</v>
      </c>
      <c r="AH7">
        <f>Public_Final!AQ46</f>
        <v>0</v>
      </c>
      <c r="AI7">
        <f>Public_Final!AR46</f>
        <v>0</v>
      </c>
      <c r="AJ7">
        <f>Public_Final!AS46</f>
        <v>0</v>
      </c>
      <c r="AK7">
        <f>Public_Final!AT46</f>
        <v>0</v>
      </c>
      <c r="AL7">
        <f>Public_Final!AU46</f>
        <v>0</v>
      </c>
    </row>
    <row r="8" spans="1:38">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38">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38">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38">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4" tint="-0.499984740745262"/>
  </sheetPr>
  <dimension ref="A1:AN11"/>
  <sheetViews>
    <sheetView workbookViewId="0">
      <pane xSplit="1" ySplit="1" topLeftCell="B3"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Commercial_Final!K23</f>
        <v>0</v>
      </c>
      <c r="C2" s="137">
        <f>Commercial_Final!L23</f>
        <v>0</v>
      </c>
      <c r="D2" s="137">
        <f>Commercial_Final!M23</f>
        <v>0</v>
      </c>
      <c r="E2" s="137">
        <f>Commercial_Final!N23</f>
        <v>0</v>
      </c>
      <c r="F2" s="137">
        <f>Commercial_Final!O23</f>
        <v>0</v>
      </c>
      <c r="G2" s="137">
        <f>Commercial_Final!P23</f>
        <v>0</v>
      </c>
      <c r="H2" s="137">
        <f>Commercial_Final!Q23</f>
        <v>0</v>
      </c>
      <c r="I2" s="137">
        <f>Commercial_Final!R23</f>
        <v>0</v>
      </c>
      <c r="J2" s="137">
        <f>Commercial_Final!S23</f>
        <v>0</v>
      </c>
      <c r="K2" s="137">
        <f>Commercial_Final!T23</f>
        <v>0</v>
      </c>
      <c r="L2" s="137">
        <f>Commercial_Final!U23</f>
        <v>0</v>
      </c>
      <c r="M2" s="137">
        <f>Commercial_Final!V23</f>
        <v>0</v>
      </c>
      <c r="N2" s="137">
        <f>Commercial_Final!W23</f>
        <v>0</v>
      </c>
      <c r="O2" s="137">
        <f>Commercial_Final!X23</f>
        <v>0</v>
      </c>
      <c r="P2" s="137">
        <f>Commercial_Final!Y23</f>
        <v>0</v>
      </c>
      <c r="Q2" s="137">
        <f>Commercial_Final!Z23</f>
        <v>0</v>
      </c>
      <c r="R2" s="137">
        <f>Commercial_Final!AA23</f>
        <v>0</v>
      </c>
      <c r="S2" s="137">
        <f>Commercial_Final!AB23</f>
        <v>0</v>
      </c>
      <c r="T2" s="137">
        <f>Commercial_Final!AC23</f>
        <v>0</v>
      </c>
      <c r="U2" s="137">
        <f>Commercial_Final!AD23</f>
        <v>0</v>
      </c>
      <c r="V2" s="137">
        <f>Commercial_Final!AE23</f>
        <v>0</v>
      </c>
      <c r="W2" s="137">
        <f>Commercial_Final!AF23</f>
        <v>0</v>
      </c>
      <c r="X2" s="137">
        <f>Commercial_Final!AG23</f>
        <v>0</v>
      </c>
      <c r="Y2" s="137">
        <f>Commercial_Final!AH23</f>
        <v>0</v>
      </c>
      <c r="Z2" s="137">
        <f>Commercial_Final!AI23</f>
        <v>0</v>
      </c>
      <c r="AA2" s="137">
        <f>Commercial_Final!AJ23</f>
        <v>0</v>
      </c>
      <c r="AB2" s="137">
        <f>Commercial_Final!AK23</f>
        <v>0</v>
      </c>
      <c r="AC2" s="137">
        <f>Commercial_Final!AL23</f>
        <v>0</v>
      </c>
      <c r="AD2" s="137">
        <f>Commercial_Final!AM23</f>
        <v>0</v>
      </c>
      <c r="AE2" s="137">
        <f>Commercial_Final!AN23</f>
        <v>0</v>
      </c>
      <c r="AF2" s="137">
        <f>Commercial_Final!AO23</f>
        <v>0</v>
      </c>
      <c r="AG2" s="137">
        <f>Commercial_Final!AP23</f>
        <v>0</v>
      </c>
      <c r="AH2" s="137">
        <f>Commercial_Final!AQ23</f>
        <v>0</v>
      </c>
      <c r="AI2" s="137">
        <f>Commercial_Final!AR23</f>
        <v>0</v>
      </c>
      <c r="AJ2" s="137">
        <f>Commercial_Final!AS23</f>
        <v>0</v>
      </c>
      <c r="AK2" s="137">
        <f>Commercial_Final!AT23</f>
        <v>0</v>
      </c>
      <c r="AL2" s="137">
        <f>Commercial_Final!AU23</f>
        <v>0</v>
      </c>
    </row>
    <row r="3" spans="1:40">
      <c r="A3" s="18" t="s">
        <v>970</v>
      </c>
      <c r="B3" s="137">
        <f>Commercial_Final!K24</f>
        <v>0</v>
      </c>
      <c r="C3" s="137">
        <f>Commercial_Final!L24</f>
        <v>0</v>
      </c>
      <c r="D3" s="137">
        <f>Commercial_Final!M24</f>
        <v>0</v>
      </c>
      <c r="E3" s="137">
        <f>Commercial_Final!N24</f>
        <v>0</v>
      </c>
      <c r="F3" s="137">
        <f>Commercial_Final!O24</f>
        <v>0</v>
      </c>
      <c r="G3" s="137">
        <f>Commercial_Final!P24</f>
        <v>0</v>
      </c>
      <c r="H3" s="137">
        <f>Commercial_Final!Q24</f>
        <v>0</v>
      </c>
      <c r="I3" s="137">
        <f>Commercial_Final!R24</f>
        <v>0</v>
      </c>
      <c r="J3" s="137">
        <f>Commercial_Final!S24</f>
        <v>0</v>
      </c>
      <c r="K3" s="137">
        <f>Commercial_Final!T24</f>
        <v>0</v>
      </c>
      <c r="L3" s="137">
        <f>Commercial_Final!U24</f>
        <v>0</v>
      </c>
      <c r="M3" s="137">
        <f>Commercial_Final!V24</f>
        <v>0</v>
      </c>
      <c r="N3" s="137">
        <f>Commercial_Final!W24</f>
        <v>0</v>
      </c>
      <c r="O3" s="137">
        <f>Commercial_Final!X24</f>
        <v>0</v>
      </c>
      <c r="P3" s="137">
        <f>Commercial_Final!Y24</f>
        <v>0</v>
      </c>
      <c r="Q3" s="137">
        <f>Commercial_Final!Z24</f>
        <v>0</v>
      </c>
      <c r="R3" s="137">
        <f>Commercial_Final!AA24</f>
        <v>0</v>
      </c>
      <c r="S3" s="137">
        <f>Commercial_Final!AB24</f>
        <v>0</v>
      </c>
      <c r="T3" s="137">
        <f>Commercial_Final!AC24</f>
        <v>0</v>
      </c>
      <c r="U3" s="137">
        <f>Commercial_Final!AD24</f>
        <v>0</v>
      </c>
      <c r="V3" s="137">
        <f>Commercial_Final!AE24</f>
        <v>0</v>
      </c>
      <c r="W3" s="137">
        <f>Commercial_Final!AF24</f>
        <v>0</v>
      </c>
      <c r="X3" s="137">
        <f>Commercial_Final!AG24</f>
        <v>0</v>
      </c>
      <c r="Y3" s="137">
        <f>Commercial_Final!AH24</f>
        <v>0</v>
      </c>
      <c r="Z3" s="137">
        <f>Commercial_Final!AI24</f>
        <v>0</v>
      </c>
      <c r="AA3" s="137">
        <f>Commercial_Final!AJ24</f>
        <v>0</v>
      </c>
      <c r="AB3" s="137">
        <f>Commercial_Final!AK24</f>
        <v>0</v>
      </c>
      <c r="AC3" s="137">
        <f>Commercial_Final!AL24</f>
        <v>0</v>
      </c>
      <c r="AD3" s="137">
        <f>Commercial_Final!AM24</f>
        <v>0</v>
      </c>
      <c r="AE3" s="137">
        <f>Commercial_Final!AN24</f>
        <v>0</v>
      </c>
      <c r="AF3" s="137">
        <f>Commercial_Final!AO24</f>
        <v>0</v>
      </c>
      <c r="AG3" s="137">
        <f>Commercial_Final!AP24</f>
        <v>0</v>
      </c>
      <c r="AH3" s="137">
        <f>Commercial_Final!AQ24</f>
        <v>0</v>
      </c>
      <c r="AI3" s="137">
        <f>Commercial_Final!AR24</f>
        <v>0</v>
      </c>
      <c r="AJ3" s="137">
        <f>Commercial_Final!AS24</f>
        <v>0</v>
      </c>
      <c r="AK3" s="137">
        <f>Commercial_Final!AT24</f>
        <v>0</v>
      </c>
      <c r="AL3" s="137">
        <f>Commercial_Final!AU24</f>
        <v>0</v>
      </c>
    </row>
    <row r="4" spans="1:40">
      <c r="A4" s="18" t="s">
        <v>971</v>
      </c>
      <c r="B4" s="137">
        <f>Commercial_Final!K25</f>
        <v>0</v>
      </c>
      <c r="C4" s="137">
        <f>Commercial_Final!L25</f>
        <v>0</v>
      </c>
      <c r="D4" s="137">
        <f>Commercial_Final!M25</f>
        <v>0</v>
      </c>
      <c r="E4" s="137">
        <f>Commercial_Final!N25</f>
        <v>0</v>
      </c>
      <c r="F4" s="137">
        <f>Commercial_Final!O25</f>
        <v>0</v>
      </c>
      <c r="G4" s="137">
        <f>Commercial_Final!P25</f>
        <v>0</v>
      </c>
      <c r="H4" s="137">
        <f>Commercial_Final!Q25</f>
        <v>0</v>
      </c>
      <c r="I4" s="137">
        <f>Commercial_Final!R25</f>
        <v>0</v>
      </c>
      <c r="J4" s="137">
        <f>Commercial_Final!S25</f>
        <v>0</v>
      </c>
      <c r="K4" s="137">
        <f>Commercial_Final!T25</f>
        <v>0</v>
      </c>
      <c r="L4" s="137">
        <f>Commercial_Final!U25</f>
        <v>0</v>
      </c>
      <c r="M4" s="137">
        <f>Commercial_Final!V25</f>
        <v>0</v>
      </c>
      <c r="N4" s="137">
        <f>Commercial_Final!W25</f>
        <v>0</v>
      </c>
      <c r="O4" s="137">
        <f>Commercial_Final!X25</f>
        <v>0</v>
      </c>
      <c r="P4" s="137">
        <f>Commercial_Final!Y25</f>
        <v>0</v>
      </c>
      <c r="Q4" s="137">
        <f>Commercial_Final!Z25</f>
        <v>0</v>
      </c>
      <c r="R4" s="137">
        <f>Commercial_Final!AA25</f>
        <v>0</v>
      </c>
      <c r="S4" s="137">
        <f>Commercial_Final!AB25</f>
        <v>0</v>
      </c>
      <c r="T4" s="137">
        <f>Commercial_Final!AC25</f>
        <v>0</v>
      </c>
      <c r="U4" s="137">
        <f>Commercial_Final!AD25</f>
        <v>0</v>
      </c>
      <c r="V4" s="137">
        <f>Commercial_Final!AE25</f>
        <v>0</v>
      </c>
      <c r="W4" s="137">
        <f>Commercial_Final!AF25</f>
        <v>0</v>
      </c>
      <c r="X4" s="137">
        <f>Commercial_Final!AG25</f>
        <v>0</v>
      </c>
      <c r="Y4" s="137">
        <f>Commercial_Final!AH25</f>
        <v>0</v>
      </c>
      <c r="Z4" s="137">
        <f>Commercial_Final!AI25</f>
        <v>0</v>
      </c>
      <c r="AA4" s="137">
        <f>Commercial_Final!AJ25</f>
        <v>0</v>
      </c>
      <c r="AB4" s="137">
        <f>Commercial_Final!AK25</f>
        <v>0</v>
      </c>
      <c r="AC4" s="137">
        <f>Commercial_Final!AL25</f>
        <v>0</v>
      </c>
      <c r="AD4" s="137">
        <f>Commercial_Final!AM25</f>
        <v>0</v>
      </c>
      <c r="AE4" s="137">
        <f>Commercial_Final!AN25</f>
        <v>0</v>
      </c>
      <c r="AF4" s="137">
        <f>Commercial_Final!AO25</f>
        <v>0</v>
      </c>
      <c r="AG4" s="137">
        <f>Commercial_Final!AP25</f>
        <v>0</v>
      </c>
      <c r="AH4" s="137">
        <f>Commercial_Final!AQ25</f>
        <v>0</v>
      </c>
      <c r="AI4" s="137">
        <f>Commercial_Final!AR25</f>
        <v>0</v>
      </c>
      <c r="AJ4" s="137">
        <f>Commercial_Final!AS25</f>
        <v>0</v>
      </c>
      <c r="AK4" s="137">
        <f>Commercial_Final!AT25</f>
        <v>0</v>
      </c>
      <c r="AL4" s="137">
        <f>Commercial_Final!AU25</f>
        <v>0</v>
      </c>
    </row>
    <row r="5" spans="1:40">
      <c r="A5" s="18" t="s">
        <v>972</v>
      </c>
      <c r="B5" s="137">
        <f>Commercial_Final!K26</f>
        <v>0</v>
      </c>
      <c r="C5" s="137">
        <f>Commercial_Final!L26</f>
        <v>0</v>
      </c>
      <c r="D5" s="137">
        <f>Commercial_Final!M26</f>
        <v>0</v>
      </c>
      <c r="E5" s="137">
        <f>Commercial_Final!N26</f>
        <v>0</v>
      </c>
      <c r="F5" s="137">
        <f>Commercial_Final!O26</f>
        <v>0</v>
      </c>
      <c r="G5" s="137">
        <f>Commercial_Final!P26</f>
        <v>0</v>
      </c>
      <c r="H5" s="137">
        <f>Commercial_Final!Q26</f>
        <v>0</v>
      </c>
      <c r="I5" s="137">
        <f>Commercial_Final!R26</f>
        <v>0</v>
      </c>
      <c r="J5" s="137">
        <f>Commercial_Final!S26</f>
        <v>0</v>
      </c>
      <c r="K5" s="137">
        <f>Commercial_Final!T26</f>
        <v>0</v>
      </c>
      <c r="L5" s="137">
        <f>Commercial_Final!U26</f>
        <v>0</v>
      </c>
      <c r="M5" s="137">
        <f>Commercial_Final!V26</f>
        <v>0</v>
      </c>
      <c r="N5" s="137">
        <f>Commercial_Final!W26</f>
        <v>0</v>
      </c>
      <c r="O5" s="137">
        <f>Commercial_Final!X26</f>
        <v>0</v>
      </c>
      <c r="P5" s="137">
        <f>Commercial_Final!Y26</f>
        <v>0</v>
      </c>
      <c r="Q5" s="137">
        <f>Commercial_Final!Z26</f>
        <v>0</v>
      </c>
      <c r="R5" s="137">
        <f>Commercial_Final!AA26</f>
        <v>0</v>
      </c>
      <c r="S5" s="137">
        <f>Commercial_Final!AB26</f>
        <v>0</v>
      </c>
      <c r="T5" s="137">
        <f>Commercial_Final!AC26</f>
        <v>0</v>
      </c>
      <c r="U5" s="137">
        <f>Commercial_Final!AD26</f>
        <v>0</v>
      </c>
      <c r="V5" s="137">
        <f>Commercial_Final!AE26</f>
        <v>0</v>
      </c>
      <c r="W5" s="137">
        <f>Commercial_Final!AF26</f>
        <v>0</v>
      </c>
      <c r="X5" s="137">
        <f>Commercial_Final!AG26</f>
        <v>0</v>
      </c>
      <c r="Y5" s="137">
        <f>Commercial_Final!AH26</f>
        <v>0</v>
      </c>
      <c r="Z5" s="137">
        <f>Commercial_Final!AI26</f>
        <v>0</v>
      </c>
      <c r="AA5" s="137">
        <f>Commercial_Final!AJ26</f>
        <v>0</v>
      </c>
      <c r="AB5" s="137">
        <f>Commercial_Final!AK26</f>
        <v>0</v>
      </c>
      <c r="AC5" s="137">
        <f>Commercial_Final!AL26</f>
        <v>0</v>
      </c>
      <c r="AD5" s="137">
        <f>Commercial_Final!AM26</f>
        <v>0</v>
      </c>
      <c r="AE5" s="137">
        <f>Commercial_Final!AN26</f>
        <v>0</v>
      </c>
      <c r="AF5" s="137">
        <f>Commercial_Final!AO26</f>
        <v>0</v>
      </c>
      <c r="AG5" s="137">
        <f>Commercial_Final!AP26</f>
        <v>0</v>
      </c>
      <c r="AH5" s="137">
        <f>Commercial_Final!AQ26</f>
        <v>0</v>
      </c>
      <c r="AI5" s="137">
        <f>Commercial_Final!AR26</f>
        <v>0</v>
      </c>
      <c r="AJ5" s="137">
        <f>Commercial_Final!AS26</f>
        <v>0</v>
      </c>
      <c r="AK5" s="137">
        <f>Commercial_Final!AT26</f>
        <v>0</v>
      </c>
      <c r="AL5" s="137">
        <f>Commercial_Final!AU26</f>
        <v>0</v>
      </c>
    </row>
    <row r="6" spans="1:40">
      <c r="A6" s="18" t="s">
        <v>973</v>
      </c>
      <c r="B6" s="137">
        <f>Commercial_Final!K27</f>
        <v>0</v>
      </c>
      <c r="C6" s="137">
        <f>Commercial_Final!L27</f>
        <v>0</v>
      </c>
      <c r="D6" s="137">
        <f>Commercial_Final!M27</f>
        <v>0</v>
      </c>
      <c r="E6" s="137">
        <f>Commercial_Final!N27</f>
        <v>0</v>
      </c>
      <c r="F6" s="137">
        <f>Commercial_Final!O27</f>
        <v>0</v>
      </c>
      <c r="G6" s="137">
        <f>Commercial_Final!P27</f>
        <v>0</v>
      </c>
      <c r="H6" s="137">
        <f>Commercial_Final!Q27</f>
        <v>0</v>
      </c>
      <c r="I6" s="137">
        <f>Commercial_Final!R27</f>
        <v>0</v>
      </c>
      <c r="J6" s="137">
        <f>Commercial_Final!S27</f>
        <v>0</v>
      </c>
      <c r="K6" s="137">
        <f>Commercial_Final!T27</f>
        <v>0</v>
      </c>
      <c r="L6" s="137">
        <f>Commercial_Final!U27</f>
        <v>0</v>
      </c>
      <c r="M6" s="137">
        <f>Commercial_Final!V27</f>
        <v>0</v>
      </c>
      <c r="N6" s="137">
        <f>Commercial_Final!W27</f>
        <v>0</v>
      </c>
      <c r="O6" s="137">
        <f>Commercial_Final!X27</f>
        <v>0</v>
      </c>
      <c r="P6" s="137">
        <f>Commercial_Final!Y27</f>
        <v>0</v>
      </c>
      <c r="Q6" s="137">
        <f>Commercial_Final!Z27</f>
        <v>0</v>
      </c>
      <c r="R6" s="137">
        <f>Commercial_Final!AA27</f>
        <v>0</v>
      </c>
      <c r="S6" s="137">
        <f>Commercial_Final!AB27</f>
        <v>0</v>
      </c>
      <c r="T6" s="137">
        <f>Commercial_Final!AC27</f>
        <v>0</v>
      </c>
      <c r="U6" s="137">
        <f>Commercial_Final!AD27</f>
        <v>0</v>
      </c>
      <c r="V6" s="137">
        <f>Commercial_Final!AE27</f>
        <v>0</v>
      </c>
      <c r="W6" s="137">
        <f>Commercial_Final!AF27</f>
        <v>0</v>
      </c>
      <c r="X6" s="137">
        <f>Commercial_Final!AG27</f>
        <v>0</v>
      </c>
      <c r="Y6" s="137">
        <f>Commercial_Final!AH27</f>
        <v>0</v>
      </c>
      <c r="Z6" s="137">
        <f>Commercial_Final!AI27</f>
        <v>0</v>
      </c>
      <c r="AA6" s="137">
        <f>Commercial_Final!AJ27</f>
        <v>0</v>
      </c>
      <c r="AB6" s="137">
        <f>Commercial_Final!AK27</f>
        <v>0</v>
      </c>
      <c r="AC6" s="137">
        <f>Commercial_Final!AL27</f>
        <v>0</v>
      </c>
      <c r="AD6" s="137">
        <f>Commercial_Final!AM27</f>
        <v>0</v>
      </c>
      <c r="AE6" s="137">
        <f>Commercial_Final!AN27</f>
        <v>0</v>
      </c>
      <c r="AF6" s="137">
        <f>Commercial_Final!AO27</f>
        <v>0</v>
      </c>
      <c r="AG6" s="137">
        <f>Commercial_Final!AP27</f>
        <v>0</v>
      </c>
      <c r="AH6" s="137">
        <f>Commercial_Final!AQ27</f>
        <v>0</v>
      </c>
      <c r="AI6" s="137">
        <f>Commercial_Final!AR27</f>
        <v>0</v>
      </c>
      <c r="AJ6" s="137">
        <f>Commercial_Final!AS27</f>
        <v>0</v>
      </c>
      <c r="AK6" s="137">
        <f>Commercial_Final!AT27</f>
        <v>0</v>
      </c>
      <c r="AL6" s="137">
        <f>Commercial_Final!AU27</f>
        <v>0</v>
      </c>
    </row>
    <row r="7" spans="1:40">
      <c r="A7" s="18" t="s">
        <v>974</v>
      </c>
      <c r="B7" s="137">
        <f>Commercial_Final!K28</f>
        <v>0</v>
      </c>
      <c r="C7" s="137">
        <f>Commercial_Final!L28</f>
        <v>0</v>
      </c>
      <c r="D7" s="137">
        <f>Commercial_Final!M28</f>
        <v>0</v>
      </c>
      <c r="E7" s="137">
        <f>Commercial_Final!N28</f>
        <v>0</v>
      </c>
      <c r="F7" s="137">
        <f>Commercial_Final!O28</f>
        <v>0</v>
      </c>
      <c r="G7" s="137">
        <f>Commercial_Final!P28</f>
        <v>0</v>
      </c>
      <c r="H7" s="137">
        <f>Commercial_Final!Q28</f>
        <v>0</v>
      </c>
      <c r="I7" s="137">
        <f>Commercial_Final!R28</f>
        <v>0</v>
      </c>
      <c r="J7" s="137">
        <f>Commercial_Final!S28</f>
        <v>0</v>
      </c>
      <c r="K7" s="137">
        <f>Commercial_Final!T28</f>
        <v>0</v>
      </c>
      <c r="L7" s="137">
        <f>Commercial_Final!U28</f>
        <v>0</v>
      </c>
      <c r="M7" s="137">
        <f>Commercial_Final!V28</f>
        <v>0</v>
      </c>
      <c r="N7" s="137">
        <f>Commercial_Final!W28</f>
        <v>0</v>
      </c>
      <c r="O7" s="137">
        <f>Commercial_Final!X28</f>
        <v>0</v>
      </c>
      <c r="P7" s="137">
        <f>Commercial_Final!Y28</f>
        <v>0</v>
      </c>
      <c r="Q7" s="137">
        <f>Commercial_Final!Z28</f>
        <v>0</v>
      </c>
      <c r="R7" s="137">
        <f>Commercial_Final!AA28</f>
        <v>0</v>
      </c>
      <c r="S7" s="137">
        <f>Commercial_Final!AB28</f>
        <v>0</v>
      </c>
      <c r="T7" s="137">
        <f>Commercial_Final!AC28</f>
        <v>0</v>
      </c>
      <c r="U7" s="137">
        <f>Commercial_Final!AD28</f>
        <v>0</v>
      </c>
      <c r="V7" s="137">
        <f>Commercial_Final!AE28</f>
        <v>0</v>
      </c>
      <c r="W7" s="137">
        <f>Commercial_Final!AF28</f>
        <v>0</v>
      </c>
      <c r="X7" s="137">
        <f>Commercial_Final!AG28</f>
        <v>0</v>
      </c>
      <c r="Y7" s="137">
        <f>Commercial_Final!AH28</f>
        <v>0</v>
      </c>
      <c r="Z7" s="137">
        <f>Commercial_Final!AI28</f>
        <v>0</v>
      </c>
      <c r="AA7" s="137">
        <f>Commercial_Final!AJ28</f>
        <v>0</v>
      </c>
      <c r="AB7" s="137">
        <f>Commercial_Final!AK28</f>
        <v>0</v>
      </c>
      <c r="AC7" s="137">
        <f>Commercial_Final!AL28</f>
        <v>0</v>
      </c>
      <c r="AD7" s="137">
        <f>Commercial_Final!AM28</f>
        <v>0</v>
      </c>
      <c r="AE7" s="137">
        <f>Commercial_Final!AN28</f>
        <v>0</v>
      </c>
      <c r="AF7" s="137">
        <f>Commercial_Final!AO28</f>
        <v>0</v>
      </c>
      <c r="AG7" s="137">
        <f>Commercial_Final!AP28</f>
        <v>0</v>
      </c>
      <c r="AH7" s="137">
        <f>Commercial_Final!AQ28</f>
        <v>0</v>
      </c>
      <c r="AI7" s="137">
        <f>Commercial_Final!AR28</f>
        <v>0</v>
      </c>
      <c r="AJ7" s="137">
        <f>Commercial_Final!AS28</f>
        <v>0</v>
      </c>
      <c r="AK7" s="137">
        <f>Commercial_Final!AT28</f>
        <v>0</v>
      </c>
      <c r="AL7" s="137">
        <f>Commercial_Final!AU28</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Commercial_Final!K14</f>
        <v>27840677200000</v>
      </c>
      <c r="C2" s="137">
        <f>Commercial_Final!L14</f>
        <v>27695663800000</v>
      </c>
      <c r="D2" s="137">
        <f>Commercial_Final!M14</f>
        <v>27034099400000</v>
      </c>
      <c r="E2" s="137">
        <f>Commercial_Final!N14</f>
        <v>27207546800000</v>
      </c>
      <c r="F2" s="137">
        <f>Commercial_Final!O14</f>
        <v>28934438400000</v>
      </c>
      <c r="G2" s="137">
        <f>Commercial_Final!P14</f>
        <v>28595126000000</v>
      </c>
      <c r="H2" s="137">
        <f>Commercial_Final!Q14</f>
        <v>27341186600000</v>
      </c>
      <c r="I2" s="137">
        <f>Commercial_Final!R14</f>
        <v>28150607800000</v>
      </c>
      <c r="J2" s="137">
        <f>Commercial_Final!S14</f>
        <v>28926771061581.391</v>
      </c>
      <c r="K2" s="137">
        <f>Commercial_Final!T14</f>
        <v>29220472710339.402</v>
      </c>
      <c r="L2" s="137">
        <f>Commercial_Final!U14</f>
        <v>29515286523768.762</v>
      </c>
      <c r="M2" s="137">
        <f>Commercial_Final!V14</f>
        <v>29675817217323.301</v>
      </c>
      <c r="N2" s="137">
        <f>Commercial_Final!W14</f>
        <v>29896521787582.797</v>
      </c>
      <c r="O2" s="137">
        <f>Commercial_Final!X14</f>
        <v>30117226357842.281</v>
      </c>
      <c r="P2" s="137">
        <f>Commercial_Final!Y14</f>
        <v>30337930928101.777</v>
      </c>
      <c r="Q2" s="137">
        <f>Commercial_Final!Z14</f>
        <v>30558635498361.273</v>
      </c>
      <c r="R2" s="137">
        <f>Commercial_Final!AA14</f>
        <v>30779340068620.766</v>
      </c>
      <c r="S2" s="137">
        <f>Commercial_Final!AB14</f>
        <v>31000044638880.254</v>
      </c>
      <c r="T2" s="137">
        <f>Commercial_Final!AC14</f>
        <v>31220749209139.758</v>
      </c>
      <c r="U2" s="137">
        <f>Commercial_Final!AD14</f>
        <v>31441453779399.246</v>
      </c>
      <c r="V2" s="137">
        <f>Commercial_Final!AE14</f>
        <v>31662158349658.727</v>
      </c>
      <c r="W2" s="137">
        <f>Commercial_Final!AF14</f>
        <v>31882862919918.223</v>
      </c>
      <c r="X2" s="137">
        <f>Commercial_Final!AG14</f>
        <v>32080404743070.742</v>
      </c>
      <c r="Y2" s="137">
        <f>Commercial_Final!AH14</f>
        <v>32300950074823.562</v>
      </c>
      <c r="Z2" s="137">
        <f>Commercial_Final!AI14</f>
        <v>32521495406576.359</v>
      </c>
      <c r="AA2" s="137">
        <f>Commercial_Final!AJ14</f>
        <v>32742040738329.18</v>
      </c>
      <c r="AB2" s="137">
        <f>Commercial_Final!AK14</f>
        <v>32962586070081.996</v>
      </c>
      <c r="AC2" s="137">
        <f>Commercial_Final!AL14</f>
        <v>33183131401834.797</v>
      </c>
      <c r="AD2" s="137">
        <f>Commercial_Final!AM14</f>
        <v>33403676733587.613</v>
      </c>
      <c r="AE2" s="137">
        <f>Commercial_Final!AN14</f>
        <v>33624222065340.422</v>
      </c>
      <c r="AF2" s="137">
        <f>Commercial_Final!AO14</f>
        <v>33844767397093.23</v>
      </c>
      <c r="AG2" s="137">
        <f>Commercial_Final!AP14</f>
        <v>34065312728846.055</v>
      </c>
      <c r="AH2" s="137">
        <f>Commercial_Final!AQ14</f>
        <v>34285858060598.863</v>
      </c>
      <c r="AI2" s="137">
        <f>Commercial_Final!AR14</f>
        <v>34506403392351.672</v>
      </c>
      <c r="AJ2" s="137">
        <f>Commercial_Final!AS14</f>
        <v>34726948724104.488</v>
      </c>
      <c r="AK2" s="137">
        <f>Commercial_Final!AT14</f>
        <v>34947494055857.297</v>
      </c>
      <c r="AL2" s="137">
        <f>Commercial_Final!AU14</f>
        <v>35168039387610.109</v>
      </c>
    </row>
    <row r="3" spans="1:40">
      <c r="A3" s="18" t="s">
        <v>970</v>
      </c>
      <c r="B3" s="137">
        <f>Commercial_Final!K15</f>
        <v>0</v>
      </c>
      <c r="C3" s="137">
        <f>Commercial_Final!L15</f>
        <v>0</v>
      </c>
      <c r="D3" s="137">
        <f>Commercial_Final!M15</f>
        <v>0</v>
      </c>
      <c r="E3" s="137">
        <f>Commercial_Final!N15</f>
        <v>0</v>
      </c>
      <c r="F3" s="137">
        <f>Commercial_Final!O15</f>
        <v>0</v>
      </c>
      <c r="G3" s="137">
        <f>Commercial_Final!P15</f>
        <v>0</v>
      </c>
      <c r="H3" s="137">
        <f>Commercial_Final!Q15</f>
        <v>0</v>
      </c>
      <c r="I3" s="137">
        <f>Commercial_Final!R15</f>
        <v>0</v>
      </c>
      <c r="J3" s="137">
        <f>Commercial_Final!S15</f>
        <v>0</v>
      </c>
      <c r="K3" s="137">
        <f>Commercial_Final!T15</f>
        <v>0</v>
      </c>
      <c r="L3" s="137">
        <f>Commercial_Final!U15</f>
        <v>0</v>
      </c>
      <c r="M3" s="137">
        <f>Commercial_Final!V15</f>
        <v>0</v>
      </c>
      <c r="N3" s="137">
        <f>Commercial_Final!W15</f>
        <v>0</v>
      </c>
      <c r="O3" s="137">
        <f>Commercial_Final!X15</f>
        <v>0</v>
      </c>
      <c r="P3" s="137">
        <f>Commercial_Final!Y15</f>
        <v>0</v>
      </c>
      <c r="Q3" s="137">
        <f>Commercial_Final!Z15</f>
        <v>0</v>
      </c>
      <c r="R3" s="137">
        <f>Commercial_Final!AA15</f>
        <v>0</v>
      </c>
      <c r="S3" s="137">
        <f>Commercial_Final!AB15</f>
        <v>0</v>
      </c>
      <c r="T3" s="137">
        <f>Commercial_Final!AC15</f>
        <v>0</v>
      </c>
      <c r="U3" s="137">
        <f>Commercial_Final!AD15</f>
        <v>0</v>
      </c>
      <c r="V3" s="137">
        <f>Commercial_Final!AE15</f>
        <v>0</v>
      </c>
      <c r="W3" s="137">
        <f>Commercial_Final!AF15</f>
        <v>0</v>
      </c>
      <c r="X3" s="137">
        <f>Commercial_Final!AG15</f>
        <v>0</v>
      </c>
      <c r="Y3" s="137">
        <f>Commercial_Final!AH15</f>
        <v>0</v>
      </c>
      <c r="Z3" s="137">
        <f>Commercial_Final!AI15</f>
        <v>0</v>
      </c>
      <c r="AA3" s="137">
        <f>Commercial_Final!AJ15</f>
        <v>0</v>
      </c>
      <c r="AB3" s="137">
        <f>Commercial_Final!AK15</f>
        <v>0</v>
      </c>
      <c r="AC3" s="137">
        <f>Commercial_Final!AL15</f>
        <v>0</v>
      </c>
      <c r="AD3" s="137">
        <f>Commercial_Final!AM15</f>
        <v>0</v>
      </c>
      <c r="AE3" s="137">
        <f>Commercial_Final!AN15</f>
        <v>0</v>
      </c>
      <c r="AF3" s="137">
        <f>Commercial_Final!AO15</f>
        <v>0</v>
      </c>
      <c r="AG3" s="137">
        <f>Commercial_Final!AP15</f>
        <v>0</v>
      </c>
      <c r="AH3" s="137">
        <f>Commercial_Final!AQ15</f>
        <v>0</v>
      </c>
      <c r="AI3" s="137">
        <f>Commercial_Final!AR15</f>
        <v>0</v>
      </c>
      <c r="AJ3" s="137">
        <f>Commercial_Final!AS15</f>
        <v>0</v>
      </c>
      <c r="AK3" s="137">
        <f>Commercial_Final!AT15</f>
        <v>0</v>
      </c>
      <c r="AL3" s="137">
        <f>Commercial_Final!AU15</f>
        <v>0</v>
      </c>
    </row>
    <row r="4" spans="1:40">
      <c r="A4" s="18" t="s">
        <v>971</v>
      </c>
      <c r="B4" s="137">
        <f>Commercial_Final!K16</f>
        <v>11373600000</v>
      </c>
      <c r="C4" s="137">
        <f>Commercial_Final!L16</f>
        <v>11373600000</v>
      </c>
      <c r="D4" s="137">
        <f>Commercial_Final!M16</f>
        <v>12321400000</v>
      </c>
      <c r="E4" s="137">
        <f>Commercial_Final!N16</f>
        <v>12321400000</v>
      </c>
      <c r="F4" s="137">
        <f>Commercial_Final!O16</f>
        <v>12321400000</v>
      </c>
      <c r="G4" s="137">
        <f>Commercial_Final!P16</f>
        <v>12321400000</v>
      </c>
      <c r="H4" s="137">
        <f>Commercial_Final!Q16</f>
        <v>9478000000</v>
      </c>
      <c r="I4" s="137">
        <f>Commercial_Final!R16</f>
        <v>10425800000</v>
      </c>
      <c r="J4" s="137">
        <f>Commercial_Final!S16</f>
        <v>10835386007.516848</v>
      </c>
      <c r="K4" s="137">
        <f>Commercial_Final!T16</f>
        <v>10700510725.649878</v>
      </c>
      <c r="L4" s="137">
        <f>Commercial_Final!U16</f>
        <v>10562354454.020287</v>
      </c>
      <c r="M4" s="137">
        <f>Commercial_Final!V16</f>
        <v>10820345940.858074</v>
      </c>
      <c r="N4" s="137">
        <f>Commercial_Final!W16</f>
        <v>10900818865.443352</v>
      </c>
      <c r="O4" s="137">
        <f>Commercial_Final!X16</f>
        <v>10981291790.028627</v>
      </c>
      <c r="P4" s="137">
        <f>Commercial_Final!Y16</f>
        <v>11061764714.613907</v>
      </c>
      <c r="Q4" s="137">
        <f>Commercial_Final!Z16</f>
        <v>11142237639.199183</v>
      </c>
      <c r="R4" s="137">
        <f>Commercial_Final!AA16</f>
        <v>11222710563.78446</v>
      </c>
      <c r="S4" s="137">
        <f>Commercial_Final!AB16</f>
        <v>11303183488.369736</v>
      </c>
      <c r="T4" s="137">
        <f>Commercial_Final!AC16</f>
        <v>11383656412.955017</v>
      </c>
      <c r="U4" s="137">
        <f>Commercial_Final!AD16</f>
        <v>11464129337.540293</v>
      </c>
      <c r="V4" s="137">
        <f>Commercial_Final!AE16</f>
        <v>11544602262.125566</v>
      </c>
      <c r="W4" s="137">
        <f>Commercial_Final!AF16</f>
        <v>11625075186.710844</v>
      </c>
      <c r="X4" s="137">
        <f>Commercial_Final!AG16</f>
        <v>11697102549.888237</v>
      </c>
      <c r="Y4" s="137">
        <f>Commercial_Final!AH16</f>
        <v>11777517413.200367</v>
      </c>
      <c r="Z4" s="137">
        <f>Commercial_Final!AI16</f>
        <v>11857932276.512491</v>
      </c>
      <c r="AA4" s="137">
        <f>Commercial_Final!AJ16</f>
        <v>11938347139.824619</v>
      </c>
      <c r="AB4" s="137">
        <f>Commercial_Final!AK16</f>
        <v>12018762003.136749</v>
      </c>
      <c r="AC4" s="137">
        <f>Commercial_Final!AL16</f>
        <v>12099176866.448875</v>
      </c>
      <c r="AD4" s="137">
        <f>Commercial_Final!AM16</f>
        <v>12179591729.761003</v>
      </c>
      <c r="AE4" s="137">
        <f>Commercial_Final!AN16</f>
        <v>12260006593.073128</v>
      </c>
      <c r="AF4" s="137">
        <f>Commercial_Final!AO16</f>
        <v>12340421456.385256</v>
      </c>
      <c r="AG4" s="137">
        <f>Commercial_Final!AP16</f>
        <v>12420836319.697386</v>
      </c>
      <c r="AH4" s="137">
        <f>Commercial_Final!AQ16</f>
        <v>12501251183.009512</v>
      </c>
      <c r="AI4" s="137">
        <f>Commercial_Final!AR16</f>
        <v>12581666046.321638</v>
      </c>
      <c r="AJ4" s="137">
        <f>Commercial_Final!AS16</f>
        <v>12662080909.633768</v>
      </c>
      <c r="AK4" s="137">
        <f>Commercial_Final!AT16</f>
        <v>12742495772.945894</v>
      </c>
      <c r="AL4" s="137">
        <f>Commercial_Final!AU16</f>
        <v>12822910636.258024</v>
      </c>
    </row>
    <row r="5" spans="1:40">
      <c r="A5" s="18" t="s">
        <v>972</v>
      </c>
      <c r="B5" s="137">
        <f>Commercial_Final!K17</f>
        <v>0</v>
      </c>
      <c r="C5" s="137">
        <f>Commercial_Final!L17</f>
        <v>0</v>
      </c>
      <c r="D5" s="137">
        <f>Commercial_Final!M17</f>
        <v>0</v>
      </c>
      <c r="E5" s="137">
        <f>Commercial_Final!N17</f>
        <v>0</v>
      </c>
      <c r="F5" s="137">
        <f>Commercial_Final!O17</f>
        <v>0</v>
      </c>
      <c r="G5" s="137">
        <f>Commercial_Final!P17</f>
        <v>0</v>
      </c>
      <c r="H5" s="137">
        <f>Commercial_Final!Q17</f>
        <v>0</v>
      </c>
      <c r="I5" s="137">
        <f>Commercial_Final!R17</f>
        <v>0</v>
      </c>
      <c r="J5" s="137">
        <f>Commercial_Final!S17</f>
        <v>0</v>
      </c>
      <c r="K5" s="137">
        <f>Commercial_Final!T17</f>
        <v>0</v>
      </c>
      <c r="L5" s="137">
        <f>Commercial_Final!U17</f>
        <v>0</v>
      </c>
      <c r="M5" s="137">
        <f>Commercial_Final!V17</f>
        <v>0</v>
      </c>
      <c r="N5" s="137">
        <f>Commercial_Final!W17</f>
        <v>0</v>
      </c>
      <c r="O5" s="137">
        <f>Commercial_Final!X17</f>
        <v>0</v>
      </c>
      <c r="P5" s="137">
        <f>Commercial_Final!Y17</f>
        <v>0</v>
      </c>
      <c r="Q5" s="137">
        <f>Commercial_Final!Z17</f>
        <v>0</v>
      </c>
      <c r="R5" s="137">
        <f>Commercial_Final!AA17</f>
        <v>0</v>
      </c>
      <c r="S5" s="137">
        <f>Commercial_Final!AB17</f>
        <v>0</v>
      </c>
      <c r="T5" s="137">
        <f>Commercial_Final!AC17</f>
        <v>0</v>
      </c>
      <c r="U5" s="137">
        <f>Commercial_Final!AD17</f>
        <v>0</v>
      </c>
      <c r="V5" s="137">
        <f>Commercial_Final!AE17</f>
        <v>0</v>
      </c>
      <c r="W5" s="137">
        <f>Commercial_Final!AF17</f>
        <v>0</v>
      </c>
      <c r="X5" s="137">
        <f>Commercial_Final!AG17</f>
        <v>0</v>
      </c>
      <c r="Y5" s="137">
        <f>Commercial_Final!AH17</f>
        <v>0</v>
      </c>
      <c r="Z5" s="137">
        <f>Commercial_Final!AI17</f>
        <v>0</v>
      </c>
      <c r="AA5" s="137">
        <f>Commercial_Final!AJ17</f>
        <v>0</v>
      </c>
      <c r="AB5" s="137">
        <f>Commercial_Final!AK17</f>
        <v>0</v>
      </c>
      <c r="AC5" s="137">
        <f>Commercial_Final!AL17</f>
        <v>0</v>
      </c>
      <c r="AD5" s="137">
        <f>Commercial_Final!AM17</f>
        <v>0</v>
      </c>
      <c r="AE5" s="137">
        <f>Commercial_Final!AN17</f>
        <v>0</v>
      </c>
      <c r="AF5" s="137">
        <f>Commercial_Final!AO17</f>
        <v>0</v>
      </c>
      <c r="AG5" s="137">
        <f>Commercial_Final!AP17</f>
        <v>0</v>
      </c>
      <c r="AH5" s="137">
        <f>Commercial_Final!AQ17</f>
        <v>0</v>
      </c>
      <c r="AI5" s="137">
        <f>Commercial_Final!AR17</f>
        <v>0</v>
      </c>
      <c r="AJ5" s="137">
        <f>Commercial_Final!AS17</f>
        <v>0</v>
      </c>
      <c r="AK5" s="137">
        <f>Commercial_Final!AT17</f>
        <v>0</v>
      </c>
      <c r="AL5" s="137">
        <f>Commercial_Final!AU17</f>
        <v>0</v>
      </c>
    </row>
    <row r="6" spans="1:40">
      <c r="A6" s="18" t="s">
        <v>973</v>
      </c>
      <c r="B6" s="137">
        <f>Commercial_Final!K18</f>
        <v>0</v>
      </c>
      <c r="C6" s="137">
        <f>Commercial_Final!L18</f>
        <v>0</v>
      </c>
      <c r="D6" s="137">
        <f>Commercial_Final!M18</f>
        <v>0</v>
      </c>
      <c r="E6" s="137">
        <f>Commercial_Final!N18</f>
        <v>0</v>
      </c>
      <c r="F6" s="137">
        <f>Commercial_Final!O18</f>
        <v>0</v>
      </c>
      <c r="G6" s="137">
        <f>Commercial_Final!P18</f>
        <v>0</v>
      </c>
      <c r="H6" s="137">
        <f>Commercial_Final!Q18</f>
        <v>0</v>
      </c>
      <c r="I6" s="137">
        <f>Commercial_Final!R18</f>
        <v>0</v>
      </c>
      <c r="J6" s="137">
        <f>Commercial_Final!S18</f>
        <v>0</v>
      </c>
      <c r="K6" s="137">
        <f>Commercial_Final!T18</f>
        <v>0</v>
      </c>
      <c r="L6" s="137">
        <f>Commercial_Final!U18</f>
        <v>0</v>
      </c>
      <c r="M6" s="137">
        <f>Commercial_Final!V18</f>
        <v>0</v>
      </c>
      <c r="N6" s="137">
        <f>Commercial_Final!W18</f>
        <v>0</v>
      </c>
      <c r="O6" s="137">
        <f>Commercial_Final!X18</f>
        <v>0</v>
      </c>
      <c r="P6" s="137">
        <f>Commercial_Final!Y18</f>
        <v>0</v>
      </c>
      <c r="Q6" s="137">
        <f>Commercial_Final!Z18</f>
        <v>0</v>
      </c>
      <c r="R6" s="137">
        <f>Commercial_Final!AA18</f>
        <v>0</v>
      </c>
      <c r="S6" s="137">
        <f>Commercial_Final!AB18</f>
        <v>0</v>
      </c>
      <c r="T6" s="137">
        <f>Commercial_Final!AC18</f>
        <v>0</v>
      </c>
      <c r="U6" s="137">
        <f>Commercial_Final!AD18</f>
        <v>0</v>
      </c>
      <c r="V6" s="137">
        <f>Commercial_Final!AE18</f>
        <v>0</v>
      </c>
      <c r="W6" s="137">
        <f>Commercial_Final!AF18</f>
        <v>0</v>
      </c>
      <c r="X6" s="137">
        <f>Commercial_Final!AG18</f>
        <v>0</v>
      </c>
      <c r="Y6" s="137">
        <f>Commercial_Final!AH18</f>
        <v>0</v>
      </c>
      <c r="Z6" s="137">
        <f>Commercial_Final!AI18</f>
        <v>0</v>
      </c>
      <c r="AA6" s="137">
        <f>Commercial_Final!AJ18</f>
        <v>0</v>
      </c>
      <c r="AB6" s="137">
        <f>Commercial_Final!AK18</f>
        <v>0</v>
      </c>
      <c r="AC6" s="137">
        <f>Commercial_Final!AL18</f>
        <v>0</v>
      </c>
      <c r="AD6" s="137">
        <f>Commercial_Final!AM18</f>
        <v>0</v>
      </c>
      <c r="AE6" s="137">
        <f>Commercial_Final!AN18</f>
        <v>0</v>
      </c>
      <c r="AF6" s="137">
        <f>Commercial_Final!AO18</f>
        <v>0</v>
      </c>
      <c r="AG6" s="137">
        <f>Commercial_Final!AP18</f>
        <v>0</v>
      </c>
      <c r="AH6" s="137">
        <f>Commercial_Final!AQ18</f>
        <v>0</v>
      </c>
      <c r="AI6" s="137">
        <f>Commercial_Final!AR18</f>
        <v>0</v>
      </c>
      <c r="AJ6" s="137">
        <f>Commercial_Final!AS18</f>
        <v>0</v>
      </c>
      <c r="AK6" s="137">
        <f>Commercial_Final!AT18</f>
        <v>0</v>
      </c>
      <c r="AL6" s="137">
        <f>Commercial_Final!AU18</f>
        <v>0</v>
      </c>
    </row>
    <row r="7" spans="1:40">
      <c r="A7" s="18" t="s">
        <v>974</v>
      </c>
      <c r="B7" s="137">
        <f>Commercial_Final!K19</f>
        <v>0</v>
      </c>
      <c r="C7" s="137">
        <f>Commercial_Final!L19</f>
        <v>0</v>
      </c>
      <c r="D7" s="137">
        <f>Commercial_Final!M19</f>
        <v>0</v>
      </c>
      <c r="E7" s="137">
        <f>Commercial_Final!N19</f>
        <v>0</v>
      </c>
      <c r="F7" s="137">
        <f>Commercial_Final!O19</f>
        <v>0</v>
      </c>
      <c r="G7" s="137">
        <f>Commercial_Final!P19</f>
        <v>0</v>
      </c>
      <c r="H7" s="137">
        <f>Commercial_Final!Q19</f>
        <v>0</v>
      </c>
      <c r="I7" s="137">
        <f>Commercial_Final!R19</f>
        <v>0</v>
      </c>
      <c r="J7" s="137">
        <f>Commercial_Final!S19</f>
        <v>0</v>
      </c>
      <c r="K7" s="137">
        <f>Commercial_Final!T19</f>
        <v>0</v>
      </c>
      <c r="L7" s="137">
        <f>Commercial_Final!U19</f>
        <v>0</v>
      </c>
      <c r="M7" s="137">
        <f>Commercial_Final!V19</f>
        <v>0</v>
      </c>
      <c r="N7" s="137">
        <f>Commercial_Final!W19</f>
        <v>0</v>
      </c>
      <c r="O7" s="137">
        <f>Commercial_Final!X19</f>
        <v>0</v>
      </c>
      <c r="P7" s="137">
        <f>Commercial_Final!Y19</f>
        <v>0</v>
      </c>
      <c r="Q7" s="137">
        <f>Commercial_Final!Z19</f>
        <v>0</v>
      </c>
      <c r="R7" s="137">
        <f>Commercial_Final!AA19</f>
        <v>0</v>
      </c>
      <c r="S7" s="137">
        <f>Commercial_Final!AB19</f>
        <v>0</v>
      </c>
      <c r="T7" s="137">
        <f>Commercial_Final!AC19</f>
        <v>0</v>
      </c>
      <c r="U7" s="137">
        <f>Commercial_Final!AD19</f>
        <v>0</v>
      </c>
      <c r="V7" s="137">
        <f>Commercial_Final!AE19</f>
        <v>0</v>
      </c>
      <c r="W7" s="137">
        <f>Commercial_Final!AF19</f>
        <v>0</v>
      </c>
      <c r="X7" s="137">
        <f>Commercial_Final!AG19</f>
        <v>0</v>
      </c>
      <c r="Y7" s="137">
        <f>Commercial_Final!AH19</f>
        <v>0</v>
      </c>
      <c r="Z7" s="137">
        <f>Commercial_Final!AI19</f>
        <v>0</v>
      </c>
      <c r="AA7" s="137">
        <f>Commercial_Final!AJ19</f>
        <v>0</v>
      </c>
      <c r="AB7" s="137">
        <f>Commercial_Final!AK19</f>
        <v>0</v>
      </c>
      <c r="AC7" s="137">
        <f>Commercial_Final!AL19</f>
        <v>0</v>
      </c>
      <c r="AD7" s="137">
        <f>Commercial_Final!AM19</f>
        <v>0</v>
      </c>
      <c r="AE7" s="137">
        <f>Commercial_Final!AN19</f>
        <v>0</v>
      </c>
      <c r="AF7" s="137">
        <f>Commercial_Final!AO19</f>
        <v>0</v>
      </c>
      <c r="AG7" s="137">
        <f>Commercial_Final!AP19</f>
        <v>0</v>
      </c>
      <c r="AH7" s="137">
        <f>Commercial_Final!AQ19</f>
        <v>0</v>
      </c>
      <c r="AI7" s="137">
        <f>Commercial_Final!AR19</f>
        <v>0</v>
      </c>
      <c r="AJ7" s="137">
        <f>Commercial_Final!AS19</f>
        <v>0</v>
      </c>
      <c r="AK7" s="137">
        <f>Commercial_Final!AT19</f>
        <v>0</v>
      </c>
      <c r="AL7" s="137">
        <f>Commercial_Final!AU19</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Commercial_Final!K5</f>
        <v>12806673600000</v>
      </c>
      <c r="C2" s="137">
        <f>Commercial_Final!L5</f>
        <v>12775518282030.848</v>
      </c>
      <c r="D2" s="137">
        <f>Commercial_Final!M5</f>
        <v>12554678551986.873</v>
      </c>
      <c r="E2" s="137">
        <f>Commercial_Final!N5</f>
        <v>12446271778452.484</v>
      </c>
      <c r="F2" s="137">
        <f>Commercial_Final!O5</f>
        <v>12656683048452.861</v>
      </c>
      <c r="G2" s="137">
        <f>Commercial_Final!P5</f>
        <v>12494015298182.189</v>
      </c>
      <c r="H2" s="137">
        <f>Commercial_Final!Q5</f>
        <v>12055186194912.203</v>
      </c>
      <c r="I2" s="137">
        <f>Commercial_Final!R5</f>
        <v>12176159517577.068</v>
      </c>
      <c r="J2" s="137">
        <f>Commercial_Final!S5</f>
        <v>12397187597820.594</v>
      </c>
      <c r="K2" s="137">
        <f>Commercial_Final!T5</f>
        <v>12523059733002.6</v>
      </c>
      <c r="L2" s="137">
        <f>Commercial_Final!U5</f>
        <v>12649408510186.609</v>
      </c>
      <c r="M2" s="137">
        <f>Commercial_Final!V5</f>
        <v>12718207378852.842</v>
      </c>
      <c r="N2" s="137">
        <f>Commercial_Final!W5</f>
        <v>12812795051821.195</v>
      </c>
      <c r="O2" s="137">
        <f>Commercial_Final!X5</f>
        <v>12907382724789.549</v>
      </c>
      <c r="P2" s="137">
        <f>Commercial_Final!Y5</f>
        <v>13001970397757.904</v>
      </c>
      <c r="Q2" s="137">
        <f>Commercial_Final!Z5</f>
        <v>13096558070726.26</v>
      </c>
      <c r="R2" s="137">
        <f>Commercial_Final!AA5</f>
        <v>13191145743694.613</v>
      </c>
      <c r="S2" s="137">
        <f>Commercial_Final!AB5</f>
        <v>13285733416662.965</v>
      </c>
      <c r="T2" s="137">
        <f>Commercial_Final!AC5</f>
        <v>13380321089631.322</v>
      </c>
      <c r="U2" s="137">
        <f>Commercial_Final!AD5</f>
        <v>13474908762599.676</v>
      </c>
      <c r="V2" s="137">
        <f>Commercial_Final!AE5</f>
        <v>13569496435568.023</v>
      </c>
      <c r="W2" s="137">
        <f>Commercial_Final!AF5</f>
        <v>13664084108536.379</v>
      </c>
      <c r="X2" s="137">
        <f>Commercial_Final!AG5</f>
        <v>13748744889887.459</v>
      </c>
      <c r="Y2" s="137">
        <f>Commercial_Final!AH5</f>
        <v>13843264317781.525</v>
      </c>
      <c r="Z2" s="137">
        <f>Commercial_Final!AI5</f>
        <v>13937783745675.582</v>
      </c>
      <c r="AA2" s="137">
        <f>Commercial_Final!AJ5</f>
        <v>14032303173569.646</v>
      </c>
      <c r="AB2" s="137">
        <f>Commercial_Final!AK5</f>
        <v>14126822601463.711</v>
      </c>
      <c r="AC2" s="137">
        <f>Commercial_Final!AL5</f>
        <v>14221342029357.77</v>
      </c>
      <c r="AD2" s="137">
        <f>Commercial_Final!AM5</f>
        <v>14315861457251.832</v>
      </c>
      <c r="AE2" s="137">
        <f>Commercial_Final!AN5</f>
        <v>14410380885145.895</v>
      </c>
      <c r="AF2" s="137">
        <f>Commercial_Final!AO5</f>
        <v>14504900313039.953</v>
      </c>
      <c r="AG2" s="137">
        <f>Commercial_Final!AP5</f>
        <v>14599419740934.021</v>
      </c>
      <c r="AH2" s="137">
        <f>Commercial_Final!AQ5</f>
        <v>14693939168828.082</v>
      </c>
      <c r="AI2" s="137">
        <f>Commercial_Final!AR5</f>
        <v>14788458596722.141</v>
      </c>
      <c r="AJ2" s="137">
        <f>Commercial_Final!AS5</f>
        <v>14882978024616.207</v>
      </c>
      <c r="AK2" s="137">
        <f>Commercial_Final!AT5</f>
        <v>14977497452510.268</v>
      </c>
      <c r="AL2" s="137">
        <f>Commercial_Final!AU5</f>
        <v>15072016880404.332</v>
      </c>
    </row>
    <row r="3" spans="1:40">
      <c r="A3" s="18" t="s">
        <v>970</v>
      </c>
      <c r="B3" s="137">
        <f>Commercial_Final!K6</f>
        <v>0</v>
      </c>
      <c r="C3" s="137">
        <f>Commercial_Final!L6</f>
        <v>0</v>
      </c>
      <c r="D3" s="137">
        <f>Commercial_Final!M6</f>
        <v>0</v>
      </c>
      <c r="E3" s="137">
        <f>Commercial_Final!N6</f>
        <v>0</v>
      </c>
      <c r="F3" s="137">
        <f>Commercial_Final!O6</f>
        <v>0</v>
      </c>
      <c r="G3" s="137">
        <f>Commercial_Final!P6</f>
        <v>0</v>
      </c>
      <c r="H3" s="137">
        <f>Commercial_Final!Q6</f>
        <v>0</v>
      </c>
      <c r="I3" s="137">
        <f>Commercial_Final!R6</f>
        <v>0</v>
      </c>
      <c r="J3" s="137">
        <f>Commercial_Final!S6</f>
        <v>0</v>
      </c>
      <c r="K3" s="137">
        <f>Commercial_Final!T6</f>
        <v>0</v>
      </c>
      <c r="L3" s="137">
        <f>Commercial_Final!U6</f>
        <v>0</v>
      </c>
      <c r="M3" s="137">
        <f>Commercial_Final!V6</f>
        <v>0</v>
      </c>
      <c r="N3" s="137">
        <f>Commercial_Final!W6</f>
        <v>0</v>
      </c>
      <c r="O3" s="137">
        <f>Commercial_Final!X6</f>
        <v>0</v>
      </c>
      <c r="P3" s="137">
        <f>Commercial_Final!Y6</f>
        <v>0</v>
      </c>
      <c r="Q3" s="137">
        <f>Commercial_Final!Z6</f>
        <v>0</v>
      </c>
      <c r="R3" s="137">
        <f>Commercial_Final!AA6</f>
        <v>0</v>
      </c>
      <c r="S3" s="137">
        <f>Commercial_Final!AB6</f>
        <v>0</v>
      </c>
      <c r="T3" s="137">
        <f>Commercial_Final!AC6</f>
        <v>0</v>
      </c>
      <c r="U3" s="137">
        <f>Commercial_Final!AD6</f>
        <v>0</v>
      </c>
      <c r="V3" s="137">
        <f>Commercial_Final!AE6</f>
        <v>0</v>
      </c>
      <c r="W3" s="137">
        <f>Commercial_Final!AF6</f>
        <v>0</v>
      </c>
      <c r="X3" s="137">
        <f>Commercial_Final!AG6</f>
        <v>0</v>
      </c>
      <c r="Y3" s="137">
        <f>Commercial_Final!AH6</f>
        <v>0</v>
      </c>
      <c r="Z3" s="137">
        <f>Commercial_Final!AI6</f>
        <v>0</v>
      </c>
      <c r="AA3" s="137">
        <f>Commercial_Final!AJ6</f>
        <v>0</v>
      </c>
      <c r="AB3" s="137">
        <f>Commercial_Final!AK6</f>
        <v>0</v>
      </c>
      <c r="AC3" s="137">
        <f>Commercial_Final!AL6</f>
        <v>0</v>
      </c>
      <c r="AD3" s="137">
        <f>Commercial_Final!AM6</f>
        <v>0</v>
      </c>
      <c r="AE3" s="137">
        <f>Commercial_Final!AN6</f>
        <v>0</v>
      </c>
      <c r="AF3" s="137">
        <f>Commercial_Final!AO6</f>
        <v>0</v>
      </c>
      <c r="AG3" s="137">
        <f>Commercial_Final!AP6</f>
        <v>0</v>
      </c>
      <c r="AH3" s="137">
        <f>Commercial_Final!AQ6</f>
        <v>0</v>
      </c>
      <c r="AI3" s="137">
        <f>Commercial_Final!AR6</f>
        <v>0</v>
      </c>
      <c r="AJ3" s="137">
        <f>Commercial_Final!AS6</f>
        <v>0</v>
      </c>
      <c r="AK3" s="137">
        <f>Commercial_Final!AT6</f>
        <v>0</v>
      </c>
      <c r="AL3" s="137">
        <f>Commercial_Final!AU6</f>
        <v>0</v>
      </c>
    </row>
    <row r="4" spans="1:40">
      <c r="A4" s="18" t="s">
        <v>971</v>
      </c>
      <c r="B4" s="137">
        <f>Commercial_Final!K7</f>
        <v>0</v>
      </c>
      <c r="C4" s="137">
        <f>Commercial_Final!L7</f>
        <v>0</v>
      </c>
      <c r="D4" s="137">
        <f>Commercial_Final!M7</f>
        <v>0</v>
      </c>
      <c r="E4" s="137">
        <f>Commercial_Final!N7</f>
        <v>0</v>
      </c>
      <c r="F4" s="137">
        <f>Commercial_Final!O7</f>
        <v>0</v>
      </c>
      <c r="G4" s="137">
        <f>Commercial_Final!P7</f>
        <v>0</v>
      </c>
      <c r="H4" s="137">
        <f>Commercial_Final!Q7</f>
        <v>0</v>
      </c>
      <c r="I4" s="137">
        <f>Commercial_Final!R7</f>
        <v>0</v>
      </c>
      <c r="J4" s="137">
        <f>Commercial_Final!S7</f>
        <v>0</v>
      </c>
      <c r="K4" s="137">
        <f>Commercial_Final!T7</f>
        <v>0</v>
      </c>
      <c r="L4" s="137">
        <f>Commercial_Final!U7</f>
        <v>0</v>
      </c>
      <c r="M4" s="137">
        <f>Commercial_Final!V7</f>
        <v>0</v>
      </c>
      <c r="N4" s="137">
        <f>Commercial_Final!W7</f>
        <v>0</v>
      </c>
      <c r="O4" s="137">
        <f>Commercial_Final!X7</f>
        <v>0</v>
      </c>
      <c r="P4" s="137">
        <f>Commercial_Final!Y7</f>
        <v>0</v>
      </c>
      <c r="Q4" s="137">
        <f>Commercial_Final!Z7</f>
        <v>0</v>
      </c>
      <c r="R4" s="137">
        <f>Commercial_Final!AA7</f>
        <v>0</v>
      </c>
      <c r="S4" s="137">
        <f>Commercial_Final!AB7</f>
        <v>0</v>
      </c>
      <c r="T4" s="137">
        <f>Commercial_Final!AC7</f>
        <v>0</v>
      </c>
      <c r="U4" s="137">
        <f>Commercial_Final!AD7</f>
        <v>0</v>
      </c>
      <c r="V4" s="137">
        <f>Commercial_Final!AE7</f>
        <v>0</v>
      </c>
      <c r="W4" s="137">
        <f>Commercial_Final!AF7</f>
        <v>0</v>
      </c>
      <c r="X4" s="137">
        <f>Commercial_Final!AG7</f>
        <v>0</v>
      </c>
      <c r="Y4" s="137">
        <f>Commercial_Final!AH7</f>
        <v>0</v>
      </c>
      <c r="Z4" s="137">
        <f>Commercial_Final!AI7</f>
        <v>0</v>
      </c>
      <c r="AA4" s="137">
        <f>Commercial_Final!AJ7</f>
        <v>0</v>
      </c>
      <c r="AB4" s="137">
        <f>Commercial_Final!AK7</f>
        <v>0</v>
      </c>
      <c r="AC4" s="137">
        <f>Commercial_Final!AL7</f>
        <v>0</v>
      </c>
      <c r="AD4" s="137">
        <f>Commercial_Final!AM7</f>
        <v>0</v>
      </c>
      <c r="AE4" s="137">
        <f>Commercial_Final!AN7</f>
        <v>0</v>
      </c>
      <c r="AF4" s="137">
        <f>Commercial_Final!AO7</f>
        <v>0</v>
      </c>
      <c r="AG4" s="137">
        <f>Commercial_Final!AP7</f>
        <v>0</v>
      </c>
      <c r="AH4" s="137">
        <f>Commercial_Final!AQ7</f>
        <v>0</v>
      </c>
      <c r="AI4" s="137">
        <f>Commercial_Final!AR7</f>
        <v>0</v>
      </c>
      <c r="AJ4" s="137">
        <f>Commercial_Final!AS7</f>
        <v>0</v>
      </c>
      <c r="AK4" s="137">
        <f>Commercial_Final!AT7</f>
        <v>0</v>
      </c>
      <c r="AL4" s="137">
        <f>Commercial_Final!AU7</f>
        <v>0</v>
      </c>
    </row>
    <row r="5" spans="1:40">
      <c r="A5" s="18" t="s">
        <v>972</v>
      </c>
      <c r="B5" s="137">
        <f>Commercial_Final!K8</f>
        <v>0</v>
      </c>
      <c r="C5" s="137">
        <f>Commercial_Final!L8</f>
        <v>0</v>
      </c>
      <c r="D5" s="137">
        <f>Commercial_Final!M8</f>
        <v>0</v>
      </c>
      <c r="E5" s="137">
        <f>Commercial_Final!N8</f>
        <v>0</v>
      </c>
      <c r="F5" s="137">
        <f>Commercial_Final!O8</f>
        <v>0</v>
      </c>
      <c r="G5" s="137">
        <f>Commercial_Final!P8</f>
        <v>0</v>
      </c>
      <c r="H5" s="137">
        <f>Commercial_Final!Q8</f>
        <v>0</v>
      </c>
      <c r="I5" s="137">
        <f>Commercial_Final!R8</f>
        <v>0</v>
      </c>
      <c r="J5" s="137">
        <f>Commercial_Final!S8</f>
        <v>0</v>
      </c>
      <c r="K5" s="137">
        <f>Commercial_Final!T8</f>
        <v>0</v>
      </c>
      <c r="L5" s="137">
        <f>Commercial_Final!U8</f>
        <v>0</v>
      </c>
      <c r="M5" s="137">
        <f>Commercial_Final!V8</f>
        <v>0</v>
      </c>
      <c r="N5" s="137">
        <f>Commercial_Final!W8</f>
        <v>0</v>
      </c>
      <c r="O5" s="137">
        <f>Commercial_Final!X8</f>
        <v>0</v>
      </c>
      <c r="P5" s="137">
        <f>Commercial_Final!Y8</f>
        <v>0</v>
      </c>
      <c r="Q5" s="137">
        <f>Commercial_Final!Z8</f>
        <v>0</v>
      </c>
      <c r="R5" s="137">
        <f>Commercial_Final!AA8</f>
        <v>0</v>
      </c>
      <c r="S5" s="137">
        <f>Commercial_Final!AB8</f>
        <v>0</v>
      </c>
      <c r="T5" s="137">
        <f>Commercial_Final!AC8</f>
        <v>0</v>
      </c>
      <c r="U5" s="137">
        <f>Commercial_Final!AD8</f>
        <v>0</v>
      </c>
      <c r="V5" s="137">
        <f>Commercial_Final!AE8</f>
        <v>0</v>
      </c>
      <c r="W5" s="137">
        <f>Commercial_Final!AF8</f>
        <v>0</v>
      </c>
      <c r="X5" s="137">
        <f>Commercial_Final!AG8</f>
        <v>0</v>
      </c>
      <c r="Y5" s="137">
        <f>Commercial_Final!AH8</f>
        <v>0</v>
      </c>
      <c r="Z5" s="137">
        <f>Commercial_Final!AI8</f>
        <v>0</v>
      </c>
      <c r="AA5" s="137">
        <f>Commercial_Final!AJ8</f>
        <v>0</v>
      </c>
      <c r="AB5" s="137">
        <f>Commercial_Final!AK8</f>
        <v>0</v>
      </c>
      <c r="AC5" s="137">
        <f>Commercial_Final!AL8</f>
        <v>0</v>
      </c>
      <c r="AD5" s="137">
        <f>Commercial_Final!AM8</f>
        <v>0</v>
      </c>
      <c r="AE5" s="137">
        <f>Commercial_Final!AN8</f>
        <v>0</v>
      </c>
      <c r="AF5" s="137">
        <f>Commercial_Final!AO8</f>
        <v>0</v>
      </c>
      <c r="AG5" s="137">
        <f>Commercial_Final!AP8</f>
        <v>0</v>
      </c>
      <c r="AH5" s="137">
        <f>Commercial_Final!AQ8</f>
        <v>0</v>
      </c>
      <c r="AI5" s="137">
        <f>Commercial_Final!AR8</f>
        <v>0</v>
      </c>
      <c r="AJ5" s="137">
        <f>Commercial_Final!AS8</f>
        <v>0</v>
      </c>
      <c r="AK5" s="137">
        <f>Commercial_Final!AT8</f>
        <v>0</v>
      </c>
      <c r="AL5" s="137">
        <f>Commercial_Final!AU8</f>
        <v>0</v>
      </c>
    </row>
    <row r="6" spans="1:40">
      <c r="A6" s="18" t="s">
        <v>973</v>
      </c>
      <c r="B6" s="137">
        <f>Commercial_Final!K9</f>
        <v>0</v>
      </c>
      <c r="C6" s="137">
        <f>Commercial_Final!L9</f>
        <v>0</v>
      </c>
      <c r="D6" s="137">
        <f>Commercial_Final!M9</f>
        <v>0</v>
      </c>
      <c r="E6" s="137">
        <f>Commercial_Final!N9</f>
        <v>0</v>
      </c>
      <c r="F6" s="137">
        <f>Commercial_Final!O9</f>
        <v>0</v>
      </c>
      <c r="G6" s="137">
        <f>Commercial_Final!P9</f>
        <v>0</v>
      </c>
      <c r="H6" s="137">
        <f>Commercial_Final!Q9</f>
        <v>0</v>
      </c>
      <c r="I6" s="137">
        <f>Commercial_Final!R9</f>
        <v>0</v>
      </c>
      <c r="J6" s="137">
        <f>Commercial_Final!S9</f>
        <v>0</v>
      </c>
      <c r="K6" s="137">
        <f>Commercial_Final!T9</f>
        <v>0</v>
      </c>
      <c r="L6" s="137">
        <f>Commercial_Final!U9</f>
        <v>0</v>
      </c>
      <c r="M6" s="137">
        <f>Commercial_Final!V9</f>
        <v>0</v>
      </c>
      <c r="N6" s="137">
        <f>Commercial_Final!W9</f>
        <v>0</v>
      </c>
      <c r="O6" s="137">
        <f>Commercial_Final!X9</f>
        <v>0</v>
      </c>
      <c r="P6" s="137">
        <f>Commercial_Final!Y9</f>
        <v>0</v>
      </c>
      <c r="Q6" s="137">
        <f>Commercial_Final!Z9</f>
        <v>0</v>
      </c>
      <c r="R6" s="137">
        <f>Commercial_Final!AA9</f>
        <v>0</v>
      </c>
      <c r="S6" s="137">
        <f>Commercial_Final!AB9</f>
        <v>0</v>
      </c>
      <c r="T6" s="137">
        <f>Commercial_Final!AC9</f>
        <v>0</v>
      </c>
      <c r="U6" s="137">
        <f>Commercial_Final!AD9</f>
        <v>0</v>
      </c>
      <c r="V6" s="137">
        <f>Commercial_Final!AE9</f>
        <v>0</v>
      </c>
      <c r="W6" s="137">
        <f>Commercial_Final!AF9</f>
        <v>0</v>
      </c>
      <c r="X6" s="137">
        <f>Commercial_Final!AG9</f>
        <v>0</v>
      </c>
      <c r="Y6" s="137">
        <f>Commercial_Final!AH9</f>
        <v>0</v>
      </c>
      <c r="Z6" s="137">
        <f>Commercial_Final!AI9</f>
        <v>0</v>
      </c>
      <c r="AA6" s="137">
        <f>Commercial_Final!AJ9</f>
        <v>0</v>
      </c>
      <c r="AB6" s="137">
        <f>Commercial_Final!AK9</f>
        <v>0</v>
      </c>
      <c r="AC6" s="137">
        <f>Commercial_Final!AL9</f>
        <v>0</v>
      </c>
      <c r="AD6" s="137">
        <f>Commercial_Final!AM9</f>
        <v>0</v>
      </c>
      <c r="AE6" s="137">
        <f>Commercial_Final!AN9</f>
        <v>0</v>
      </c>
      <c r="AF6" s="137">
        <f>Commercial_Final!AO9</f>
        <v>0</v>
      </c>
      <c r="AG6" s="137">
        <f>Commercial_Final!AP9</f>
        <v>0</v>
      </c>
      <c r="AH6" s="137">
        <f>Commercial_Final!AQ9</f>
        <v>0</v>
      </c>
      <c r="AI6" s="137">
        <f>Commercial_Final!AR9</f>
        <v>0</v>
      </c>
      <c r="AJ6" s="137">
        <f>Commercial_Final!AS9</f>
        <v>0</v>
      </c>
      <c r="AK6" s="137">
        <f>Commercial_Final!AT9</f>
        <v>0</v>
      </c>
      <c r="AL6" s="137">
        <f>Commercial_Final!AU9</f>
        <v>0</v>
      </c>
    </row>
    <row r="7" spans="1:40">
      <c r="A7" s="18" t="s">
        <v>974</v>
      </c>
      <c r="B7" s="137">
        <f>Commercial_Final!K10</f>
        <v>0</v>
      </c>
      <c r="C7" s="137">
        <f>Commercial_Final!L10</f>
        <v>0</v>
      </c>
      <c r="D7" s="137">
        <f>Commercial_Final!M10</f>
        <v>0</v>
      </c>
      <c r="E7" s="137">
        <f>Commercial_Final!N10</f>
        <v>0</v>
      </c>
      <c r="F7" s="137">
        <f>Commercial_Final!O10</f>
        <v>0</v>
      </c>
      <c r="G7" s="137">
        <f>Commercial_Final!P10</f>
        <v>0</v>
      </c>
      <c r="H7" s="137">
        <f>Commercial_Final!Q10</f>
        <v>0</v>
      </c>
      <c r="I7" s="137">
        <f>Commercial_Final!R10</f>
        <v>0</v>
      </c>
      <c r="J7" s="137">
        <f>Commercial_Final!S10</f>
        <v>0</v>
      </c>
      <c r="K7" s="137">
        <f>Commercial_Final!T10</f>
        <v>0</v>
      </c>
      <c r="L7" s="137">
        <f>Commercial_Final!U10</f>
        <v>0</v>
      </c>
      <c r="M7" s="137">
        <f>Commercial_Final!V10</f>
        <v>0</v>
      </c>
      <c r="N7" s="137">
        <f>Commercial_Final!W10</f>
        <v>0</v>
      </c>
      <c r="O7" s="137">
        <f>Commercial_Final!X10</f>
        <v>0</v>
      </c>
      <c r="P7" s="137">
        <f>Commercial_Final!Y10</f>
        <v>0</v>
      </c>
      <c r="Q7" s="137">
        <f>Commercial_Final!Z10</f>
        <v>0</v>
      </c>
      <c r="R7" s="137">
        <f>Commercial_Final!AA10</f>
        <v>0</v>
      </c>
      <c r="S7" s="137">
        <f>Commercial_Final!AB10</f>
        <v>0</v>
      </c>
      <c r="T7" s="137">
        <f>Commercial_Final!AC10</f>
        <v>0</v>
      </c>
      <c r="U7" s="137">
        <f>Commercial_Final!AD10</f>
        <v>0</v>
      </c>
      <c r="V7" s="137">
        <f>Commercial_Final!AE10</f>
        <v>0</v>
      </c>
      <c r="W7" s="137">
        <f>Commercial_Final!AF10</f>
        <v>0</v>
      </c>
      <c r="X7" s="137">
        <f>Commercial_Final!AG10</f>
        <v>0</v>
      </c>
      <c r="Y7" s="137">
        <f>Commercial_Final!AH10</f>
        <v>0</v>
      </c>
      <c r="Z7" s="137">
        <f>Commercial_Final!AI10</f>
        <v>0</v>
      </c>
      <c r="AA7" s="137">
        <f>Commercial_Final!AJ10</f>
        <v>0</v>
      </c>
      <c r="AB7" s="137">
        <f>Commercial_Final!AK10</f>
        <v>0</v>
      </c>
      <c r="AC7" s="137">
        <f>Commercial_Final!AL10</f>
        <v>0</v>
      </c>
      <c r="AD7" s="137">
        <f>Commercial_Final!AM10</f>
        <v>0</v>
      </c>
      <c r="AE7" s="137">
        <f>Commercial_Final!AN10</f>
        <v>0</v>
      </c>
      <c r="AF7" s="137">
        <f>Commercial_Final!AO10</f>
        <v>0</v>
      </c>
      <c r="AG7" s="137">
        <f>Commercial_Final!AP10</f>
        <v>0</v>
      </c>
      <c r="AH7" s="137">
        <f>Commercial_Final!AQ10</f>
        <v>0</v>
      </c>
      <c r="AI7" s="137">
        <f>Commercial_Final!AR10</f>
        <v>0</v>
      </c>
      <c r="AJ7" s="137">
        <f>Commercial_Final!AS10</f>
        <v>0</v>
      </c>
      <c r="AK7" s="137">
        <f>Commercial_Final!AT10</f>
        <v>0</v>
      </c>
      <c r="AL7" s="137">
        <f>Commercial_Final!AU10</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4" tint="-0.499984740745262"/>
  </sheetPr>
  <dimension ref="A1:AN11"/>
  <sheetViews>
    <sheetView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 min="7" max="7"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Commercial_Final!K32</f>
        <v>25444638799999.996</v>
      </c>
      <c r="C2" s="137">
        <f>Commercial_Final!L32</f>
        <v>25979446257917.168</v>
      </c>
      <c r="D2" s="137">
        <f>Commercial_Final!M32</f>
        <v>26406907680575.746</v>
      </c>
      <c r="E2" s="137">
        <f>Commercial_Final!N32</f>
        <v>26863929887942.215</v>
      </c>
      <c r="F2" s="137">
        <f>Commercial_Final!O32</f>
        <v>27948200519153.664</v>
      </c>
      <c r="G2" s="137">
        <f>Commercial_Final!P32</f>
        <v>26775597949753.215</v>
      </c>
      <c r="H2" s="137">
        <f>Commercial_Final!Q32</f>
        <v>23238387854930.215</v>
      </c>
      <c r="I2" s="137">
        <f>Commercial_Final!R32</f>
        <v>24713424100632.219</v>
      </c>
      <c r="J2" s="137">
        <f>Commercial_Final!S32</f>
        <v>30992968994551.488</v>
      </c>
      <c r="K2" s="137">
        <f>Commercial_Final!T32</f>
        <v>31307649332506.5</v>
      </c>
      <c r="L2" s="137">
        <f>Commercial_Final!U32</f>
        <v>31623521275466.523</v>
      </c>
      <c r="M2" s="137">
        <f>Commercial_Final!V32</f>
        <v>31795518447132.102</v>
      </c>
      <c r="N2" s="137">
        <f>Commercial_Final!W32</f>
        <v>32031987629552.992</v>
      </c>
      <c r="O2" s="137">
        <f>Commercial_Final!X32</f>
        <v>32268456811973.871</v>
      </c>
      <c r="P2" s="137">
        <f>Commercial_Final!Y32</f>
        <v>32504925994394.762</v>
      </c>
      <c r="Q2" s="137">
        <f>Commercial_Final!Z32</f>
        <v>32741395176815.645</v>
      </c>
      <c r="R2" s="137">
        <f>Commercial_Final!AA32</f>
        <v>32977864359236.531</v>
      </c>
      <c r="S2" s="137">
        <f>Commercial_Final!AB32</f>
        <v>33214333541657.41</v>
      </c>
      <c r="T2" s="137">
        <f>Commercial_Final!AC32</f>
        <v>33450802724078.305</v>
      </c>
      <c r="U2" s="137">
        <f>Commercial_Final!AD32</f>
        <v>33687271906499.188</v>
      </c>
      <c r="V2" s="137">
        <f>Commercial_Final!AE32</f>
        <v>33923741088920.062</v>
      </c>
      <c r="W2" s="137">
        <f>Commercial_Final!AF32</f>
        <v>34160210271340.953</v>
      </c>
      <c r="X2" s="137">
        <f>Commercial_Final!AG32</f>
        <v>34371862224718.645</v>
      </c>
      <c r="Y2" s="137">
        <f>Commercial_Final!AH32</f>
        <v>34608160794453.809</v>
      </c>
      <c r="Z2" s="137">
        <f>Commercial_Final!AI32</f>
        <v>34844459364188.953</v>
      </c>
      <c r="AA2" s="137">
        <f>Commercial_Final!AJ32</f>
        <v>35080757933924.117</v>
      </c>
      <c r="AB2" s="137">
        <f>Commercial_Final!AK32</f>
        <v>35317056503659.273</v>
      </c>
      <c r="AC2" s="137">
        <f>Commercial_Final!AL32</f>
        <v>35553355073394.422</v>
      </c>
      <c r="AD2" s="137">
        <f>Commercial_Final!AM32</f>
        <v>35789653643129.578</v>
      </c>
      <c r="AE2" s="137">
        <f>Commercial_Final!AN32</f>
        <v>36025952212864.734</v>
      </c>
      <c r="AF2" s="137">
        <f>Commercial_Final!AO32</f>
        <v>36262250782599.883</v>
      </c>
      <c r="AG2" s="137">
        <f>Commercial_Final!AP32</f>
        <v>36498549352335.055</v>
      </c>
      <c r="AH2" s="137">
        <f>Commercial_Final!AQ32</f>
        <v>36734847922070.203</v>
      </c>
      <c r="AI2" s="137">
        <f>Commercial_Final!AR32</f>
        <v>36971146491805.352</v>
      </c>
      <c r="AJ2" s="137">
        <f>Commercial_Final!AS32</f>
        <v>37207445061540.516</v>
      </c>
      <c r="AK2" s="137">
        <f>Commercial_Final!AT32</f>
        <v>37443743631275.664</v>
      </c>
      <c r="AL2" s="137">
        <f>Commercial_Final!AU32</f>
        <v>37680042201010.828</v>
      </c>
    </row>
    <row r="3" spans="1:40">
      <c r="A3" s="18" t="s">
        <v>970</v>
      </c>
      <c r="B3" s="137">
        <f>Commercial_Final!K33</f>
        <v>0</v>
      </c>
      <c r="C3" s="137">
        <f>Commercial_Final!L33</f>
        <v>0</v>
      </c>
      <c r="D3" s="137">
        <f>Commercial_Final!M33</f>
        <v>0</v>
      </c>
      <c r="E3" s="137">
        <f>Commercial_Final!N33</f>
        <v>0</v>
      </c>
      <c r="F3" s="137">
        <f>Commercial_Final!O33</f>
        <v>0</v>
      </c>
      <c r="G3" s="137">
        <f>Commercial_Final!P33</f>
        <v>0</v>
      </c>
      <c r="H3" s="137">
        <f>Commercial_Final!Q33</f>
        <v>0</v>
      </c>
      <c r="I3" s="137">
        <f>Commercial_Final!R33</f>
        <v>0</v>
      </c>
      <c r="J3" s="137">
        <f>Commercial_Final!S33</f>
        <v>0</v>
      </c>
      <c r="K3" s="137">
        <f>Commercial_Final!T33</f>
        <v>0</v>
      </c>
      <c r="L3" s="137">
        <f>Commercial_Final!U33</f>
        <v>0</v>
      </c>
      <c r="M3" s="137">
        <f>Commercial_Final!V33</f>
        <v>0</v>
      </c>
      <c r="N3" s="137">
        <f>Commercial_Final!W33</f>
        <v>0</v>
      </c>
      <c r="O3" s="137">
        <f>Commercial_Final!X33</f>
        <v>0</v>
      </c>
      <c r="P3" s="137">
        <f>Commercial_Final!Y33</f>
        <v>0</v>
      </c>
      <c r="Q3" s="137">
        <f>Commercial_Final!Z33</f>
        <v>0</v>
      </c>
      <c r="R3" s="137">
        <f>Commercial_Final!AA33</f>
        <v>0</v>
      </c>
      <c r="S3" s="137">
        <f>Commercial_Final!AB33</f>
        <v>0</v>
      </c>
      <c r="T3" s="137">
        <f>Commercial_Final!AC33</f>
        <v>0</v>
      </c>
      <c r="U3" s="137">
        <f>Commercial_Final!AD33</f>
        <v>0</v>
      </c>
      <c r="V3" s="137">
        <f>Commercial_Final!AE33</f>
        <v>0</v>
      </c>
      <c r="W3" s="137">
        <f>Commercial_Final!AF33</f>
        <v>0</v>
      </c>
      <c r="X3" s="137">
        <f>Commercial_Final!AG33</f>
        <v>0</v>
      </c>
      <c r="Y3" s="137">
        <f>Commercial_Final!AH33</f>
        <v>0</v>
      </c>
      <c r="Z3" s="137">
        <f>Commercial_Final!AI33</f>
        <v>0</v>
      </c>
      <c r="AA3" s="137">
        <f>Commercial_Final!AJ33</f>
        <v>0</v>
      </c>
      <c r="AB3" s="137">
        <f>Commercial_Final!AK33</f>
        <v>0</v>
      </c>
      <c r="AC3" s="137">
        <f>Commercial_Final!AL33</f>
        <v>0</v>
      </c>
      <c r="AD3" s="137">
        <f>Commercial_Final!AM33</f>
        <v>0</v>
      </c>
      <c r="AE3" s="137">
        <f>Commercial_Final!AN33</f>
        <v>0</v>
      </c>
      <c r="AF3" s="137">
        <f>Commercial_Final!AO33</f>
        <v>0</v>
      </c>
      <c r="AG3" s="137">
        <f>Commercial_Final!AP33</f>
        <v>0</v>
      </c>
      <c r="AH3" s="137">
        <f>Commercial_Final!AQ33</f>
        <v>0</v>
      </c>
      <c r="AI3" s="137">
        <f>Commercial_Final!AR33</f>
        <v>0</v>
      </c>
      <c r="AJ3" s="137">
        <f>Commercial_Final!AS33</f>
        <v>0</v>
      </c>
      <c r="AK3" s="137">
        <f>Commercial_Final!AT33</f>
        <v>0</v>
      </c>
      <c r="AL3" s="137">
        <f>Commercial_Final!AU33</f>
        <v>0</v>
      </c>
    </row>
    <row r="4" spans="1:40">
      <c r="A4" s="18" t="s">
        <v>971</v>
      </c>
      <c r="B4" s="137">
        <f>Commercial_Final!K34</f>
        <v>10757408993012.451</v>
      </c>
      <c r="C4" s="137">
        <f>Commercial_Final!L34</f>
        <v>10721868484018.266</v>
      </c>
      <c r="D4" s="137">
        <f>Commercial_Final!M34</f>
        <v>10804385724775.93</v>
      </c>
      <c r="E4" s="137">
        <f>Commercial_Final!N34</f>
        <v>11034138486211.717</v>
      </c>
      <c r="F4" s="137">
        <f>Commercial_Final!O34</f>
        <v>11175521701054.746</v>
      </c>
      <c r="G4" s="137">
        <f>Commercial_Final!P34</f>
        <v>10910887271710.176</v>
      </c>
      <c r="H4" s="137">
        <f>Commercial_Final!Q34</f>
        <v>8990870864102.3574</v>
      </c>
      <c r="I4" s="137">
        <f>Commercial_Final!R34</f>
        <v>9414312297804.0781</v>
      </c>
      <c r="J4" s="137">
        <f>Commercial_Final!S34</f>
        <v>13117484998946.164</v>
      </c>
      <c r="K4" s="137">
        <f>Commercial_Final!T34</f>
        <v>12954202907713.674</v>
      </c>
      <c r="L4" s="137">
        <f>Commercial_Final!U34</f>
        <v>12786948799797.791</v>
      </c>
      <c r="M4" s="137">
        <f>Commercial_Final!V34</f>
        <v>13099277262863.412</v>
      </c>
      <c r="N4" s="137">
        <f>Commercial_Final!W34</f>
        <v>13196699023411.342</v>
      </c>
      <c r="O4" s="137">
        <f>Commercial_Final!X34</f>
        <v>13294120783959.271</v>
      </c>
      <c r="P4" s="137">
        <f>Commercial_Final!Y34</f>
        <v>13391542544507.203</v>
      </c>
      <c r="Q4" s="137">
        <f>Commercial_Final!Z34</f>
        <v>13488964305055.133</v>
      </c>
      <c r="R4" s="137">
        <f>Commercial_Final!AA34</f>
        <v>13586386065603.064</v>
      </c>
      <c r="S4" s="137">
        <f>Commercial_Final!AB34</f>
        <v>13683807826150.992</v>
      </c>
      <c r="T4" s="137">
        <f>Commercial_Final!AC34</f>
        <v>13781229586698.926</v>
      </c>
      <c r="U4" s="137">
        <f>Commercial_Final!AD34</f>
        <v>13878651347246.855</v>
      </c>
      <c r="V4" s="137">
        <f>Commercial_Final!AE34</f>
        <v>13976073107794.781</v>
      </c>
      <c r="W4" s="137">
        <f>Commercial_Final!AF34</f>
        <v>14073494868342.713</v>
      </c>
      <c r="X4" s="137">
        <f>Commercial_Final!AG34</f>
        <v>14160692302318.543</v>
      </c>
      <c r="Y4" s="137">
        <f>Commercial_Final!AH34</f>
        <v>14258043772995.951</v>
      </c>
      <c r="Z4" s="137">
        <f>Commercial_Final!AI34</f>
        <v>14355395243673.352</v>
      </c>
      <c r="AA4" s="137">
        <f>Commercial_Final!AJ34</f>
        <v>14452746714350.758</v>
      </c>
      <c r="AB4" s="137">
        <f>Commercial_Final!AK34</f>
        <v>14550098185028.164</v>
      </c>
      <c r="AC4" s="137">
        <f>Commercial_Final!AL34</f>
        <v>14647449655705.566</v>
      </c>
      <c r="AD4" s="137">
        <f>Commercial_Final!AM34</f>
        <v>14744801126382.975</v>
      </c>
      <c r="AE4" s="137">
        <f>Commercial_Final!AN34</f>
        <v>14842152597060.375</v>
      </c>
      <c r="AF4" s="137">
        <f>Commercial_Final!AO34</f>
        <v>14939504067737.779</v>
      </c>
      <c r="AG4" s="137">
        <f>Commercial_Final!AP34</f>
        <v>15036855538415.188</v>
      </c>
      <c r="AH4" s="137">
        <f>Commercial_Final!AQ34</f>
        <v>15134207009092.592</v>
      </c>
      <c r="AI4" s="137">
        <f>Commercial_Final!AR34</f>
        <v>15231558479769.994</v>
      </c>
      <c r="AJ4" s="137">
        <f>Commercial_Final!AS34</f>
        <v>15328909950447.402</v>
      </c>
      <c r="AK4" s="137">
        <f>Commercial_Final!AT34</f>
        <v>15426261421124.807</v>
      </c>
      <c r="AL4" s="137">
        <f>Commercial_Final!AU34</f>
        <v>15523612891802.213</v>
      </c>
    </row>
    <row r="5" spans="1:40">
      <c r="A5" s="18" t="s">
        <v>972</v>
      </c>
      <c r="B5" s="137">
        <f>Commercial_Final!K35</f>
        <v>0</v>
      </c>
      <c r="C5" s="137">
        <f>Commercial_Final!L35</f>
        <v>0</v>
      </c>
      <c r="D5" s="137">
        <f>Commercial_Final!M35</f>
        <v>0</v>
      </c>
      <c r="E5" s="137">
        <f>Commercial_Final!N35</f>
        <v>0</v>
      </c>
      <c r="F5" s="137">
        <f>Commercial_Final!O35</f>
        <v>0</v>
      </c>
      <c r="G5" s="137">
        <f>Commercial_Final!P35</f>
        <v>0</v>
      </c>
      <c r="H5" s="137">
        <f>Commercial_Final!Q35</f>
        <v>0</v>
      </c>
      <c r="I5" s="137">
        <f>Commercial_Final!R35</f>
        <v>0</v>
      </c>
      <c r="J5" s="137">
        <f>Commercial_Final!S35</f>
        <v>0</v>
      </c>
      <c r="K5" s="137">
        <f>Commercial_Final!T35</f>
        <v>0</v>
      </c>
      <c r="L5" s="137">
        <f>Commercial_Final!U35</f>
        <v>0</v>
      </c>
      <c r="M5" s="137">
        <f>Commercial_Final!V35</f>
        <v>0</v>
      </c>
      <c r="N5" s="137">
        <f>Commercial_Final!W35</f>
        <v>0</v>
      </c>
      <c r="O5" s="137">
        <f>Commercial_Final!X35</f>
        <v>0</v>
      </c>
      <c r="P5" s="137">
        <f>Commercial_Final!Y35</f>
        <v>0</v>
      </c>
      <c r="Q5" s="137">
        <f>Commercial_Final!Z35</f>
        <v>0</v>
      </c>
      <c r="R5" s="137">
        <f>Commercial_Final!AA35</f>
        <v>0</v>
      </c>
      <c r="S5" s="137">
        <f>Commercial_Final!AB35</f>
        <v>0</v>
      </c>
      <c r="T5" s="137">
        <f>Commercial_Final!AC35</f>
        <v>0</v>
      </c>
      <c r="U5" s="137">
        <f>Commercial_Final!AD35</f>
        <v>0</v>
      </c>
      <c r="V5" s="137">
        <f>Commercial_Final!AE35</f>
        <v>0</v>
      </c>
      <c r="W5" s="137">
        <f>Commercial_Final!AF35</f>
        <v>0</v>
      </c>
      <c r="X5" s="137">
        <f>Commercial_Final!AG35</f>
        <v>0</v>
      </c>
      <c r="Y5" s="137">
        <f>Commercial_Final!AH35</f>
        <v>0</v>
      </c>
      <c r="Z5" s="137">
        <f>Commercial_Final!AI35</f>
        <v>0</v>
      </c>
      <c r="AA5" s="137">
        <f>Commercial_Final!AJ35</f>
        <v>0</v>
      </c>
      <c r="AB5" s="137">
        <f>Commercial_Final!AK35</f>
        <v>0</v>
      </c>
      <c r="AC5" s="137">
        <f>Commercial_Final!AL35</f>
        <v>0</v>
      </c>
      <c r="AD5" s="137">
        <f>Commercial_Final!AM35</f>
        <v>0</v>
      </c>
      <c r="AE5" s="137">
        <f>Commercial_Final!AN35</f>
        <v>0</v>
      </c>
      <c r="AF5" s="137">
        <f>Commercial_Final!AO35</f>
        <v>0</v>
      </c>
      <c r="AG5" s="137">
        <f>Commercial_Final!AP35</f>
        <v>0</v>
      </c>
      <c r="AH5" s="137">
        <f>Commercial_Final!AQ35</f>
        <v>0</v>
      </c>
      <c r="AI5" s="137">
        <f>Commercial_Final!AR35</f>
        <v>0</v>
      </c>
      <c r="AJ5" s="137">
        <f>Commercial_Final!AS35</f>
        <v>0</v>
      </c>
      <c r="AK5" s="137">
        <f>Commercial_Final!AT35</f>
        <v>0</v>
      </c>
      <c r="AL5" s="137">
        <f>Commercial_Final!AU35</f>
        <v>0</v>
      </c>
    </row>
    <row r="6" spans="1:40">
      <c r="A6" s="18" t="s">
        <v>973</v>
      </c>
      <c r="B6" s="137">
        <f>Commercial_Final!K36</f>
        <v>0</v>
      </c>
      <c r="C6" s="137">
        <f>Commercial_Final!L36</f>
        <v>0</v>
      </c>
      <c r="D6" s="137">
        <f>Commercial_Final!M36</f>
        <v>0</v>
      </c>
      <c r="E6" s="137">
        <f>Commercial_Final!N36</f>
        <v>0</v>
      </c>
      <c r="F6" s="137">
        <f>Commercial_Final!O36</f>
        <v>0</v>
      </c>
      <c r="G6" s="137">
        <f>Commercial_Final!P36</f>
        <v>0</v>
      </c>
      <c r="H6" s="137">
        <f>Commercial_Final!Q36</f>
        <v>0</v>
      </c>
      <c r="I6" s="137">
        <f>Commercial_Final!R36</f>
        <v>0</v>
      </c>
      <c r="J6" s="137">
        <f>Commercial_Final!S36</f>
        <v>0</v>
      </c>
      <c r="K6" s="137">
        <f>Commercial_Final!T36</f>
        <v>0</v>
      </c>
      <c r="L6" s="137">
        <f>Commercial_Final!U36</f>
        <v>0</v>
      </c>
      <c r="M6" s="137">
        <f>Commercial_Final!V36</f>
        <v>0</v>
      </c>
      <c r="N6" s="137">
        <f>Commercial_Final!W36</f>
        <v>0</v>
      </c>
      <c r="O6" s="137">
        <f>Commercial_Final!X36</f>
        <v>0</v>
      </c>
      <c r="P6" s="137">
        <f>Commercial_Final!Y36</f>
        <v>0</v>
      </c>
      <c r="Q6" s="137">
        <f>Commercial_Final!Z36</f>
        <v>0</v>
      </c>
      <c r="R6" s="137">
        <f>Commercial_Final!AA36</f>
        <v>0</v>
      </c>
      <c r="S6" s="137">
        <f>Commercial_Final!AB36</f>
        <v>0</v>
      </c>
      <c r="T6" s="137">
        <f>Commercial_Final!AC36</f>
        <v>0</v>
      </c>
      <c r="U6" s="137">
        <f>Commercial_Final!AD36</f>
        <v>0</v>
      </c>
      <c r="V6" s="137">
        <f>Commercial_Final!AE36</f>
        <v>0</v>
      </c>
      <c r="W6" s="137">
        <f>Commercial_Final!AF36</f>
        <v>0</v>
      </c>
      <c r="X6" s="137">
        <f>Commercial_Final!AG36</f>
        <v>0</v>
      </c>
      <c r="Y6" s="137">
        <f>Commercial_Final!AH36</f>
        <v>0</v>
      </c>
      <c r="Z6" s="137">
        <f>Commercial_Final!AI36</f>
        <v>0</v>
      </c>
      <c r="AA6" s="137">
        <f>Commercial_Final!AJ36</f>
        <v>0</v>
      </c>
      <c r="AB6" s="137">
        <f>Commercial_Final!AK36</f>
        <v>0</v>
      </c>
      <c r="AC6" s="137">
        <f>Commercial_Final!AL36</f>
        <v>0</v>
      </c>
      <c r="AD6" s="137">
        <f>Commercial_Final!AM36</f>
        <v>0</v>
      </c>
      <c r="AE6" s="137">
        <f>Commercial_Final!AN36</f>
        <v>0</v>
      </c>
      <c r="AF6" s="137">
        <f>Commercial_Final!AO36</f>
        <v>0</v>
      </c>
      <c r="AG6" s="137">
        <f>Commercial_Final!AP36</f>
        <v>0</v>
      </c>
      <c r="AH6" s="137">
        <f>Commercial_Final!AQ36</f>
        <v>0</v>
      </c>
      <c r="AI6" s="137">
        <f>Commercial_Final!AR36</f>
        <v>0</v>
      </c>
      <c r="AJ6" s="137">
        <f>Commercial_Final!AS36</f>
        <v>0</v>
      </c>
      <c r="AK6" s="137">
        <f>Commercial_Final!AT36</f>
        <v>0</v>
      </c>
      <c r="AL6" s="137">
        <f>Commercial_Final!AU36</f>
        <v>0</v>
      </c>
    </row>
    <row r="7" spans="1:40">
      <c r="A7" s="18" t="s">
        <v>974</v>
      </c>
      <c r="B7" s="137">
        <f>Commercial_Final!K37</f>
        <v>0</v>
      </c>
      <c r="C7" s="137">
        <f>Commercial_Final!L37</f>
        <v>0</v>
      </c>
      <c r="D7" s="137">
        <f>Commercial_Final!M37</f>
        <v>0</v>
      </c>
      <c r="E7" s="137">
        <f>Commercial_Final!N37</f>
        <v>0</v>
      </c>
      <c r="F7" s="137">
        <f>Commercial_Final!O37</f>
        <v>0</v>
      </c>
      <c r="G7" s="137">
        <f>Commercial_Final!P37</f>
        <v>0</v>
      </c>
      <c r="H7" s="137">
        <f>Commercial_Final!Q37</f>
        <v>0</v>
      </c>
      <c r="I7" s="137">
        <f>Commercial_Final!R37</f>
        <v>0</v>
      </c>
      <c r="J7" s="137">
        <f>Commercial_Final!S37</f>
        <v>0</v>
      </c>
      <c r="K7" s="137">
        <f>Commercial_Final!T37</f>
        <v>0</v>
      </c>
      <c r="L7" s="137">
        <f>Commercial_Final!U37</f>
        <v>0</v>
      </c>
      <c r="M7" s="137">
        <f>Commercial_Final!V37</f>
        <v>0</v>
      </c>
      <c r="N7" s="137">
        <f>Commercial_Final!W37</f>
        <v>0</v>
      </c>
      <c r="O7" s="137">
        <f>Commercial_Final!X37</f>
        <v>0</v>
      </c>
      <c r="P7" s="137">
        <f>Commercial_Final!Y37</f>
        <v>0</v>
      </c>
      <c r="Q7" s="137">
        <f>Commercial_Final!Z37</f>
        <v>0</v>
      </c>
      <c r="R7" s="137">
        <f>Commercial_Final!AA37</f>
        <v>0</v>
      </c>
      <c r="S7" s="137">
        <f>Commercial_Final!AB37</f>
        <v>0</v>
      </c>
      <c r="T7" s="137">
        <f>Commercial_Final!AC37</f>
        <v>0</v>
      </c>
      <c r="U7" s="137">
        <f>Commercial_Final!AD37</f>
        <v>0</v>
      </c>
      <c r="V7" s="137">
        <f>Commercial_Final!AE37</f>
        <v>0</v>
      </c>
      <c r="W7" s="137">
        <f>Commercial_Final!AF37</f>
        <v>0</v>
      </c>
      <c r="X7" s="137">
        <f>Commercial_Final!AG37</f>
        <v>0</v>
      </c>
      <c r="Y7" s="137">
        <f>Commercial_Final!AH37</f>
        <v>0</v>
      </c>
      <c r="Z7" s="137">
        <f>Commercial_Final!AI37</f>
        <v>0</v>
      </c>
      <c r="AA7" s="137">
        <f>Commercial_Final!AJ37</f>
        <v>0</v>
      </c>
      <c r="AB7" s="137">
        <f>Commercial_Final!AK37</f>
        <v>0</v>
      </c>
      <c r="AC7" s="137">
        <f>Commercial_Final!AL37</f>
        <v>0</v>
      </c>
      <c r="AD7" s="137">
        <f>Commercial_Final!AM37</f>
        <v>0</v>
      </c>
      <c r="AE7" s="137">
        <f>Commercial_Final!AN37</f>
        <v>0</v>
      </c>
      <c r="AF7" s="137">
        <f>Commercial_Final!AO37</f>
        <v>0</v>
      </c>
      <c r="AG7" s="137">
        <f>Commercial_Final!AP37</f>
        <v>0</v>
      </c>
      <c r="AH7" s="137">
        <f>Commercial_Final!AQ37</f>
        <v>0</v>
      </c>
      <c r="AI7" s="137">
        <f>Commercial_Final!AR37</f>
        <v>0</v>
      </c>
      <c r="AJ7" s="137">
        <f>Commercial_Final!AS37</f>
        <v>0</v>
      </c>
      <c r="AK7" s="137">
        <f>Commercial_Final!AT37</f>
        <v>0</v>
      </c>
      <c r="AL7" s="137">
        <f>Commercial_Final!AU37</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4" tint="-0.499984740745262"/>
  </sheetPr>
  <dimension ref="A1:AN11"/>
  <sheetViews>
    <sheetView tabSelected="1" workbookViewId="0">
      <pane xSplit="1" ySplit="1" topLeftCell="B2" activePane="bottomRight" state="frozen"/>
      <selection pane="topRight" activeCell="Z21" sqref="Z21"/>
      <selection pane="bottomLeft" activeCell="Z21" sqref="Z21"/>
      <selection pane="bottomRight" activeCell="A8" sqref="A8:XFD11"/>
    </sheetView>
  </sheetViews>
  <sheetFormatPr baseColWidth="10" defaultColWidth="8.796875" defaultRowHeight="14"/>
  <cols>
    <col min="1" max="1" width="23.796875" customWidth="1"/>
    <col min="2" max="2" width="10.796875" bestFit="1" customWidth="1"/>
  </cols>
  <sheetData>
    <row r="1" spans="1:40">
      <c r="A1" s="18" t="s">
        <v>481</v>
      </c>
      <c r="B1" s="18">
        <v>2014</v>
      </c>
      <c r="C1" s="18">
        <v>2015</v>
      </c>
      <c r="D1" s="18">
        <v>2016</v>
      </c>
      <c r="E1" s="18">
        <v>2017</v>
      </c>
      <c r="F1" s="18">
        <v>2018</v>
      </c>
      <c r="G1" s="18">
        <v>2019</v>
      </c>
      <c r="H1" s="18">
        <v>2020</v>
      </c>
      <c r="I1" s="18">
        <v>2021</v>
      </c>
      <c r="J1" s="18">
        <v>2022</v>
      </c>
      <c r="K1" s="18">
        <v>2023</v>
      </c>
      <c r="L1" s="18">
        <v>2024</v>
      </c>
      <c r="M1" s="18">
        <v>2025</v>
      </c>
      <c r="N1" s="18">
        <v>2026</v>
      </c>
      <c r="O1" s="18">
        <v>2027</v>
      </c>
      <c r="P1" s="18">
        <v>2028</v>
      </c>
      <c r="Q1" s="18">
        <v>2029</v>
      </c>
      <c r="R1" s="18">
        <v>2030</v>
      </c>
      <c r="S1" s="18">
        <v>2031</v>
      </c>
      <c r="T1" s="18">
        <v>2032</v>
      </c>
      <c r="U1" s="18">
        <v>2033</v>
      </c>
      <c r="V1" s="18">
        <v>2034</v>
      </c>
      <c r="W1" s="18">
        <v>2035</v>
      </c>
      <c r="X1" s="18">
        <v>2036</v>
      </c>
      <c r="Y1" s="18">
        <v>2037</v>
      </c>
      <c r="Z1" s="18">
        <v>2038</v>
      </c>
      <c r="AA1" s="18">
        <v>2039</v>
      </c>
      <c r="AB1" s="18">
        <v>2040</v>
      </c>
      <c r="AC1" s="18">
        <v>2041</v>
      </c>
      <c r="AD1" s="18">
        <v>2042</v>
      </c>
      <c r="AE1" s="18">
        <v>2043</v>
      </c>
      <c r="AF1" s="18">
        <v>2044</v>
      </c>
      <c r="AG1" s="18">
        <v>2045</v>
      </c>
      <c r="AH1" s="18">
        <v>2046</v>
      </c>
      <c r="AI1" s="18">
        <v>2047</v>
      </c>
      <c r="AJ1" s="18">
        <v>2048</v>
      </c>
      <c r="AK1" s="18">
        <v>2049</v>
      </c>
      <c r="AL1" s="18">
        <v>2050</v>
      </c>
      <c r="AM1" s="18"/>
      <c r="AN1" s="18"/>
    </row>
    <row r="2" spans="1:40">
      <c r="A2" s="18" t="s">
        <v>969</v>
      </c>
      <c r="B2" s="137">
        <f>Commercial_Final!K41</f>
        <v>44784497800000</v>
      </c>
      <c r="C2" s="137">
        <f>Commercial_Final!L41</f>
        <v>45509051881572.164</v>
      </c>
      <c r="D2" s="137">
        <f>Commercial_Final!M41</f>
        <v>45925139253961.344</v>
      </c>
      <c r="E2" s="137">
        <f>Commercial_Final!N41</f>
        <v>45134321379963.891</v>
      </c>
      <c r="F2" s="137">
        <f>Commercial_Final!O41</f>
        <v>43860515308765.398</v>
      </c>
      <c r="G2" s="137">
        <f>Commercial_Final!P41</f>
        <v>46980037648687.344</v>
      </c>
      <c r="H2" s="137">
        <f>Commercial_Final!Q41</f>
        <v>46254040529751.578</v>
      </c>
      <c r="I2" s="137">
        <f>Commercial_Final!R41</f>
        <v>48778565091587.25</v>
      </c>
      <c r="J2" s="137">
        <f>Commercial_Final!S41</f>
        <v>43390156592372.078</v>
      </c>
      <c r="K2" s="137">
        <f>Commercial_Final!T41</f>
        <v>43830709065509.094</v>
      </c>
      <c r="L2" s="137">
        <f>Commercial_Final!U41</f>
        <v>44272929785653.133</v>
      </c>
      <c r="M2" s="137">
        <f>Commercial_Final!V41</f>
        <v>44513725825984.945</v>
      </c>
      <c r="N2" s="137">
        <f>Commercial_Final!W41</f>
        <v>44844782681374.188</v>
      </c>
      <c r="O2" s="137">
        <f>Commercial_Final!X41</f>
        <v>45175839536763.422</v>
      </c>
      <c r="P2" s="137">
        <f>Commercial_Final!Y41</f>
        <v>45506896392152.664</v>
      </c>
      <c r="Q2" s="137">
        <f>Commercial_Final!Z41</f>
        <v>45837953247541.906</v>
      </c>
      <c r="R2" s="137">
        <f>Commercial_Final!AA41</f>
        <v>46169010102931.141</v>
      </c>
      <c r="S2" s="137">
        <f>Commercial_Final!AB41</f>
        <v>46500066958320.375</v>
      </c>
      <c r="T2" s="137">
        <f>Commercial_Final!AC41</f>
        <v>46831123813709.633</v>
      </c>
      <c r="U2" s="137">
        <f>Commercial_Final!AD41</f>
        <v>47162180669098.867</v>
      </c>
      <c r="V2" s="137">
        <f>Commercial_Final!AE41</f>
        <v>47493237524488.086</v>
      </c>
      <c r="W2" s="137">
        <f>Commercial_Final!AF41</f>
        <v>47824294379877.328</v>
      </c>
      <c r="X2" s="137">
        <f>Commercial_Final!AG41</f>
        <v>48120607114606.109</v>
      </c>
      <c r="Y2" s="137">
        <f>Commercial_Final!AH41</f>
        <v>48451425112235.336</v>
      </c>
      <c r="Z2" s="137">
        <f>Commercial_Final!AI41</f>
        <v>48782243109864.531</v>
      </c>
      <c r="AA2" s="137">
        <f>Commercial_Final!AJ41</f>
        <v>49113061107493.758</v>
      </c>
      <c r="AB2" s="137">
        <f>Commercial_Final!AK41</f>
        <v>49443879105122.984</v>
      </c>
      <c r="AC2" s="137">
        <f>Commercial_Final!AL41</f>
        <v>49774697102752.195</v>
      </c>
      <c r="AD2" s="137">
        <f>Commercial_Final!AM41</f>
        <v>50105515100381.414</v>
      </c>
      <c r="AE2" s="137">
        <f>Commercial_Final!AN41</f>
        <v>50436333098010.625</v>
      </c>
      <c r="AF2" s="137">
        <f>Commercial_Final!AO41</f>
        <v>50767151095639.844</v>
      </c>
      <c r="AG2" s="137">
        <f>Commercial_Final!AP41</f>
        <v>51097969093269.07</v>
      </c>
      <c r="AH2" s="137">
        <f>Commercial_Final!AQ41</f>
        <v>51428787090898.289</v>
      </c>
      <c r="AI2" s="137">
        <f>Commercial_Final!AR41</f>
        <v>51759605088527.5</v>
      </c>
      <c r="AJ2" s="137">
        <f>Commercial_Final!AS41</f>
        <v>52090423086156.727</v>
      </c>
      <c r="AK2" s="137">
        <f>Commercial_Final!AT41</f>
        <v>52421241083785.93</v>
      </c>
      <c r="AL2" s="137">
        <f>Commercial_Final!AU41</f>
        <v>52752059081415.164</v>
      </c>
    </row>
    <row r="3" spans="1:40">
      <c r="A3" s="18" t="s">
        <v>970</v>
      </c>
      <c r="B3" s="137">
        <f>Commercial_Final!K42</f>
        <v>0</v>
      </c>
      <c r="C3" s="137">
        <f>Commercial_Final!L42</f>
        <v>0</v>
      </c>
      <c r="D3" s="137">
        <f>Commercial_Final!M42</f>
        <v>0</v>
      </c>
      <c r="E3" s="137">
        <f>Commercial_Final!N42</f>
        <v>0</v>
      </c>
      <c r="F3" s="137">
        <f>Commercial_Final!O42</f>
        <v>0</v>
      </c>
      <c r="G3" s="137">
        <f>Commercial_Final!P42</f>
        <v>0</v>
      </c>
      <c r="H3" s="137">
        <f>Commercial_Final!Q42</f>
        <v>0</v>
      </c>
      <c r="I3" s="137">
        <f>Commercial_Final!R42</f>
        <v>0</v>
      </c>
      <c r="J3" s="137">
        <f>Commercial_Final!S42</f>
        <v>0</v>
      </c>
      <c r="K3" s="137">
        <f>Commercial_Final!T42</f>
        <v>0</v>
      </c>
      <c r="L3" s="137">
        <f>Commercial_Final!U42</f>
        <v>0</v>
      </c>
      <c r="M3" s="137">
        <f>Commercial_Final!V42</f>
        <v>0</v>
      </c>
      <c r="N3" s="137">
        <f>Commercial_Final!W42</f>
        <v>0</v>
      </c>
      <c r="O3" s="137">
        <f>Commercial_Final!X42</f>
        <v>0</v>
      </c>
      <c r="P3" s="137">
        <f>Commercial_Final!Y42</f>
        <v>0</v>
      </c>
      <c r="Q3" s="137">
        <f>Commercial_Final!Z42</f>
        <v>0</v>
      </c>
      <c r="R3" s="137">
        <f>Commercial_Final!AA42</f>
        <v>0</v>
      </c>
      <c r="S3" s="137">
        <f>Commercial_Final!AB42</f>
        <v>0</v>
      </c>
      <c r="T3" s="137">
        <f>Commercial_Final!AC42</f>
        <v>0</v>
      </c>
      <c r="U3" s="137">
        <f>Commercial_Final!AD42</f>
        <v>0</v>
      </c>
      <c r="V3" s="137">
        <f>Commercial_Final!AE42</f>
        <v>0</v>
      </c>
      <c r="W3" s="137">
        <f>Commercial_Final!AF42</f>
        <v>0</v>
      </c>
      <c r="X3" s="137">
        <f>Commercial_Final!AG42</f>
        <v>0</v>
      </c>
      <c r="Y3" s="137">
        <f>Commercial_Final!AH42</f>
        <v>0</v>
      </c>
      <c r="Z3" s="137">
        <f>Commercial_Final!AI42</f>
        <v>0</v>
      </c>
      <c r="AA3" s="137">
        <f>Commercial_Final!AJ42</f>
        <v>0</v>
      </c>
      <c r="AB3" s="137">
        <f>Commercial_Final!AK42</f>
        <v>0</v>
      </c>
      <c r="AC3" s="137">
        <f>Commercial_Final!AL42</f>
        <v>0</v>
      </c>
      <c r="AD3" s="137">
        <f>Commercial_Final!AM42</f>
        <v>0</v>
      </c>
      <c r="AE3" s="137">
        <f>Commercial_Final!AN42</f>
        <v>0</v>
      </c>
      <c r="AF3" s="137">
        <f>Commercial_Final!AO42</f>
        <v>0</v>
      </c>
      <c r="AG3" s="137">
        <f>Commercial_Final!AP42</f>
        <v>0</v>
      </c>
      <c r="AH3" s="137">
        <f>Commercial_Final!AQ42</f>
        <v>0</v>
      </c>
      <c r="AI3" s="137">
        <f>Commercial_Final!AR42</f>
        <v>0</v>
      </c>
      <c r="AJ3" s="137">
        <f>Commercial_Final!AS42</f>
        <v>0</v>
      </c>
      <c r="AK3" s="137">
        <f>Commercial_Final!AT42</f>
        <v>0</v>
      </c>
      <c r="AL3" s="137">
        <f>Commercial_Final!AU42</f>
        <v>0</v>
      </c>
    </row>
    <row r="4" spans="1:40">
      <c r="A4" s="18" t="s">
        <v>971</v>
      </c>
      <c r="B4" s="137">
        <f>Commercial_Final!K43</f>
        <v>3177206317859.1343</v>
      </c>
      <c r="C4" s="137">
        <f>Commercial_Final!L43</f>
        <v>3043920289954.3379</v>
      </c>
      <c r="D4" s="137">
        <f>Commercial_Final!M43</f>
        <v>3022924484865.5571</v>
      </c>
      <c r="E4" s="137">
        <f>Commercial_Final!N43</f>
        <v>3083992327106.3667</v>
      </c>
      <c r="F4" s="137">
        <f>Commercial_Final!O43</f>
        <v>3270419484153.6914</v>
      </c>
      <c r="G4" s="137">
        <f>Commercial_Final!P43</f>
        <v>2763495965903.0371</v>
      </c>
      <c r="H4" s="137">
        <f>Commercial_Final!Q43</f>
        <v>2228623026690.4204</v>
      </c>
      <c r="I4" s="137">
        <f>Commercial_Final!R43</f>
        <v>2283832297695.0625</v>
      </c>
      <c r="J4" s="137">
        <f>Commercial_Final!S43</f>
        <v>0</v>
      </c>
      <c r="K4" s="137">
        <f>Commercial_Final!T43</f>
        <v>0</v>
      </c>
      <c r="L4" s="137">
        <f>Commercial_Final!U43</f>
        <v>0</v>
      </c>
      <c r="M4" s="137">
        <f>Commercial_Final!V43</f>
        <v>0</v>
      </c>
      <c r="N4" s="137">
        <f>Commercial_Final!W43</f>
        <v>0</v>
      </c>
      <c r="O4" s="137">
        <f>Commercial_Final!X43</f>
        <v>0</v>
      </c>
      <c r="P4" s="137">
        <f>Commercial_Final!Y43</f>
        <v>0</v>
      </c>
      <c r="Q4" s="137">
        <f>Commercial_Final!Z43</f>
        <v>0</v>
      </c>
      <c r="R4" s="137">
        <f>Commercial_Final!AA43</f>
        <v>0</v>
      </c>
      <c r="S4" s="137">
        <f>Commercial_Final!AB43</f>
        <v>0</v>
      </c>
      <c r="T4" s="137">
        <f>Commercial_Final!AC43</f>
        <v>0</v>
      </c>
      <c r="U4" s="137">
        <f>Commercial_Final!AD43</f>
        <v>0</v>
      </c>
      <c r="V4" s="137">
        <f>Commercial_Final!AE43</f>
        <v>0</v>
      </c>
      <c r="W4" s="137">
        <f>Commercial_Final!AF43</f>
        <v>0</v>
      </c>
      <c r="X4" s="137">
        <f>Commercial_Final!AG43</f>
        <v>0</v>
      </c>
      <c r="Y4" s="137">
        <f>Commercial_Final!AH43</f>
        <v>0</v>
      </c>
      <c r="Z4" s="137">
        <f>Commercial_Final!AI43</f>
        <v>0</v>
      </c>
      <c r="AA4" s="137">
        <f>Commercial_Final!AJ43</f>
        <v>0</v>
      </c>
      <c r="AB4" s="137">
        <f>Commercial_Final!AK43</f>
        <v>0</v>
      </c>
      <c r="AC4" s="137">
        <f>Commercial_Final!AL43</f>
        <v>0</v>
      </c>
      <c r="AD4" s="137">
        <f>Commercial_Final!AM43</f>
        <v>0</v>
      </c>
      <c r="AE4" s="137">
        <f>Commercial_Final!AN43</f>
        <v>0</v>
      </c>
      <c r="AF4" s="137">
        <f>Commercial_Final!AO43</f>
        <v>0</v>
      </c>
      <c r="AG4" s="137">
        <f>Commercial_Final!AP43</f>
        <v>0</v>
      </c>
      <c r="AH4" s="137">
        <f>Commercial_Final!AQ43</f>
        <v>0</v>
      </c>
      <c r="AI4" s="137">
        <f>Commercial_Final!AR43</f>
        <v>0</v>
      </c>
      <c r="AJ4" s="137">
        <f>Commercial_Final!AS43</f>
        <v>0</v>
      </c>
      <c r="AK4" s="137">
        <f>Commercial_Final!AT43</f>
        <v>0</v>
      </c>
      <c r="AL4" s="137">
        <f>Commercial_Final!AU43</f>
        <v>0</v>
      </c>
    </row>
    <row r="5" spans="1:40">
      <c r="A5" s="18" t="s">
        <v>972</v>
      </c>
      <c r="B5" s="137">
        <f>Commercial_Final!K44</f>
        <v>0</v>
      </c>
      <c r="C5" s="137">
        <f>Commercial_Final!L44</f>
        <v>0</v>
      </c>
      <c r="D5" s="137">
        <f>Commercial_Final!M44</f>
        <v>0</v>
      </c>
      <c r="E5" s="137">
        <f>Commercial_Final!N44</f>
        <v>0</v>
      </c>
      <c r="F5" s="137">
        <f>Commercial_Final!O44</f>
        <v>0</v>
      </c>
      <c r="G5" s="137">
        <f>Commercial_Final!P44</f>
        <v>0</v>
      </c>
      <c r="H5" s="137">
        <f>Commercial_Final!Q44</f>
        <v>0</v>
      </c>
      <c r="I5" s="137">
        <f>Commercial_Final!R44</f>
        <v>0</v>
      </c>
      <c r="J5" s="137">
        <f>Commercial_Final!S44</f>
        <v>0</v>
      </c>
      <c r="K5" s="137">
        <f>Commercial_Final!T44</f>
        <v>0</v>
      </c>
      <c r="L5" s="137">
        <f>Commercial_Final!U44</f>
        <v>0</v>
      </c>
      <c r="M5" s="137">
        <f>Commercial_Final!V44</f>
        <v>0</v>
      </c>
      <c r="N5" s="137">
        <f>Commercial_Final!W44</f>
        <v>0</v>
      </c>
      <c r="O5" s="137">
        <f>Commercial_Final!X44</f>
        <v>0</v>
      </c>
      <c r="P5" s="137">
        <f>Commercial_Final!Y44</f>
        <v>0</v>
      </c>
      <c r="Q5" s="137">
        <f>Commercial_Final!Z44</f>
        <v>0</v>
      </c>
      <c r="R5" s="137">
        <f>Commercial_Final!AA44</f>
        <v>0</v>
      </c>
      <c r="S5" s="137">
        <f>Commercial_Final!AB44</f>
        <v>0</v>
      </c>
      <c r="T5" s="137">
        <f>Commercial_Final!AC44</f>
        <v>0</v>
      </c>
      <c r="U5" s="137">
        <f>Commercial_Final!AD44</f>
        <v>0</v>
      </c>
      <c r="V5" s="137">
        <f>Commercial_Final!AE44</f>
        <v>0</v>
      </c>
      <c r="W5" s="137">
        <f>Commercial_Final!AF44</f>
        <v>0</v>
      </c>
      <c r="X5" s="137">
        <f>Commercial_Final!AG44</f>
        <v>0</v>
      </c>
      <c r="Y5" s="137">
        <f>Commercial_Final!AH44</f>
        <v>0</v>
      </c>
      <c r="Z5" s="137">
        <f>Commercial_Final!AI44</f>
        <v>0</v>
      </c>
      <c r="AA5" s="137">
        <f>Commercial_Final!AJ44</f>
        <v>0</v>
      </c>
      <c r="AB5" s="137">
        <f>Commercial_Final!AK44</f>
        <v>0</v>
      </c>
      <c r="AC5" s="137">
        <f>Commercial_Final!AL44</f>
        <v>0</v>
      </c>
      <c r="AD5" s="137">
        <f>Commercial_Final!AM44</f>
        <v>0</v>
      </c>
      <c r="AE5" s="137">
        <f>Commercial_Final!AN44</f>
        <v>0</v>
      </c>
      <c r="AF5" s="137">
        <f>Commercial_Final!AO44</f>
        <v>0</v>
      </c>
      <c r="AG5" s="137">
        <f>Commercial_Final!AP44</f>
        <v>0</v>
      </c>
      <c r="AH5" s="137">
        <f>Commercial_Final!AQ44</f>
        <v>0</v>
      </c>
      <c r="AI5" s="137">
        <f>Commercial_Final!AR44</f>
        <v>0</v>
      </c>
      <c r="AJ5" s="137">
        <f>Commercial_Final!AS44</f>
        <v>0</v>
      </c>
      <c r="AK5" s="137">
        <f>Commercial_Final!AT44</f>
        <v>0</v>
      </c>
      <c r="AL5" s="137">
        <f>Commercial_Final!AU44</f>
        <v>0</v>
      </c>
    </row>
    <row r="6" spans="1:40">
      <c r="A6" s="18" t="s">
        <v>973</v>
      </c>
      <c r="B6" s="137">
        <f>Commercial_Final!K45</f>
        <v>0</v>
      </c>
      <c r="C6" s="137">
        <f>Commercial_Final!L45</f>
        <v>0</v>
      </c>
      <c r="D6" s="137">
        <f>Commercial_Final!M45</f>
        <v>0</v>
      </c>
      <c r="E6" s="137">
        <f>Commercial_Final!N45</f>
        <v>0</v>
      </c>
      <c r="F6" s="137">
        <f>Commercial_Final!O45</f>
        <v>0</v>
      </c>
      <c r="G6" s="137">
        <f>Commercial_Final!P45</f>
        <v>0</v>
      </c>
      <c r="H6" s="137">
        <f>Commercial_Final!Q45</f>
        <v>0</v>
      </c>
      <c r="I6" s="137">
        <f>Commercial_Final!R45</f>
        <v>0</v>
      </c>
      <c r="J6" s="137">
        <f>Commercial_Final!S45</f>
        <v>0</v>
      </c>
      <c r="K6" s="137">
        <f>Commercial_Final!T45</f>
        <v>0</v>
      </c>
      <c r="L6" s="137">
        <f>Commercial_Final!U45</f>
        <v>0</v>
      </c>
      <c r="M6" s="137">
        <f>Commercial_Final!V45</f>
        <v>0</v>
      </c>
      <c r="N6" s="137">
        <f>Commercial_Final!W45</f>
        <v>0</v>
      </c>
      <c r="O6" s="137">
        <f>Commercial_Final!X45</f>
        <v>0</v>
      </c>
      <c r="P6" s="137">
        <f>Commercial_Final!Y45</f>
        <v>0</v>
      </c>
      <c r="Q6" s="137">
        <f>Commercial_Final!Z45</f>
        <v>0</v>
      </c>
      <c r="R6" s="137">
        <f>Commercial_Final!AA45</f>
        <v>0</v>
      </c>
      <c r="S6" s="137">
        <f>Commercial_Final!AB45</f>
        <v>0</v>
      </c>
      <c r="T6" s="137">
        <f>Commercial_Final!AC45</f>
        <v>0</v>
      </c>
      <c r="U6" s="137">
        <f>Commercial_Final!AD45</f>
        <v>0</v>
      </c>
      <c r="V6" s="137">
        <f>Commercial_Final!AE45</f>
        <v>0</v>
      </c>
      <c r="W6" s="137">
        <f>Commercial_Final!AF45</f>
        <v>0</v>
      </c>
      <c r="X6" s="137">
        <f>Commercial_Final!AG45</f>
        <v>0</v>
      </c>
      <c r="Y6" s="137">
        <f>Commercial_Final!AH45</f>
        <v>0</v>
      </c>
      <c r="Z6" s="137">
        <f>Commercial_Final!AI45</f>
        <v>0</v>
      </c>
      <c r="AA6" s="137">
        <f>Commercial_Final!AJ45</f>
        <v>0</v>
      </c>
      <c r="AB6" s="137">
        <f>Commercial_Final!AK45</f>
        <v>0</v>
      </c>
      <c r="AC6" s="137">
        <f>Commercial_Final!AL45</f>
        <v>0</v>
      </c>
      <c r="AD6" s="137">
        <f>Commercial_Final!AM45</f>
        <v>0</v>
      </c>
      <c r="AE6" s="137">
        <f>Commercial_Final!AN45</f>
        <v>0</v>
      </c>
      <c r="AF6" s="137">
        <f>Commercial_Final!AO45</f>
        <v>0</v>
      </c>
      <c r="AG6" s="137">
        <f>Commercial_Final!AP45</f>
        <v>0</v>
      </c>
      <c r="AH6" s="137">
        <f>Commercial_Final!AQ45</f>
        <v>0</v>
      </c>
      <c r="AI6" s="137">
        <f>Commercial_Final!AR45</f>
        <v>0</v>
      </c>
      <c r="AJ6" s="137">
        <f>Commercial_Final!AS45</f>
        <v>0</v>
      </c>
      <c r="AK6" s="137">
        <f>Commercial_Final!AT45</f>
        <v>0</v>
      </c>
      <c r="AL6" s="137">
        <f>Commercial_Final!AU45</f>
        <v>0</v>
      </c>
    </row>
    <row r="7" spans="1:40">
      <c r="A7" s="18" t="s">
        <v>974</v>
      </c>
      <c r="B7" s="137">
        <f>Commercial_Final!K46</f>
        <v>0</v>
      </c>
      <c r="C7" s="137">
        <f>Commercial_Final!L46</f>
        <v>0</v>
      </c>
      <c r="D7" s="137">
        <f>Commercial_Final!M46</f>
        <v>0</v>
      </c>
      <c r="E7" s="137">
        <f>Commercial_Final!N46</f>
        <v>0</v>
      </c>
      <c r="F7" s="137">
        <f>Commercial_Final!O46</f>
        <v>0</v>
      </c>
      <c r="G7" s="137">
        <f>Commercial_Final!P46</f>
        <v>0</v>
      </c>
      <c r="H7" s="137">
        <f>Commercial_Final!Q46</f>
        <v>0</v>
      </c>
      <c r="I7" s="137">
        <f>Commercial_Final!R46</f>
        <v>0</v>
      </c>
      <c r="J7" s="137">
        <f>Commercial_Final!S46</f>
        <v>0</v>
      </c>
      <c r="K7" s="137">
        <f>Commercial_Final!T46</f>
        <v>0</v>
      </c>
      <c r="L7" s="137">
        <f>Commercial_Final!U46</f>
        <v>0</v>
      </c>
      <c r="M7" s="137">
        <f>Commercial_Final!V46</f>
        <v>0</v>
      </c>
      <c r="N7" s="137">
        <f>Commercial_Final!W46</f>
        <v>0</v>
      </c>
      <c r="O7" s="137">
        <f>Commercial_Final!X46</f>
        <v>0</v>
      </c>
      <c r="P7" s="137">
        <f>Commercial_Final!Y46</f>
        <v>0</v>
      </c>
      <c r="Q7" s="137">
        <f>Commercial_Final!Z46</f>
        <v>0</v>
      </c>
      <c r="R7" s="137">
        <f>Commercial_Final!AA46</f>
        <v>0</v>
      </c>
      <c r="S7" s="137">
        <f>Commercial_Final!AB46</f>
        <v>0</v>
      </c>
      <c r="T7" s="137">
        <f>Commercial_Final!AC46</f>
        <v>0</v>
      </c>
      <c r="U7" s="137">
        <f>Commercial_Final!AD46</f>
        <v>0</v>
      </c>
      <c r="V7" s="137">
        <f>Commercial_Final!AE46</f>
        <v>0</v>
      </c>
      <c r="W7" s="137">
        <f>Commercial_Final!AF46</f>
        <v>0</v>
      </c>
      <c r="X7" s="137">
        <f>Commercial_Final!AG46</f>
        <v>0</v>
      </c>
      <c r="Y7" s="137">
        <f>Commercial_Final!AH46</f>
        <v>0</v>
      </c>
      <c r="Z7" s="137">
        <f>Commercial_Final!AI46</f>
        <v>0</v>
      </c>
      <c r="AA7" s="137">
        <f>Commercial_Final!AJ46</f>
        <v>0</v>
      </c>
      <c r="AB7" s="137">
        <f>Commercial_Final!AK46</f>
        <v>0</v>
      </c>
      <c r="AC7" s="137">
        <f>Commercial_Final!AL46</f>
        <v>0</v>
      </c>
      <c r="AD7" s="137">
        <f>Commercial_Final!AM46</f>
        <v>0</v>
      </c>
      <c r="AE7" s="137">
        <f>Commercial_Final!AN46</f>
        <v>0</v>
      </c>
      <c r="AF7" s="137">
        <f>Commercial_Final!AO46</f>
        <v>0</v>
      </c>
      <c r="AG7" s="137">
        <f>Commercial_Final!AP46</f>
        <v>0</v>
      </c>
      <c r="AH7" s="137">
        <f>Commercial_Final!AQ46</f>
        <v>0</v>
      </c>
      <c r="AI7" s="137">
        <f>Commercial_Final!AR46</f>
        <v>0</v>
      </c>
      <c r="AJ7" s="137">
        <f>Commercial_Final!AS46</f>
        <v>0</v>
      </c>
      <c r="AK7" s="137">
        <f>Commercial_Final!AT46</f>
        <v>0</v>
      </c>
      <c r="AL7" s="137">
        <f>Commercial_Final!AU46</f>
        <v>0</v>
      </c>
    </row>
    <row r="8" spans="1:40">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row>
    <row r="9" spans="1:40">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row>
    <row r="10" spans="1:40">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row>
    <row r="11" spans="1:40">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row>
  </sheetData>
  <phoneticPr fontId="3" type="noConversion"/>
  <pageMargins left="0.7" right="0.7" top="0.75" bottom="0.75" header="0.3" footer="0.3"/>
  <pageSetup orientation="portrait"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B673-E22B-4C84-9553-007DAC6A70A5}">
  <sheetPr>
    <tabColor rgb="FF002060"/>
  </sheetPr>
  <dimension ref="A1:AF11"/>
  <sheetViews>
    <sheetView workbookViewId="0">
      <selection activeCell="N16" sqref="N16"/>
    </sheetView>
  </sheetViews>
  <sheetFormatPr baseColWidth="10" defaultColWidth="8.796875" defaultRowHeight="14"/>
  <sheetData>
    <row r="1" spans="1:32">
      <c r="A1" t="s">
        <v>481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969</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c r="A3" t="s">
        <v>970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c r="A4" t="s">
        <v>971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c r="A5" t="s">
        <v>972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c r="A6" t="s">
        <v>973</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c r="A7" t="s">
        <v>974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c r="A8" t="s">
        <v>975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row r="9" spans="1:32">
      <c r="A9" t="s">
        <v>976</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c r="A10" t="s">
        <v>977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row>
    <row r="11" spans="1:32">
      <c r="A11" t="s">
        <v>978</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sheetData>
  <phoneticPr fontId="7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3543879C-3635-4536-A315-D6144FE1C8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CFEDA5-4BDC-43DB-9741-907095DEC2E4}">
  <ds:schemaRefs>
    <ds:schemaRef ds:uri="http://schemas.microsoft.com/sharepoint/v3/contenttype/forms"/>
  </ds:schemaRefs>
</ds:datastoreItem>
</file>

<file path=customXml/itemProps3.xml><?xml version="1.0" encoding="utf-8"?>
<ds:datastoreItem xmlns:ds="http://schemas.openxmlformats.org/officeDocument/2006/customXml" ds:itemID="{274112B5-E4F7-4A43-9760-F60963D275BF}">
  <ds:schemaRefs>
    <ds:schemaRef ds:uri="http://schemas.microsoft.com/office/2006/metadata/properties"/>
    <ds:schemaRef ds:uri="http://schemas.microsoft.com/office/infopath/2007/PartnerControls"/>
    <ds:schemaRef ds:uri="cb176f07-3112-4ee9-93fd-ae2cb5f3e433"/>
    <ds:schemaRef ds:uri="6b15a3a4-8173-42d6-9deb-398ec38eca4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45</vt:i4>
      </vt:variant>
      <vt:variant>
        <vt:lpstr>具名範圍</vt:lpstr>
      </vt:variant>
      <vt:variant>
        <vt:i4>3</vt:i4>
      </vt:variant>
    </vt:vector>
  </HeadingPairs>
  <TitlesOfParts>
    <vt:vector size="48" baseType="lpstr">
      <vt:lpstr>About</vt:lpstr>
      <vt:lpstr>Note</vt:lpstr>
      <vt:lpstr>InternalLink</vt:lpstr>
      <vt:lpstr>Household_Histo</vt:lpstr>
      <vt:lpstr>Household_Pred</vt:lpstr>
      <vt:lpstr>History Type Share</vt:lpstr>
      <vt:lpstr>Commercial8Fuel</vt:lpstr>
      <vt:lpstr>Energy8Sec</vt:lpstr>
      <vt:lpstr>Private,Public8EndUse</vt:lpstr>
      <vt:lpstr>FloorAreaPer</vt:lpstr>
      <vt:lpstr>DataSum</vt:lpstr>
      <vt:lpstr>Residential8EndUse</vt:lpstr>
      <vt:lpstr>Commercial8EndUse</vt:lpstr>
      <vt:lpstr>Commerical_EndUSE</vt:lpstr>
      <vt:lpstr>Building</vt:lpstr>
      <vt:lpstr>Future Total Energy</vt:lpstr>
      <vt:lpstr>FittingHH</vt:lpstr>
      <vt:lpstr>BTU Conversion Factor</vt:lpstr>
      <vt:lpstr>Future Type Share</vt:lpstr>
      <vt:lpstr>Future EndUse Share</vt:lpstr>
      <vt:lpstr>Commercial_1</vt:lpstr>
      <vt:lpstr>Commercial_2</vt:lpstr>
      <vt:lpstr>Commercial_Final</vt:lpstr>
      <vt:lpstr>Private_1</vt:lpstr>
      <vt:lpstr>Private_2</vt:lpstr>
      <vt:lpstr>Public_1</vt:lpstr>
      <vt:lpstr>Private_Final</vt:lpstr>
      <vt:lpstr>Public_2</vt:lpstr>
      <vt:lpstr>Public_Final</vt:lpstr>
      <vt:lpstr>BCEU-urban-residential-heating</vt:lpstr>
      <vt:lpstr>BCEU-urban-residential-cooling</vt:lpstr>
      <vt:lpstr>BCEU-urban-residential-lighting</vt:lpstr>
      <vt:lpstr>BCEU-urban-residential-appl</vt:lpstr>
      <vt:lpstr>BCEU-urban-residential-other</vt:lpstr>
      <vt:lpstr>BCEU-rural-residential-heating</vt:lpstr>
      <vt:lpstr>BCEU-rural-residential-cooling</vt:lpstr>
      <vt:lpstr>BCEU-rural-residential-lighting</vt:lpstr>
      <vt:lpstr>BCEU-rural-residential-appl</vt:lpstr>
      <vt:lpstr>BCEU-rural-residential-other</vt:lpstr>
      <vt:lpstr>BCEU-commercial-heating</vt:lpstr>
      <vt:lpstr>BCEU-commercial-cooling</vt:lpstr>
      <vt:lpstr>BCEU-commercial-lighting</vt:lpstr>
      <vt:lpstr>BCEU-commercial-appl</vt:lpstr>
      <vt:lpstr>BCEU-commercial-other</vt:lpstr>
      <vt:lpstr>BCEU-all-envelope</vt:lpstr>
      <vt:lpstr>FloorAreaPer!footnote500011</vt:lpstr>
      <vt:lpstr>Building!Print_Area</vt:lpstr>
      <vt:lpstr>Household_Pred!Print_Area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2024-06-06T13:13:54Z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