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daiyang.zhang\Desktop\eps-us-3.4.7 working_D1904_T0858_woking\eps-us-3.4.7 HK working\InputData\elec\BCRbQ\"/>
    </mc:Choice>
  </mc:AlternateContent>
  <xr:revisionPtr revIDLastSave="0" documentId="13_ncr:1_{13B825C8-A102-4522-A76E-EF5FC48E5258}" xr6:coauthVersionLast="47" xr6:coauthVersionMax="47" xr10:uidLastSave="{00000000-0000-0000-0000-000000000000}"/>
  <bookViews>
    <workbookView xWindow="-110" yWindow="-110" windowWidth="19420" windowHeight="10420" firstSheet="1" activeTab="4" xr2:uid="{00000000-000D-0000-FFFF-FFFF00000000}"/>
  </bookViews>
  <sheets>
    <sheet name="About" sheetId="14" r:id="rId1"/>
    <sheet name="CLP Assets" sheetId="38" r:id="rId2"/>
    <sheet name="HKE Asset" sheetId="39" r:id="rId3"/>
    <sheet name="Natural gas&amp;Petroleum&amp;Coal" sheetId="34" r:id="rId4"/>
    <sheet name="BCRbQ" sheetId="2" r:id="rId5"/>
    <sheet name="Wind" sheetId="29" r:id="rId6"/>
    <sheet name="Hydro" sheetId="28" r:id="rId7"/>
    <sheet name="Nuclear" sheetId="25" r:id="rId8"/>
    <sheet name="Geothermal" sheetId="27" state="hidden" r:id="rId9"/>
    <sheet name="Biomass" sheetId="32" r:id="rId10"/>
    <sheet name="Solar thermal " sheetId="35" state="hidden" r:id="rId11"/>
    <sheet name="Solar pv" sheetId="30" r:id="rId12"/>
  </sheets>
  <externalReferences>
    <externalReference r:id="rId13"/>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2" i="2" l="1"/>
  <c r="AJ14" i="2"/>
  <c r="AI14" i="2"/>
  <c r="AH14" i="2"/>
  <c r="AG14" i="2"/>
  <c r="AF14" i="2"/>
  <c r="AE14" i="2"/>
  <c r="AD14" i="2"/>
  <c r="AC14" i="2"/>
  <c r="AB14" i="2"/>
  <c r="AA14" i="2"/>
  <c r="Z14" i="2"/>
  <c r="Y14" i="2"/>
  <c r="X14" i="2"/>
  <c r="W14" i="2"/>
  <c r="V14" i="2"/>
  <c r="U14" i="2"/>
  <c r="T14" i="2"/>
  <c r="S14" i="2"/>
  <c r="R14" i="2"/>
  <c r="Q14" i="2"/>
  <c r="P14" i="2"/>
  <c r="O14" i="2"/>
  <c r="N14" i="2"/>
  <c r="M14" i="2"/>
  <c r="L14" i="2"/>
  <c r="K14" i="2"/>
  <c r="J14" i="2"/>
  <c r="I14" i="2"/>
  <c r="H14" i="2"/>
  <c r="G14" i="2"/>
  <c r="F14" i="2"/>
  <c r="E14" i="2"/>
  <c r="D14" i="2"/>
  <c r="C14" i="2"/>
  <c r="B14" i="2"/>
  <c r="U12" i="2"/>
  <c r="T12" i="2"/>
  <c r="S12" i="2"/>
  <c r="R12" i="2"/>
  <c r="P12" i="2"/>
  <c r="O12" i="2"/>
  <c r="N12" i="2"/>
  <c r="M12" i="2"/>
  <c r="L12" i="2"/>
  <c r="K12" i="2"/>
  <c r="J12" i="2"/>
  <c r="I12" i="2"/>
  <c r="H12" i="2"/>
  <c r="G12" i="2"/>
  <c r="F12" i="2"/>
  <c r="E12" i="2"/>
  <c r="D12" i="2"/>
  <c r="C12" i="2"/>
  <c r="B12" i="2"/>
  <c r="AJ11" i="2"/>
  <c r="AI11" i="2"/>
  <c r="AH11" i="2"/>
  <c r="AG11" i="2"/>
  <c r="AF11" i="2"/>
  <c r="AE11" i="2"/>
  <c r="AD11" i="2"/>
  <c r="AC11" i="2"/>
  <c r="AB11" i="2"/>
  <c r="AA11" i="2"/>
  <c r="Z11" i="2"/>
  <c r="Y11" i="2"/>
  <c r="X11" i="2"/>
  <c r="W11" i="2"/>
  <c r="V11" i="2"/>
  <c r="U11" i="2"/>
  <c r="T11" i="2"/>
  <c r="S11" i="2"/>
  <c r="R11" i="2"/>
  <c r="P11" i="2"/>
  <c r="O11" i="2"/>
  <c r="N11" i="2"/>
  <c r="M11" i="2"/>
  <c r="L11" i="2"/>
  <c r="K11" i="2"/>
  <c r="J11" i="2"/>
  <c r="I11" i="2"/>
  <c r="H11" i="2"/>
  <c r="G11" i="2"/>
  <c r="F11" i="2"/>
  <c r="E11" i="2"/>
  <c r="D11" i="2"/>
  <c r="C11" i="2"/>
  <c r="B11" i="2"/>
  <c r="AJ10" i="2"/>
  <c r="AI10" i="2"/>
  <c r="AH10" i="2"/>
  <c r="AG10" i="2"/>
  <c r="AF10" i="2"/>
  <c r="AE10" i="2"/>
  <c r="AD10" i="2"/>
  <c r="AC10" i="2"/>
  <c r="AB10" i="2"/>
  <c r="AA10" i="2"/>
  <c r="Z10" i="2"/>
  <c r="Y10" i="2"/>
  <c r="X10" i="2"/>
  <c r="W10" i="2"/>
  <c r="V10" i="2"/>
  <c r="U10" i="2"/>
  <c r="T10" i="2"/>
  <c r="S10" i="2"/>
  <c r="R10" i="2"/>
  <c r="Q10" i="2"/>
  <c r="P10" i="2"/>
  <c r="O10" i="2"/>
  <c r="N10" i="2"/>
  <c r="M10" i="2"/>
  <c r="L10" i="2"/>
  <c r="K10" i="2"/>
  <c r="J10" i="2"/>
  <c r="I10" i="2"/>
  <c r="H10" i="2"/>
  <c r="G10" i="2"/>
  <c r="F10" i="2"/>
  <c r="E10" i="2"/>
  <c r="D10" i="2"/>
  <c r="C10" i="2"/>
  <c r="B10" i="2"/>
  <c r="AJ9" i="2"/>
  <c r="AI9" i="2"/>
  <c r="AH9" i="2"/>
  <c r="AG9" i="2"/>
  <c r="AF9" i="2"/>
  <c r="AE9" i="2"/>
  <c r="AD9" i="2"/>
  <c r="AC9" i="2"/>
  <c r="AB9" i="2"/>
  <c r="AA9" i="2"/>
  <c r="Z9" i="2"/>
  <c r="Y9" i="2"/>
  <c r="X9" i="2"/>
  <c r="W9" i="2"/>
  <c r="V9" i="2"/>
  <c r="U9" i="2"/>
  <c r="T9" i="2"/>
  <c r="S9" i="2"/>
  <c r="R9" i="2"/>
  <c r="Q9" i="2"/>
  <c r="P9" i="2"/>
  <c r="O9" i="2"/>
  <c r="N9" i="2"/>
  <c r="M9" i="2"/>
  <c r="L9" i="2"/>
  <c r="K9" i="2"/>
  <c r="J9" i="2"/>
  <c r="I9" i="2"/>
  <c r="H9" i="2"/>
  <c r="G9" i="2"/>
  <c r="F9" i="2"/>
  <c r="E9" i="2"/>
  <c r="D9" i="2"/>
  <c r="C9" i="2"/>
  <c r="B9" i="2"/>
  <c r="AJ8" i="2"/>
  <c r="AI8" i="2"/>
  <c r="AH8" i="2"/>
  <c r="AG8" i="2"/>
  <c r="AF8" i="2"/>
  <c r="AE8" i="2"/>
  <c r="AD8" i="2"/>
  <c r="AC8" i="2"/>
  <c r="AB8" i="2"/>
  <c r="AA8" i="2"/>
  <c r="Z8" i="2"/>
  <c r="Y8" i="2"/>
  <c r="X8" i="2"/>
  <c r="W8" i="2"/>
  <c r="V8" i="2"/>
  <c r="U8" i="2"/>
  <c r="T8" i="2"/>
  <c r="S8" i="2"/>
  <c r="R8" i="2"/>
  <c r="Q8" i="2"/>
  <c r="P8" i="2"/>
  <c r="O8" i="2"/>
  <c r="N8" i="2"/>
  <c r="M8" i="2"/>
  <c r="L8" i="2"/>
  <c r="K8" i="2"/>
  <c r="J8" i="2"/>
  <c r="I8" i="2"/>
  <c r="H8" i="2"/>
  <c r="G8" i="2"/>
  <c r="F8" i="2"/>
  <c r="E8" i="2"/>
  <c r="D8" i="2"/>
  <c r="C8" i="2"/>
  <c r="B8" i="2"/>
  <c r="AJ7" i="2"/>
  <c r="AI7" i="2"/>
  <c r="AH7" i="2"/>
  <c r="AG7" i="2"/>
  <c r="AF7" i="2"/>
  <c r="AE7" i="2"/>
  <c r="AD7" i="2"/>
  <c r="AC7" i="2"/>
  <c r="AB7" i="2"/>
  <c r="AA7" i="2"/>
  <c r="Z7" i="2"/>
  <c r="Y7" i="2"/>
  <c r="X7" i="2"/>
  <c r="W7" i="2"/>
  <c r="V7" i="2"/>
  <c r="U7" i="2"/>
  <c r="T7" i="2"/>
  <c r="S7" i="2"/>
  <c r="R7" i="2"/>
  <c r="Q7" i="2"/>
  <c r="P7" i="2"/>
  <c r="O7" i="2"/>
  <c r="N7" i="2"/>
  <c r="M7" i="2"/>
  <c r="L7" i="2"/>
  <c r="K7" i="2"/>
  <c r="J7" i="2"/>
  <c r="I7" i="2"/>
  <c r="H7" i="2"/>
  <c r="G7" i="2"/>
  <c r="F7" i="2"/>
  <c r="E7" i="2"/>
  <c r="D7" i="2"/>
  <c r="C7" i="2"/>
  <c r="B7" i="2"/>
  <c r="AJ6" i="2"/>
  <c r="AI6" i="2"/>
  <c r="AH6" i="2"/>
  <c r="AG6" i="2"/>
  <c r="AF6" i="2"/>
  <c r="AE6" i="2"/>
  <c r="AD6" i="2"/>
  <c r="AC6" i="2"/>
  <c r="AB6" i="2"/>
  <c r="AA6" i="2"/>
  <c r="Z6" i="2"/>
  <c r="Y6" i="2"/>
  <c r="X6" i="2"/>
  <c r="W6" i="2"/>
  <c r="V6" i="2"/>
  <c r="U6" i="2"/>
  <c r="T6" i="2"/>
  <c r="S6" i="2"/>
  <c r="R6" i="2"/>
  <c r="Q6" i="2"/>
  <c r="P6" i="2"/>
  <c r="O6" i="2"/>
  <c r="N6" i="2"/>
  <c r="M6" i="2"/>
  <c r="L6" i="2"/>
  <c r="K6" i="2"/>
  <c r="J6" i="2"/>
  <c r="I6" i="2"/>
  <c r="H6" i="2"/>
  <c r="G6" i="2"/>
  <c r="F6" i="2"/>
  <c r="E6" i="2"/>
  <c r="D6" i="2"/>
  <c r="C6" i="2"/>
  <c r="B6" i="2"/>
  <c r="AJ4" i="2"/>
  <c r="AI4" i="2"/>
  <c r="AH4" i="2"/>
  <c r="AG4" i="2"/>
  <c r="AF4" i="2"/>
  <c r="AE4" i="2"/>
  <c r="AD4" i="2"/>
  <c r="AC4" i="2"/>
  <c r="AB4" i="2"/>
  <c r="AA4" i="2"/>
  <c r="Z4" i="2"/>
  <c r="Y4" i="2"/>
  <c r="X4" i="2"/>
  <c r="W4" i="2"/>
  <c r="V4" i="2"/>
  <c r="U4" i="2"/>
  <c r="T4" i="2"/>
  <c r="S4" i="2"/>
  <c r="R4" i="2"/>
  <c r="Q4" i="2"/>
  <c r="P4" i="2"/>
  <c r="O4" i="2"/>
  <c r="N4" i="2"/>
  <c r="M4" i="2"/>
  <c r="L4" i="2"/>
  <c r="K4" i="2"/>
  <c r="J4" i="2"/>
  <c r="I4" i="2"/>
  <c r="H4" i="2"/>
  <c r="G4" i="2"/>
  <c r="F4" i="2"/>
  <c r="E4" i="2"/>
  <c r="D4" i="2"/>
  <c r="C4" i="2"/>
  <c r="B4" i="2"/>
  <c r="AJ3" i="2"/>
  <c r="AI3" i="2"/>
  <c r="AH3" i="2"/>
  <c r="AG3" i="2"/>
  <c r="AF3" i="2"/>
  <c r="AE3" i="2"/>
  <c r="AD3" i="2"/>
  <c r="AC3" i="2"/>
  <c r="AB3" i="2"/>
  <c r="AA3" i="2"/>
  <c r="Z3" i="2"/>
  <c r="Y3" i="2"/>
  <c r="X3" i="2"/>
  <c r="W3" i="2"/>
  <c r="V3" i="2"/>
  <c r="Q3" i="2"/>
  <c r="D20" i="38" l="1"/>
  <c r="E20" i="38"/>
  <c r="D8" i="39"/>
  <c r="B45" i="34"/>
  <c r="D11" i="39"/>
  <c r="D17" i="39"/>
  <c r="F50" i="38"/>
  <c r="E50" i="38"/>
  <c r="D50" i="38"/>
  <c r="F49" i="38"/>
  <c r="E49" i="38"/>
  <c r="D49" i="38"/>
  <c r="F48" i="38"/>
  <c r="E48" i="38"/>
  <c r="D48" i="38"/>
  <c r="E47" i="38"/>
  <c r="D47" i="38"/>
  <c r="F46" i="38"/>
  <c r="E46" i="38"/>
  <c r="D46" i="38"/>
  <c r="F45" i="38"/>
  <c r="E45" i="38"/>
  <c r="D45" i="38"/>
  <c r="F43" i="38"/>
  <c r="E43" i="38"/>
  <c r="D43" i="38"/>
  <c r="F42" i="38"/>
  <c r="E42" i="38"/>
  <c r="D42" i="38"/>
  <c r="F41" i="38"/>
  <c r="E41" i="38"/>
  <c r="D41" i="38"/>
  <c r="F40" i="38"/>
  <c r="E40" i="38"/>
  <c r="D40" i="38"/>
  <c r="F39" i="38"/>
  <c r="E39" i="38"/>
  <c r="D39" i="38"/>
  <c r="F38" i="38"/>
  <c r="E38" i="38"/>
  <c r="D38" i="38"/>
  <c r="F36" i="38"/>
  <c r="E36" i="38"/>
  <c r="D36" i="38"/>
  <c r="E35" i="38"/>
  <c r="D35" i="38"/>
  <c r="F34" i="38"/>
  <c r="E34" i="38"/>
  <c r="D34" i="38"/>
  <c r="F33" i="38"/>
  <c r="E33" i="38"/>
  <c r="D33" i="38"/>
  <c r="D58" i="38"/>
  <c r="E58" i="38"/>
  <c r="F58" i="38"/>
  <c r="D59" i="38"/>
  <c r="E59" i="38"/>
  <c r="F59" i="38"/>
  <c r="D60" i="38"/>
  <c r="E60" i="38"/>
  <c r="F60" i="38"/>
  <c r="D62" i="38"/>
  <c r="E62" i="38"/>
  <c r="F62" i="38"/>
  <c r="F77" i="38"/>
  <c r="E77" i="38"/>
  <c r="D77" i="38"/>
  <c r="F76" i="38"/>
  <c r="E76" i="38"/>
  <c r="D76" i="38"/>
  <c r="E75" i="38"/>
  <c r="F75" i="38"/>
  <c r="D75" i="38"/>
  <c r="E74" i="38"/>
  <c r="D74" i="38"/>
  <c r="F72" i="38"/>
  <c r="E72" i="38"/>
  <c r="D72" i="38"/>
  <c r="F71" i="38"/>
  <c r="E71" i="38"/>
  <c r="D71" i="38"/>
  <c r="F69" i="38"/>
  <c r="E69" i="38"/>
  <c r="D69" i="38"/>
  <c r="F68" i="38"/>
  <c r="E68" i="38"/>
  <c r="D68" i="38"/>
  <c r="F67" i="38"/>
  <c r="E67" i="38"/>
  <c r="D67" i="38"/>
  <c r="F66" i="38"/>
  <c r="E66" i="38"/>
  <c r="D66" i="38"/>
  <c r="F65" i="38"/>
  <c r="E65" i="38"/>
  <c r="D65" i="38"/>
  <c r="F64" i="38"/>
  <c r="E64" i="38"/>
  <c r="D64" i="38"/>
  <c r="H4" i="34"/>
  <c r="H5" i="34"/>
  <c r="H6" i="34"/>
  <c r="H7" i="34"/>
  <c r="H8" i="34"/>
  <c r="H9" i="34"/>
  <c r="H10" i="34"/>
  <c r="H11" i="34"/>
  <c r="H12" i="34"/>
  <c r="H13" i="34"/>
  <c r="H14" i="34"/>
  <c r="H15" i="34"/>
  <c r="H16" i="34"/>
  <c r="H17" i="34"/>
  <c r="H18" i="34"/>
  <c r="H19" i="34"/>
  <c r="H20" i="34"/>
  <c r="H21" i="34"/>
  <c r="H22" i="34"/>
  <c r="H23" i="34"/>
  <c r="H24" i="34"/>
  <c r="H25" i="34"/>
  <c r="H26" i="34"/>
  <c r="H27" i="34"/>
  <c r="H28" i="34"/>
  <c r="H29" i="34"/>
  <c r="H30" i="34"/>
  <c r="H31" i="34"/>
  <c r="H32" i="34"/>
  <c r="H33" i="34"/>
  <c r="H34" i="34"/>
  <c r="H35" i="34"/>
  <c r="H36" i="34"/>
  <c r="H37" i="34"/>
  <c r="H38" i="34"/>
  <c r="H39" i="34"/>
  <c r="H40" i="34"/>
  <c r="H41" i="34"/>
  <c r="H42" i="34"/>
  <c r="H43" i="34"/>
  <c r="H44" i="34"/>
  <c r="H45" i="34"/>
  <c r="H3" i="34"/>
  <c r="D17" i="34"/>
  <c r="C16" i="34"/>
  <c r="V2" i="29"/>
  <c r="F10" i="34"/>
  <c r="F5" i="34"/>
  <c r="B31" i="34"/>
  <c r="B35" i="34"/>
  <c r="B25" i="34"/>
  <c r="B28" i="34"/>
  <c r="B29" i="34"/>
  <c r="B26" i="34"/>
  <c r="B24" i="34"/>
  <c r="B23" i="34"/>
  <c r="B21" i="34"/>
  <c r="B19" i="30"/>
  <c r="B12" i="30"/>
  <c r="C2" i="25"/>
  <c r="C16" i="32"/>
  <c r="E16" i="34"/>
  <c r="E22" i="34"/>
  <c r="C11" i="38"/>
  <c r="C14" i="38"/>
  <c r="C2" i="28"/>
  <c r="C4" i="32"/>
  <c r="C5" i="32"/>
  <c r="C3" i="32"/>
  <c r="F3" i="27"/>
  <c r="F4" i="27"/>
  <c r="F5" i="27"/>
  <c r="F6" i="27"/>
  <c r="F7" i="27"/>
  <c r="F8" i="27"/>
  <c r="F9" i="27"/>
  <c r="F10" i="27"/>
  <c r="F13" i="27"/>
  <c r="F14" i="27"/>
  <c r="F15" i="27"/>
  <c r="F16" i="27"/>
  <c r="C3" i="28"/>
  <c r="C4" i="28"/>
  <c r="C5" i="28"/>
  <c r="C6" i="28"/>
  <c r="C7" i="28"/>
  <c r="C36" i="28"/>
  <c r="C33" i="28"/>
  <c r="C34" i="28"/>
  <c r="C35" i="28"/>
  <c r="C31" i="28"/>
  <c r="C30" i="28"/>
  <c r="C29" i="28"/>
  <c r="C28" i="28"/>
  <c r="C27" i="28"/>
  <c r="C26" i="28"/>
  <c r="C25" i="28"/>
  <c r="C24" i="28"/>
  <c r="C23" i="28"/>
  <c r="C22" i="28"/>
  <c r="C21" i="28"/>
  <c r="C20" i="28"/>
  <c r="C19" i="28"/>
  <c r="C18" i="28"/>
  <c r="C17" i="28"/>
  <c r="C16" i="28"/>
  <c r="C15" i="28"/>
  <c r="C14" i="28"/>
  <c r="C13" i="28"/>
  <c r="C12" i="28"/>
  <c r="C11" i="28"/>
  <c r="C10" i="28"/>
  <c r="C9" i="28"/>
  <c r="C8" i="28"/>
  <c r="C32" i="28"/>
  <c r="E20" i="3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微软用户</author>
  </authors>
  <commentList>
    <comment ref="E10" authorId="0" shapeId="0" xr:uid="{00000000-0006-0000-0100-000001000000}">
      <text>
        <r>
          <rPr>
            <b/>
            <sz val="9"/>
            <color rgb="FF000000"/>
            <rFont val="宋体"/>
            <family val="3"/>
            <charset val="134"/>
          </rPr>
          <t>微软用户</t>
        </r>
        <r>
          <rPr>
            <b/>
            <sz val="9"/>
            <color rgb="FF000000"/>
            <rFont val="宋体"/>
            <family val="3"/>
            <charset val="134"/>
          </rPr>
          <t>:</t>
        </r>
        <r>
          <rPr>
            <sz val="9"/>
            <color rgb="FF000000"/>
            <rFont val="宋体"/>
            <family val="3"/>
            <charset val="134"/>
          </rPr>
          <t xml:space="preserve">
</t>
        </r>
        <r>
          <rPr>
            <sz val="9"/>
            <color rgb="FF000000"/>
            <rFont val="宋体"/>
            <family val="3"/>
            <charset val="134"/>
          </rPr>
          <t>CLP Kit Information 2017-2018</t>
        </r>
      </text>
    </comment>
    <comment ref="G31" authorId="0" shapeId="0" xr:uid="{00000000-0006-0000-0100-000004000000}">
      <text>
        <r>
          <rPr>
            <b/>
            <sz val="9"/>
            <color indexed="81"/>
            <rFont val="宋体"/>
            <family val="3"/>
            <charset val="134"/>
          </rPr>
          <t>微软用户:</t>
        </r>
        <r>
          <rPr>
            <sz val="9"/>
            <color indexed="81"/>
            <rFont val="宋体"/>
            <family val="3"/>
            <charset val="134"/>
          </rPr>
          <t xml:space="preserve">
The reported 2017 and 2016 data in both 2018 and 2017 reports are the same.</t>
        </r>
      </text>
    </comment>
    <comment ref="G56" authorId="0" shapeId="0" xr:uid="{00000000-0006-0000-0100-000005000000}">
      <text>
        <r>
          <rPr>
            <b/>
            <sz val="9"/>
            <color indexed="81"/>
            <rFont val="宋体"/>
            <family val="3"/>
            <charset val="134"/>
          </rPr>
          <t>微软用户:</t>
        </r>
        <r>
          <rPr>
            <sz val="9"/>
            <color indexed="81"/>
            <rFont val="宋体"/>
            <family val="3"/>
            <charset val="134"/>
          </rPr>
          <t xml:space="preserve">
The reported 2017 and 2016 data in both 2018 and 2017 reports are the same.</t>
        </r>
      </text>
    </comment>
    <comment ref="G82" authorId="0" shapeId="0" xr:uid="{00000000-0006-0000-0100-000006000000}">
      <text>
        <r>
          <rPr>
            <b/>
            <sz val="9"/>
            <color indexed="81"/>
            <rFont val="宋体"/>
            <family val="3"/>
            <charset val="134"/>
          </rPr>
          <t>微软用户:</t>
        </r>
        <r>
          <rPr>
            <sz val="9"/>
            <color indexed="81"/>
            <rFont val="宋体"/>
            <family val="3"/>
            <charset val="134"/>
          </rPr>
          <t xml:space="preserve">
The reported 2017 and 2016 data in both 2018 and 2017 reports are the same.</t>
        </r>
      </text>
    </comment>
    <comment ref="G107" authorId="0" shapeId="0" xr:uid="{00000000-0006-0000-0100-000007000000}">
      <text>
        <r>
          <rPr>
            <b/>
            <sz val="9"/>
            <color indexed="81"/>
            <rFont val="宋体"/>
            <family val="3"/>
            <charset val="134"/>
          </rPr>
          <t>微软用户:</t>
        </r>
        <r>
          <rPr>
            <sz val="9"/>
            <color indexed="81"/>
            <rFont val="宋体"/>
            <family val="3"/>
            <charset val="134"/>
          </rPr>
          <t xml:space="preserve">
The reported 2017 and 2016 data in both 2018 and 2017 reports are the same.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微软用户</author>
  </authors>
  <commentList>
    <comment ref="D23" authorId="0" shapeId="0" xr:uid="{00000000-0006-0000-0200-000003000000}">
      <text>
        <r>
          <rPr>
            <sz val="12"/>
            <color rgb="FF3F3F76"/>
            <rFont val="Calibri"/>
            <family val="2"/>
            <scheme val="minor"/>
          </rPr>
          <t xml:space="preserve">Yazhen Wu:
</t>
        </r>
        <r>
          <rPr>
            <sz val="12"/>
            <color rgb="FF3F3F76"/>
            <rFont val="Calibri"/>
            <family val="2"/>
            <scheme val="minor"/>
          </rPr>
          <t>HKE didn't offer the number of capacity. Assume it's 350MW.</t>
        </r>
      </text>
    </comment>
    <comment ref="D24" authorId="0" shapeId="0" xr:uid="{00000000-0006-0000-0200-000004000000}">
      <text>
        <r>
          <rPr>
            <b/>
            <sz val="9"/>
            <color indexed="81"/>
            <rFont val="宋体"/>
            <family val="3"/>
            <charset val="134"/>
          </rPr>
          <t>Yazhen Wu:
HKE didn't offer the number of capacity. Assume it's 350MW.</t>
        </r>
      </text>
    </comment>
    <comment ref="D29" authorId="0" shapeId="0" xr:uid="{00000000-0006-0000-0200-000005000000}">
      <text>
        <r>
          <rPr>
            <b/>
            <sz val="9"/>
            <color indexed="81"/>
            <rFont val="宋体"/>
            <family val="3"/>
            <charset val="134"/>
          </rPr>
          <t>Yazhen Wu:
HKE didn't offer the number of capacity. Assume it's 350MW.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微软用户</author>
  </authors>
  <commentList>
    <comment ref="I1" authorId="0" shapeId="0" xr:uid="{00000000-0006-0000-0300-000001000000}">
      <text>
        <r>
          <rPr>
            <b/>
            <sz val="9"/>
            <color indexed="81"/>
            <rFont val="宋体"/>
            <family val="3"/>
            <charset val="134"/>
          </rPr>
          <t>微软用户:</t>
        </r>
        <r>
          <rPr>
            <sz val="9"/>
            <color indexed="81"/>
            <rFont val="宋体"/>
            <family val="3"/>
            <charset val="134"/>
          </rPr>
          <t xml:space="preserve">
Data Adopted by EPS China model</t>
        </r>
      </text>
    </comment>
  </commentList>
</comments>
</file>

<file path=xl/sharedStrings.xml><?xml version="1.0" encoding="utf-8"?>
<sst xmlns="http://schemas.openxmlformats.org/spreadsheetml/2006/main" count="570" uniqueCount="318">
  <si>
    <t>BCR BAU Capacity Retirements</t>
  </si>
  <si>
    <t>Sources:</t>
  </si>
  <si>
    <t>Electricity Mix, Capacity and Plans</t>
    <phoneticPr fontId="10" type="noConversion"/>
  </si>
  <si>
    <t>CLP website and HK Electricity website</t>
    <phoneticPr fontId="10" type="noConversion"/>
  </si>
  <si>
    <t>Retrieved 2019/03/23</t>
    <phoneticPr fontId="10" type="noConversion"/>
  </si>
  <si>
    <t>CLP:https://www.clpgroup.com/en/about/our-business/assets-and-services.html</t>
  </si>
  <si>
    <t>HKE:https://www.powerassets.com/en/our-business/hong-kong</t>
  </si>
  <si>
    <t>Notes</t>
  </si>
  <si>
    <t>1.To estimate the capacity retirements (except nuclear) in the future,</t>
    <phoneticPr fontId="10" type="noConversion"/>
  </si>
  <si>
    <t>we subtract the capacity lifetime from the required year and</t>
    <phoneticPr fontId="10" type="noConversion"/>
  </si>
  <si>
    <t>use the (newly) installed capacity for that year as the retirements for the required year.</t>
    <phoneticPr fontId="10" type="noConversion"/>
  </si>
  <si>
    <t>The capacity lifetime data(with light green background) is from EPA China model,</t>
    <phoneticPr fontId="10" type="noConversion"/>
  </si>
  <si>
    <t>which is from the "BAU Generation Capacity Lifetime" xls in that model.</t>
  </si>
  <si>
    <t>If scheduled retirement time given, then use the scheduled time first; if not, the above capacity data is adopted.</t>
    <phoneticPr fontId="10" type="noConversion"/>
  </si>
  <si>
    <t xml:space="preserve">2.Given that HK's electricity is overwhelming dominated by two companys-CLP and HK Electricity(HKE), </t>
    <phoneticPr fontId="10" type="noConversion"/>
  </si>
  <si>
    <t xml:space="preserve">who supply almost all HK's electricity demand, their public resources and data are reviewed to get information </t>
    <phoneticPr fontId="10" type="noConversion"/>
  </si>
  <si>
    <t>about the current capacity of the two company and the generator's age.</t>
  </si>
  <si>
    <t>Pumped Storage information not included here.</t>
  </si>
  <si>
    <t>Question</t>
  </si>
  <si>
    <t>1. Should CLP's Offshore LNG Terminal, be included?</t>
  </si>
  <si>
    <t>2. Should the twoo newly built CLP Power’s New Gas-Fired Generation Units be included?</t>
  </si>
  <si>
    <t>Performance Statistics of CLP’s Asset</t>
    <phoneticPr fontId="10" type="noConversion"/>
  </si>
  <si>
    <t>CLP in Hong Kong 亚太业务-香港</t>
    <phoneticPr fontId="10" type="noConversion"/>
  </si>
  <si>
    <t>Summary of HK Power Genaration Stations</t>
    <phoneticPr fontId="10" type="noConversion"/>
  </si>
  <si>
    <t>Power Stations</t>
    <phoneticPr fontId="10" type="noConversion"/>
  </si>
  <si>
    <t>Capacity(MW)</t>
    <phoneticPr fontId="10" type="noConversion"/>
  </si>
  <si>
    <t>Fuel</t>
    <phoneticPr fontId="10" type="noConversion"/>
  </si>
  <si>
    <t>In-production Year 投产年份</t>
    <phoneticPr fontId="10" type="noConversion"/>
  </si>
  <si>
    <t>备注</t>
    <phoneticPr fontId="10" type="noConversion"/>
  </si>
  <si>
    <t>Castle Peak Power Station青山发电厂</t>
  </si>
  <si>
    <t>Coal</t>
    <phoneticPr fontId="10" type="noConversion"/>
  </si>
  <si>
    <t>1982-1990</t>
  </si>
  <si>
    <t>(=4*350MW+4*677MW). CLP owns 2875.6 MW. Accounts for more than 40% of CLP's generating capacity. A joint venture jointly owned by CLP power (70%) and China southern power international (Hong Kong) limited (30%).</t>
    <phoneticPr fontId="10" type="noConversion"/>
  </si>
  <si>
    <t>4 oldest coal generators will gradually retire in the mid-2020s.</t>
  </si>
  <si>
    <t>should be phased out between 2022-2025</t>
  </si>
  <si>
    <t>Another 4 are assumed to retire by 2030.</t>
    <phoneticPr fontId="10" type="noConversion"/>
  </si>
  <si>
    <t xml:space="preserve">Black Point Power Station 龙鼓滩发电厂 </t>
    <phoneticPr fontId="10" type="noConversion"/>
  </si>
  <si>
    <t>Gas</t>
    <phoneticPr fontId="10" type="noConversion"/>
  </si>
  <si>
    <t>1996-2006, by stages</t>
    <phoneticPr fontId="10" type="noConversion"/>
  </si>
  <si>
    <t>8x 312.5MW). CLP owns 1750 MW. One of the largest gas-fired combined cycle power plants in the world. A joint venture between CLP power (70 per cent) and China southern power international (Hong Kong) limited (30 per cent), with CLP power operating the plant.</t>
  </si>
  <si>
    <t>Penny's Bay Power Station 竹篙湾发电厂</t>
    <phoneticPr fontId="10" type="noConversion"/>
  </si>
  <si>
    <t>Oil</t>
    <phoneticPr fontId="10" type="noConversion"/>
  </si>
  <si>
    <t>CLP owns 210 MW. Important backup power generation facilities, can quickly respond to emergencies and peak power demand.It can be put into operation quickly.Linking to the 132KV transmission network, power generation is supplied to the New Territories via submarine cables</t>
    <phoneticPr fontId="10" type="noConversion"/>
  </si>
  <si>
    <t>NT West Biomass Project 新界西堆填区沼气发电项目</t>
    <phoneticPr fontId="10" type="noConversion"/>
  </si>
  <si>
    <t>Biomass</t>
    <phoneticPr fontId="10" type="noConversion"/>
  </si>
  <si>
    <t>(=5*2MW). In construction. The largest landfill gas power generation project in Hong Kong.</t>
    <phoneticPr fontId="10" type="noConversion"/>
  </si>
  <si>
    <t>（中电资料册）</t>
    <phoneticPr fontId="10" type="noConversion"/>
  </si>
  <si>
    <t>Daya Bay Nuclear Power Station in Guangdong 广东大亚湾核电站</t>
    <phoneticPr fontId="10" type="noConversion"/>
  </si>
  <si>
    <t>Nuclear</t>
    <phoneticPr fontId="10" type="noConversion"/>
  </si>
  <si>
    <t>(=2*984MW). 70% of the generated electricity is sold to CLP to transmit to HK. Supply 25% of HK's elec demand. The contract is renewed until 2034 in 2009. From the end of 2014 to 2018, the propotion of electricity export from the port in total power generation increased to 80%.</t>
    <phoneticPr fontId="10" type="noConversion"/>
  </si>
  <si>
    <t>Guangzhou Pumped Storage Power Station 广州蓄能水电厂</t>
    <phoneticPr fontId="10" type="noConversion"/>
  </si>
  <si>
    <t>Hydro</t>
    <phoneticPr fontId="10" type="noConversion"/>
  </si>
  <si>
    <t>1994 and 2000 (finished by 2 stages, 1200MW respectively)</t>
    <phoneticPr fontId="10" type="noConversion"/>
  </si>
  <si>
    <t>To support the grid system to cope with peak generating capacity as a backup energy source in case of emergency.CLP's rights expire in 2034.</t>
    <phoneticPr fontId="10" type="noConversion"/>
  </si>
  <si>
    <t>Total Capacity</t>
    <phoneticPr fontId="10" type="noConversion"/>
  </si>
  <si>
    <t>Total Capacity (including those under construction) 香港总装机容量（含在建）</t>
    <phoneticPr fontId="10" type="noConversion"/>
  </si>
  <si>
    <t>8268MW</t>
  </si>
  <si>
    <t>Source</t>
  </si>
  <si>
    <t>https://www.clpgroup.com/content/dam/clp-group/channels/media/document/embedded_pdfs_en/20211028_D1_Factsheet_en.pdf</t>
  </si>
  <si>
    <t>https://www.clpgroup.com/en/about/our-business/assets-and-services/hong-kong/black-point-power-station.html</t>
  </si>
  <si>
    <t>Scheme of Control (SoC) Business in Hong Kong 香港管制计划业务部分</t>
    <phoneticPr fontId="10" type="noConversion"/>
  </si>
  <si>
    <t>New Turbines increased BlackPoint Power Station gross capacity from 2250 to 3250</t>
  </si>
  <si>
    <t>Indicator</t>
    <phoneticPr fontId="10" type="noConversion"/>
  </si>
  <si>
    <t>Unit</t>
    <phoneticPr fontId="10" type="noConversion"/>
  </si>
  <si>
    <t>Electricity Sales 电力销售</t>
    <phoneticPr fontId="10" type="noConversion"/>
  </si>
  <si>
    <t>GWh</t>
    <phoneticPr fontId="10" type="noConversion"/>
  </si>
  <si>
    <t>Generation capacity and capacity purchase 发电容量+购入的发电容量</t>
    <phoneticPr fontId="10" type="noConversion"/>
  </si>
  <si>
    <t>MW</t>
    <phoneticPr fontId="10" type="noConversion"/>
  </si>
  <si>
    <t>https://www.clpgroup.com/content/dam/clp-group/channels/investor/document/3-3-financial-reports/2022/e_2022Annual%20Report.pdf</t>
  </si>
  <si>
    <t>CLP owns 区内投资</t>
    <phoneticPr fontId="10" type="noConversion"/>
  </si>
  <si>
    <t>HK Elec transmission, distribution and customer service</t>
    <phoneticPr fontId="10" type="noConversion"/>
  </si>
  <si>
    <t>CLP Power HK Limited</t>
    <phoneticPr fontId="10" type="noConversion"/>
  </si>
  <si>
    <t>Investor information - business data 投资者信息-业务资料</t>
    <phoneticPr fontId="10" type="noConversion"/>
  </si>
  <si>
    <t>HK Elec generation</t>
    <phoneticPr fontId="10" type="noConversion"/>
  </si>
  <si>
    <t>Castle Peak Power Company Limited</t>
    <phoneticPr fontId="10" type="noConversion"/>
  </si>
  <si>
    <t>另外30%是南方電網國際（香港）有限公司</t>
    <phoneticPr fontId="10" type="noConversion"/>
  </si>
  <si>
    <t>https://www.clpgroup.com/tc/investors-information/quick-facts/operating-information</t>
    <phoneticPr fontId="10" type="noConversion"/>
  </si>
  <si>
    <t>HK Gas pipeline</t>
    <phoneticPr fontId="10" type="noConversion"/>
  </si>
  <si>
    <t xml:space="preserve">PetroChina Company Limited </t>
    <phoneticPr fontId="10" type="noConversion"/>
  </si>
  <si>
    <t>另外60%是中國石油天然氣股份有限公司</t>
    <phoneticPr fontId="10" type="noConversion"/>
  </si>
  <si>
    <t>Business Model 商业模式</t>
    <phoneticPr fontId="10" type="noConversion"/>
  </si>
  <si>
    <t>Power generation, transmission and retail 發電、輸供電及零售業務</t>
    <phoneticPr fontId="10" type="noConversion"/>
  </si>
  <si>
    <t>Purchase electricity to supplement local needs 購買電力以補充本地所需的供應</t>
    <phoneticPr fontId="10" type="noConversion"/>
  </si>
  <si>
    <t>The cost of imported fuel and related fuel borne by the customer 進口燃料、相關燃料成本由客戶承擔</t>
    <phoneticPr fontId="10" type="noConversion"/>
  </si>
  <si>
    <t>龙鼓滩 Black Point Power Station</t>
    <phoneticPr fontId="10" type="noConversion"/>
  </si>
  <si>
    <t>2018资产表现数据 2018 Asset Performance Statistics</t>
    <phoneticPr fontId="10" type="noConversion"/>
  </si>
  <si>
    <t>2017资产表现数据 2017 Asset Performance Statistics</t>
    <phoneticPr fontId="10" type="noConversion"/>
  </si>
  <si>
    <t>Infomation</t>
    <phoneticPr fontId="10" type="noConversion"/>
  </si>
  <si>
    <t>营运Operation</t>
    <phoneticPr fontId="10" type="noConversion"/>
  </si>
  <si>
    <t>Gas-fired power station 燃氣電廠                             </t>
    <phoneticPr fontId="10" type="noConversion"/>
  </si>
  <si>
    <t>Energy Source:</t>
    <phoneticPr fontId="10" type="noConversion"/>
  </si>
  <si>
    <t>输出电量 Electricity sent out</t>
    <phoneticPr fontId="10" type="noConversion"/>
  </si>
  <si>
    <t>GWh百万度</t>
    <phoneticPr fontId="10" type="noConversion"/>
  </si>
  <si>
    <t>2,525MW (3 x 337.5MW &amp; 5 x 312.5MW) 2,525兆瓦 (3 x 337.5兆瓦 和 5 x 312.5兆瓦)</t>
  </si>
  <si>
    <t>天然气消耗 Gas consumed</t>
    <phoneticPr fontId="10" type="noConversion"/>
  </si>
  <si>
    <t>TJ</t>
    <phoneticPr fontId="10" type="noConversion"/>
  </si>
  <si>
    <t xml:space="preserve">Plant commissioned between 1996 and 2006 電廠於1996年至2006年間分阶段投產 </t>
    <phoneticPr fontId="10" type="noConversion"/>
  </si>
  <si>
    <t>燃油消耗 Oil consumed</t>
    <phoneticPr fontId="10" type="noConversion"/>
  </si>
  <si>
    <t>Shareholding of 70% with operational control by CLP 中電擁有70%權益及營運控制權(1750MW)</t>
    <phoneticPr fontId="10" type="noConversion"/>
  </si>
  <si>
    <t xml:space="preserve">发电效能 Thermal effiiciency </t>
    <phoneticPr fontId="10" type="noConversion"/>
  </si>
  <si>
    <t>%</t>
    <phoneticPr fontId="10" type="noConversion"/>
  </si>
  <si>
    <t>气体排放Air Emissions</t>
    <phoneticPr fontId="10" type="noConversion"/>
  </si>
  <si>
    <t>CO2 (Scope1)(1)</t>
    <phoneticPr fontId="10" type="noConversion"/>
  </si>
  <si>
    <t>kT</t>
    <phoneticPr fontId="10" type="noConversion"/>
  </si>
  <si>
    <t>CO2 (Scope1)</t>
    <phoneticPr fontId="10" type="noConversion"/>
  </si>
  <si>
    <t>Note:</t>
    <phoneticPr fontId="10" type="noConversion"/>
  </si>
  <si>
    <t>SO2</t>
    <phoneticPr fontId="10" type="noConversion"/>
  </si>
  <si>
    <t>(1) Scope 2 emissions are included in Scope 1 as electricity consumed was generated within CLP Power Hong Kong's own Organisational</t>
  </si>
  <si>
    <t>NOx</t>
    <phoneticPr fontId="10" type="noConversion"/>
  </si>
  <si>
    <t>boundary.</t>
  </si>
  <si>
    <t>总颗粒物 Total Particulate</t>
    <phoneticPr fontId="10" type="noConversion"/>
  </si>
  <si>
    <t>使用的電力在中華電力的設施內生產, 因此範疇二的溫室氣體排放已包括在範疇㇐內。</t>
  </si>
  <si>
    <t>可吸入悬浮颗粒物 Resipirable Particulate</t>
    <phoneticPr fontId="10" type="noConversion"/>
  </si>
  <si>
    <t>(2) Not applicable to Black Point.</t>
  </si>
  <si>
    <t>水Water</t>
    <phoneticPr fontId="10" type="noConversion"/>
  </si>
  <si>
    <t>不適用於龍鼓灘電廠。</t>
  </si>
  <si>
    <t>Water Withdrawal - Total</t>
  </si>
  <si>
    <t>Mm3</t>
  </si>
  <si>
    <t>(3) Wastewater is mainly treated on site and discharged to sea. Data for small amount of wastewater from onsite mobile toilet are not</t>
  </si>
  <si>
    <t>from marine water resources</t>
  </si>
  <si>
    <t>routinely collected.</t>
  </si>
  <si>
    <t>from freshwater resources (2)</t>
  </si>
  <si>
    <t>---</t>
  </si>
  <si>
    <t>廢水於電廠內處理再排放到海洋。電廠內的流動厠所產生少量廢水，但並無定期收集數據。</t>
  </si>
  <si>
    <t>from municipal sources</t>
  </si>
  <si>
    <t>(4) A portion of the treated wastewater is reused on site but measurement data are not routinely collected.</t>
  </si>
  <si>
    <t>Water Discharged - Total</t>
  </si>
  <si>
    <t>部分經處理的廢水在電廠內循環再用，但並無定期收集數據。</t>
  </si>
  <si>
    <t>cooling water discharged to sea</t>
  </si>
  <si>
    <t>treated wastewater discharged to sea</t>
  </si>
  <si>
    <t>treated wastewater discharged to freshwater bodies (2)</t>
  </si>
  <si>
    <t>wastewater discharged to sewerage (3)</t>
  </si>
  <si>
    <t>Water Reused / Recycled (4)</t>
  </si>
  <si>
    <t>青山 Castle Peak Power Station</t>
    <phoneticPr fontId="10" type="noConversion"/>
  </si>
  <si>
    <t>2022资产表现数据 2022 Asset Performance Statistics</t>
  </si>
  <si>
    <t>2018资产表现数据 2018 Asset Performance Statistics</t>
  </si>
  <si>
    <t>Information</t>
    <phoneticPr fontId="10" type="noConversion"/>
  </si>
  <si>
    <t>Coal-fired power station 燃煤電廠          </t>
    <phoneticPr fontId="10" type="noConversion"/>
  </si>
  <si>
    <t> 4,108MW (4 x 350MW, 4 x 677MW) 4,108兆瓦 (4 x 350兆瓦, 4 x 677兆瓦)</t>
  </si>
  <si>
    <t>煤消耗量 Coal consumed</t>
  </si>
  <si>
    <t>Plant commissioned between 1982 and 1990 電廠於1982年至1990年間投產</t>
  </si>
  <si>
    <t>Shareholding of 70% with operational control by CLP 中電擁有70%權益及營運控制</t>
  </si>
  <si>
    <t>from marine water resources (for cooling)</t>
  </si>
  <si>
    <t>-</t>
  </si>
  <si>
    <t>竹篙湾 Penny's Bay Power Station</t>
    <phoneticPr fontId="10" type="noConversion"/>
  </si>
  <si>
    <t>Diesel-fired power station (backup facility providing quick-start support) 柴油電廠 (提供快速啟動支援的後備設施)</t>
  </si>
  <si>
    <t>300MW (3 x 100MW) 300兆瓦 (3 x 100兆瓦)</t>
  </si>
  <si>
    <t>Plant commissioned in 1992 電廠於1992年投產</t>
  </si>
  <si>
    <t>Shareholding of 70% with operational control by CLP 中電擁有70%權益及營運控制權</t>
  </si>
  <si>
    <t>Transmission &amp; Distribution Network</t>
    <phoneticPr fontId="10" type="noConversion"/>
  </si>
  <si>
    <t>输电配电系统Transmission &amp; Distribution Network</t>
    <phoneticPr fontId="10" type="noConversion"/>
  </si>
  <si>
    <t>Transmission and distribution system 輸電及供電網絡</t>
  </si>
  <si>
    <t>輸電及供電流失Transmission &amp; distribution loss</t>
    <phoneticPr fontId="10" type="noConversion"/>
  </si>
  <si>
    <t>Over 15,862 kilometres of transmission and high voltage distribution lines 輸供電高壓線路總⾧度超過15,682公里</t>
  </si>
  <si>
    <t>%</t>
  </si>
  <si>
    <t>232 primary substations and 14,685 secondary substations 232個總變電站及14,685個副變電站</t>
  </si>
  <si>
    <t>營運地點耗電量Electricity used onsite</t>
    <phoneticPr fontId="10" type="noConversion"/>
  </si>
  <si>
    <t>Wholly owned and operated by CLP 中電全資擁有及營運</t>
  </si>
  <si>
    <t>汽油消耗量Petrol consumed</t>
    <phoneticPr fontId="10" type="noConversion"/>
  </si>
  <si>
    <t>柴油消耗量Diesel consumed</t>
    <phoneticPr fontId="10" type="noConversion"/>
  </si>
  <si>
    <t>中电资料库</t>
    <phoneticPr fontId="10" type="noConversion"/>
  </si>
  <si>
    <t>SF6</t>
    <phoneticPr fontId="10" type="noConversion"/>
  </si>
  <si>
    <t>from freshwater resources</t>
    <phoneticPr fontId="10" type="noConversion"/>
  </si>
  <si>
    <t>Water Reused / Recycled</t>
    <phoneticPr fontId="10" type="noConversion"/>
  </si>
  <si>
    <t>2016 Sustainable development report.pdf</t>
    <phoneticPr fontId="10" type="noConversion"/>
  </si>
  <si>
    <t xml:space="preserve"> </t>
  </si>
  <si>
    <t>​CLP's Response to the Future Fuel Mix for Electricity Generation Public Consultation Paper-2014</t>
    <phoneticPr fontId="10" type="noConversion"/>
  </si>
  <si>
    <t>CLP-Information-Kit</t>
    <phoneticPr fontId="10" type="noConversion"/>
  </si>
  <si>
    <t>CLP's Current Assets .pdf</t>
    <phoneticPr fontId="10" type="noConversion"/>
  </si>
  <si>
    <t>Asset Information of HKE-HKE's Power Stations</t>
    <phoneticPr fontId="10" type="noConversion"/>
  </si>
  <si>
    <t>https://www.hkelectric.com/documents/en/CorporateSocialResponsibility/CorporateSocialResponsibility_CDD/Documents/SR2022E.pdf</t>
  </si>
  <si>
    <t>1. Operating</t>
    <phoneticPr fontId="10" type="noConversion"/>
  </si>
  <si>
    <t>Station</t>
    <phoneticPr fontId="10" type="noConversion"/>
  </si>
  <si>
    <t>Generator</t>
    <phoneticPr fontId="10" type="noConversion"/>
  </si>
  <si>
    <t>Capacity (MW)</t>
    <phoneticPr fontId="10" type="noConversion"/>
  </si>
  <si>
    <t>In-produce Year</t>
    <phoneticPr fontId="10" type="noConversion"/>
  </si>
  <si>
    <t>Lifetime</t>
    <phoneticPr fontId="10" type="noConversion"/>
  </si>
  <si>
    <t>Note</t>
    <phoneticPr fontId="10" type="noConversion"/>
  </si>
  <si>
    <t>Lamma Power Station(南丫发电厂)</t>
    <phoneticPr fontId="10" type="noConversion"/>
  </si>
  <si>
    <t>Coal&amp;Oil</t>
    <phoneticPr fontId="10" type="noConversion"/>
  </si>
  <si>
    <t xml:space="preserve">5 oil fired open-cycle gas turbine units </t>
  </si>
  <si>
    <t>aim to cease coal-fired power operations by 2035</t>
  </si>
  <si>
    <t>5 coal fired units</t>
  </si>
  <si>
    <t xml:space="preserve">Fuel oil is used for starting and flame stabilisation of coal-fired units and so the specific breakdown for fuel oil was not provided </t>
  </si>
  <si>
    <t xml:space="preserve">3 gas-fired combined cycle units </t>
  </si>
  <si>
    <t>L10, L11 were commissioned in 2020 and 2022 respectively. L12 operation date to be revised to Early 2024, rather than 2023</t>
  </si>
  <si>
    <t>RE</t>
    <phoneticPr fontId="10" type="noConversion"/>
  </si>
  <si>
    <t>Solar PV</t>
    <phoneticPr fontId="10" type="noConversion"/>
  </si>
  <si>
    <t>Generate 1.1 Mil. kWh each year(by prediction) with 915kT CO2 reduced.</t>
    <phoneticPr fontId="10" type="noConversion"/>
  </si>
  <si>
    <t>Other small-scale RE installation</t>
  </si>
  <si>
    <t>Wind Power</t>
    <phoneticPr fontId="10" type="noConversion"/>
  </si>
  <si>
    <t>Generatting 1Mil. kWh each year.</t>
    <phoneticPr fontId="10" type="noConversion"/>
  </si>
  <si>
    <t>Sum</t>
    <phoneticPr fontId="10" type="noConversion"/>
  </si>
  <si>
    <t>Sum-2017</t>
    <phoneticPr fontId="10" type="noConversion"/>
  </si>
  <si>
    <t>Sum-2022</t>
  </si>
  <si>
    <t>delta(2017-2022)</t>
  </si>
  <si>
    <t>Gas Ratio</t>
    <phoneticPr fontId="10" type="noConversion"/>
  </si>
  <si>
    <t xml:space="preserve">From 2022 Annual report </t>
  </si>
  <si>
    <t>2. In Construction</t>
    <phoneticPr fontId="10" type="noConversion"/>
  </si>
  <si>
    <t>Solar PV on rooftops</t>
  </si>
  <si>
    <t>aim to double existing the existing capacity of installed PVs (from 1.1 to 2.4)</t>
  </si>
  <si>
    <t>3. Approved</t>
    <phoneticPr fontId="10" type="noConversion"/>
  </si>
  <si>
    <t>4. Plans</t>
    <phoneticPr fontId="10" type="noConversion"/>
  </si>
  <si>
    <t>Station</t>
  </si>
  <si>
    <t>Generator</t>
  </si>
  <si>
    <t>Capacity (MW)</t>
  </si>
  <si>
    <t xml:space="preserve">Offshore wind farm </t>
  </si>
  <si>
    <t xml:space="preserve">Will generate roughly 400 million units of zero-carbon electricity per year </t>
  </si>
  <si>
    <t>NOTE: 150MW is the expected total installed capacity rather than additional 150 MW</t>
  </si>
  <si>
    <t>HKE thinks it's better to develop gas generation.</t>
    <phoneticPr fontId="10" type="noConversion"/>
  </si>
  <si>
    <t>Year</t>
    <phoneticPr fontId="10" type="noConversion"/>
  </si>
  <si>
    <t>New Capacity (MW)</t>
    <phoneticPr fontId="10" type="noConversion"/>
  </si>
  <si>
    <t>Capacity Lifetime(yr)</t>
    <phoneticPr fontId="10" type="noConversion"/>
  </si>
  <si>
    <t>Natural Gas</t>
    <phoneticPr fontId="10" type="noConversion"/>
  </si>
  <si>
    <t>Natural Gas Peaker</t>
  </si>
  <si>
    <t>Petroleum</t>
    <phoneticPr fontId="10" type="noConversion"/>
  </si>
  <si>
    <t>Coal-HKE</t>
    <phoneticPr fontId="10" type="noConversion"/>
  </si>
  <si>
    <t>Coal-CLP</t>
    <phoneticPr fontId="10" type="noConversion"/>
  </si>
  <si>
    <t>Retire year</t>
  </si>
  <si>
    <t>1. The eight gas units of longgutan power plant were put into operation successively from 1996 to 2006, so they were allocated into the 10 years relatively evenly.</t>
    <phoneticPr fontId="10" type="noConversion"/>
  </si>
  <si>
    <t>Hard Coal</t>
    <phoneticPr fontId="10" type="noConversion"/>
  </si>
  <si>
    <t>Coal, CLP</t>
    <phoneticPr fontId="10" type="noConversion"/>
  </si>
  <si>
    <t>2. CLP's 4 oldest coal genarators,which were built in 1980, are planned to gradually retired around mid-2020s. So their lifetime are about 45 yrs. Therefore we adopt the lifetime of 45 year for coal units in CLP(which means retiring in 2025). As stated in sheet"CLP Assets", we assume another 4 to retire by 2030, therefore we put this capacity in the "new capacity in 1985" row(5 years later retire-&gt;equals to 5 yrs more-&gt;equals to 5 years later built)</t>
  </si>
  <si>
    <t>Coal, HKE</t>
    <phoneticPr fontId="10" type="noConversion"/>
  </si>
  <si>
    <t>3. One of the HKE's first coal-fired units, which was built in 1984, has retired before 2017, and the others built in 1990s are planned to retire all before 2030. Therefore, we estimate the lifetime of coal units in HKE is around 33 yrs.</t>
    <phoneticPr fontId="10" type="noConversion"/>
  </si>
  <si>
    <t>https://www.info.gov.hk/gia/general/201910/25/P2019102500191.htm?fontSize=1</t>
  </si>
  <si>
    <t>    The Hongkong Electric Company, Limited (HEC) is building a new gas-fired generating unit for operation in 2023 while three existing coal-fired generation units will be decommissioned in succession. The increase in gas generation ratio and reduction in forecast electricity demand for 2024 and 2025 by the HEC will allow room for further reduction of its emission allowances.</t>
  </si>
  <si>
    <t>     CLP Power Hong Kong Limited (CLP) is also building a new gas-fired generating unit at its Black Point Power Station for expected commencement of operation in 2023. At its Castle Peak Power Station, two existing coal-fired generating units will be decommissioned in succession. CLP has completed upgrading three gas-fired generating units and will upgrade the remaining five units by 2023, which will further reduce its NOx emissions. Furthermore, CLP also forecasts a reduction in electricity demand for 2024 and 2025.</t>
  </si>
  <si>
    <t>Year</t>
  </si>
  <si>
    <t>hard coal</t>
  </si>
  <si>
    <t>natural gas nonpeaker</t>
  </si>
  <si>
    <t>nuclear</t>
  </si>
  <si>
    <t>hydro</t>
  </si>
  <si>
    <t>onshore wind</t>
  </si>
  <si>
    <t>solar pv</t>
  </si>
  <si>
    <t>solar thermal</t>
  </si>
  <si>
    <t>biomass</t>
  </si>
  <si>
    <t>geothermal</t>
  </si>
  <si>
    <t>petroleum</t>
  </si>
  <si>
    <t>natural gas peaker</t>
  </si>
  <si>
    <t>lignite</t>
  </si>
  <si>
    <t>offshore wind</t>
  </si>
  <si>
    <t>onshore</t>
    <phoneticPr fontId="10" type="noConversion"/>
  </si>
  <si>
    <t>offshore</t>
    <phoneticPr fontId="10" type="noConversion"/>
  </si>
  <si>
    <t>Capacity Lifetime (yr)</t>
    <phoneticPr fontId="10" type="noConversion"/>
  </si>
  <si>
    <t>Assume that the wind power station in HKE's Lamma Station is onshore.</t>
    <phoneticPr fontId="10" type="noConversion"/>
  </si>
  <si>
    <t>New capacity(MW)</t>
    <phoneticPr fontId="10" type="noConversion"/>
  </si>
  <si>
    <t>Designed Retirement Year</t>
    <phoneticPr fontId="10" type="noConversion"/>
  </si>
  <si>
    <t xml:space="preserve">NOTE: DSD installed a hydro-turbine at Stonecutters Island Sewage Treatment Work </t>
  </si>
  <si>
    <t>Utility Name</t>
  </si>
  <si>
    <t>Province</t>
    <phoneticPr fontId="10" type="noConversion"/>
  </si>
  <si>
    <t>Nameplate Capacity (MW)</t>
  </si>
  <si>
    <t>Operating Year</t>
    <phoneticPr fontId="10" type="noConversion"/>
  </si>
  <si>
    <t>Designed Lifetime</t>
    <phoneticPr fontId="10" type="noConversion"/>
  </si>
  <si>
    <t>Status</t>
    <phoneticPr fontId="10" type="noConversion"/>
  </si>
  <si>
    <t>Daya Bay Nuclear Power Station</t>
    <phoneticPr fontId="10" type="noConversion"/>
  </si>
  <si>
    <t>Guangdong</t>
    <phoneticPr fontId="10" type="noConversion"/>
  </si>
  <si>
    <t>Operating</t>
    <phoneticPr fontId="10" type="noConversion"/>
  </si>
  <si>
    <t>Note: Nuclear not included in HK's capacity, as Daya Bay is in China.</t>
  </si>
  <si>
    <t>Plant</t>
    <phoneticPr fontId="10" type="noConversion"/>
  </si>
  <si>
    <t>Utility Number</t>
    <phoneticPr fontId="10" type="noConversion"/>
  </si>
  <si>
    <t>Operation Year</t>
    <phoneticPr fontId="10" type="noConversion"/>
  </si>
  <si>
    <t>Yangbajing</t>
    <phoneticPr fontId="10" type="noConversion"/>
  </si>
  <si>
    <t>Closed</t>
    <phoneticPr fontId="10" type="noConversion"/>
  </si>
  <si>
    <t>NA</t>
    <phoneticPr fontId="10" type="noConversion"/>
  </si>
  <si>
    <t>Fengshun</t>
    <phoneticPr fontId="10" type="noConversion"/>
  </si>
  <si>
    <t>Huabei Oilfieled</t>
    <phoneticPr fontId="10" type="noConversion"/>
  </si>
  <si>
    <t>Yangyi</t>
    <phoneticPr fontId="10" type="noConversion"/>
  </si>
  <si>
    <t>Total Capacity (MW)</t>
    <phoneticPr fontId="10" type="noConversion"/>
  </si>
  <si>
    <t>Considering that the capacity lifetime of biomass is about 30 years,</t>
    <phoneticPr fontId="10" type="noConversion"/>
  </si>
  <si>
    <t>we estimate the data in 2006-2008 by using the annual variation(assuming no retirements in these years).</t>
    <phoneticPr fontId="10" type="noConversion"/>
  </si>
  <si>
    <t>For data in 2017-2020, we use the average results from 2011 to 2016.</t>
    <phoneticPr fontId="10" type="noConversion"/>
  </si>
  <si>
    <t>Source:</t>
    <phoneticPr fontId="10" type="noConversion"/>
  </si>
  <si>
    <t>-</t>
    <phoneticPr fontId="10" type="noConversion"/>
  </si>
  <si>
    <t>Project</t>
    <phoneticPr fontId="10" type="noConversion"/>
  </si>
  <si>
    <t>Status Date</t>
    <phoneticPr fontId="10" type="noConversion"/>
  </si>
  <si>
    <t>Operational Year/ Expected Year</t>
    <phoneticPr fontId="10" type="noConversion"/>
  </si>
  <si>
    <t>Chabei 64MW Molten Salt Parabolic Trough project</t>
  </si>
  <si>
    <t>Under Development</t>
    <phoneticPr fontId="10" type="noConversion"/>
  </si>
  <si>
    <t>Dacheng Dunhuang 50MW Molten Salt Fresnel project</t>
  </si>
  <si>
    <t>Dahan Power Plant</t>
  </si>
  <si>
    <t>Operational</t>
    <phoneticPr fontId="10" type="noConversion"/>
  </si>
  <si>
    <t>NREL</t>
    <phoneticPr fontId="10" type="noConversion"/>
  </si>
  <si>
    <t>Delingha 50MW Thermal Oil Parabolic Trough project</t>
  </si>
  <si>
    <t>Under Construction</t>
    <phoneticPr fontId="10" type="noConversion"/>
  </si>
  <si>
    <t>CSP Plaza</t>
    <phoneticPr fontId="10" type="noConversion"/>
  </si>
  <si>
    <t>Gansu Akesai 50MW Molten Salt Trough project</t>
  </si>
  <si>
    <t>Golden Tower 100MW Molten Salt project</t>
  </si>
  <si>
    <t>Golmud</t>
  </si>
  <si>
    <t>Gulang 100MW Thermal Oil Parabolic Trough project</t>
  </si>
  <si>
    <t>Hami 50 MW CSP Project</t>
  </si>
  <si>
    <t>Huanghe Qinghai Delingha 135 MW DSG Tower CSP Project</t>
  </si>
  <si>
    <t>Qinghai Gonghe 50 MW CSP Plant</t>
  </si>
  <si>
    <t>Rayspower Yumen 50MW Thermal Oil Trough project</t>
  </si>
  <si>
    <t>Shangyi 50MW DSG Tower CSP project</t>
  </si>
  <si>
    <t>SunCan Dunhuang 10 MW Phase I</t>
  </si>
  <si>
    <t>SunCan Dunhuang 100 MW Phase II</t>
  </si>
  <si>
    <t>Supcon Solar Project</t>
  </si>
  <si>
    <t>Urat 50MW Fresnel CSP project</t>
  </si>
  <si>
    <t>Urat Middle Banner 100MW Thermal Oil Parabolic Trough project</t>
  </si>
  <si>
    <t>Yumen 100MW Molten Salt Tower CSP project</t>
  </si>
  <si>
    <t>Yumen 50MW Molten Salt Tower CSP project</t>
  </si>
  <si>
    <t>Yumen 50MW Thermal Oil Trough CSP project</t>
  </si>
  <si>
    <t>Zhangbei 50MW CSG Fresnel CSP project</t>
  </si>
  <si>
    <t>Zhangjiakou 50MW CSG Fresnel project</t>
  </si>
  <si>
    <t>NOTE: DSD installed 4200 units of PVs, capable of generating 1.1 MkW per year at Siu Ho Wan Solar Farm</t>
  </si>
  <si>
    <t xml:space="preserve">NOTE: Solar PVs installed at Shek Pik Reservoir, Plover Cove + Tai Lam Chung Reservoir have a generation capacity of 100kW each </t>
  </si>
  <si>
    <t>https://www.wsd.gov.hk/ecoexpoasia2022/index-en.html</t>
  </si>
  <si>
    <t>NOTE: DSD installed solar PV on rooftops of plants at Sha Tin, yuen Long, Shek Wu Hui and Stone cotters island</t>
  </si>
  <si>
    <t xml:space="preserve">solar system at Jordan Valley Landfill </t>
  </si>
  <si>
    <t>note:</t>
  </si>
  <si>
    <t>3.8 added in 2008 is rough summary of this information:</t>
  </si>
  <si>
    <t>https://re.emsd.gov.hk/english/solar/solar_ph/solar_ph_ep.html</t>
  </si>
  <si>
    <t xml:space="preserve">    4 Oldest (1400MW)</t>
  </si>
  <si>
    <t xml:space="preserve">    Another 4 (2708MV)</t>
  </si>
  <si>
    <t xml:space="preserve">Source: </t>
  </si>
  <si>
    <t>https://www.clpgroup.com/content/dam/clp-group/channels/sustainability/document/sustainability-report/2022/SR2022_APS.pdf.coredownload.pdf</t>
  </si>
  <si>
    <t xml:space="preserve">    Purchased by CLP (80%)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</si>
</sst>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
  </numFmts>
  <fonts count="30">
    <font>
      <sz val="11"/>
      <color theme="1"/>
      <name val="Calibri"/>
      <family val="2"/>
      <scheme val="minor"/>
    </font>
    <font>
      <b/>
      <sz val="11"/>
      <color theme="1"/>
      <name val="Calibri"/>
      <family val="2"/>
      <scheme val="minor"/>
    </font>
    <font>
      <sz val="10"/>
      <name val="Arial"/>
      <family val="2"/>
    </font>
    <font>
      <b/>
      <sz val="12"/>
      <color theme="4"/>
      <name val="Calibri"/>
      <family val="2"/>
      <scheme val="minor"/>
    </font>
    <font>
      <b/>
      <sz val="12"/>
      <color indexed="30"/>
      <name val="Calibri"/>
      <family val="2"/>
    </font>
    <font>
      <sz val="9"/>
      <color theme="1"/>
      <name val="Calibri"/>
      <family val="2"/>
      <scheme val="minor"/>
    </font>
    <font>
      <sz val="9"/>
      <color indexed="8"/>
      <name val="Calibri"/>
      <family val="2"/>
    </font>
    <font>
      <b/>
      <sz val="9"/>
      <color indexed="8"/>
      <name val="Calibri"/>
      <family val="2"/>
    </font>
    <font>
      <b/>
      <sz val="9"/>
      <color theme="1"/>
      <name val="Calibri"/>
      <family val="2"/>
      <scheme val="minor"/>
    </font>
    <font>
      <u/>
      <sz val="11"/>
      <color theme="10"/>
      <name val="Calibri"/>
      <family val="2"/>
      <scheme val="minor"/>
    </font>
    <font>
      <sz val="9"/>
      <name val="Calibri"/>
      <family val="3"/>
      <charset val="134"/>
      <scheme val="minor"/>
    </font>
    <font>
      <b/>
      <sz val="11"/>
      <color theme="1"/>
      <name val="Calibri"/>
      <family val="3"/>
      <charset val="134"/>
      <scheme val="minor"/>
    </font>
    <font>
      <sz val="11"/>
      <color theme="1"/>
      <name val="Calibri"/>
      <family val="3"/>
      <charset val="134"/>
      <scheme val="minor"/>
    </font>
    <font>
      <i/>
      <sz val="11"/>
      <color theme="1"/>
      <name val="Calibri"/>
      <family val="3"/>
      <charset val="134"/>
      <scheme val="minor"/>
    </font>
    <font>
      <sz val="11"/>
      <color theme="1"/>
      <name val="宋体"/>
      <family val="2"/>
    </font>
    <font>
      <sz val="11"/>
      <name val="Calibri"/>
      <family val="2"/>
      <scheme val="minor"/>
    </font>
    <font>
      <b/>
      <sz val="9"/>
      <color indexed="81"/>
      <name val="宋体"/>
      <family val="3"/>
      <charset val="134"/>
    </font>
    <font>
      <sz val="9"/>
      <color indexed="81"/>
      <name val="宋体"/>
      <family val="3"/>
      <charset val="134"/>
    </font>
    <font>
      <b/>
      <sz val="16"/>
      <color theme="1"/>
      <name val="Calibri"/>
      <family val="3"/>
      <charset val="134"/>
      <scheme val="minor"/>
    </font>
    <font>
      <sz val="9"/>
      <color rgb="FF000000"/>
      <name val="Calibri"/>
      <family val="3"/>
      <charset val="134"/>
      <scheme val="minor"/>
    </font>
    <font>
      <u/>
      <sz val="11"/>
      <color theme="10"/>
      <name val="Calibri"/>
      <family val="3"/>
      <charset val="134"/>
      <scheme val="minor"/>
    </font>
    <font>
      <b/>
      <sz val="12"/>
      <color theme="1"/>
      <name val="Calibri"/>
      <family val="3"/>
      <charset val="134"/>
      <scheme val="minor"/>
    </font>
    <font>
      <b/>
      <sz val="14"/>
      <color theme="1"/>
      <name val="Calibri"/>
      <family val="3"/>
      <charset val="134"/>
      <scheme val="minor"/>
    </font>
    <font>
      <b/>
      <sz val="14"/>
      <color rgb="FF00B0F0"/>
      <name val="Calibri"/>
      <family val="3"/>
      <charset val="134"/>
      <scheme val="minor"/>
    </font>
    <font>
      <b/>
      <sz val="16"/>
      <color rgb="FF00B0F0"/>
      <name val="Calibri"/>
      <family val="3"/>
      <charset val="134"/>
      <scheme val="minor"/>
    </font>
    <font>
      <sz val="9"/>
      <color rgb="FF000000"/>
      <name val="Verdana"/>
      <family val="2"/>
    </font>
    <font>
      <sz val="11"/>
      <color rgb="FFFF0000"/>
      <name val="Calibri (Body)"/>
    </font>
    <font>
      <b/>
      <sz val="9"/>
      <color rgb="FF000000"/>
      <name val="宋体"/>
      <family val="3"/>
      <charset val="134"/>
    </font>
    <font>
      <sz val="9"/>
      <color rgb="FF000000"/>
      <name val="宋体"/>
      <family val="3"/>
      <charset val="134"/>
    </font>
    <font>
      <sz val="12"/>
      <color rgb="FF3F3F76"/>
      <name val="Calibri"/>
      <family val="2"/>
      <scheme val="minor"/>
    </font>
  </fonts>
  <fills count="10">
    <fill>
      <patternFill patternType="none"/>
    </fill>
    <fill>
      <patternFill patternType="gray125"/>
    </fill>
    <fill>
      <patternFill patternType="solid">
        <fgColor theme="0" tint="-0.249977111117893"/>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rgb="FF0096D7"/>
      </bottom>
      <diagonal/>
    </border>
    <border>
      <left/>
      <right/>
      <top/>
      <bottom style="thin">
        <color theme="0" tint="-0.249977111117893"/>
      </bottom>
      <diagonal/>
    </border>
    <border>
      <left/>
      <right/>
      <top/>
      <bottom style="thin">
        <color rgb="FFBFBFBF"/>
      </bottom>
      <diagonal/>
    </border>
    <border>
      <left/>
      <right/>
      <top/>
      <bottom style="dashed">
        <color theme="0" tint="-0.24994659260841701"/>
      </bottom>
      <diagonal/>
    </border>
    <border>
      <left/>
      <right/>
      <top/>
      <bottom style="dashed">
        <color rgb="FFBFBFBF"/>
      </bottom>
      <diagonal/>
    </border>
    <border>
      <left/>
      <right/>
      <top style="medium">
        <color theme="4"/>
      </top>
      <bottom/>
      <diagonal/>
    </border>
    <border>
      <left/>
      <right/>
      <top style="medium">
        <color rgb="FF0096D7"/>
      </top>
      <bottom/>
      <diagonal/>
    </border>
    <border>
      <left/>
      <right/>
      <top/>
      <bottom style="thin">
        <color indexed="64"/>
      </bottom>
      <diagonal/>
    </border>
  </borders>
  <cellStyleXfs count="16">
    <xf numFmtId="0" fontId="0" fillId="0" borderId="0"/>
    <xf numFmtId="164" fontId="2" fillId="0" borderId="0" applyFont="0" applyFill="0" applyBorder="0" applyAlignment="0" applyProtection="0"/>
    <xf numFmtId="0" fontId="3" fillId="0" borderId="0" applyNumberFormat="0" applyProtection="0">
      <alignment horizontal="left"/>
    </xf>
    <xf numFmtId="0" fontId="5" fillId="0" borderId="0" applyNumberFormat="0" applyFill="0" applyBorder="0" applyAlignment="0" applyProtection="0"/>
    <xf numFmtId="0" fontId="8" fillId="0" borderId="1" applyNumberFormat="0" applyProtection="0">
      <alignment wrapText="1"/>
    </xf>
    <xf numFmtId="0" fontId="8" fillId="0" borderId="3" applyNumberFormat="0" applyProtection="0">
      <alignment wrapText="1"/>
    </xf>
    <xf numFmtId="0" fontId="5" fillId="0" borderId="5" applyNumberFormat="0" applyFont="0" applyProtection="0">
      <alignment wrapText="1"/>
    </xf>
    <xf numFmtId="0" fontId="5" fillId="0" borderId="7" applyNumberFormat="0" applyProtection="0">
      <alignment vertical="top" wrapText="1"/>
    </xf>
    <xf numFmtId="0" fontId="9" fillId="0" borderId="0" applyNumberFormat="0" applyFill="0" applyBorder="0" applyAlignment="0" applyProtection="0"/>
    <xf numFmtId="0" fontId="6" fillId="0" borderId="0"/>
    <xf numFmtId="0" fontId="6" fillId="0" borderId="8" applyNumberFormat="0" applyProtection="0">
      <alignment wrapText="1"/>
    </xf>
    <xf numFmtId="0" fontId="7" fillId="0" borderId="4" applyNumberFormat="0" applyProtection="0">
      <alignment wrapText="1"/>
    </xf>
    <xf numFmtId="0" fontId="6" fillId="0" borderId="6" applyNumberFormat="0" applyFont="0" applyProtection="0">
      <alignment wrapText="1"/>
    </xf>
    <xf numFmtId="0" fontId="7" fillId="0" borderId="2" applyNumberFormat="0" applyProtection="0">
      <alignment wrapText="1"/>
    </xf>
    <xf numFmtId="0" fontId="6" fillId="0" borderId="0" applyNumberFormat="0" applyFill="0" applyBorder="0" applyAlignment="0" applyProtection="0"/>
    <xf numFmtId="0" fontId="4" fillId="0" borderId="0" applyNumberFormat="0" applyProtection="0">
      <alignment horizontal="left"/>
    </xf>
  </cellStyleXfs>
  <cellXfs count="68">
    <xf numFmtId="0" fontId="0" fillId="0" borderId="0" xfId="0"/>
    <xf numFmtId="0" fontId="1" fillId="0" borderId="0" xfId="0" applyFont="1"/>
    <xf numFmtId="0" fontId="0" fillId="0" borderId="0" xfId="0" applyAlignment="1">
      <alignment horizontal="left"/>
    </xf>
    <xf numFmtId="0" fontId="9" fillId="0" borderId="0" xfId="8"/>
    <xf numFmtId="1" fontId="1" fillId="0" borderId="0" xfId="0" applyNumberFormat="1" applyFont="1"/>
    <xf numFmtId="0" fontId="12" fillId="0" borderId="0" xfId="0" applyFont="1"/>
    <xf numFmtId="1" fontId="12" fillId="0" borderId="0" xfId="0" applyNumberFormat="1" applyFont="1"/>
    <xf numFmtId="0" fontId="11" fillId="0" borderId="0" xfId="0" applyFont="1" applyAlignment="1">
      <alignment horizontal="left"/>
    </xf>
    <xf numFmtId="0" fontId="13" fillId="3" borderId="0" xfId="0" applyFont="1" applyFill="1" applyAlignment="1">
      <alignment horizontal="left"/>
    </xf>
    <xf numFmtId="0" fontId="13" fillId="0" borderId="0" xfId="0" applyFont="1" applyAlignment="1">
      <alignment horizontal="left"/>
    </xf>
    <xf numFmtId="2" fontId="1" fillId="0" borderId="0" xfId="0" applyNumberFormat="1" applyFont="1"/>
    <xf numFmtId="2" fontId="0" fillId="0" borderId="0" xfId="0" applyNumberFormat="1"/>
    <xf numFmtId="0" fontId="13" fillId="0" borderId="0" xfId="0" applyFont="1"/>
    <xf numFmtId="0" fontId="0" fillId="0" borderId="0" xfId="0" applyAlignment="1">
      <alignment horizontal="right"/>
    </xf>
    <xf numFmtId="0" fontId="13" fillId="0" borderId="0" xfId="0" applyFont="1" applyAlignment="1">
      <alignment horizontal="right"/>
    </xf>
    <xf numFmtId="0" fontId="13" fillId="3" borderId="0" xfId="0" applyFont="1" applyFill="1"/>
    <xf numFmtId="0" fontId="12" fillId="4" borderId="0" xfId="0" applyFont="1" applyFill="1"/>
    <xf numFmtId="0" fontId="12" fillId="5" borderId="0" xfId="0" applyFont="1" applyFill="1"/>
    <xf numFmtId="0" fontId="0" fillId="5" borderId="0" xfId="0" applyFill="1"/>
    <xf numFmtId="0" fontId="0" fillId="4" borderId="0" xfId="0" applyFill="1"/>
    <xf numFmtId="1" fontId="13" fillId="0" borderId="0" xfId="0" applyNumberFormat="1" applyFont="1"/>
    <xf numFmtId="0" fontId="11" fillId="0" borderId="0" xfId="0" applyFont="1"/>
    <xf numFmtId="0" fontId="11" fillId="2" borderId="0" xfId="0" applyFont="1" applyFill="1"/>
    <xf numFmtId="15" fontId="0" fillId="0" borderId="0" xfId="0" applyNumberFormat="1"/>
    <xf numFmtId="0" fontId="0" fillId="0" borderId="0" xfId="0" applyAlignment="1">
      <alignment vertical="center"/>
    </xf>
    <xf numFmtId="0" fontId="0" fillId="0" borderId="0" xfId="0" applyAlignment="1">
      <alignment horizontal="left" vertical="center"/>
    </xf>
    <xf numFmtId="0" fontId="9" fillId="0" borderId="0" xfId="8" applyAlignment="1">
      <alignment vertical="center"/>
    </xf>
    <xf numFmtId="0" fontId="15" fillId="0" borderId="0" xfId="8" applyFont="1" applyAlignment="1">
      <alignment vertical="center"/>
    </xf>
    <xf numFmtId="0" fontId="14" fillId="0" borderId="0" xfId="0" applyFont="1" applyAlignment="1">
      <alignment horizontal="left" vertical="center"/>
    </xf>
    <xf numFmtId="0" fontId="9" fillId="0" borderId="0" xfId="8" applyFill="1" applyBorder="1" applyAlignment="1">
      <alignment horizontal="left" vertical="center"/>
    </xf>
    <xf numFmtId="2" fontId="1" fillId="6" borderId="0" xfId="0" applyNumberFormat="1" applyFont="1" applyFill="1"/>
    <xf numFmtId="2" fontId="0" fillId="6" borderId="0" xfId="0" applyNumberFormat="1" applyFill="1"/>
    <xf numFmtId="17" fontId="11" fillId="0" borderId="0" xfId="0" applyNumberFormat="1" applyFont="1"/>
    <xf numFmtId="0" fontId="0" fillId="0" borderId="0" xfId="0" applyAlignment="1">
      <alignment wrapText="1"/>
    </xf>
    <xf numFmtId="9" fontId="0" fillId="0" borderId="0" xfId="0" applyNumberFormat="1"/>
    <xf numFmtId="0" fontId="13" fillId="7" borderId="0" xfId="0" applyFont="1" applyFill="1"/>
    <xf numFmtId="0" fontId="18" fillId="0" borderId="0" xfId="0" applyFont="1"/>
    <xf numFmtId="0" fontId="12" fillId="0" borderId="0" xfId="0" applyFont="1" applyAlignment="1">
      <alignment horizontal="left"/>
    </xf>
    <xf numFmtId="0" fontId="19" fillId="0" borderId="0" xfId="0" applyFont="1"/>
    <xf numFmtId="3" fontId="19" fillId="0" borderId="0" xfId="0" applyNumberFormat="1" applyFont="1" applyAlignment="1">
      <alignment horizontal="left"/>
    </xf>
    <xf numFmtId="9" fontId="12" fillId="0" borderId="0" xfId="0" applyNumberFormat="1" applyFont="1"/>
    <xf numFmtId="0" fontId="12" fillId="0" borderId="9" xfId="0" applyFont="1" applyBorder="1"/>
    <xf numFmtId="0" fontId="12" fillId="0" borderId="9" xfId="0" applyFont="1" applyBorder="1" applyAlignment="1">
      <alignment horizontal="left"/>
    </xf>
    <xf numFmtId="0" fontId="19" fillId="0" borderId="9" xfId="0" applyFont="1" applyBorder="1"/>
    <xf numFmtId="0" fontId="20" fillId="0" borderId="0" xfId="8" applyFont="1"/>
    <xf numFmtId="0" fontId="21" fillId="0" borderId="0" xfId="0" applyFont="1"/>
    <xf numFmtId="0" fontId="12" fillId="8" borderId="0" xfId="0" applyFont="1" applyFill="1"/>
    <xf numFmtId="0" fontId="11" fillId="5" borderId="0" xfId="0" applyFont="1" applyFill="1"/>
    <xf numFmtId="3" fontId="12" fillId="0" borderId="0" xfId="0" applyNumberFormat="1" applyFont="1"/>
    <xf numFmtId="4" fontId="12" fillId="0" borderId="0" xfId="0" applyNumberFormat="1" applyFont="1"/>
    <xf numFmtId="10" fontId="12" fillId="0" borderId="0" xfId="0" applyNumberFormat="1" applyFont="1"/>
    <xf numFmtId="0" fontId="22" fillId="0" borderId="0" xfId="0" applyFont="1"/>
    <xf numFmtId="0" fontId="23" fillId="0" borderId="0" xfId="0" applyFont="1"/>
    <xf numFmtId="0" fontId="24" fillId="0" borderId="0" xfId="0" applyFont="1"/>
    <xf numFmtId="1" fontId="0" fillId="0" borderId="0" xfId="0" applyNumberFormat="1"/>
    <xf numFmtId="0" fontId="25" fillId="0" borderId="0" xfId="0" applyFont="1"/>
    <xf numFmtId="0" fontId="11" fillId="0" borderId="0" xfId="0" applyFont="1" applyAlignment="1">
      <alignment horizontal="center"/>
    </xf>
    <xf numFmtId="0" fontId="26" fillId="0" borderId="0" xfId="0" applyFont="1"/>
    <xf numFmtId="0" fontId="11" fillId="9" borderId="0" xfId="0" applyFont="1" applyFill="1"/>
    <xf numFmtId="0" fontId="12" fillId="0" borderId="0" xfId="0" applyFont="1" applyAlignment="1">
      <alignment horizontal="right" vertical="top"/>
    </xf>
    <xf numFmtId="4" fontId="12" fillId="0" borderId="0" xfId="0" applyNumberFormat="1" applyFont="1" applyAlignment="1">
      <alignment horizontal="right" vertical="top"/>
    </xf>
    <xf numFmtId="165" fontId="12" fillId="0" borderId="0" xfId="0" applyNumberFormat="1" applyFont="1" applyAlignment="1">
      <alignment horizontal="right" vertical="top"/>
    </xf>
    <xf numFmtId="165" fontId="12" fillId="0" borderId="0" xfId="0" applyNumberFormat="1" applyFont="1"/>
    <xf numFmtId="0" fontId="12" fillId="7" borderId="0" xfId="0" applyFont="1" applyFill="1"/>
    <xf numFmtId="0" fontId="0" fillId="0" borderId="0" xfId="0" applyAlignment="1">
      <alignment horizontal="left"/>
    </xf>
    <xf numFmtId="0" fontId="13" fillId="3" borderId="0" xfId="0" applyFont="1" applyFill="1" applyAlignment="1">
      <alignment horizontal="center"/>
    </xf>
    <xf numFmtId="0" fontId="11" fillId="0" borderId="0" xfId="0" applyFont="1" applyAlignment="1">
      <alignment horizontal="center"/>
    </xf>
    <xf numFmtId="0" fontId="0" fillId="0" borderId="0" xfId="0"/>
  </cellXfs>
  <cellStyles count="16">
    <cellStyle name="Body: normal cell" xfId="6" xr:uid="{00000000-0005-0000-0000-000000000000}"/>
    <cellStyle name="Body: normal cell 2" xfId="12" xr:uid="{00000000-0005-0000-0000-000001000000}"/>
    <cellStyle name="Comma 2" xfId="1" xr:uid="{00000000-0005-0000-0000-000002000000}"/>
    <cellStyle name="Font: Calibri, 9pt regular" xfId="3" xr:uid="{00000000-0005-0000-0000-000003000000}"/>
    <cellStyle name="Font: Calibri, 9pt regular 2" xfId="14" xr:uid="{00000000-0005-0000-0000-000004000000}"/>
    <cellStyle name="Footnotes: top row" xfId="7" xr:uid="{00000000-0005-0000-0000-000005000000}"/>
    <cellStyle name="Footnotes: top row 2" xfId="10" xr:uid="{00000000-0005-0000-0000-000006000000}"/>
    <cellStyle name="Header: bottom row" xfId="4" xr:uid="{00000000-0005-0000-0000-000007000000}"/>
    <cellStyle name="Header: bottom row 2" xfId="13" xr:uid="{00000000-0005-0000-0000-000008000000}"/>
    <cellStyle name="Hyperlink" xfId="8" builtinId="8"/>
    <cellStyle name="Normal" xfId="0" builtinId="0"/>
    <cellStyle name="Normal 2" xfId="9" xr:uid="{00000000-0005-0000-0000-000009000000}"/>
    <cellStyle name="Parent row" xfId="5" xr:uid="{00000000-0005-0000-0000-00000A000000}"/>
    <cellStyle name="Parent row 2" xfId="11" xr:uid="{00000000-0005-0000-0000-00000B000000}"/>
    <cellStyle name="Table title" xfId="2" xr:uid="{00000000-0005-0000-0000-00000C000000}"/>
    <cellStyle name="Table title 2" xfId="15" xr:uid="{00000000-0005-0000-0000-00000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21</xdr:col>
      <xdr:colOff>643867</xdr:colOff>
      <xdr:row>30</xdr:row>
      <xdr:rowOff>165653</xdr:rowOff>
    </xdr:from>
    <xdr:to>
      <xdr:col>23</xdr:col>
      <xdr:colOff>552764</xdr:colOff>
      <xdr:row>38</xdr:row>
      <xdr:rowOff>167185</xdr:rowOff>
    </xdr:to>
    <xdr:pic>
      <xdr:nvPicPr>
        <xdr:cNvPr id="3" name="图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18487367" y="5760003"/>
          <a:ext cx="1229697" cy="1303407"/>
        </a:xfrm>
        <a:prstGeom prst="rect">
          <a:avLst/>
        </a:prstGeom>
      </xdr:spPr>
    </xdr:pic>
    <xdr:clientData/>
  </xdr:twoCellAnchor>
  <xdr:twoCellAnchor editAs="oneCell">
    <xdr:from>
      <xdr:col>12</xdr:col>
      <xdr:colOff>136645</xdr:colOff>
      <xdr:row>114</xdr:row>
      <xdr:rowOff>32152</xdr:rowOff>
    </xdr:from>
    <xdr:to>
      <xdr:col>22</xdr:col>
      <xdr:colOff>162241</xdr:colOff>
      <xdr:row>124</xdr:row>
      <xdr:rowOff>163988</xdr:rowOff>
    </xdr:to>
    <xdr:pic>
      <xdr:nvPicPr>
        <xdr:cNvPr id="4" name="图片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tretch>
          <a:fillRect/>
        </a:stretch>
      </xdr:blipFill>
      <xdr:spPr>
        <a:xfrm>
          <a:off x="12036545" y="20714102"/>
          <a:ext cx="6629596" cy="1909835"/>
        </a:xfrm>
        <a:prstGeom prst="rect">
          <a:avLst/>
        </a:prstGeom>
      </xdr:spPr>
    </xdr:pic>
    <xdr:clientData/>
  </xdr:twoCellAnchor>
  <xdr:twoCellAnchor editAs="oneCell">
    <xdr:from>
      <xdr:col>1</xdr:col>
      <xdr:colOff>337595</xdr:colOff>
      <xdr:row>186</xdr:row>
      <xdr:rowOff>80380</xdr:rowOff>
    </xdr:from>
    <xdr:to>
      <xdr:col>6</xdr:col>
      <xdr:colOff>211848</xdr:colOff>
      <xdr:row>216</xdr:row>
      <xdr:rowOff>9253</xdr:rowOff>
    </xdr:to>
    <xdr:pic>
      <xdr:nvPicPr>
        <xdr:cNvPr id="5" name="图片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3"/>
        <a:stretch>
          <a:fillRect/>
        </a:stretch>
      </xdr:blipFill>
      <xdr:spPr>
        <a:xfrm>
          <a:off x="1175795" y="31963730"/>
          <a:ext cx="7500603" cy="5262873"/>
        </a:xfrm>
        <a:prstGeom prst="rect">
          <a:avLst/>
        </a:prstGeom>
      </xdr:spPr>
    </xdr:pic>
    <xdr:clientData/>
  </xdr:twoCellAnchor>
  <xdr:twoCellAnchor editAs="oneCell">
    <xdr:from>
      <xdr:col>11</xdr:col>
      <xdr:colOff>278969</xdr:colOff>
      <xdr:row>186</xdr:row>
      <xdr:rowOff>63169</xdr:rowOff>
    </xdr:from>
    <xdr:to>
      <xdr:col>21</xdr:col>
      <xdr:colOff>578519</xdr:colOff>
      <xdr:row>216</xdr:row>
      <xdr:rowOff>193</xdr:rowOff>
    </xdr:to>
    <xdr:pic>
      <xdr:nvPicPr>
        <xdr:cNvPr id="6" name="图片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4"/>
        <a:stretch>
          <a:fillRect/>
        </a:stretch>
      </xdr:blipFill>
      <xdr:spPr>
        <a:xfrm>
          <a:off x="11518469" y="31946519"/>
          <a:ext cx="6963875" cy="5271024"/>
        </a:xfrm>
        <a:prstGeom prst="rect">
          <a:avLst/>
        </a:prstGeom>
      </xdr:spPr>
    </xdr:pic>
    <xdr:clientData/>
  </xdr:twoCellAnchor>
  <xdr:twoCellAnchor editAs="oneCell">
    <xdr:from>
      <xdr:col>9</xdr:col>
      <xdr:colOff>621195</xdr:colOff>
      <xdr:row>155</xdr:row>
      <xdr:rowOff>62118</xdr:rowOff>
    </xdr:from>
    <xdr:to>
      <xdr:col>15</xdr:col>
      <xdr:colOff>191156</xdr:colOff>
      <xdr:row>183</xdr:row>
      <xdr:rowOff>138042</xdr:rowOff>
    </xdr:to>
    <xdr:pic>
      <xdr:nvPicPr>
        <xdr:cNvPr id="7" name="图片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5"/>
        <a:stretch>
          <a:fillRect/>
        </a:stretch>
      </xdr:blipFill>
      <xdr:spPr>
        <a:xfrm>
          <a:off x="10539895" y="26433668"/>
          <a:ext cx="3532361" cy="5054324"/>
        </a:xfrm>
        <a:prstGeom prst="rect">
          <a:avLst/>
        </a:prstGeom>
      </xdr:spPr>
    </xdr:pic>
    <xdr:clientData/>
  </xdr:twoCellAnchor>
  <xdr:twoCellAnchor editAs="oneCell">
    <xdr:from>
      <xdr:col>15</xdr:col>
      <xdr:colOff>586685</xdr:colOff>
      <xdr:row>154</xdr:row>
      <xdr:rowOff>96631</xdr:rowOff>
    </xdr:from>
    <xdr:to>
      <xdr:col>22</xdr:col>
      <xdr:colOff>234138</xdr:colOff>
      <xdr:row>172</xdr:row>
      <xdr:rowOff>47367</xdr:rowOff>
    </xdr:to>
    <xdr:pic>
      <xdr:nvPicPr>
        <xdr:cNvPr id="8" name="图片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6"/>
        <a:stretch>
          <a:fillRect/>
        </a:stretch>
      </xdr:blipFill>
      <xdr:spPr>
        <a:xfrm>
          <a:off x="14467785" y="26290381"/>
          <a:ext cx="4270253" cy="3151135"/>
        </a:xfrm>
        <a:prstGeom prst="rect">
          <a:avLst/>
        </a:prstGeom>
      </xdr:spPr>
    </xdr:pic>
    <xdr:clientData/>
  </xdr:twoCellAnchor>
  <xdr:twoCellAnchor editAs="oneCell">
    <xdr:from>
      <xdr:col>1</xdr:col>
      <xdr:colOff>118284</xdr:colOff>
      <xdr:row>155</xdr:row>
      <xdr:rowOff>99609</xdr:rowOff>
    </xdr:from>
    <xdr:to>
      <xdr:col>4</xdr:col>
      <xdr:colOff>1237195</xdr:colOff>
      <xdr:row>174</xdr:row>
      <xdr:rowOff>136031</xdr:rowOff>
    </xdr:to>
    <xdr:pic>
      <xdr:nvPicPr>
        <xdr:cNvPr id="9" name="图片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7"/>
        <a:stretch>
          <a:fillRect/>
        </a:stretch>
      </xdr:blipFill>
      <xdr:spPr>
        <a:xfrm>
          <a:off x="956484" y="26471159"/>
          <a:ext cx="6440211" cy="3414622"/>
        </a:xfrm>
        <a:prstGeom prst="rect">
          <a:avLst/>
        </a:prstGeom>
      </xdr:spPr>
    </xdr:pic>
    <xdr:clientData/>
  </xdr:twoCellAnchor>
  <xdr:twoCellAnchor editAs="oneCell">
    <xdr:from>
      <xdr:col>1</xdr:col>
      <xdr:colOff>0</xdr:colOff>
      <xdr:row>130</xdr:row>
      <xdr:rowOff>0</xdr:rowOff>
    </xdr:from>
    <xdr:to>
      <xdr:col>5</xdr:col>
      <xdr:colOff>371475</xdr:colOff>
      <xdr:row>151</xdr:row>
      <xdr:rowOff>114300</xdr:rowOff>
    </xdr:to>
    <xdr:pic>
      <xdr:nvPicPr>
        <xdr:cNvPr id="10" name="Picture 9">
          <a:extLst>
            <a:ext uri="{FF2B5EF4-FFF2-40B4-BE49-F238E27FC236}">
              <a16:creationId xmlns:a16="http://schemas.microsoft.com/office/drawing/2014/main" id="{3C90D323-3D61-F36F-2463-872DD60E6E57}"/>
            </a:ext>
            <a:ext uri="{147F2762-F138-4A5C-976F-8EAC2B608ADB}">
              <a16:predDERef xmlns:a16="http://schemas.microsoft.com/office/drawing/2014/main" pred="{00000000-0008-0000-0100-000009000000}"/>
            </a:ext>
          </a:extLst>
        </xdr:cNvPr>
        <xdr:cNvPicPr>
          <a:picLocks noChangeAspect="1"/>
        </xdr:cNvPicPr>
      </xdr:nvPicPr>
      <xdr:blipFill>
        <a:blip xmlns:r="http://schemas.openxmlformats.org/officeDocument/2006/relationships" r:embed="rId8"/>
        <a:stretch>
          <a:fillRect/>
        </a:stretch>
      </xdr:blipFill>
      <xdr:spPr>
        <a:xfrm>
          <a:off x="800100" y="23688675"/>
          <a:ext cx="6638925" cy="4114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34</xdr:row>
      <xdr:rowOff>0</xdr:rowOff>
    </xdr:from>
    <xdr:ext cx="4650052" cy="1465085"/>
    <xdr:pic>
      <xdr:nvPicPr>
        <xdr:cNvPr id="4" name="图片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660400" y="5689600"/>
          <a:ext cx="4650052" cy="1465085"/>
        </a:xfrm>
        <a:prstGeom prst="rect">
          <a:avLst/>
        </a:prstGeom>
      </xdr:spPr>
    </xdr:pic>
    <xdr:clientData/>
  </xdr:oneCellAnchor>
  <xdr:oneCellAnchor>
    <xdr:from>
      <xdr:col>1</xdr:col>
      <xdr:colOff>19841</xdr:colOff>
      <xdr:row>42</xdr:row>
      <xdr:rowOff>135437</xdr:rowOff>
    </xdr:from>
    <xdr:ext cx="4696355" cy="3077145"/>
    <xdr:pic>
      <xdr:nvPicPr>
        <xdr:cNvPr id="5" name="图片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a:stretch>
          <a:fillRect/>
        </a:stretch>
      </xdr:blipFill>
      <xdr:spPr>
        <a:xfrm>
          <a:off x="680241" y="7247437"/>
          <a:ext cx="4696355" cy="307714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wingtsang\Desktop\eps-us-3.4.7%20working_0118-18-26%202\eps-us-3.4.7%20HK%20working\InputData\elec\BCRbQ\BAU%20Cap%20Retirements%20before%20Quantization_Working_backup.xlsx" TargetMode="External"/><Relationship Id="rId1" Type="http://schemas.openxmlformats.org/officeDocument/2006/relationships/externalLinkPath" Target="BAU%20Cap%20Retirements%20before%20Quantization_Working_backu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out"/>
      <sheetName val="CLP Assets"/>
      <sheetName val="HKE Asset"/>
      <sheetName val="Natural gas&amp;Petroleum&amp;Coal"/>
      <sheetName val="BCR"/>
      <sheetName val="Wind"/>
      <sheetName val="Hydro"/>
      <sheetName val="Nuclear"/>
      <sheetName val="Geothermal"/>
      <sheetName val="Biomass"/>
      <sheetName val="Solar thermal "/>
      <sheetName val="Solar pv"/>
    </sheetNames>
    <sheetDataSet>
      <sheetData sheetId="0"/>
      <sheetData sheetId="1"/>
      <sheetData sheetId="2"/>
      <sheetData sheetId="3">
        <row r="1">
          <cell r="A1" t="str">
            <v>Year</v>
          </cell>
          <cell r="B1" t="str">
            <v>New Capacity (MW)</v>
          </cell>
          <cell r="D1"/>
        </row>
        <row r="2">
          <cell r="A2"/>
          <cell r="B2" t="str">
            <v>Natural Gas</v>
          </cell>
          <cell r="D2" t="str">
            <v>Petroleum</v>
          </cell>
          <cell r="J2">
            <v>40</v>
          </cell>
        </row>
        <row r="3">
          <cell r="A3">
            <v>1978</v>
          </cell>
          <cell r="J3">
            <v>40</v>
          </cell>
        </row>
        <row r="4">
          <cell r="A4">
            <v>1979</v>
          </cell>
        </row>
        <row r="5">
          <cell r="A5">
            <v>1980</v>
          </cell>
        </row>
        <row r="6">
          <cell r="A6">
            <v>1981</v>
          </cell>
          <cell r="B6"/>
        </row>
        <row r="7">
          <cell r="A7">
            <v>1982</v>
          </cell>
          <cell r="B7"/>
        </row>
        <row r="8">
          <cell r="A8">
            <v>1983</v>
          </cell>
          <cell r="B8"/>
        </row>
        <row r="9">
          <cell r="A9">
            <v>1984</v>
          </cell>
          <cell r="B9"/>
          <cell r="D9"/>
        </row>
        <row r="10">
          <cell r="A10">
            <v>1985</v>
          </cell>
          <cell r="B10"/>
          <cell r="D10"/>
        </row>
        <row r="11">
          <cell r="A11">
            <v>1986</v>
          </cell>
          <cell r="B11"/>
          <cell r="D11"/>
        </row>
        <row r="12">
          <cell r="A12">
            <v>1987</v>
          </cell>
          <cell r="B12"/>
          <cell r="D12"/>
        </row>
        <row r="13">
          <cell r="A13">
            <v>1988</v>
          </cell>
          <cell r="B13"/>
          <cell r="D13"/>
        </row>
        <row r="14">
          <cell r="A14">
            <v>1989</v>
          </cell>
          <cell r="B14"/>
          <cell r="D14"/>
        </row>
        <row r="15">
          <cell r="A15">
            <v>1990</v>
          </cell>
          <cell r="B15"/>
          <cell r="D15"/>
        </row>
        <row r="16">
          <cell r="A16">
            <v>1991</v>
          </cell>
          <cell r="B16"/>
        </row>
        <row r="17">
          <cell r="A17">
            <v>1992</v>
          </cell>
          <cell r="D17">
            <v>300</v>
          </cell>
        </row>
        <row r="18">
          <cell r="A18">
            <v>1993</v>
          </cell>
          <cell r="B18"/>
          <cell r="D18"/>
        </row>
        <row r="19">
          <cell r="A19">
            <v>1994</v>
          </cell>
          <cell r="B19"/>
          <cell r="D19"/>
        </row>
        <row r="20">
          <cell r="A20">
            <v>1995</v>
          </cell>
          <cell r="D20"/>
        </row>
        <row r="21">
          <cell r="A21">
            <v>1996</v>
          </cell>
          <cell r="B21">
            <v>406.25</v>
          </cell>
          <cell r="D21"/>
        </row>
        <row r="22">
          <cell r="A22">
            <v>1997</v>
          </cell>
          <cell r="B22"/>
          <cell r="D22"/>
        </row>
        <row r="23">
          <cell r="A23">
            <v>1998</v>
          </cell>
          <cell r="B23">
            <v>406.25</v>
          </cell>
          <cell r="D23"/>
        </row>
        <row r="24">
          <cell r="A24">
            <v>1999</v>
          </cell>
          <cell r="B24">
            <v>406.25</v>
          </cell>
          <cell r="D24"/>
        </row>
        <row r="25">
          <cell r="A25">
            <v>2000</v>
          </cell>
          <cell r="B25">
            <v>406.25</v>
          </cell>
          <cell r="D25"/>
        </row>
        <row r="26">
          <cell r="A26">
            <v>2001</v>
          </cell>
          <cell r="B26">
            <v>406.25</v>
          </cell>
          <cell r="D26"/>
        </row>
        <row r="27">
          <cell r="A27">
            <v>2002</v>
          </cell>
          <cell r="B27"/>
          <cell r="D27"/>
        </row>
        <row r="28">
          <cell r="A28">
            <v>2003</v>
          </cell>
          <cell r="B28">
            <v>406.25</v>
          </cell>
          <cell r="D28"/>
        </row>
        <row r="29">
          <cell r="A29">
            <v>2004</v>
          </cell>
          <cell r="B29">
            <v>406.25</v>
          </cell>
          <cell r="D29"/>
        </row>
        <row r="30">
          <cell r="A30">
            <v>2005</v>
          </cell>
          <cell r="B30"/>
          <cell r="D30"/>
        </row>
        <row r="31">
          <cell r="A31">
            <v>2006</v>
          </cell>
          <cell r="B31">
            <v>1501.25</v>
          </cell>
          <cell r="D31"/>
        </row>
        <row r="32">
          <cell r="A32">
            <v>2007</v>
          </cell>
          <cell r="B32"/>
          <cell r="D32"/>
        </row>
        <row r="33">
          <cell r="A33">
            <v>2008</v>
          </cell>
          <cell r="B33"/>
          <cell r="D33"/>
        </row>
        <row r="34">
          <cell r="A34">
            <v>2009</v>
          </cell>
          <cell r="B34"/>
          <cell r="D34"/>
        </row>
        <row r="35">
          <cell r="A35">
            <v>2010</v>
          </cell>
          <cell r="B35" t="e">
            <v>#REF!</v>
          </cell>
          <cell r="D35"/>
        </row>
        <row r="36">
          <cell r="A36">
            <v>2011</v>
          </cell>
          <cell r="B36"/>
          <cell r="D36"/>
        </row>
        <row r="37">
          <cell r="A37">
            <v>2012</v>
          </cell>
          <cell r="B37"/>
          <cell r="D37"/>
        </row>
        <row r="38">
          <cell r="A38">
            <v>2013</v>
          </cell>
        </row>
        <row r="39">
          <cell r="A39">
            <v>2014</v>
          </cell>
          <cell r="D39"/>
        </row>
        <row r="40">
          <cell r="A40">
            <v>2015</v>
          </cell>
          <cell r="D40"/>
        </row>
        <row r="41">
          <cell r="A41">
            <v>2016</v>
          </cell>
          <cell r="D41"/>
        </row>
        <row r="42">
          <cell r="A42">
            <v>2017</v>
          </cell>
          <cell r="B42"/>
          <cell r="D42"/>
        </row>
        <row r="43">
          <cell r="A43">
            <v>2018</v>
          </cell>
          <cell r="B43"/>
          <cell r="D43"/>
        </row>
        <row r="44">
          <cell r="A44">
            <v>2019</v>
          </cell>
          <cell r="B44"/>
          <cell r="D44"/>
        </row>
        <row r="45">
          <cell r="A45">
            <v>2020</v>
          </cell>
          <cell r="B45">
            <v>4345</v>
          </cell>
          <cell r="D45"/>
        </row>
      </sheetData>
      <sheetData sheetId="4">
        <row r="1">
          <cell r="B1">
            <v>2016</v>
          </cell>
          <cell r="C1">
            <v>2017</v>
          </cell>
          <cell r="D1">
            <v>2018</v>
          </cell>
          <cell r="E1">
            <v>2019</v>
          </cell>
          <cell r="F1">
            <v>2020</v>
          </cell>
          <cell r="G1">
            <v>2021</v>
          </cell>
          <cell r="H1">
            <v>2022</v>
          </cell>
          <cell r="I1">
            <v>2023</v>
          </cell>
          <cell r="J1">
            <v>2024</v>
          </cell>
          <cell r="K1">
            <v>2025</v>
          </cell>
          <cell r="L1">
            <v>2026</v>
          </cell>
          <cell r="M1">
            <v>2027</v>
          </cell>
          <cell r="N1">
            <v>2028</v>
          </cell>
          <cell r="O1">
            <v>2029</v>
          </cell>
          <cell r="P1">
            <v>2030</v>
          </cell>
          <cell r="Q1">
            <v>2031</v>
          </cell>
          <cell r="R1">
            <v>2032</v>
          </cell>
          <cell r="S1">
            <v>2033</v>
          </cell>
          <cell r="T1">
            <v>2034</v>
          </cell>
          <cell r="U1">
            <v>2035</v>
          </cell>
          <cell r="V1">
            <v>2036</v>
          </cell>
          <cell r="W1">
            <v>2037</v>
          </cell>
          <cell r="X1">
            <v>2038</v>
          </cell>
          <cell r="Y1">
            <v>2039</v>
          </cell>
          <cell r="Z1">
            <v>2040</v>
          </cell>
          <cell r="AA1">
            <v>2041</v>
          </cell>
          <cell r="AB1">
            <v>2042</v>
          </cell>
          <cell r="AC1">
            <v>2043</v>
          </cell>
          <cell r="AD1">
            <v>2044</v>
          </cell>
          <cell r="AE1">
            <v>2045</v>
          </cell>
          <cell r="AF1">
            <v>2046</v>
          </cell>
          <cell r="AG1">
            <v>2047</v>
          </cell>
          <cell r="AH1">
            <v>2048</v>
          </cell>
          <cell r="AI1">
            <v>2049</v>
          </cell>
          <cell r="AJ1">
            <v>2050</v>
          </cell>
        </row>
      </sheetData>
      <sheetData sheetId="5">
        <row r="2">
          <cell r="V2">
            <v>0.8</v>
          </cell>
        </row>
        <row r="3">
          <cell r="M3">
            <v>150</v>
          </cell>
        </row>
      </sheetData>
      <sheetData sheetId="6"/>
      <sheetData sheetId="7">
        <row r="1">
          <cell r="C1" t="str">
            <v>Nameplate Capacity (MW)</v>
          </cell>
          <cell r="G1" t="str">
            <v>Designed Retirement Year</v>
          </cell>
        </row>
        <row r="2">
          <cell r="C2">
            <v>1577</v>
          </cell>
        </row>
      </sheetData>
      <sheetData sheetId="8">
        <row r="2">
          <cell r="C2">
            <v>0</v>
          </cell>
          <cell r="F2" t="str">
            <v>NA</v>
          </cell>
        </row>
        <row r="3">
          <cell r="C3">
            <v>0</v>
          </cell>
          <cell r="F3">
            <v>2019</v>
          </cell>
        </row>
        <row r="4">
          <cell r="C4">
            <v>0</v>
          </cell>
          <cell r="F4">
            <v>2020</v>
          </cell>
        </row>
        <row r="5">
          <cell r="C5">
            <v>0</v>
          </cell>
          <cell r="F5">
            <v>2023</v>
          </cell>
        </row>
        <row r="6">
          <cell r="C6">
            <v>0</v>
          </cell>
          <cell r="F6">
            <v>2024</v>
          </cell>
        </row>
        <row r="7">
          <cell r="C7">
            <v>0</v>
          </cell>
          <cell r="F7">
            <v>2026</v>
          </cell>
        </row>
        <row r="8">
          <cell r="C8">
            <v>0</v>
          </cell>
          <cell r="F8">
            <v>2027</v>
          </cell>
        </row>
        <row r="9">
          <cell r="C9">
            <v>0</v>
          </cell>
          <cell r="F9">
            <v>2029</v>
          </cell>
        </row>
        <row r="10">
          <cell r="C10">
            <v>0</v>
          </cell>
          <cell r="F10">
            <v>2029</v>
          </cell>
        </row>
        <row r="11">
          <cell r="C11">
            <v>0</v>
          </cell>
          <cell r="F11" t="str">
            <v>NA</v>
          </cell>
        </row>
        <row r="12">
          <cell r="C12">
            <v>0</v>
          </cell>
          <cell r="F12" t="str">
            <v>NA</v>
          </cell>
        </row>
        <row r="13">
          <cell r="C13">
            <v>0</v>
          </cell>
          <cell r="F13">
            <v>2022</v>
          </cell>
        </row>
        <row r="14">
          <cell r="C14">
            <v>0</v>
          </cell>
          <cell r="F14">
            <v>2047</v>
          </cell>
        </row>
        <row r="15">
          <cell r="C15">
            <v>0</v>
          </cell>
          <cell r="F15">
            <v>2049</v>
          </cell>
        </row>
        <row r="16">
          <cell r="C16">
            <v>0</v>
          </cell>
          <cell r="F16">
            <v>2049</v>
          </cell>
        </row>
      </sheetData>
      <sheetData sheetId="9">
        <row r="1">
          <cell r="F1">
            <v>30</v>
          </cell>
        </row>
        <row r="3">
          <cell r="A3">
            <v>2006</v>
          </cell>
          <cell r="C3">
            <v>0</v>
          </cell>
        </row>
        <row r="4">
          <cell r="A4">
            <v>2007</v>
          </cell>
          <cell r="C4">
            <v>0</v>
          </cell>
        </row>
        <row r="5">
          <cell r="A5">
            <v>2008</v>
          </cell>
          <cell r="C5">
            <v>0</v>
          </cell>
        </row>
        <row r="6">
          <cell r="A6">
            <v>2009</v>
          </cell>
          <cell r="C6">
            <v>0</v>
          </cell>
        </row>
        <row r="7">
          <cell r="A7">
            <v>2010</v>
          </cell>
          <cell r="C7">
            <v>0</v>
          </cell>
        </row>
        <row r="8">
          <cell r="A8">
            <v>2011</v>
          </cell>
          <cell r="C8">
            <v>0</v>
          </cell>
        </row>
        <row r="9">
          <cell r="A9">
            <v>2012</v>
          </cell>
          <cell r="C9">
            <v>0</v>
          </cell>
        </row>
        <row r="10">
          <cell r="A10">
            <v>2013</v>
          </cell>
          <cell r="C10">
            <v>0</v>
          </cell>
        </row>
        <row r="11">
          <cell r="A11">
            <v>2014</v>
          </cell>
          <cell r="C11">
            <v>0</v>
          </cell>
        </row>
        <row r="12">
          <cell r="A12">
            <v>2015</v>
          </cell>
          <cell r="C12">
            <v>0</v>
          </cell>
        </row>
        <row r="13">
          <cell r="A13">
            <v>2016</v>
          </cell>
          <cell r="C13">
            <v>0</v>
          </cell>
        </row>
        <row r="14">
          <cell r="A14">
            <v>2017</v>
          </cell>
          <cell r="C14">
            <v>0</v>
          </cell>
        </row>
        <row r="15">
          <cell r="A15">
            <v>2018</v>
          </cell>
          <cell r="C15">
            <v>0</v>
          </cell>
        </row>
        <row r="16">
          <cell r="A16">
            <v>2019</v>
          </cell>
          <cell r="C16">
            <v>10</v>
          </cell>
        </row>
        <row r="17">
          <cell r="A17">
            <v>2020</v>
          </cell>
          <cell r="C17">
            <v>0</v>
          </cell>
        </row>
      </sheetData>
      <sheetData sheetId="10">
        <row r="1">
          <cell r="I1">
            <v>30</v>
          </cell>
        </row>
        <row r="2">
          <cell r="B2">
            <v>0</v>
          </cell>
        </row>
        <row r="3">
          <cell r="B3">
            <v>0</v>
          </cell>
        </row>
        <row r="4">
          <cell r="B4">
            <v>0</v>
          </cell>
          <cell r="E4">
            <v>2012</v>
          </cell>
        </row>
        <row r="5">
          <cell r="B5">
            <v>0</v>
          </cell>
        </row>
        <row r="6">
          <cell r="B6">
            <v>0</v>
          </cell>
          <cell r="E6">
            <v>2019</v>
          </cell>
        </row>
        <row r="7">
          <cell r="B7">
            <v>0</v>
          </cell>
        </row>
        <row r="8">
          <cell r="B8">
            <v>0</v>
          </cell>
        </row>
        <row r="9">
          <cell r="B9">
            <v>0</v>
          </cell>
        </row>
        <row r="10">
          <cell r="B10">
            <v>0</v>
          </cell>
          <cell r="E10">
            <v>2019</v>
          </cell>
        </row>
        <row r="11">
          <cell r="B11">
            <v>0</v>
          </cell>
        </row>
        <row r="12">
          <cell r="B12">
            <v>0</v>
          </cell>
          <cell r="E12">
            <v>2019</v>
          </cell>
        </row>
        <row r="13">
          <cell r="B13">
            <v>0</v>
          </cell>
        </row>
        <row r="14">
          <cell r="B14">
            <v>0</v>
          </cell>
          <cell r="E14">
            <v>2019</v>
          </cell>
        </row>
        <row r="15">
          <cell r="B15">
            <v>0</v>
          </cell>
          <cell r="E15">
            <v>2016</v>
          </cell>
        </row>
        <row r="16">
          <cell r="B16">
            <v>0</v>
          </cell>
        </row>
        <row r="17">
          <cell r="B17">
            <v>0</v>
          </cell>
        </row>
        <row r="18">
          <cell r="B18">
            <v>0</v>
          </cell>
        </row>
        <row r="19">
          <cell r="B19">
            <v>0</v>
          </cell>
          <cell r="E19">
            <v>2019</v>
          </cell>
        </row>
        <row r="20">
          <cell r="B20">
            <v>0</v>
          </cell>
        </row>
        <row r="21">
          <cell r="B21">
            <v>0</v>
          </cell>
        </row>
        <row r="22">
          <cell r="B22">
            <v>0</v>
          </cell>
          <cell r="E22">
            <v>2019</v>
          </cell>
        </row>
        <row r="23">
          <cell r="B23">
            <v>0</v>
          </cell>
        </row>
        <row r="24">
          <cell r="B24">
            <v>0</v>
          </cell>
          <cell r="E24">
            <v>2019</v>
          </cell>
        </row>
      </sheetData>
      <sheetData sheetId="11">
        <row r="1">
          <cell r="A1" t="str">
            <v>Year</v>
          </cell>
          <cell r="B1" t="str">
            <v>New Capacity (MW)</v>
          </cell>
          <cell r="G1">
            <v>20</v>
          </cell>
        </row>
        <row r="2">
          <cell r="A2">
            <v>1996</v>
          </cell>
        </row>
        <row r="3">
          <cell r="A3">
            <v>1997</v>
          </cell>
        </row>
        <row r="4">
          <cell r="A4">
            <v>1998</v>
          </cell>
        </row>
        <row r="5">
          <cell r="A5">
            <v>1999</v>
          </cell>
        </row>
        <row r="6">
          <cell r="A6">
            <v>2000</v>
          </cell>
        </row>
        <row r="7">
          <cell r="A7">
            <v>2001</v>
          </cell>
        </row>
        <row r="8">
          <cell r="A8">
            <v>2002</v>
          </cell>
        </row>
        <row r="9">
          <cell r="A9">
            <v>2003</v>
          </cell>
        </row>
        <row r="10">
          <cell r="A10">
            <v>2004</v>
          </cell>
        </row>
        <row r="11">
          <cell r="A11">
            <v>2005</v>
          </cell>
        </row>
        <row r="12">
          <cell r="A12">
            <v>2006</v>
          </cell>
          <cell r="B12">
            <v>1.1000000000000001</v>
          </cell>
        </row>
        <row r="13">
          <cell r="A13">
            <v>2007</v>
          </cell>
        </row>
        <row r="14">
          <cell r="A14">
            <v>2008</v>
          </cell>
          <cell r="B14">
            <v>3.8</v>
          </cell>
        </row>
        <row r="15">
          <cell r="A15">
            <v>2009</v>
          </cell>
        </row>
        <row r="16">
          <cell r="A16">
            <v>2010</v>
          </cell>
        </row>
        <row r="17">
          <cell r="A17">
            <v>2011</v>
          </cell>
        </row>
        <row r="18">
          <cell r="A18">
            <v>2012</v>
          </cell>
        </row>
        <row r="19">
          <cell r="A19">
            <v>2013</v>
          </cell>
          <cell r="B19">
            <v>0.1</v>
          </cell>
        </row>
        <row r="20">
          <cell r="A20">
            <v>2014</v>
          </cell>
        </row>
        <row r="21">
          <cell r="A21">
            <v>2015</v>
          </cell>
        </row>
        <row r="22">
          <cell r="A22">
            <v>2016</v>
          </cell>
          <cell r="B22">
            <v>18.3</v>
          </cell>
        </row>
        <row r="23">
          <cell r="A23">
            <v>2017</v>
          </cell>
          <cell r="B23">
            <v>0.3</v>
          </cell>
        </row>
        <row r="24">
          <cell r="A24">
            <v>2018</v>
          </cell>
          <cell r="B24">
            <v>0.9</v>
          </cell>
        </row>
        <row r="25">
          <cell r="A25">
            <v>2019</v>
          </cell>
        </row>
        <row r="26">
          <cell r="A26">
            <v>2020</v>
          </cell>
        </row>
        <row r="27">
          <cell r="A27">
            <v>2021</v>
          </cell>
        </row>
        <row r="28">
          <cell r="A28">
            <v>2022</v>
          </cell>
        </row>
        <row r="29">
          <cell r="A29">
            <v>2023</v>
          </cell>
          <cell r="B29">
            <v>0.15</v>
          </cell>
        </row>
        <row r="30">
          <cell r="A30">
            <v>2024</v>
          </cell>
        </row>
        <row r="31">
          <cell r="A31">
            <v>2025</v>
          </cell>
        </row>
        <row r="32">
          <cell r="A32">
            <v>2026</v>
          </cell>
        </row>
        <row r="33">
          <cell r="A33">
            <v>2027</v>
          </cell>
        </row>
        <row r="34">
          <cell r="A34">
            <v>2028</v>
          </cell>
        </row>
        <row r="35">
          <cell r="A35">
            <v>2029</v>
          </cell>
        </row>
        <row r="36">
          <cell r="A36">
            <v>2030</v>
          </cell>
        </row>
        <row r="39">
          <cell r="B39" t="str">
            <v>note:</v>
          </cell>
        </row>
        <row r="40">
          <cell r="B40" t="str">
            <v>3.8 added in 2008 is rough summary of this information:</v>
          </cell>
        </row>
        <row r="41">
          <cell r="B41" t="str">
            <v>https://re.emsd.gov.hk/english/solar/solar_ph/solar_ph_ep.html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clpgroup.com/content/dam/clp-group/channels/media/document/embedded_pdfs_en/20211028_D1_Factsheet_en.pdf" TargetMode="External"/><Relationship Id="rId7" Type="http://schemas.openxmlformats.org/officeDocument/2006/relationships/comments" Target="../comments1.xml"/><Relationship Id="rId2" Type="http://schemas.openxmlformats.org/officeDocument/2006/relationships/hyperlink" Target="https://www.clpgroup.com/en/about/our-business/assets-and-services/hong-kong/black-point-power-station.html" TargetMode="External"/><Relationship Id="rId1" Type="http://schemas.openxmlformats.org/officeDocument/2006/relationships/hyperlink" Target="https://www.clpgroup.com/tc/investors-information/quick-facts/operating-information"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hyperlink" Target="https://www.clpgroup.com/content/dam/clp-group/channels/investor/document/3-3-financial-reports/2022/e_2022Annual%20Report.pdf"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hkelectric.com/documents/en/CorporateSocialResponsibility/CorporateSocialResponsibility_CDD/Documents/SR2022E.pdf"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3.bin"/><Relationship Id="rId1" Type="http://schemas.openxmlformats.org/officeDocument/2006/relationships/hyperlink" Target="https://www.info.gov.hk/gia/general/201910/25/P2019102500191.htm?fontSize=1" TargetMode="Externa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hyperlink" Target="https://www.wsd.gov.hk/ecoexpoasia2022/index-e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zoomScale="125" workbookViewId="0">
      <selection activeCell="C11" sqref="C11"/>
    </sheetView>
  </sheetViews>
  <sheetFormatPr defaultColWidth="8.81640625" defaultRowHeight="14.5"/>
  <cols>
    <col min="1" max="1" width="13.81640625" customWidth="1"/>
    <col min="2" max="2" width="55" customWidth="1"/>
    <col min="3" max="3" width="6" customWidth="1"/>
    <col min="4" max="4" width="5.36328125" customWidth="1"/>
    <col min="5" max="5" width="45" customWidth="1"/>
    <col min="8" max="8" width="34.36328125" customWidth="1"/>
  </cols>
  <sheetData>
    <row r="1" spans="1:8">
      <c r="A1" s="1" t="s">
        <v>0</v>
      </c>
    </row>
    <row r="3" spans="1:8">
      <c r="A3" s="1" t="s">
        <v>1</v>
      </c>
      <c r="B3" s="22" t="s">
        <v>2</v>
      </c>
    </row>
    <row r="4" spans="1:8" s="24" customFormat="1">
      <c r="B4" s="24" t="s">
        <v>3</v>
      </c>
      <c r="E4" s="28"/>
    </row>
    <row r="5" spans="1:8" s="24" customFormat="1">
      <c r="B5" s="24" t="s">
        <v>4</v>
      </c>
      <c r="E5" s="28"/>
      <c r="H5" s="25"/>
    </row>
    <row r="6" spans="1:8" s="24" customFormat="1" ht="15" customHeight="1">
      <c r="B6" s="24" t="s">
        <v>5</v>
      </c>
      <c r="E6" s="29"/>
    </row>
    <row r="7" spans="1:8" s="24" customFormat="1">
      <c r="B7" s="24" t="s">
        <v>6</v>
      </c>
      <c r="E7" s="29"/>
      <c r="H7" s="26"/>
    </row>
    <row r="8" spans="1:8">
      <c r="B8" s="27"/>
      <c r="C8" s="24"/>
      <c r="D8" s="24"/>
      <c r="E8" s="24"/>
    </row>
    <row r="9" spans="1:8">
      <c r="A9" s="1" t="s">
        <v>7</v>
      </c>
      <c r="B9" s="27"/>
      <c r="E9" s="24"/>
    </row>
    <row r="10" spans="1:8">
      <c r="A10" t="s">
        <v>8</v>
      </c>
      <c r="B10" s="27"/>
    </row>
    <row r="11" spans="1:8">
      <c r="A11" t="s">
        <v>9</v>
      </c>
      <c r="B11" s="3"/>
    </row>
    <row r="12" spans="1:8">
      <c r="A12" t="s">
        <v>10</v>
      </c>
    </row>
    <row r="13" spans="1:8">
      <c r="A13" t="s">
        <v>11</v>
      </c>
    </row>
    <row r="14" spans="1:8">
      <c r="A14" t="s">
        <v>12</v>
      </c>
    </row>
    <row r="15" spans="1:8">
      <c r="A15" t="s">
        <v>13</v>
      </c>
    </row>
    <row r="17" spans="1:1">
      <c r="A17" t="s">
        <v>14</v>
      </c>
    </row>
    <row r="18" spans="1:1">
      <c r="A18" t="s">
        <v>15</v>
      </c>
    </row>
    <row r="19" spans="1:1">
      <c r="A19" t="s">
        <v>16</v>
      </c>
    </row>
    <row r="21" spans="1:1">
      <c r="A21" s="5" t="s">
        <v>17</v>
      </c>
    </row>
    <row r="23" spans="1:1">
      <c r="A23" s="57" t="s">
        <v>18</v>
      </c>
    </row>
    <row r="24" spans="1:1">
      <c r="A24" t="s">
        <v>19</v>
      </c>
    </row>
    <row r="25" spans="1:1">
      <c r="A25" t="s">
        <v>20</v>
      </c>
    </row>
  </sheetData>
  <phoneticPr fontId="10" type="noConversion"/>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86"/>
  <sheetViews>
    <sheetView zoomScale="130" zoomScaleNormal="130" workbookViewId="0">
      <selection activeCell="B13" sqref="B13"/>
    </sheetView>
  </sheetViews>
  <sheetFormatPr defaultColWidth="8.6328125" defaultRowHeight="14.5"/>
  <cols>
    <col min="1" max="1" width="12" style="5" customWidth="1"/>
    <col min="2" max="2" width="46.1796875" style="5" customWidth="1"/>
    <col min="3" max="3" width="13.36328125" style="5" customWidth="1"/>
    <col min="4" max="4" width="15.36328125" style="5" customWidth="1"/>
    <col min="5" max="5" width="19" style="5" customWidth="1"/>
    <col min="6" max="6" width="13.6328125" style="5" customWidth="1"/>
    <col min="7" max="16384" width="8.6328125" style="5"/>
  </cols>
  <sheetData>
    <row r="1" spans="1:16" ht="21">
      <c r="A1" s="36" t="s">
        <v>21</v>
      </c>
    </row>
    <row r="2" spans="1:16" ht="18.5">
      <c r="A2" s="52" t="s">
        <v>22</v>
      </c>
    </row>
    <row r="3" spans="1:16">
      <c r="A3" s="21" t="s">
        <v>23</v>
      </c>
    </row>
    <row r="4" spans="1:16" ht="14.5" customHeight="1">
      <c r="B4" s="21" t="s">
        <v>24</v>
      </c>
      <c r="C4" s="32" t="s">
        <v>25</v>
      </c>
      <c r="D4" s="21" t="s">
        <v>26</v>
      </c>
      <c r="E4" s="21" t="s">
        <v>27</v>
      </c>
      <c r="F4" s="21" t="s">
        <v>28</v>
      </c>
      <c r="G4" s="21" t="s">
        <v>315</v>
      </c>
      <c r="H4" s="5" t="s">
        <v>316</v>
      </c>
    </row>
    <row r="5" spans="1:16">
      <c r="B5" s="5" t="s">
        <v>29</v>
      </c>
      <c r="C5" s="37">
        <v>4108</v>
      </c>
      <c r="D5" s="5" t="s">
        <v>30</v>
      </c>
      <c r="E5" s="5" t="s">
        <v>31</v>
      </c>
      <c r="F5" s="38" t="s">
        <v>32</v>
      </c>
    </row>
    <row r="6" spans="1:16">
      <c r="B6" s="5" t="s">
        <v>313</v>
      </c>
      <c r="C6" s="37"/>
      <c r="F6" s="38"/>
      <c r="G6" s="5" t="s">
        <v>33</v>
      </c>
      <c r="P6" s="5" t="s">
        <v>34</v>
      </c>
    </row>
    <row r="7" spans="1:16">
      <c r="B7" s="5" t="s">
        <v>314</v>
      </c>
      <c r="C7" s="37"/>
      <c r="F7" s="38"/>
      <c r="G7" s="5" t="s">
        <v>35</v>
      </c>
    </row>
    <row r="8" spans="1:16" ht="14.5" customHeight="1">
      <c r="B8" s="5" t="s">
        <v>36</v>
      </c>
      <c r="C8" s="39">
        <v>3250</v>
      </c>
      <c r="D8" s="5" t="s">
        <v>37</v>
      </c>
      <c r="E8" s="5" t="s">
        <v>38</v>
      </c>
      <c r="F8" s="38" t="s">
        <v>39</v>
      </c>
    </row>
    <row r="9" spans="1:16">
      <c r="B9" s="5" t="s">
        <v>40</v>
      </c>
      <c r="C9" s="37">
        <v>300</v>
      </c>
      <c r="D9" s="5" t="s">
        <v>41</v>
      </c>
      <c r="E9" s="5">
        <v>1992</v>
      </c>
      <c r="F9" s="38" t="s">
        <v>42</v>
      </c>
    </row>
    <row r="10" spans="1:16">
      <c r="B10" s="5" t="s">
        <v>43</v>
      </c>
      <c r="C10" s="37">
        <v>10</v>
      </c>
      <c r="D10" s="5" t="s">
        <v>44</v>
      </c>
      <c r="E10" s="5">
        <v>2019</v>
      </c>
      <c r="F10" s="38" t="s">
        <v>45</v>
      </c>
      <c r="O10" s="5" t="s">
        <v>46</v>
      </c>
    </row>
    <row r="11" spans="1:16">
      <c r="B11" s="5" t="s">
        <v>47</v>
      </c>
      <c r="C11" s="37">
        <f>2*984</f>
        <v>1968</v>
      </c>
      <c r="D11" s="5" t="s">
        <v>48</v>
      </c>
      <c r="E11" s="5">
        <v>1994</v>
      </c>
      <c r="F11" s="38" t="s">
        <v>49</v>
      </c>
    </row>
    <row r="12" spans="1:16">
      <c r="B12" s="5" t="s">
        <v>317</v>
      </c>
      <c r="C12" s="37">
        <v>1577</v>
      </c>
      <c r="E12" s="40"/>
      <c r="F12" s="40"/>
    </row>
    <row r="13" spans="1:16" s="41" customFormat="1" ht="15" customHeight="1">
      <c r="B13" s="41" t="s">
        <v>50</v>
      </c>
      <c r="C13" s="42">
        <v>2400</v>
      </c>
      <c r="D13" s="41" t="s">
        <v>51</v>
      </c>
      <c r="E13" s="41" t="s">
        <v>52</v>
      </c>
      <c r="F13" s="43" t="s">
        <v>53</v>
      </c>
    </row>
    <row r="14" spans="1:16" ht="15" customHeight="1">
      <c r="B14" s="5" t="s">
        <v>54</v>
      </c>
      <c r="C14" s="37">
        <f>SUM(C5:C10)</f>
        <v>7668</v>
      </c>
    </row>
    <row r="15" spans="1:16">
      <c r="B15" s="21" t="s">
        <v>55</v>
      </c>
      <c r="C15" s="7" t="s">
        <v>56</v>
      </c>
      <c r="F15" s="38"/>
      <c r="G15" s="5" t="s">
        <v>57</v>
      </c>
      <c r="H15" s="3" t="s">
        <v>58</v>
      </c>
    </row>
    <row r="16" spans="1:16">
      <c r="B16" s="21"/>
      <c r="C16" s="7"/>
      <c r="F16" s="38"/>
      <c r="H16" s="3" t="s">
        <v>59</v>
      </c>
    </row>
    <row r="17" spans="1:21">
      <c r="A17" s="21" t="s">
        <v>60</v>
      </c>
      <c r="H17" s="5" t="s">
        <v>61</v>
      </c>
    </row>
    <row r="18" spans="1:21">
      <c r="A18" s="21"/>
      <c r="B18" s="21" t="s">
        <v>62</v>
      </c>
      <c r="C18" s="21" t="s">
        <v>63</v>
      </c>
      <c r="D18" s="1">
        <v>2022</v>
      </c>
      <c r="E18" s="21">
        <v>2018</v>
      </c>
    </row>
    <row r="19" spans="1:21">
      <c r="B19" s="5" t="s">
        <v>64</v>
      </c>
      <c r="C19" s="5" t="s">
        <v>65</v>
      </c>
      <c r="D19" s="5">
        <v>34824</v>
      </c>
      <c r="E19" s="5">
        <v>34218</v>
      </c>
    </row>
    <row r="20" spans="1:21">
      <c r="B20" s="5" t="s">
        <v>66</v>
      </c>
      <c r="C20" s="5" t="s">
        <v>67</v>
      </c>
      <c r="D20" s="63">
        <f>3250+4108+300+10+1577</f>
        <v>9245</v>
      </c>
      <c r="E20" s="63">
        <f>2575+4108+300+1377.6</f>
        <v>8360.6</v>
      </c>
      <c r="H20" s="3" t="s">
        <v>68</v>
      </c>
    </row>
    <row r="21" spans="1:21">
      <c r="A21" s="21" t="s">
        <v>69</v>
      </c>
    </row>
    <row r="22" spans="1:21">
      <c r="B22" s="5" t="s">
        <v>70</v>
      </c>
      <c r="C22" s="40">
        <v>1</v>
      </c>
      <c r="D22" s="5" t="s">
        <v>71</v>
      </c>
      <c r="I22" s="5" t="s">
        <v>72</v>
      </c>
    </row>
    <row r="23" spans="1:21">
      <c r="B23" s="5" t="s">
        <v>73</v>
      </c>
      <c r="C23" s="40">
        <v>0.7</v>
      </c>
      <c r="D23" s="5" t="s">
        <v>74</v>
      </c>
      <c r="F23" s="5" t="s">
        <v>75</v>
      </c>
      <c r="I23" s="44" t="s">
        <v>76</v>
      </c>
    </row>
    <row r="24" spans="1:21">
      <c r="B24" s="5" t="s">
        <v>77</v>
      </c>
      <c r="C24" s="40">
        <v>0.4</v>
      </c>
      <c r="D24" s="5" t="s">
        <v>78</v>
      </c>
      <c r="F24" s="5" t="s">
        <v>79</v>
      </c>
    </row>
    <row r="25" spans="1:21">
      <c r="A25" s="21" t="s">
        <v>80</v>
      </c>
      <c r="C25" s="40"/>
    </row>
    <row r="26" spans="1:21">
      <c r="B26" s="5" t="s">
        <v>81</v>
      </c>
      <c r="C26" s="40"/>
    </row>
    <row r="27" spans="1:21">
      <c r="B27" s="5" t="s">
        <v>82</v>
      </c>
      <c r="C27" s="40"/>
    </row>
    <row r="28" spans="1:21">
      <c r="B28" s="5" t="s">
        <v>83</v>
      </c>
      <c r="C28" s="40"/>
    </row>
    <row r="30" spans="1:21" ht="21">
      <c r="A30" s="53" t="s">
        <v>24</v>
      </c>
    </row>
    <row r="31" spans="1:21" ht="15.5">
      <c r="B31" s="45" t="s">
        <v>84</v>
      </c>
      <c r="D31" s="5" t="s">
        <v>134</v>
      </c>
      <c r="G31" s="46" t="s">
        <v>86</v>
      </c>
      <c r="H31" s="46"/>
      <c r="I31" s="46"/>
      <c r="K31" s="21" t="s">
        <v>87</v>
      </c>
    </row>
    <row r="32" spans="1:21">
      <c r="B32" s="21" t="s">
        <v>88</v>
      </c>
      <c r="C32" s="21" t="s">
        <v>63</v>
      </c>
      <c r="D32" s="58">
        <v>2022</v>
      </c>
      <c r="E32" s="58">
        <v>2021</v>
      </c>
      <c r="F32" s="58">
        <v>2020</v>
      </c>
      <c r="G32" s="47">
        <v>2018</v>
      </c>
      <c r="H32" s="47">
        <v>2017</v>
      </c>
      <c r="I32" s="47">
        <v>2016</v>
      </c>
      <c r="K32" s="5" t="s">
        <v>89</v>
      </c>
      <c r="U32" s="21" t="s">
        <v>90</v>
      </c>
    </row>
    <row r="33" spans="2:11">
      <c r="B33" s="5" t="s">
        <v>91</v>
      </c>
      <c r="C33" s="5" t="s">
        <v>92</v>
      </c>
      <c r="D33" s="5">
        <f>3363+13544</f>
        <v>16907</v>
      </c>
      <c r="E33" s="5">
        <f>3550+13876</f>
        <v>17426</v>
      </c>
      <c r="F33" s="5">
        <f>714+15175</f>
        <v>15889</v>
      </c>
      <c r="G33" s="5">
        <v>9304</v>
      </c>
      <c r="H33" s="5">
        <v>9550</v>
      </c>
      <c r="I33" s="5">
        <v>9175</v>
      </c>
      <c r="K33" s="5" t="s">
        <v>93</v>
      </c>
    </row>
    <row r="34" spans="2:11">
      <c r="B34" s="5" t="s">
        <v>94</v>
      </c>
      <c r="C34" s="5" t="s">
        <v>95</v>
      </c>
      <c r="D34" s="5">
        <f>22782+105670</f>
        <v>128452</v>
      </c>
      <c r="E34" s="5">
        <f>24122+108481</f>
        <v>132603</v>
      </c>
      <c r="F34" s="5">
        <f>4922+118081</f>
        <v>123003</v>
      </c>
      <c r="G34" s="5">
        <v>72963</v>
      </c>
      <c r="H34" s="5">
        <v>75747</v>
      </c>
      <c r="I34" s="5">
        <v>73014</v>
      </c>
      <c r="K34" s="5" t="s">
        <v>96</v>
      </c>
    </row>
    <row r="35" spans="2:11">
      <c r="B35" s="5" t="s">
        <v>97</v>
      </c>
      <c r="C35" s="5" t="s">
        <v>95</v>
      </c>
      <c r="D35" s="5">
        <f>2+95</f>
        <v>97</v>
      </c>
      <c r="E35" s="5">
        <f>239+98</f>
        <v>337</v>
      </c>
      <c r="F35" s="5">
        <v>68</v>
      </c>
      <c r="G35" s="5">
        <v>163</v>
      </c>
      <c r="H35" s="5">
        <v>76</v>
      </c>
      <c r="I35" s="5">
        <v>227</v>
      </c>
      <c r="K35" s="5" t="s">
        <v>98</v>
      </c>
    </row>
    <row r="36" spans="2:11">
      <c r="B36" s="5" t="s">
        <v>99</v>
      </c>
      <c r="C36" s="5" t="s">
        <v>100</v>
      </c>
      <c r="D36" s="5">
        <f>53.1+46.1</f>
        <v>99.2</v>
      </c>
      <c r="E36" s="5">
        <f>52.5+46</f>
        <v>98.5</v>
      </c>
      <c r="F36" s="5">
        <f>52.2+46.2</f>
        <v>98.4</v>
      </c>
      <c r="G36" s="5">
        <v>45.8</v>
      </c>
      <c r="H36" s="5">
        <v>45.3</v>
      </c>
      <c r="I36" s="5">
        <v>45.1</v>
      </c>
    </row>
    <row r="37" spans="2:11">
      <c r="B37" s="21" t="s">
        <v>101</v>
      </c>
      <c r="C37" s="21" t="s">
        <v>63</v>
      </c>
      <c r="D37" s="58">
        <v>2022</v>
      </c>
      <c r="E37" s="58">
        <v>2021</v>
      </c>
      <c r="F37" s="58">
        <v>2020</v>
      </c>
      <c r="G37" s="47">
        <v>2018</v>
      </c>
      <c r="H37" s="47">
        <v>2017</v>
      </c>
      <c r="I37" s="47">
        <v>2016</v>
      </c>
    </row>
    <row r="38" spans="2:11">
      <c r="B38" s="5" t="s">
        <v>102</v>
      </c>
      <c r="C38" s="5" t="s">
        <v>103</v>
      </c>
      <c r="D38" s="5">
        <f>1167+5318</f>
        <v>6485</v>
      </c>
      <c r="E38" s="5">
        <f>1271+5566</f>
        <v>6837</v>
      </c>
      <c r="F38" s="5">
        <f>247+6151</f>
        <v>6398</v>
      </c>
      <c r="G38" s="48">
        <v>3776</v>
      </c>
      <c r="H38" s="48">
        <v>3923</v>
      </c>
      <c r="I38" s="48">
        <v>3761</v>
      </c>
    </row>
    <row r="39" spans="2:11">
      <c r="B39" s="5" t="s">
        <v>104</v>
      </c>
      <c r="C39" s="5" t="s">
        <v>103</v>
      </c>
      <c r="D39" s="5">
        <f>1161+5285</f>
        <v>6446</v>
      </c>
      <c r="E39" s="5">
        <f>1263+5537</f>
        <v>6800</v>
      </c>
      <c r="F39" s="5">
        <f>247+6126</f>
        <v>6373</v>
      </c>
      <c r="G39" s="48">
        <v>3759</v>
      </c>
      <c r="H39" s="48">
        <v>3906</v>
      </c>
      <c r="I39" s="48">
        <v>3745</v>
      </c>
      <c r="K39" s="21" t="s">
        <v>105</v>
      </c>
    </row>
    <row r="40" spans="2:11">
      <c r="B40" s="5" t="s">
        <v>106</v>
      </c>
      <c r="C40" s="5" t="s">
        <v>103</v>
      </c>
      <c r="D40" s="5">
        <f>0.011+0.027</f>
        <v>3.7999999999999999E-2</v>
      </c>
      <c r="E40" s="5">
        <f>0.016+0.005</f>
        <v>2.1000000000000001E-2</v>
      </c>
      <c r="F40" s="5">
        <f>0.001+0.077</f>
        <v>7.8E-2</v>
      </c>
      <c r="G40" s="5">
        <v>0.08</v>
      </c>
      <c r="H40" s="5">
        <v>0.08</v>
      </c>
      <c r="I40" s="5">
        <v>0.05</v>
      </c>
      <c r="K40" s="5" t="s">
        <v>107</v>
      </c>
    </row>
    <row r="41" spans="2:11">
      <c r="B41" s="5" t="s">
        <v>108</v>
      </c>
      <c r="C41" s="5" t="s">
        <v>103</v>
      </c>
      <c r="D41" s="5">
        <f>0.05+1.93</f>
        <v>1.98</v>
      </c>
      <c r="E41" s="5">
        <f>0.17+1.78</f>
        <v>1.95</v>
      </c>
      <c r="F41" s="5">
        <f>0.12+1.96</f>
        <v>2.08</v>
      </c>
      <c r="G41" s="5">
        <v>1.4</v>
      </c>
      <c r="H41" s="5">
        <v>1.4</v>
      </c>
      <c r="I41" s="5">
        <v>1.6</v>
      </c>
      <c r="K41" s="5" t="s">
        <v>109</v>
      </c>
    </row>
    <row r="42" spans="2:11">
      <c r="B42" s="5" t="s">
        <v>110</v>
      </c>
      <c r="C42" s="5" t="s">
        <v>103</v>
      </c>
      <c r="D42" s="5">
        <f>0.019+0.087</f>
        <v>0.106</v>
      </c>
      <c r="E42" s="5">
        <f>0.02+0.089</f>
        <v>0.109</v>
      </c>
      <c r="F42" s="5">
        <f>0.004+0.097</f>
        <v>0.10100000000000001</v>
      </c>
      <c r="G42" s="5">
        <v>0.06</v>
      </c>
      <c r="H42" s="5">
        <v>0.06</v>
      </c>
      <c r="I42" s="5">
        <v>0.06</v>
      </c>
      <c r="K42" s="5" t="s">
        <v>111</v>
      </c>
    </row>
    <row r="43" spans="2:11">
      <c r="B43" s="5" t="s">
        <v>112</v>
      </c>
      <c r="C43" s="5" t="s">
        <v>103</v>
      </c>
      <c r="D43" s="5">
        <f>0.019+0.087</f>
        <v>0.106</v>
      </c>
      <c r="E43" s="5">
        <f>0.02+0.089</f>
        <v>0.109</v>
      </c>
      <c r="F43" s="5">
        <f>0.004+0.097</f>
        <v>0.10100000000000001</v>
      </c>
      <c r="G43" s="5">
        <v>0.06</v>
      </c>
      <c r="H43" s="5">
        <v>0.06</v>
      </c>
      <c r="I43" s="5">
        <v>0.06</v>
      </c>
      <c r="K43" s="5" t="s">
        <v>113</v>
      </c>
    </row>
    <row r="44" spans="2:11" s="21" customFormat="1">
      <c r="B44" s="21" t="s">
        <v>114</v>
      </c>
      <c r="C44" s="21" t="s">
        <v>63</v>
      </c>
      <c r="D44" s="58">
        <v>2022</v>
      </c>
      <c r="E44" s="58">
        <v>2021</v>
      </c>
      <c r="F44" s="58">
        <v>2020</v>
      </c>
      <c r="G44" s="47">
        <v>2018</v>
      </c>
      <c r="H44" s="47">
        <v>2017</v>
      </c>
      <c r="I44" s="47">
        <v>2016</v>
      </c>
      <c r="K44" s="5" t="s">
        <v>115</v>
      </c>
    </row>
    <row r="45" spans="2:11" s="21" customFormat="1">
      <c r="B45" s="5" t="s">
        <v>116</v>
      </c>
      <c r="C45" s="5" t="s">
        <v>117</v>
      </c>
      <c r="D45" s="5">
        <f>310+1279.2</f>
        <v>1589.2</v>
      </c>
      <c r="E45" s="5">
        <f>314.5+1279</f>
        <v>1593.5</v>
      </c>
      <c r="F45" s="5">
        <f>67.5+1359.9</f>
        <v>1427.4</v>
      </c>
      <c r="G45" s="5">
        <v>943.9</v>
      </c>
      <c r="H45" s="5">
        <v>923.7</v>
      </c>
      <c r="I45" s="5">
        <v>934.9</v>
      </c>
      <c r="K45" s="5" t="s">
        <v>118</v>
      </c>
    </row>
    <row r="46" spans="2:11" s="21" customFormat="1">
      <c r="B46" s="5" t="s">
        <v>119</v>
      </c>
      <c r="C46" s="5" t="s">
        <v>117</v>
      </c>
      <c r="D46" s="5">
        <f>309.9+1278.7</f>
        <v>1588.6</v>
      </c>
      <c r="E46" s="5">
        <f>314.4+1278.5</f>
        <v>1592.9</v>
      </c>
      <c r="F46" s="5">
        <f>67.5+1359.3</f>
        <v>1426.8</v>
      </c>
      <c r="G46" s="5">
        <v>943.5</v>
      </c>
      <c r="H46" s="5">
        <v>923.4</v>
      </c>
      <c r="I46" s="5">
        <v>934.6</v>
      </c>
      <c r="K46" s="5" t="s">
        <v>120</v>
      </c>
    </row>
    <row r="47" spans="2:11" s="21" customFormat="1">
      <c r="B47" s="5" t="s">
        <v>121</v>
      </c>
      <c r="C47" s="5" t="s">
        <v>117</v>
      </c>
      <c r="D47" s="5">
        <f>0.1+0.5</f>
        <v>0.6</v>
      </c>
      <c r="E47" s="5">
        <f>0.1+0.5</f>
        <v>0.6</v>
      </c>
      <c r="F47" s="5">
        <v>0.5</v>
      </c>
      <c r="G47" s="5" t="s">
        <v>122</v>
      </c>
      <c r="H47" s="5"/>
      <c r="I47" s="5"/>
      <c r="K47" s="5" t="s">
        <v>123</v>
      </c>
    </row>
    <row r="48" spans="2:11">
      <c r="B48" s="5" t="s">
        <v>124</v>
      </c>
      <c r="C48" s="5" t="s">
        <v>117</v>
      </c>
      <c r="D48" s="5">
        <f>309.9+1278.8</f>
        <v>1588.6999999999998</v>
      </c>
      <c r="E48" s="5">
        <f>314.4+1278.6</f>
        <v>1593</v>
      </c>
      <c r="F48" s="5">
        <f>67.5+1359.3</f>
        <v>1426.8</v>
      </c>
      <c r="G48" s="5">
        <v>0.4</v>
      </c>
      <c r="H48" s="5">
        <v>0.3</v>
      </c>
      <c r="I48" s="5">
        <v>0.3</v>
      </c>
      <c r="K48" s="5" t="s">
        <v>125</v>
      </c>
    </row>
    <row r="49" spans="2:11">
      <c r="B49" s="5" t="s">
        <v>126</v>
      </c>
      <c r="C49" s="5" t="s">
        <v>117</v>
      </c>
      <c r="D49" s="5">
        <f>309.9+1278.8</f>
        <v>1588.6999999999998</v>
      </c>
      <c r="E49" s="5">
        <f>314.4+1278.6</f>
        <v>1593</v>
      </c>
      <c r="F49" s="5">
        <f>67.5+1359.4</f>
        <v>1426.9</v>
      </c>
      <c r="G49" s="5">
        <v>943.6</v>
      </c>
      <c r="H49" s="5">
        <v>923.5</v>
      </c>
      <c r="I49" s="5">
        <v>934.7</v>
      </c>
      <c r="K49" s="5" t="s">
        <v>127</v>
      </c>
    </row>
    <row r="50" spans="2:11">
      <c r="B50" s="5" t="s">
        <v>128</v>
      </c>
      <c r="C50" s="5" t="s">
        <v>117</v>
      </c>
      <c r="D50" s="5">
        <f>0.016+0.141</f>
        <v>0.15699999999999997</v>
      </c>
      <c r="E50" s="5">
        <f>0.033+0.145</f>
        <v>0.17799999999999999</v>
      </c>
      <c r="F50" s="5">
        <f>0.003+0.108</f>
        <v>0.111</v>
      </c>
      <c r="G50" s="5">
        <v>943.5</v>
      </c>
      <c r="H50" s="5">
        <v>923.4</v>
      </c>
      <c r="I50" s="5">
        <v>934.6</v>
      </c>
    </row>
    <row r="51" spans="2:11">
      <c r="B51" s="5" t="s">
        <v>129</v>
      </c>
      <c r="C51" s="5" t="s">
        <v>117</v>
      </c>
      <c r="G51" s="5">
        <v>0.1</v>
      </c>
      <c r="H51" s="5">
        <v>0.1</v>
      </c>
      <c r="I51" s="5">
        <v>0.1</v>
      </c>
    </row>
    <row r="52" spans="2:11">
      <c r="B52" s="5" t="s">
        <v>130</v>
      </c>
      <c r="C52" s="5" t="s">
        <v>117</v>
      </c>
      <c r="D52" s="5" t="s">
        <v>122</v>
      </c>
    </row>
    <row r="53" spans="2:11">
      <c r="B53" s="5" t="s">
        <v>131</v>
      </c>
      <c r="C53" s="5" t="s">
        <v>117</v>
      </c>
      <c r="D53" s="5" t="s">
        <v>122</v>
      </c>
    </row>
    <row r="54" spans="2:11">
      <c r="B54" s="5" t="s">
        <v>132</v>
      </c>
      <c r="C54" s="5" t="s">
        <v>117</v>
      </c>
      <c r="D54" s="5" t="s">
        <v>122</v>
      </c>
    </row>
    <row r="56" spans="2:11" ht="15.5">
      <c r="B56" s="45" t="s">
        <v>133</v>
      </c>
      <c r="D56" s="5" t="s">
        <v>134</v>
      </c>
      <c r="G56" s="46" t="s">
        <v>135</v>
      </c>
      <c r="K56" s="21" t="s">
        <v>136</v>
      </c>
    </row>
    <row r="57" spans="2:11">
      <c r="B57" s="21" t="s">
        <v>88</v>
      </c>
      <c r="C57" s="21" t="s">
        <v>63</v>
      </c>
      <c r="D57" s="58">
        <v>2022</v>
      </c>
      <c r="E57" s="58">
        <v>2021</v>
      </c>
      <c r="F57" s="58">
        <v>2020</v>
      </c>
      <c r="G57" s="47">
        <v>2018</v>
      </c>
      <c r="H57" s="47">
        <v>2017</v>
      </c>
      <c r="I57" s="47">
        <v>2016</v>
      </c>
      <c r="K57" s="5" t="s">
        <v>137</v>
      </c>
    </row>
    <row r="58" spans="2:11">
      <c r="B58" s="5" t="s">
        <v>91</v>
      </c>
      <c r="C58" s="5" t="s">
        <v>92</v>
      </c>
      <c r="D58" s="5">
        <f>65+6586</f>
        <v>6651</v>
      </c>
      <c r="E58" s="5">
        <f>6466+178</f>
        <v>6644</v>
      </c>
      <c r="F58" s="5">
        <f>5583+18</f>
        <v>5601</v>
      </c>
      <c r="G58" s="48">
        <v>13727</v>
      </c>
      <c r="H58" s="48">
        <v>13906</v>
      </c>
      <c r="I58" s="48">
        <v>15187</v>
      </c>
      <c r="K58" s="5" t="s">
        <v>138</v>
      </c>
    </row>
    <row r="59" spans="2:11">
      <c r="B59" s="5" t="s">
        <v>139</v>
      </c>
      <c r="D59" s="5">
        <f>75779+1393</f>
        <v>77172</v>
      </c>
      <c r="E59" s="5">
        <f>72649+2658</f>
        <v>75307</v>
      </c>
      <c r="F59" s="5">
        <f>62710+795</f>
        <v>63505</v>
      </c>
      <c r="G59" s="48">
        <v>150310</v>
      </c>
      <c r="H59" s="48">
        <v>148065</v>
      </c>
      <c r="I59" s="48">
        <v>160661</v>
      </c>
      <c r="K59" s="5" t="s">
        <v>140</v>
      </c>
    </row>
    <row r="60" spans="2:11">
      <c r="B60" s="5" t="s">
        <v>97</v>
      </c>
      <c r="C60" s="5" t="s">
        <v>95</v>
      </c>
      <c r="D60" s="5">
        <f>1555+193</f>
        <v>1748</v>
      </c>
      <c r="E60" s="5">
        <f>1351+229</f>
        <v>1580</v>
      </c>
      <c r="F60" s="5">
        <f>1353+101</f>
        <v>1454</v>
      </c>
      <c r="G60" s="48">
        <v>2530</v>
      </c>
      <c r="H60" s="48">
        <v>3808</v>
      </c>
      <c r="I60" s="48">
        <v>3207</v>
      </c>
      <c r="K60" s="5" t="s">
        <v>141</v>
      </c>
    </row>
    <row r="61" spans="2:11">
      <c r="B61" s="5" t="s">
        <v>94</v>
      </c>
      <c r="C61" s="5" t="s">
        <v>95</v>
      </c>
      <c r="D61" s="48">
        <v>1</v>
      </c>
      <c r="E61" s="48">
        <v>6</v>
      </c>
      <c r="F61" s="48">
        <v>7</v>
      </c>
      <c r="G61" s="5">
        <v>6</v>
      </c>
      <c r="H61" s="5">
        <v>59</v>
      </c>
      <c r="I61" s="48">
        <v>1545</v>
      </c>
    </row>
    <row r="62" spans="2:11">
      <c r="B62" s="5" t="s">
        <v>99</v>
      </c>
      <c r="C62" s="5" t="s">
        <v>100</v>
      </c>
      <c r="D62" s="5">
        <f>30.7+14.8</f>
        <v>45.5</v>
      </c>
      <c r="E62" s="5">
        <f>22.2+31.5</f>
        <v>53.7</v>
      </c>
      <c r="F62" s="5">
        <f>7.4+31.3</f>
        <v>38.700000000000003</v>
      </c>
      <c r="G62" s="5">
        <v>32.299999999999997</v>
      </c>
      <c r="H62" s="5">
        <v>32.9</v>
      </c>
      <c r="I62" s="5">
        <v>33.1</v>
      </c>
    </row>
    <row r="63" spans="2:11">
      <c r="B63" s="21" t="s">
        <v>101</v>
      </c>
      <c r="C63" s="21" t="s">
        <v>63</v>
      </c>
      <c r="D63" s="58">
        <v>2022</v>
      </c>
      <c r="E63" s="58">
        <v>2021</v>
      </c>
      <c r="F63" s="58">
        <v>2020</v>
      </c>
      <c r="G63" s="47">
        <v>2018</v>
      </c>
      <c r="H63" s="47">
        <v>2017</v>
      </c>
      <c r="I63" s="47">
        <v>2016</v>
      </c>
    </row>
    <row r="64" spans="2:11">
      <c r="B64" s="5" t="s">
        <v>102</v>
      </c>
      <c r="C64" s="5" t="s">
        <v>103</v>
      </c>
      <c r="D64" s="5">
        <f>159+6936</f>
        <v>7095</v>
      </c>
      <c r="E64" s="5">
        <f>277+6603</f>
        <v>6880</v>
      </c>
      <c r="F64" s="5">
        <f>79+5713</f>
        <v>5792</v>
      </c>
      <c r="G64" s="48">
        <v>13719</v>
      </c>
      <c r="H64" s="48">
        <v>13581</v>
      </c>
      <c r="I64" s="48">
        <v>14834</v>
      </c>
    </row>
    <row r="65" spans="2:9">
      <c r="B65" s="5" t="s">
        <v>104</v>
      </c>
      <c r="C65" s="5" t="s">
        <v>103</v>
      </c>
      <c r="D65" s="5">
        <f>138+6886</f>
        <v>7024</v>
      </c>
      <c r="E65" s="5">
        <f>255+6566</f>
        <v>6821</v>
      </c>
      <c r="F65" s="5">
        <f>78+5663</f>
        <v>5741</v>
      </c>
      <c r="G65" s="48">
        <v>13630</v>
      </c>
      <c r="H65" s="48">
        <v>13492</v>
      </c>
      <c r="I65" s="48">
        <v>14737</v>
      </c>
    </row>
    <row r="66" spans="2:9">
      <c r="B66" s="5" t="s">
        <v>106</v>
      </c>
      <c r="C66" s="5" t="s">
        <v>103</v>
      </c>
      <c r="D66" s="5">
        <f>0.118+1.146</f>
        <v>1.2639999999999998</v>
      </c>
      <c r="E66" s="5">
        <f>0.233+1.621</f>
        <v>1.8540000000000001</v>
      </c>
      <c r="F66" s="5">
        <f>0.112+1.27</f>
        <v>1.3820000000000001</v>
      </c>
      <c r="G66" s="5">
        <v>4.7</v>
      </c>
      <c r="H66" s="5">
        <v>4.7</v>
      </c>
      <c r="I66" s="5">
        <v>5.2</v>
      </c>
    </row>
    <row r="67" spans="2:9">
      <c r="B67" s="5" t="s">
        <v>108</v>
      </c>
      <c r="C67" s="5" t="s">
        <v>103</v>
      </c>
      <c r="D67" s="5">
        <f>0.17+6.91</f>
        <v>7.08</v>
      </c>
      <c r="E67" s="5">
        <f>0.35+7.13</f>
        <v>7.4799999999999995</v>
      </c>
      <c r="F67" s="5">
        <f>0.11+6.07</f>
        <v>6.1800000000000006</v>
      </c>
      <c r="G67" s="5">
        <v>14.4</v>
      </c>
      <c r="H67" s="5">
        <v>13.1</v>
      </c>
      <c r="I67" s="5">
        <v>15.4</v>
      </c>
    </row>
    <row r="68" spans="2:9">
      <c r="B68" s="5" t="s">
        <v>110</v>
      </c>
      <c r="C68" s="5" t="s">
        <v>103</v>
      </c>
      <c r="D68" s="5">
        <f>0.009+0.23</f>
        <v>0.23900000000000002</v>
      </c>
      <c r="E68" s="5">
        <f>0.018+0.25</f>
        <v>0.26800000000000002</v>
      </c>
      <c r="F68" s="5">
        <f>0.007+0.234</f>
        <v>0.24100000000000002</v>
      </c>
      <c r="G68" s="5">
        <v>0.5</v>
      </c>
      <c r="H68" s="5">
        <v>0.5</v>
      </c>
      <c r="I68" s="5">
        <v>0.5</v>
      </c>
    </row>
    <row r="69" spans="2:9">
      <c r="B69" s="5" t="s">
        <v>112</v>
      </c>
      <c r="C69" s="5" t="s">
        <v>103</v>
      </c>
      <c r="D69" s="5">
        <f>0.006+0.154</f>
        <v>0.16</v>
      </c>
      <c r="E69" s="5">
        <f>0.12+0.167</f>
        <v>0.28700000000000003</v>
      </c>
      <c r="F69" s="5">
        <f>0.005+0.157</f>
        <v>0.16200000000000001</v>
      </c>
      <c r="G69" s="5">
        <v>0.4</v>
      </c>
      <c r="H69" s="5">
        <v>0.4</v>
      </c>
      <c r="I69" s="5">
        <v>0.3</v>
      </c>
    </row>
    <row r="70" spans="2:9">
      <c r="B70" s="21" t="s">
        <v>114</v>
      </c>
      <c r="C70" s="21" t="s">
        <v>63</v>
      </c>
      <c r="D70" s="58">
        <v>2022</v>
      </c>
      <c r="E70" s="58">
        <v>2021</v>
      </c>
      <c r="F70" s="58">
        <v>2020</v>
      </c>
      <c r="G70" s="47">
        <v>2018</v>
      </c>
      <c r="H70" s="47">
        <v>2017</v>
      </c>
      <c r="I70" s="47">
        <v>2016</v>
      </c>
    </row>
    <row r="71" spans="2:9">
      <c r="B71" s="5" t="s">
        <v>116</v>
      </c>
      <c r="C71" s="5" t="s">
        <v>117</v>
      </c>
      <c r="D71" s="5">
        <f>154.3+2170</f>
        <v>2324.3000000000002</v>
      </c>
      <c r="E71" s="5">
        <f>179.6+1949.4</f>
        <v>2129</v>
      </c>
      <c r="F71" s="5">
        <f>147.2+1991.1</f>
        <v>2138.2999999999997</v>
      </c>
      <c r="G71" s="49">
        <v>2827.2</v>
      </c>
      <c r="H71" s="49">
        <v>2632.1</v>
      </c>
      <c r="I71" s="49">
        <v>2742.1</v>
      </c>
    </row>
    <row r="72" spans="2:9">
      <c r="B72" s="5" t="s">
        <v>142</v>
      </c>
      <c r="C72" s="5" t="s">
        <v>117</v>
      </c>
      <c r="D72" s="59">
        <f>154+2168.1</f>
        <v>2322.1</v>
      </c>
      <c r="E72" s="59">
        <f>179+1974.5</f>
        <v>2153.5</v>
      </c>
      <c r="F72" s="59">
        <f>146.8+1988.5</f>
        <v>2135.3000000000002</v>
      </c>
      <c r="G72" s="49">
        <v>2822</v>
      </c>
      <c r="H72" s="49">
        <v>2627.4</v>
      </c>
      <c r="I72" s="49">
        <v>2737.4</v>
      </c>
    </row>
    <row r="73" spans="2:9">
      <c r="B73" s="5" t="s">
        <v>121</v>
      </c>
      <c r="C73" s="5" t="s">
        <v>117</v>
      </c>
      <c r="D73" s="59" t="s">
        <v>143</v>
      </c>
      <c r="E73" s="59" t="s">
        <v>143</v>
      </c>
      <c r="F73" s="59" t="s">
        <v>143</v>
      </c>
      <c r="G73" s="5" t="s">
        <v>143</v>
      </c>
      <c r="H73" s="5" t="s">
        <v>143</v>
      </c>
      <c r="I73" s="5" t="s">
        <v>143</v>
      </c>
    </row>
    <row r="74" spans="2:9">
      <c r="B74" s="5" t="s">
        <v>124</v>
      </c>
      <c r="C74" s="5" t="s">
        <v>117</v>
      </c>
      <c r="D74" s="61">
        <f>0.4+2</f>
        <v>2.4</v>
      </c>
      <c r="E74" s="59">
        <f>0.5+2.2</f>
        <v>2.7</v>
      </c>
      <c r="F74" s="59">
        <v>2.6</v>
      </c>
      <c r="G74" s="5">
        <v>4.8</v>
      </c>
      <c r="H74" s="5">
        <v>5.0999999999999996</v>
      </c>
      <c r="I74" s="5">
        <v>4.5999999999999996</v>
      </c>
    </row>
    <row r="75" spans="2:9">
      <c r="B75" s="5" t="s">
        <v>126</v>
      </c>
      <c r="C75" s="5" t="s">
        <v>117</v>
      </c>
      <c r="D75" s="60">
        <f>154.3+2169.2</f>
        <v>2323.5</v>
      </c>
      <c r="E75" s="60">
        <f>179.3+1948.5</f>
        <v>2127.8000000000002</v>
      </c>
      <c r="F75" s="60">
        <f>147.4+1989.4</f>
        <v>2136.8000000000002</v>
      </c>
      <c r="G75" s="49">
        <v>2704.5</v>
      </c>
      <c r="H75" s="49">
        <v>3199.2</v>
      </c>
      <c r="I75" s="49">
        <v>3176.6</v>
      </c>
    </row>
    <row r="76" spans="2:9">
      <c r="B76" s="5" t="s">
        <v>128</v>
      </c>
      <c r="C76" s="5" t="s">
        <v>117</v>
      </c>
      <c r="D76" s="60">
        <f>154+2168.1</f>
        <v>2322.1</v>
      </c>
      <c r="E76" s="60">
        <f>179.2+1947.5</f>
        <v>2126.6999999999998</v>
      </c>
      <c r="F76" s="60">
        <f>146.8+1988.5</f>
        <v>2135.3000000000002</v>
      </c>
      <c r="G76" s="49">
        <v>2703.5</v>
      </c>
      <c r="H76" s="49">
        <v>3198</v>
      </c>
      <c r="I76" s="49">
        <v>3175.5</v>
      </c>
    </row>
    <row r="77" spans="2:9">
      <c r="B77" s="5" t="s">
        <v>129</v>
      </c>
      <c r="C77" s="5" t="s">
        <v>117</v>
      </c>
      <c r="D77" s="59">
        <f>0.339+1.112</f>
        <v>1.4510000000000001</v>
      </c>
      <c r="E77" s="59">
        <f>0.175+0.932</f>
        <v>1.107</v>
      </c>
      <c r="F77" s="59">
        <f>0.523+0.879</f>
        <v>1.4020000000000001</v>
      </c>
      <c r="G77" s="5">
        <v>1</v>
      </c>
      <c r="H77" s="5">
        <v>1.2</v>
      </c>
      <c r="I77" s="5">
        <v>1.1000000000000001</v>
      </c>
    </row>
    <row r="78" spans="2:9">
      <c r="B78" s="5" t="s">
        <v>130</v>
      </c>
      <c r="C78" s="5" t="s">
        <v>117</v>
      </c>
      <c r="D78" s="59" t="s">
        <v>122</v>
      </c>
      <c r="E78" s="59"/>
      <c r="F78" s="59"/>
      <c r="G78" s="5" t="s">
        <v>143</v>
      </c>
      <c r="H78" s="5" t="s">
        <v>143</v>
      </c>
      <c r="I78" s="5" t="s">
        <v>143</v>
      </c>
    </row>
    <row r="79" spans="2:9">
      <c r="B79" s="5" t="s">
        <v>131</v>
      </c>
      <c r="C79" s="5" t="s">
        <v>117</v>
      </c>
      <c r="D79" s="59" t="s">
        <v>122</v>
      </c>
      <c r="E79" s="59"/>
      <c r="F79" s="59"/>
      <c r="G79" s="5" t="s">
        <v>143</v>
      </c>
      <c r="H79" s="5" t="s">
        <v>143</v>
      </c>
      <c r="I79" s="5" t="s">
        <v>143</v>
      </c>
    </row>
    <row r="80" spans="2:9">
      <c r="B80" s="5" t="s">
        <v>132</v>
      </c>
      <c r="C80" s="5" t="s">
        <v>117</v>
      </c>
      <c r="D80" s="59" t="s">
        <v>122</v>
      </c>
      <c r="E80" s="59"/>
      <c r="F80" s="59"/>
      <c r="G80" s="5" t="s">
        <v>143</v>
      </c>
      <c r="H80" s="5" t="s">
        <v>143</v>
      </c>
      <c r="I80" s="5" t="s">
        <v>143</v>
      </c>
    </row>
    <row r="82" spans="2:11" ht="15.5">
      <c r="B82" s="45" t="s">
        <v>144</v>
      </c>
      <c r="D82" s="5" t="s">
        <v>85</v>
      </c>
      <c r="G82" s="46" t="s">
        <v>86</v>
      </c>
      <c r="K82" s="21" t="s">
        <v>136</v>
      </c>
    </row>
    <row r="83" spans="2:11">
      <c r="B83" s="21" t="s">
        <v>88</v>
      </c>
      <c r="C83" s="21" t="s">
        <v>63</v>
      </c>
      <c r="D83" s="58">
        <v>2022</v>
      </c>
      <c r="E83" s="58">
        <v>2021</v>
      </c>
      <c r="F83" s="58">
        <v>2020</v>
      </c>
      <c r="G83" s="47">
        <v>2018</v>
      </c>
      <c r="H83" s="47">
        <v>2017</v>
      </c>
      <c r="I83" s="47">
        <v>2016</v>
      </c>
    </row>
    <row r="84" spans="2:11">
      <c r="B84" s="5" t="s">
        <v>91</v>
      </c>
      <c r="C84" s="5" t="s">
        <v>92</v>
      </c>
      <c r="D84" s="5">
        <v>1.8</v>
      </c>
      <c r="E84" s="5">
        <v>0.6</v>
      </c>
      <c r="F84" s="5">
        <v>1.1000000000000001</v>
      </c>
      <c r="G84" s="5">
        <v>1.1000000000000001</v>
      </c>
      <c r="H84" s="5">
        <v>0.5</v>
      </c>
      <c r="I84" s="5">
        <v>1</v>
      </c>
      <c r="K84" s="5" t="s">
        <v>145</v>
      </c>
    </row>
    <row r="85" spans="2:11">
      <c r="B85" s="5" t="s">
        <v>97</v>
      </c>
      <c r="C85" s="5" t="s">
        <v>95</v>
      </c>
      <c r="D85" s="5">
        <v>30.2</v>
      </c>
      <c r="E85" s="5">
        <v>9.6999999999999993</v>
      </c>
      <c r="F85" s="62">
        <v>17</v>
      </c>
      <c r="G85" s="5">
        <v>20</v>
      </c>
      <c r="H85" s="5">
        <v>10</v>
      </c>
      <c r="I85" s="5">
        <v>18</v>
      </c>
      <c r="K85" s="5" t="s">
        <v>146</v>
      </c>
    </row>
    <row r="86" spans="2:11">
      <c r="B86" s="5" t="s">
        <v>99</v>
      </c>
      <c r="C86" s="5" t="s">
        <v>100</v>
      </c>
      <c r="D86" s="62">
        <v>22</v>
      </c>
      <c r="E86" s="5">
        <v>21.3</v>
      </c>
      <c r="F86" s="5">
        <v>22.8</v>
      </c>
      <c r="G86" s="5">
        <v>20.399999999999999</v>
      </c>
      <c r="H86" s="5">
        <v>18</v>
      </c>
      <c r="I86" s="5">
        <v>21.1</v>
      </c>
      <c r="K86" s="5" t="s">
        <v>147</v>
      </c>
    </row>
    <row r="87" spans="2:11">
      <c r="B87" s="21" t="s">
        <v>101</v>
      </c>
      <c r="C87" s="21" t="s">
        <v>63</v>
      </c>
      <c r="D87" s="58">
        <v>2022</v>
      </c>
      <c r="E87" s="58">
        <v>2021</v>
      </c>
      <c r="F87" s="58">
        <v>2020</v>
      </c>
      <c r="G87" s="47">
        <v>2018</v>
      </c>
      <c r="H87" s="47">
        <v>2017</v>
      </c>
      <c r="I87" s="47">
        <v>2016</v>
      </c>
      <c r="K87" s="5" t="s">
        <v>148</v>
      </c>
    </row>
    <row r="88" spans="2:11">
      <c r="B88" s="5" t="s">
        <v>102</v>
      </c>
      <c r="C88" s="5" t="s">
        <v>103</v>
      </c>
      <c r="D88" s="5">
        <v>2.14</v>
      </c>
      <c r="E88" s="5">
        <v>0.74</v>
      </c>
      <c r="F88" s="5">
        <v>1.2</v>
      </c>
      <c r="G88" s="5">
        <v>1.5</v>
      </c>
      <c r="H88" s="5">
        <v>0.9</v>
      </c>
      <c r="I88" s="5">
        <v>1.3</v>
      </c>
    </row>
    <row r="89" spans="2:11">
      <c r="B89" s="5" t="s">
        <v>104</v>
      </c>
      <c r="C89" s="5" t="s">
        <v>103</v>
      </c>
      <c r="D89" s="5">
        <v>2.04</v>
      </c>
      <c r="E89" s="5">
        <v>0.65</v>
      </c>
      <c r="F89" s="5">
        <v>1.1000000000000001</v>
      </c>
      <c r="G89" s="5">
        <v>1.4</v>
      </c>
      <c r="H89" s="5">
        <v>0.8</v>
      </c>
      <c r="I89" s="5">
        <v>1.2</v>
      </c>
    </row>
    <row r="90" spans="2:11">
      <c r="B90" s="5" t="s">
        <v>106</v>
      </c>
      <c r="C90" s="5" t="s">
        <v>103</v>
      </c>
      <c r="D90" s="5">
        <v>1.2999999999999999E-5</v>
      </c>
      <c r="E90" s="5">
        <v>3.0000000000000001E-6</v>
      </c>
      <c r="F90" s="5">
        <v>6.0000000000000002E-6</v>
      </c>
      <c r="G90" s="5">
        <v>7.9999999999999996E-6</v>
      </c>
      <c r="H90" s="5">
        <v>3.9999999999999998E-6</v>
      </c>
      <c r="I90" s="5">
        <v>5.0000000000000004E-6</v>
      </c>
    </row>
    <row r="91" spans="2:11">
      <c r="B91" s="5" t="s">
        <v>108</v>
      </c>
      <c r="C91" s="5" t="s">
        <v>103</v>
      </c>
      <c r="D91" s="5">
        <v>3.0000000000000001E-3</v>
      </c>
      <c r="E91" s="5">
        <v>1E-3</v>
      </c>
      <c r="F91" s="5">
        <v>2E-3</v>
      </c>
      <c r="G91" s="5">
        <v>2.0999999999999999E-3</v>
      </c>
      <c r="H91" s="5">
        <v>1E-3</v>
      </c>
      <c r="I91" s="5">
        <v>1.8E-3</v>
      </c>
    </row>
    <row r="92" spans="2:11">
      <c r="B92" s="5" t="s">
        <v>110</v>
      </c>
      <c r="C92" s="5" t="s">
        <v>103</v>
      </c>
      <c r="D92" s="5">
        <v>6.0000000000000002E-5</v>
      </c>
      <c r="E92" s="5">
        <v>2.0000000000000002E-5</v>
      </c>
      <c r="F92" s="5">
        <v>3.0000000000000001E-5</v>
      </c>
      <c r="G92" s="5">
        <v>4.0000000000000003E-5</v>
      </c>
      <c r="H92" s="5">
        <v>2.0000000000000002E-5</v>
      </c>
      <c r="I92" s="5">
        <v>3.0000000000000001E-5</v>
      </c>
    </row>
    <row r="93" spans="2:11">
      <c r="B93" s="5" t="s">
        <v>112</v>
      </c>
      <c r="C93" s="5" t="s">
        <v>103</v>
      </c>
      <c r="D93" s="5">
        <v>6.0000000000000002E-5</v>
      </c>
      <c r="E93" s="5">
        <v>2.0000000000000002E-5</v>
      </c>
      <c r="F93" s="5">
        <v>3.0000000000000001E-5</v>
      </c>
      <c r="G93" s="5">
        <v>4.0000000000000003E-5</v>
      </c>
      <c r="H93" s="5">
        <v>2.0000000000000002E-5</v>
      </c>
      <c r="I93" s="5">
        <v>3.0000000000000001E-5</v>
      </c>
    </row>
    <row r="94" spans="2:11">
      <c r="B94" s="21" t="s">
        <v>114</v>
      </c>
      <c r="C94" s="21" t="s">
        <v>63</v>
      </c>
      <c r="D94" s="58">
        <v>2022</v>
      </c>
      <c r="E94" s="58">
        <v>2021</v>
      </c>
      <c r="F94" s="58">
        <v>2020</v>
      </c>
      <c r="G94" s="47">
        <v>2018</v>
      </c>
      <c r="H94" s="47">
        <v>2017</v>
      </c>
      <c r="I94" s="47">
        <v>2016</v>
      </c>
    </row>
    <row r="95" spans="2:11">
      <c r="B95" s="5" t="s">
        <v>116</v>
      </c>
      <c r="C95" s="5" t="s">
        <v>117</v>
      </c>
      <c r="D95" s="5">
        <v>1E-3</v>
      </c>
      <c r="E95" s="5">
        <v>5.9999999999999995E-4</v>
      </c>
      <c r="F95" s="5">
        <v>5.0000000000000001E-4</v>
      </c>
      <c r="G95" s="5">
        <v>5.9999999999999995E-4</v>
      </c>
      <c r="H95" s="5">
        <v>5.0000000000000001E-4</v>
      </c>
      <c r="I95" s="5">
        <v>5.9999999999999995E-4</v>
      </c>
    </row>
    <row r="96" spans="2:11">
      <c r="B96" s="5" t="s">
        <v>119</v>
      </c>
      <c r="C96" s="5" t="s">
        <v>117</v>
      </c>
      <c r="D96" s="5">
        <v>0</v>
      </c>
      <c r="E96" s="5">
        <v>0</v>
      </c>
      <c r="F96" s="5">
        <v>0</v>
      </c>
      <c r="G96" s="5" t="s">
        <v>122</v>
      </c>
    </row>
    <row r="97" spans="1:11">
      <c r="B97" s="5" t="s">
        <v>121</v>
      </c>
      <c r="C97" s="5" t="s">
        <v>117</v>
      </c>
      <c r="D97" s="5">
        <v>1E-3</v>
      </c>
      <c r="E97" s="5">
        <v>5.9999999999999995E-4</v>
      </c>
      <c r="F97" s="5">
        <v>5.0000000000000001E-4</v>
      </c>
      <c r="G97" s="5">
        <v>0</v>
      </c>
      <c r="H97" s="5">
        <v>0</v>
      </c>
      <c r="I97" s="5">
        <v>1E-4</v>
      </c>
    </row>
    <row r="98" spans="1:11">
      <c r="B98" s="5" t="s">
        <v>124</v>
      </c>
      <c r="C98" s="5" t="s">
        <v>117</v>
      </c>
      <c r="D98" s="5">
        <v>0</v>
      </c>
      <c r="E98" s="5">
        <v>0</v>
      </c>
      <c r="F98" s="5">
        <v>0</v>
      </c>
      <c r="G98" s="5">
        <v>5.9999999999999995E-4</v>
      </c>
      <c r="H98" s="5">
        <v>5.0000000000000001E-4</v>
      </c>
      <c r="I98" s="5">
        <v>5.0000000000000001E-4</v>
      </c>
    </row>
    <row r="99" spans="1:11">
      <c r="B99" s="5" t="s">
        <v>126</v>
      </c>
      <c r="C99" s="5" t="s">
        <v>117</v>
      </c>
      <c r="D99" s="5">
        <v>0</v>
      </c>
      <c r="E99" s="5">
        <v>0</v>
      </c>
      <c r="F99" s="5">
        <v>0</v>
      </c>
      <c r="G99" s="5">
        <v>0</v>
      </c>
      <c r="H99" s="5">
        <v>0</v>
      </c>
      <c r="I99" s="5">
        <v>0</v>
      </c>
    </row>
    <row r="100" spans="1:11">
      <c r="B100" s="5" t="s">
        <v>129</v>
      </c>
      <c r="C100" s="5" t="s">
        <v>117</v>
      </c>
      <c r="D100" s="5" t="s">
        <v>143</v>
      </c>
      <c r="E100" s="5" t="s">
        <v>143</v>
      </c>
      <c r="F100" s="5" t="s">
        <v>143</v>
      </c>
      <c r="G100" s="5">
        <v>0</v>
      </c>
      <c r="H100" s="5">
        <v>0</v>
      </c>
      <c r="I100" s="5">
        <v>0</v>
      </c>
    </row>
    <row r="101" spans="1:11">
      <c r="B101" s="5" t="s">
        <v>130</v>
      </c>
      <c r="C101" s="5" t="s">
        <v>117</v>
      </c>
      <c r="D101" s="5">
        <v>0</v>
      </c>
      <c r="E101" s="5">
        <v>0</v>
      </c>
      <c r="F101" s="5">
        <v>0</v>
      </c>
      <c r="G101" s="5" t="s">
        <v>143</v>
      </c>
      <c r="H101" s="5" t="s">
        <v>143</v>
      </c>
      <c r="I101" s="5" t="s">
        <v>143</v>
      </c>
    </row>
    <row r="102" spans="1:11">
      <c r="B102" s="5" t="s">
        <v>131</v>
      </c>
      <c r="C102" s="5" t="s">
        <v>117</v>
      </c>
      <c r="G102" s="5" t="s">
        <v>143</v>
      </c>
      <c r="H102" s="5" t="s">
        <v>143</v>
      </c>
      <c r="I102" s="5" t="s">
        <v>143</v>
      </c>
    </row>
    <row r="103" spans="1:11">
      <c r="B103" s="5" t="s">
        <v>132</v>
      </c>
      <c r="C103" s="5" t="s">
        <v>117</v>
      </c>
      <c r="G103" s="5">
        <v>0</v>
      </c>
      <c r="H103" s="5">
        <v>0</v>
      </c>
      <c r="I103" s="5">
        <v>0</v>
      </c>
    </row>
    <row r="106" spans="1:11" ht="21">
      <c r="A106" s="53" t="s">
        <v>149</v>
      </c>
    </row>
    <row r="107" spans="1:11" ht="15.5">
      <c r="B107" s="45" t="s">
        <v>150</v>
      </c>
      <c r="D107" s="5" t="s">
        <v>85</v>
      </c>
      <c r="G107" s="46" t="s">
        <v>86</v>
      </c>
      <c r="K107" s="21" t="s">
        <v>136</v>
      </c>
    </row>
    <row r="108" spans="1:11">
      <c r="B108" s="21" t="s">
        <v>88</v>
      </c>
      <c r="C108" s="21" t="s">
        <v>63</v>
      </c>
      <c r="D108" s="58">
        <v>2022</v>
      </c>
      <c r="E108" s="58">
        <v>2021</v>
      </c>
      <c r="F108" s="58">
        <v>2020</v>
      </c>
      <c r="G108" s="47">
        <v>2018</v>
      </c>
      <c r="H108" s="47">
        <v>2017</v>
      </c>
      <c r="I108" s="47">
        <v>2016</v>
      </c>
      <c r="K108" s="5" t="s">
        <v>151</v>
      </c>
    </row>
    <row r="109" spans="1:11">
      <c r="B109" s="5" t="s">
        <v>152</v>
      </c>
      <c r="C109" s="5" t="s">
        <v>92</v>
      </c>
      <c r="D109" s="5">
        <v>1201</v>
      </c>
      <c r="E109" s="5">
        <v>1286</v>
      </c>
      <c r="F109" s="5">
        <v>1205</v>
      </c>
      <c r="G109" s="5">
        <v>1262</v>
      </c>
      <c r="H109" s="5">
        <v>1321</v>
      </c>
      <c r="I109" s="5">
        <v>1365</v>
      </c>
      <c r="K109" s="5" t="s">
        <v>153</v>
      </c>
    </row>
    <row r="110" spans="1:11">
      <c r="B110" s="5" t="s">
        <v>152</v>
      </c>
      <c r="C110" s="5" t="s">
        <v>154</v>
      </c>
      <c r="D110" s="5">
        <v>3.3</v>
      </c>
      <c r="E110" s="5">
        <v>3.5</v>
      </c>
      <c r="F110" s="5">
        <v>3.4</v>
      </c>
      <c r="G110" s="50">
        <v>3.5999999999999997E-2</v>
      </c>
      <c r="H110" s="50">
        <v>3.7999999999999999E-2</v>
      </c>
      <c r="I110" s="50">
        <v>3.9E-2</v>
      </c>
      <c r="K110" s="5" t="s">
        <v>155</v>
      </c>
    </row>
    <row r="111" spans="1:11">
      <c r="B111" s="5" t="s">
        <v>156</v>
      </c>
      <c r="C111" s="5" t="s">
        <v>92</v>
      </c>
      <c r="D111" s="5">
        <v>17</v>
      </c>
      <c r="E111" s="5">
        <v>17</v>
      </c>
      <c r="F111" s="5">
        <v>17</v>
      </c>
      <c r="G111" s="5">
        <v>17</v>
      </c>
      <c r="H111" s="5">
        <v>18</v>
      </c>
      <c r="I111" s="5">
        <v>18</v>
      </c>
      <c r="K111" s="5" t="s">
        <v>157</v>
      </c>
    </row>
    <row r="112" spans="1:11">
      <c r="B112" s="5" t="s">
        <v>158</v>
      </c>
      <c r="C112" s="5" t="s">
        <v>95</v>
      </c>
      <c r="D112" s="5">
        <v>438</v>
      </c>
      <c r="E112" s="5">
        <v>517</v>
      </c>
      <c r="F112" s="5">
        <v>583</v>
      </c>
      <c r="G112" s="5">
        <v>1032</v>
      </c>
      <c r="H112" s="5">
        <v>1059</v>
      </c>
      <c r="I112" s="5">
        <v>1068</v>
      </c>
    </row>
    <row r="113" spans="2:13">
      <c r="B113" s="5" t="s">
        <v>159</v>
      </c>
      <c r="C113" s="5" t="s">
        <v>100</v>
      </c>
      <c r="D113" s="5">
        <v>651</v>
      </c>
      <c r="E113" s="5">
        <v>658</v>
      </c>
      <c r="F113" s="5">
        <v>518</v>
      </c>
      <c r="G113" s="5">
        <v>262</v>
      </c>
      <c r="H113" s="5">
        <v>262</v>
      </c>
      <c r="I113" s="5">
        <v>224</v>
      </c>
    </row>
    <row r="114" spans="2:13">
      <c r="B114" s="21" t="s">
        <v>101</v>
      </c>
      <c r="C114" s="21" t="s">
        <v>63</v>
      </c>
      <c r="D114" s="58">
        <v>2022</v>
      </c>
      <c r="E114" s="58">
        <v>2021</v>
      </c>
      <c r="F114" s="58">
        <v>2020</v>
      </c>
      <c r="G114" s="47">
        <v>2018</v>
      </c>
      <c r="H114" s="47">
        <v>2017</v>
      </c>
      <c r="I114" s="47">
        <v>2016</v>
      </c>
      <c r="M114" s="21" t="s">
        <v>160</v>
      </c>
    </row>
    <row r="115" spans="2:13">
      <c r="B115" s="5" t="s">
        <v>102</v>
      </c>
      <c r="C115" s="5" t="s">
        <v>103</v>
      </c>
      <c r="D115" s="5">
        <v>50</v>
      </c>
      <c r="E115" s="5">
        <v>46</v>
      </c>
      <c r="F115" s="5">
        <v>40</v>
      </c>
      <c r="G115" s="5">
        <v>42</v>
      </c>
      <c r="H115" s="5">
        <v>37</v>
      </c>
      <c r="I115" s="5">
        <v>31</v>
      </c>
    </row>
    <row r="116" spans="2:13">
      <c r="B116" s="5" t="s">
        <v>104</v>
      </c>
      <c r="C116" s="5" t="s">
        <v>103</v>
      </c>
      <c r="D116" s="5">
        <v>2.7</v>
      </c>
      <c r="E116" s="5">
        <v>2.9</v>
      </c>
      <c r="F116" s="5">
        <v>3</v>
      </c>
      <c r="G116" s="5">
        <v>3</v>
      </c>
      <c r="H116" s="5">
        <v>3</v>
      </c>
      <c r="I116" s="5">
        <v>3</v>
      </c>
    </row>
    <row r="117" spans="2:13">
      <c r="B117" s="5" t="s">
        <v>161</v>
      </c>
      <c r="C117" s="5" t="s">
        <v>103</v>
      </c>
      <c r="D117" s="5">
        <v>45.4</v>
      </c>
      <c r="E117" s="5">
        <v>42.2</v>
      </c>
      <c r="F117" s="5">
        <v>36.5</v>
      </c>
      <c r="G117" s="5">
        <v>37</v>
      </c>
      <c r="H117" s="5">
        <v>28</v>
      </c>
      <c r="I117" s="5">
        <v>27</v>
      </c>
    </row>
    <row r="118" spans="2:13">
      <c r="B118" s="21" t="s">
        <v>114</v>
      </c>
      <c r="C118" s="21" t="s">
        <v>63</v>
      </c>
      <c r="D118" s="58">
        <v>2022</v>
      </c>
      <c r="E118" s="58">
        <v>2021</v>
      </c>
      <c r="F118" s="58">
        <v>2020</v>
      </c>
      <c r="G118" s="47">
        <v>2018</v>
      </c>
      <c r="H118" s="47">
        <v>2017</v>
      </c>
      <c r="I118" s="47">
        <v>2016</v>
      </c>
    </row>
    <row r="119" spans="2:13">
      <c r="B119" s="5" t="s">
        <v>116</v>
      </c>
      <c r="C119" s="5" t="s">
        <v>117</v>
      </c>
      <c r="D119" s="5">
        <v>7.0000000000000007E-2</v>
      </c>
      <c r="E119" s="5">
        <v>7.0000000000000007E-2</v>
      </c>
      <c r="F119" s="5">
        <v>0.05</v>
      </c>
      <c r="G119" s="5">
        <v>0.05</v>
      </c>
      <c r="H119" s="5">
        <v>0.05</v>
      </c>
      <c r="I119" s="5">
        <v>0.05</v>
      </c>
    </row>
    <row r="120" spans="2:13">
      <c r="B120" s="5" t="s">
        <v>119</v>
      </c>
      <c r="C120" s="5" t="s">
        <v>117</v>
      </c>
      <c r="D120" s="5">
        <v>1E-3</v>
      </c>
      <c r="E120" s="5">
        <v>1E-3</v>
      </c>
      <c r="F120" s="5">
        <v>1E-3</v>
      </c>
      <c r="G120" s="5" t="s">
        <v>122</v>
      </c>
    </row>
    <row r="121" spans="2:13">
      <c r="B121" s="5" t="s">
        <v>162</v>
      </c>
      <c r="C121" s="5" t="s">
        <v>117</v>
      </c>
      <c r="D121" s="5">
        <v>7.0000000000000007E-2</v>
      </c>
      <c r="E121" s="5">
        <v>0.06</v>
      </c>
      <c r="F121" s="5">
        <v>0.05</v>
      </c>
      <c r="G121" s="5">
        <v>0</v>
      </c>
      <c r="H121" s="5">
        <v>0</v>
      </c>
      <c r="I121" s="5">
        <v>0</v>
      </c>
    </row>
    <row r="122" spans="2:13">
      <c r="B122" s="5" t="s">
        <v>124</v>
      </c>
      <c r="C122" s="5" t="s">
        <v>117</v>
      </c>
      <c r="D122" s="5">
        <v>1E-3</v>
      </c>
      <c r="E122" s="5">
        <v>1E-3</v>
      </c>
      <c r="F122" s="5">
        <v>1E-3</v>
      </c>
      <c r="G122" s="5">
        <v>0.05</v>
      </c>
      <c r="H122" s="5">
        <v>0.05</v>
      </c>
      <c r="I122" s="5">
        <v>0.05</v>
      </c>
    </row>
    <row r="123" spans="2:13">
      <c r="B123" s="5" t="s">
        <v>126</v>
      </c>
      <c r="C123" s="5" t="s">
        <v>117</v>
      </c>
      <c r="D123" s="5">
        <v>1E-3</v>
      </c>
      <c r="E123" s="5">
        <v>1E-3</v>
      </c>
      <c r="F123" s="5">
        <v>1E-3</v>
      </c>
      <c r="G123" s="5">
        <v>1E-3</v>
      </c>
      <c r="H123" s="5">
        <v>1E-3</v>
      </c>
      <c r="I123" s="5">
        <v>4.0000000000000001E-3</v>
      </c>
    </row>
    <row r="124" spans="2:13">
      <c r="B124" s="5" t="s">
        <v>129</v>
      </c>
      <c r="C124" s="5" t="s">
        <v>117</v>
      </c>
      <c r="G124" s="5">
        <v>1E-3</v>
      </c>
      <c r="H124" s="5">
        <v>1E-3</v>
      </c>
      <c r="I124" s="5">
        <v>4.0000000000000001E-3</v>
      </c>
    </row>
    <row r="125" spans="2:13">
      <c r="B125" s="5" t="s">
        <v>130</v>
      </c>
      <c r="C125" s="5" t="s">
        <v>117</v>
      </c>
      <c r="D125" s="5" t="s">
        <v>122</v>
      </c>
    </row>
    <row r="126" spans="2:13">
      <c r="B126" s="5" t="s">
        <v>131</v>
      </c>
      <c r="C126" s="5" t="s">
        <v>117</v>
      </c>
      <c r="D126" s="5" t="s">
        <v>122</v>
      </c>
    </row>
    <row r="127" spans="2:13">
      <c r="B127" s="5" t="s">
        <v>163</v>
      </c>
      <c r="C127" s="5" t="s">
        <v>117</v>
      </c>
      <c r="D127" s="5" t="s">
        <v>122</v>
      </c>
    </row>
    <row r="130" spans="2:2">
      <c r="B130" s="21" t="s">
        <v>164</v>
      </c>
    </row>
    <row r="146" spans="2:10">
      <c r="B146" s="5" t="s">
        <v>165</v>
      </c>
    </row>
    <row r="155" spans="2:10">
      <c r="B155" s="21" t="s">
        <v>166</v>
      </c>
      <c r="J155" s="21" t="s">
        <v>167</v>
      </c>
    </row>
    <row r="186" spans="2:2">
      <c r="B186" s="21" t="s">
        <v>168</v>
      </c>
    </row>
  </sheetData>
  <phoneticPr fontId="10" type="noConversion"/>
  <hyperlinks>
    <hyperlink ref="I23" r:id="rId1" xr:uid="{00000000-0004-0000-0100-000000000000}"/>
    <hyperlink ref="H16" r:id="rId2" xr:uid="{945F75CF-9914-490B-B420-822BCE2B0D63}"/>
    <hyperlink ref="H15" r:id="rId3" xr:uid="{BFC2FD98-063B-4ED5-B583-347E7C4129F7}"/>
    <hyperlink ref="H20" r:id="rId4" xr:uid="{46A1167E-3994-4934-9BC1-4302AF8A1090}"/>
  </hyperlinks>
  <pageMargins left="0.7" right="0.7" top="0.75" bottom="0.75" header="0.3" footer="0.3"/>
  <drawing r:id="rId5"/>
  <legacyDrawing r:id="rId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3"/>
  <sheetViews>
    <sheetView zoomScaleNormal="115" workbookViewId="0">
      <selection sqref="A1:XFD1048576"/>
    </sheetView>
  </sheetViews>
  <sheetFormatPr defaultColWidth="8.81640625" defaultRowHeight="14.5"/>
  <cols>
    <col min="1" max="1" width="17.36328125" customWidth="1"/>
    <col min="2" max="2" width="11.1796875" customWidth="1"/>
    <col min="3" max="3" width="28.1796875" customWidth="1"/>
    <col min="4" max="4" width="13.81640625" customWidth="1"/>
    <col min="5" max="5" width="15.36328125" customWidth="1"/>
    <col min="7" max="7" width="49.1796875" customWidth="1"/>
  </cols>
  <sheetData>
    <row r="1" spans="1:21" ht="18.5">
      <c r="A1" s="51" t="s">
        <v>169</v>
      </c>
      <c r="G1" s="3" t="s">
        <v>170</v>
      </c>
      <c r="M1" s="21"/>
    </row>
    <row r="2" spans="1:21">
      <c r="A2" s="21"/>
      <c r="M2" s="21"/>
      <c r="U2" s="21"/>
    </row>
    <row r="3" spans="1:21">
      <c r="A3" s="21" t="s">
        <v>171</v>
      </c>
      <c r="B3" s="21" t="s">
        <v>172</v>
      </c>
      <c r="C3" s="21" t="s">
        <v>173</v>
      </c>
      <c r="D3" s="32" t="s">
        <v>174</v>
      </c>
      <c r="E3" s="21" t="s">
        <v>175</v>
      </c>
      <c r="F3" s="21" t="s">
        <v>176</v>
      </c>
      <c r="G3" s="21" t="s">
        <v>177</v>
      </c>
    </row>
    <row r="4" spans="1:21">
      <c r="B4" t="s">
        <v>178</v>
      </c>
    </row>
    <row r="5" spans="1:21" ht="20" customHeight="1">
      <c r="B5" s="21" t="s">
        <v>179</v>
      </c>
      <c r="D5" s="21">
        <v>2305</v>
      </c>
      <c r="E5" s="33"/>
      <c r="G5" s="33"/>
    </row>
    <row r="6" spans="1:21" ht="20" customHeight="1">
      <c r="B6" s="21"/>
      <c r="C6" t="s">
        <v>180</v>
      </c>
      <c r="D6">
        <v>555</v>
      </c>
      <c r="E6" s="33"/>
      <c r="G6" s="33" t="s">
        <v>181</v>
      </c>
    </row>
    <row r="7" spans="1:21" ht="29.5" customHeight="1">
      <c r="C7" s="33" t="s">
        <v>182</v>
      </c>
      <c r="D7">
        <v>1750</v>
      </c>
      <c r="G7" t="s">
        <v>183</v>
      </c>
    </row>
    <row r="8" spans="1:21" ht="17" customHeight="1">
      <c r="B8" s="21" t="s">
        <v>37</v>
      </c>
      <c r="D8" s="21">
        <f>SUM(D9:D10)</f>
        <v>1095</v>
      </c>
      <c r="E8" s="33"/>
      <c r="G8" s="33"/>
    </row>
    <row r="9" spans="1:21">
      <c r="C9" t="s">
        <v>184</v>
      </c>
      <c r="D9">
        <v>1095</v>
      </c>
      <c r="E9">
        <v>2006</v>
      </c>
      <c r="G9" t="s">
        <v>185</v>
      </c>
    </row>
    <row r="11" spans="1:21">
      <c r="B11" s="21" t="s">
        <v>186</v>
      </c>
      <c r="D11" s="21">
        <f>1.1+0.8+0.1</f>
        <v>2</v>
      </c>
    </row>
    <row r="12" spans="1:21">
      <c r="C12" t="s">
        <v>187</v>
      </c>
      <c r="D12">
        <v>1.1000000000000001</v>
      </c>
      <c r="E12">
        <v>2006</v>
      </c>
      <c r="G12" t="s">
        <v>188</v>
      </c>
    </row>
    <row r="13" spans="1:21">
      <c r="C13" t="s">
        <v>189</v>
      </c>
      <c r="D13">
        <v>0.1</v>
      </c>
      <c r="E13">
        <v>2013</v>
      </c>
    </row>
    <row r="14" spans="1:21">
      <c r="C14" t="s">
        <v>190</v>
      </c>
      <c r="D14">
        <v>0.8</v>
      </c>
      <c r="E14">
        <v>2006.2</v>
      </c>
      <c r="G14" t="s">
        <v>191</v>
      </c>
    </row>
    <row r="15" spans="1:21">
      <c r="B15" s="21" t="s">
        <v>192</v>
      </c>
      <c r="C15" t="s">
        <v>193</v>
      </c>
      <c r="D15" s="21">
        <v>3487</v>
      </c>
    </row>
    <row r="16" spans="1:21">
      <c r="C16" t="s">
        <v>194</v>
      </c>
      <c r="D16" s="21">
        <v>3402</v>
      </c>
    </row>
    <row r="17" spans="1:13">
      <c r="C17" t="s">
        <v>195</v>
      </c>
      <c r="D17">
        <f>D15-D16</f>
        <v>85</v>
      </c>
    </row>
    <row r="18" spans="1:13">
      <c r="B18" s="21" t="s">
        <v>196</v>
      </c>
    </row>
    <row r="19" spans="1:13">
      <c r="C19" t="s">
        <v>197</v>
      </c>
      <c r="D19" s="34">
        <v>0.53</v>
      </c>
    </row>
    <row r="21" spans="1:13">
      <c r="A21" s="21" t="s">
        <v>198</v>
      </c>
      <c r="B21" s="21" t="s">
        <v>172</v>
      </c>
      <c r="C21" s="21" t="s">
        <v>173</v>
      </c>
      <c r="D21" s="32" t="s">
        <v>174</v>
      </c>
      <c r="E21" s="21" t="s">
        <v>175</v>
      </c>
      <c r="F21" s="21" t="s">
        <v>176</v>
      </c>
      <c r="G21" s="21" t="s">
        <v>177</v>
      </c>
      <c r="M21" s="21"/>
    </row>
    <row r="22" spans="1:13">
      <c r="A22" s="21"/>
      <c r="B22" s="21"/>
      <c r="C22" s="5" t="s">
        <v>199</v>
      </c>
      <c r="D22" s="5">
        <v>1.2</v>
      </c>
      <c r="E22" s="5">
        <v>2023</v>
      </c>
      <c r="F22" s="21"/>
      <c r="G22" s="21" t="s">
        <v>200</v>
      </c>
      <c r="M22" s="21"/>
    </row>
    <row r="23" spans="1:13">
      <c r="M23" s="21"/>
    </row>
    <row r="24" spans="1:13"/>
    <row r="25" spans="1:13">
      <c r="A25" s="21" t="s">
        <v>201</v>
      </c>
      <c r="B25" s="21" t="s">
        <v>172</v>
      </c>
      <c r="C25" s="21" t="s">
        <v>173</v>
      </c>
      <c r="D25" s="32" t="s">
        <v>174</v>
      </c>
      <c r="E25" s="21" t="s">
        <v>175</v>
      </c>
      <c r="F25" s="21" t="s">
        <v>176</v>
      </c>
      <c r="G25" s="21" t="s">
        <v>177</v>
      </c>
    </row>
    <row r="26" spans="1:13">
      <c r="M26" s="21"/>
    </row>
    <row r="28" spans="1:13">
      <c r="A28" s="21" t="s">
        <v>202</v>
      </c>
      <c r="B28" s="1" t="s">
        <v>203</v>
      </c>
      <c r="C28" s="1" t="s">
        <v>204</v>
      </c>
      <c r="D28" s="1" t="s">
        <v>205</v>
      </c>
    </row>
    <row r="29" spans="1:13">
      <c r="A29" s="21"/>
      <c r="C29" t="s">
        <v>206</v>
      </c>
      <c r="D29">
        <v>150</v>
      </c>
      <c r="G29" t="s">
        <v>207</v>
      </c>
    </row>
    <row r="30" spans="1:13">
      <c r="A30" s="21"/>
      <c r="G30" t="s">
        <v>208</v>
      </c>
    </row>
    <row r="31" spans="1:13">
      <c r="A31" s="21"/>
    </row>
    <row r="32" spans="1:13">
      <c r="A32" s="21"/>
    </row>
    <row r="33" spans="2:2">
      <c r="B33" t="s">
        <v>209</v>
      </c>
    </row>
  </sheetData>
  <phoneticPr fontId="10" type="noConversion"/>
  <hyperlinks>
    <hyperlink ref="G1" r:id="rId1" xr:uid="{E68FC33E-E583-4DDE-8C5B-103DF50C4127}"/>
  </hyperlinks>
  <pageMargins left="0.7" right="0.7" top="0.75" bottom="0.75" header="0.3" footer="0.3"/>
  <pageSetup paperSize="9" orientation="portrait" r:id="rId2"/>
  <drawing r:id="rId3"/>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6"/>
  <sheetViews>
    <sheetView zoomScale="70" zoomScaleNormal="70" workbookViewId="0">
      <selection activeCell="E22" sqref="E22"/>
    </sheetView>
  </sheetViews>
  <sheetFormatPr defaultColWidth="8.81640625" defaultRowHeight="14.5"/>
  <cols>
    <col min="2" max="2" width="13.36328125" customWidth="1"/>
    <col min="3" max="3" width="17.81640625" customWidth="1"/>
    <col min="4" max="4" width="14.1796875" customWidth="1"/>
    <col min="8" max="8" width="10.81640625" bestFit="1" customWidth="1"/>
    <col min="9" max="9" width="18.36328125" customWidth="1"/>
    <col min="10" max="10" width="6.81640625" customWidth="1"/>
  </cols>
  <sheetData>
    <row r="1" spans="1:12">
      <c r="A1" s="64" t="s">
        <v>210</v>
      </c>
      <c r="B1" s="66" t="s">
        <v>211</v>
      </c>
      <c r="C1" s="66"/>
      <c r="D1" s="66"/>
      <c r="E1" s="66"/>
      <c r="F1" s="66"/>
      <c r="G1" s="56"/>
      <c r="I1" s="65" t="s">
        <v>212</v>
      </c>
      <c r="J1" s="65"/>
      <c r="L1" s="21" t="s">
        <v>105</v>
      </c>
    </row>
    <row r="2" spans="1:12">
      <c r="A2" s="64"/>
      <c r="B2" t="s">
        <v>213</v>
      </c>
      <c r="C2" t="s">
        <v>214</v>
      </c>
      <c r="D2" t="s">
        <v>215</v>
      </c>
      <c r="E2" t="s">
        <v>216</v>
      </c>
      <c r="F2" t="s">
        <v>217</v>
      </c>
      <c r="H2" t="s">
        <v>218</v>
      </c>
      <c r="I2" s="15" t="s">
        <v>213</v>
      </c>
      <c r="J2" s="15">
        <v>40</v>
      </c>
      <c r="L2" s="12" t="s">
        <v>219</v>
      </c>
    </row>
    <row r="3" spans="1:12">
      <c r="A3">
        <v>1978</v>
      </c>
      <c r="E3" s="12"/>
      <c r="H3">
        <f>A3+40</f>
        <v>2018</v>
      </c>
      <c r="I3" s="15" t="s">
        <v>215</v>
      </c>
      <c r="J3" s="15">
        <v>40</v>
      </c>
    </row>
    <row r="4" spans="1:12">
      <c r="A4">
        <v>1979</v>
      </c>
      <c r="E4" s="12"/>
      <c r="F4" s="12"/>
      <c r="G4" s="12"/>
      <c r="H4">
        <f t="shared" ref="H4:H45" si="0">A4+40</f>
        <v>2019</v>
      </c>
      <c r="I4" s="15" t="s">
        <v>220</v>
      </c>
      <c r="J4" s="15">
        <v>40</v>
      </c>
    </row>
    <row r="5" spans="1:12">
      <c r="A5">
        <v>1980</v>
      </c>
      <c r="F5" s="12">
        <f>'CLP Assets'!C6</f>
        <v>0</v>
      </c>
      <c r="G5" s="12"/>
      <c r="H5">
        <f t="shared" si="0"/>
        <v>2020</v>
      </c>
    </row>
    <row r="6" spans="1:12">
      <c r="A6">
        <v>1981</v>
      </c>
      <c r="B6" s="12"/>
      <c r="C6" s="12"/>
      <c r="E6" s="12"/>
      <c r="F6" s="12"/>
      <c r="G6" s="12"/>
      <c r="H6">
        <f t="shared" si="0"/>
        <v>2021</v>
      </c>
      <c r="I6" s="35" t="s">
        <v>221</v>
      </c>
      <c r="J6" s="35">
        <v>40</v>
      </c>
      <c r="L6" t="s">
        <v>222</v>
      </c>
    </row>
    <row r="7" spans="1:12">
      <c r="A7">
        <v>1982</v>
      </c>
      <c r="B7" s="12"/>
      <c r="C7" s="12"/>
      <c r="E7" s="12"/>
      <c r="F7" s="12"/>
      <c r="G7" s="12"/>
      <c r="H7">
        <f t="shared" si="0"/>
        <v>2022</v>
      </c>
      <c r="I7" s="35" t="s">
        <v>223</v>
      </c>
      <c r="J7" s="35">
        <v>36</v>
      </c>
      <c r="L7" t="s">
        <v>224</v>
      </c>
    </row>
    <row r="8" spans="1:12">
      <c r="A8">
        <v>1983</v>
      </c>
      <c r="B8" s="12"/>
      <c r="C8" s="12"/>
      <c r="E8" s="12"/>
      <c r="F8" s="12"/>
      <c r="G8" s="12"/>
      <c r="H8">
        <f t="shared" si="0"/>
        <v>2023</v>
      </c>
    </row>
    <row r="9" spans="1:12">
      <c r="A9">
        <v>1984</v>
      </c>
      <c r="B9" s="12"/>
      <c r="C9" s="12"/>
      <c r="D9" s="12"/>
      <c r="E9" s="12">
        <v>250</v>
      </c>
      <c r="F9" s="12"/>
      <c r="G9" s="12"/>
      <c r="H9">
        <f t="shared" si="0"/>
        <v>2024</v>
      </c>
    </row>
    <row r="10" spans="1:12">
      <c r="A10">
        <v>1985</v>
      </c>
      <c r="B10" s="12"/>
      <c r="C10" s="12"/>
      <c r="D10" s="12"/>
      <c r="E10" s="12"/>
      <c r="F10" s="12">
        <f>'CLP Assets'!C7</f>
        <v>0</v>
      </c>
      <c r="G10" s="12"/>
      <c r="H10">
        <f t="shared" si="0"/>
        <v>2025</v>
      </c>
      <c r="L10" s="3" t="s">
        <v>225</v>
      </c>
    </row>
    <row r="11" spans="1:12">
      <c r="A11">
        <v>1986</v>
      </c>
      <c r="B11" s="12"/>
      <c r="C11" s="12"/>
      <c r="D11" s="12"/>
      <c r="E11" s="12"/>
      <c r="F11" s="12"/>
      <c r="G11" s="12"/>
      <c r="H11">
        <f t="shared" si="0"/>
        <v>2026</v>
      </c>
      <c r="L11" s="55" t="s">
        <v>226</v>
      </c>
    </row>
    <row r="12" spans="1:12">
      <c r="A12">
        <v>1987</v>
      </c>
      <c r="B12" s="12"/>
      <c r="C12" s="12"/>
      <c r="D12" s="12"/>
      <c r="E12" s="12"/>
      <c r="F12" s="12"/>
      <c r="G12" s="12"/>
      <c r="H12">
        <f t="shared" si="0"/>
        <v>2027</v>
      </c>
      <c r="L12" s="55"/>
    </row>
    <row r="13" spans="1:12">
      <c r="A13">
        <v>1988</v>
      </c>
      <c r="B13" s="12"/>
      <c r="C13" s="12"/>
      <c r="D13" s="12"/>
      <c r="E13" s="12"/>
      <c r="F13" s="12"/>
      <c r="G13" s="12"/>
      <c r="H13">
        <f t="shared" si="0"/>
        <v>2028</v>
      </c>
      <c r="L13" s="55" t="s">
        <v>227</v>
      </c>
    </row>
    <row r="14" spans="1:12">
      <c r="A14">
        <v>1989</v>
      </c>
      <c r="B14" s="12"/>
      <c r="C14" s="12"/>
      <c r="D14" s="12"/>
      <c r="E14" s="12"/>
      <c r="F14" s="12"/>
      <c r="G14" s="12"/>
      <c r="H14">
        <f t="shared" si="0"/>
        <v>2029</v>
      </c>
    </row>
    <row r="15" spans="1:12">
      <c r="A15">
        <v>1990</v>
      </c>
      <c r="B15" s="12"/>
      <c r="C15" s="12"/>
      <c r="D15" s="12"/>
      <c r="E15" s="12"/>
      <c r="F15" s="12"/>
      <c r="G15" s="12"/>
      <c r="H15">
        <f t="shared" si="0"/>
        <v>2030</v>
      </c>
    </row>
    <row r="16" spans="1:12">
      <c r="A16">
        <v>1991</v>
      </c>
      <c r="B16" s="12"/>
      <c r="C16" s="12" t="e">
        <f>'HKE Asset'!#REF!</f>
        <v>#REF!</v>
      </c>
      <c r="E16" s="12" t="e">
        <f>'HKE Asset'!#REF!</f>
        <v>#REF!</v>
      </c>
      <c r="F16" s="12"/>
      <c r="G16" s="12"/>
      <c r="H16">
        <f t="shared" si="0"/>
        <v>2031</v>
      </c>
    </row>
    <row r="17" spans="1:8">
      <c r="A17">
        <v>1992</v>
      </c>
      <c r="D17" s="12">
        <f>'CLP Assets'!C9</f>
        <v>300</v>
      </c>
      <c r="E17" s="12"/>
      <c r="F17" s="12"/>
      <c r="G17" s="12"/>
      <c r="H17">
        <f t="shared" si="0"/>
        <v>2032</v>
      </c>
    </row>
    <row r="18" spans="1:8">
      <c r="A18">
        <v>1993</v>
      </c>
      <c r="B18" s="5"/>
      <c r="C18" s="5"/>
      <c r="D18" s="5"/>
      <c r="H18">
        <f t="shared" si="0"/>
        <v>2033</v>
      </c>
    </row>
    <row r="19" spans="1:8">
      <c r="A19">
        <v>1994</v>
      </c>
      <c r="B19" s="5"/>
      <c r="C19" s="5"/>
      <c r="D19" s="5"/>
      <c r="H19">
        <f t="shared" si="0"/>
        <v>2034</v>
      </c>
    </row>
    <row r="20" spans="1:8">
      <c r="A20">
        <v>1995</v>
      </c>
      <c r="D20" s="5"/>
      <c r="E20" t="e">
        <f>'HKE Asset'!#REF!</f>
        <v>#REF!</v>
      </c>
      <c r="H20">
        <f t="shared" si="0"/>
        <v>2035</v>
      </c>
    </row>
    <row r="21" spans="1:8">
      <c r="A21">
        <v>1996</v>
      </c>
      <c r="B21" s="5">
        <f>'CLP Assets'!$C$8/8</f>
        <v>406.25</v>
      </c>
      <c r="C21" s="5"/>
      <c r="D21" s="5"/>
      <c r="H21">
        <f t="shared" si="0"/>
        <v>2036</v>
      </c>
    </row>
    <row r="22" spans="1:8">
      <c r="A22">
        <v>1997</v>
      </c>
      <c r="B22" s="5"/>
      <c r="C22" s="5"/>
      <c r="D22" s="5"/>
      <c r="E22" t="e">
        <f>'HKE Asset'!#REF!</f>
        <v>#REF!</v>
      </c>
      <c r="H22">
        <f t="shared" si="0"/>
        <v>2037</v>
      </c>
    </row>
    <row r="23" spans="1:8">
      <c r="A23">
        <v>1998</v>
      </c>
      <c r="B23" s="5">
        <f>'CLP Assets'!$C$8/8</f>
        <v>406.25</v>
      </c>
      <c r="C23" s="5"/>
      <c r="D23" s="5"/>
      <c r="H23">
        <f t="shared" si="0"/>
        <v>2038</v>
      </c>
    </row>
    <row r="24" spans="1:8">
      <c r="A24">
        <v>1999</v>
      </c>
      <c r="B24" s="5">
        <f>'CLP Assets'!$C$8/8</f>
        <v>406.25</v>
      </c>
      <c r="C24" s="5"/>
      <c r="D24" s="5"/>
      <c r="H24">
        <f t="shared" si="0"/>
        <v>2039</v>
      </c>
    </row>
    <row r="25" spans="1:8">
      <c r="A25">
        <v>2000</v>
      </c>
      <c r="B25" s="5">
        <f>'CLP Assets'!$C$8/8</f>
        <v>406.25</v>
      </c>
      <c r="C25" s="5"/>
      <c r="D25" s="5"/>
      <c r="H25">
        <f t="shared" si="0"/>
        <v>2040</v>
      </c>
    </row>
    <row r="26" spans="1:8">
      <c r="A26">
        <v>2001</v>
      </c>
      <c r="B26" s="5">
        <f>'CLP Assets'!$C$8/8</f>
        <v>406.25</v>
      </c>
      <c r="C26" s="5"/>
      <c r="D26" s="5"/>
      <c r="H26">
        <f t="shared" si="0"/>
        <v>2041</v>
      </c>
    </row>
    <row r="27" spans="1:8">
      <c r="A27">
        <v>2002</v>
      </c>
      <c r="B27" s="5"/>
      <c r="C27" s="5"/>
      <c r="D27" s="5"/>
      <c r="H27">
        <f t="shared" si="0"/>
        <v>2042</v>
      </c>
    </row>
    <row r="28" spans="1:8">
      <c r="A28">
        <v>2003</v>
      </c>
      <c r="B28" s="5">
        <f>'CLP Assets'!$C$8/8</f>
        <v>406.25</v>
      </c>
      <c r="C28" s="5"/>
      <c r="D28" s="12"/>
      <c r="E28" s="12"/>
      <c r="F28" s="12"/>
      <c r="G28" s="12"/>
      <c r="H28">
        <f t="shared" si="0"/>
        <v>2043</v>
      </c>
    </row>
    <row r="29" spans="1:8">
      <c r="A29">
        <v>2004</v>
      </c>
      <c r="B29" s="5">
        <f>'CLP Assets'!$C$8/8</f>
        <v>406.25</v>
      </c>
      <c r="C29" s="5"/>
      <c r="D29" s="12"/>
      <c r="E29" s="12"/>
      <c r="F29" s="12"/>
      <c r="G29" s="12"/>
      <c r="H29">
        <f t="shared" si="0"/>
        <v>2044</v>
      </c>
    </row>
    <row r="30" spans="1:8">
      <c r="A30">
        <v>2005</v>
      </c>
      <c r="B30" s="12"/>
      <c r="C30" s="12"/>
      <c r="D30" s="12"/>
      <c r="E30" s="12"/>
      <c r="F30" s="12"/>
      <c r="G30" s="12"/>
      <c r="H30">
        <f t="shared" si="0"/>
        <v>2045</v>
      </c>
    </row>
    <row r="31" spans="1:8">
      <c r="A31">
        <v>2006</v>
      </c>
      <c r="B31" s="5">
        <f>'CLP Assets'!$C$8/8+'HKE Asset'!D9</f>
        <v>1501.25</v>
      </c>
      <c r="C31" s="5"/>
      <c r="D31" s="12"/>
      <c r="E31" s="12"/>
      <c r="F31" s="12"/>
      <c r="G31" s="12"/>
      <c r="H31">
        <f t="shared" si="0"/>
        <v>2046</v>
      </c>
    </row>
    <row r="32" spans="1:8">
      <c r="A32">
        <v>2007</v>
      </c>
      <c r="B32" s="12"/>
      <c r="C32" s="12"/>
      <c r="D32" s="12"/>
      <c r="E32" s="12"/>
      <c r="F32" s="12"/>
      <c r="G32" s="12"/>
      <c r="H32">
        <f t="shared" si="0"/>
        <v>2047</v>
      </c>
    </row>
    <row r="33" spans="1:8">
      <c r="A33">
        <v>2008</v>
      </c>
      <c r="B33" s="6"/>
      <c r="C33" s="6"/>
      <c r="D33" s="6"/>
      <c r="E33" s="6"/>
      <c r="F33" s="6"/>
      <c r="G33" s="6"/>
      <c r="H33">
        <f t="shared" si="0"/>
        <v>2048</v>
      </c>
    </row>
    <row r="34" spans="1:8">
      <c r="A34">
        <v>2009</v>
      </c>
      <c r="B34" s="6"/>
      <c r="C34" s="6"/>
      <c r="D34" s="6"/>
      <c r="E34" s="6"/>
      <c r="F34" s="6"/>
      <c r="G34" s="6"/>
      <c r="H34">
        <f t="shared" si="0"/>
        <v>2049</v>
      </c>
    </row>
    <row r="35" spans="1:8">
      <c r="A35">
        <v>2010</v>
      </c>
      <c r="B35" s="6" t="e">
        <f>'HKE Asset'!#REF!</f>
        <v>#REF!</v>
      </c>
      <c r="C35" s="6"/>
      <c r="D35" s="6"/>
      <c r="E35" s="6"/>
      <c r="F35" s="6"/>
      <c r="G35" s="6"/>
      <c r="H35">
        <f t="shared" si="0"/>
        <v>2050</v>
      </c>
    </row>
    <row r="36" spans="1:8">
      <c r="A36">
        <v>2011</v>
      </c>
      <c r="B36" s="6"/>
      <c r="C36" s="6"/>
      <c r="D36" s="6"/>
      <c r="E36" s="6"/>
      <c r="F36" s="6"/>
      <c r="G36" s="6"/>
      <c r="H36">
        <f t="shared" si="0"/>
        <v>2051</v>
      </c>
    </row>
    <row r="37" spans="1:8">
      <c r="A37">
        <v>2012</v>
      </c>
      <c r="B37" s="6"/>
      <c r="C37" s="6"/>
      <c r="D37" s="6"/>
      <c r="E37" s="6"/>
      <c r="F37" s="6"/>
      <c r="G37" s="6"/>
      <c r="H37">
        <f t="shared" si="0"/>
        <v>2052</v>
      </c>
    </row>
    <row r="38" spans="1:8">
      <c r="A38">
        <v>2013</v>
      </c>
      <c r="H38">
        <f t="shared" si="0"/>
        <v>2053</v>
      </c>
    </row>
    <row r="39" spans="1:8">
      <c r="A39">
        <v>2014</v>
      </c>
      <c r="D39" s="6"/>
      <c r="H39">
        <f t="shared" si="0"/>
        <v>2054</v>
      </c>
    </row>
    <row r="40" spans="1:8">
      <c r="A40">
        <v>2015</v>
      </c>
      <c r="D40" s="6"/>
      <c r="H40">
        <f t="shared" si="0"/>
        <v>2055</v>
      </c>
    </row>
    <row r="41" spans="1:8">
      <c r="A41">
        <v>2016</v>
      </c>
      <c r="D41" s="6"/>
      <c r="H41">
        <f t="shared" si="0"/>
        <v>2056</v>
      </c>
    </row>
    <row r="42" spans="1:8">
      <c r="A42">
        <v>2017</v>
      </c>
      <c r="B42" s="20"/>
      <c r="C42" s="20"/>
      <c r="D42" s="20"/>
      <c r="E42" s="20"/>
      <c r="F42" s="20"/>
      <c r="G42" s="20"/>
      <c r="H42">
        <f t="shared" si="0"/>
        <v>2057</v>
      </c>
    </row>
    <row r="43" spans="1:8">
      <c r="A43">
        <v>2018</v>
      </c>
      <c r="B43" s="20"/>
      <c r="C43" s="20"/>
      <c r="D43" s="20"/>
      <c r="E43" s="20"/>
      <c r="F43" s="20"/>
      <c r="G43" s="20"/>
      <c r="H43">
        <f t="shared" si="0"/>
        <v>2058</v>
      </c>
    </row>
    <row r="44" spans="1:8">
      <c r="A44">
        <v>2019</v>
      </c>
      <c r="B44" s="20"/>
      <c r="C44" s="20"/>
      <c r="D44" s="20"/>
      <c r="E44" s="20"/>
      <c r="F44" s="20"/>
      <c r="G44" s="20"/>
      <c r="H44">
        <f t="shared" si="0"/>
        <v>2059</v>
      </c>
    </row>
    <row r="45" spans="1:8">
      <c r="A45">
        <v>2020</v>
      </c>
      <c r="B45" s="20">
        <f>'CLP Assets'!C8+'HKE Asset'!D8</f>
        <v>4345</v>
      </c>
      <c r="C45" s="20"/>
      <c r="D45" s="20"/>
      <c r="E45" s="20"/>
      <c r="F45" s="20"/>
      <c r="G45" s="20"/>
      <c r="H45">
        <f t="shared" si="0"/>
        <v>2060</v>
      </c>
    </row>
    <row r="46" spans="1:8">
      <c r="A46">
        <v>2021</v>
      </c>
      <c r="B46" s="20"/>
      <c r="C46" s="20"/>
    </row>
  </sheetData>
  <mergeCells count="3">
    <mergeCell ref="A1:A2"/>
    <mergeCell ref="I1:J1"/>
    <mergeCell ref="B1:F1"/>
  </mergeCells>
  <phoneticPr fontId="10" type="noConversion"/>
  <hyperlinks>
    <hyperlink ref="L10" r:id="rId1" xr:uid="{CFDE6AFC-D098-4296-BBC6-EC0627D41F02}"/>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tint="-0.499984740745262"/>
  </sheetPr>
  <dimension ref="A1:AK18"/>
  <sheetViews>
    <sheetView tabSelected="1" workbookViewId="0">
      <selection activeCell="H2" sqref="H2"/>
    </sheetView>
  </sheetViews>
  <sheetFormatPr defaultColWidth="8.6328125" defaultRowHeight="14.5"/>
  <cols>
    <col min="1" max="1" width="25.36328125" style="11" customWidth="1"/>
    <col min="2" max="36" width="10" style="11" bestFit="1" customWidth="1"/>
    <col min="37" max="16384" width="8.6328125" style="11"/>
  </cols>
  <sheetData>
    <row r="1" spans="1:37" s="4" customFormat="1">
      <c r="A1" s="4" t="s">
        <v>228</v>
      </c>
      <c r="B1" s="4">
        <v>2016</v>
      </c>
      <c r="C1" s="4">
        <v>2017</v>
      </c>
      <c r="D1" s="4">
        <v>2018</v>
      </c>
      <c r="E1" s="4">
        <v>2019</v>
      </c>
      <c r="F1" s="4">
        <v>2020</v>
      </c>
      <c r="G1" s="4">
        <v>2021</v>
      </c>
      <c r="H1" s="4">
        <v>2022</v>
      </c>
      <c r="I1" s="4">
        <v>2023</v>
      </c>
      <c r="J1" s="4">
        <v>2024</v>
      </c>
      <c r="K1" s="4">
        <v>2025</v>
      </c>
      <c r="L1" s="4">
        <v>2026</v>
      </c>
      <c r="M1" s="4">
        <v>2027</v>
      </c>
      <c r="N1" s="4">
        <v>2028</v>
      </c>
      <c r="O1" s="4">
        <v>2029</v>
      </c>
      <c r="P1" s="4">
        <v>2030</v>
      </c>
      <c r="Q1" s="4">
        <v>2031</v>
      </c>
      <c r="R1" s="4">
        <v>2032</v>
      </c>
      <c r="S1" s="4">
        <v>2033</v>
      </c>
      <c r="T1" s="4">
        <v>2034</v>
      </c>
      <c r="U1" s="4">
        <v>2035</v>
      </c>
      <c r="V1" s="4">
        <v>2036</v>
      </c>
      <c r="W1" s="4">
        <v>2037</v>
      </c>
      <c r="X1" s="4">
        <v>2038</v>
      </c>
      <c r="Y1" s="4">
        <v>2039</v>
      </c>
      <c r="Z1" s="4">
        <v>2040</v>
      </c>
      <c r="AA1" s="4">
        <v>2041</v>
      </c>
      <c r="AB1" s="4">
        <v>2042</v>
      </c>
      <c r="AC1" s="4">
        <v>2043</v>
      </c>
      <c r="AD1" s="4">
        <v>2044</v>
      </c>
      <c r="AE1" s="4">
        <v>2045</v>
      </c>
      <c r="AF1" s="4">
        <v>2046</v>
      </c>
      <c r="AG1" s="4">
        <v>2047</v>
      </c>
      <c r="AH1" s="4">
        <v>2048</v>
      </c>
      <c r="AI1" s="4">
        <v>2049</v>
      </c>
      <c r="AJ1" s="4">
        <v>2050</v>
      </c>
    </row>
    <row r="2" spans="1:37">
      <c r="A2" s="10" t="s">
        <v>229</v>
      </c>
      <c r="B2" s="54">
        <v>0</v>
      </c>
      <c r="C2" s="54">
        <v>0</v>
      </c>
      <c r="D2" s="54">
        <v>0</v>
      </c>
      <c r="E2" s="54">
        <v>0</v>
      </c>
      <c r="F2" s="54">
        <v>0</v>
      </c>
      <c r="G2" s="54">
        <v>0</v>
      </c>
      <c r="H2" s="54">
        <v>0</v>
      </c>
      <c r="I2" s="54">
        <v>0</v>
      </c>
      <c r="J2" s="54">
        <v>0</v>
      </c>
      <c r="K2" s="54">
        <v>0</v>
      </c>
      <c r="L2" s="54">
        <v>0</v>
      </c>
      <c r="M2" s="54">
        <v>0</v>
      </c>
      <c r="N2" s="54">
        <v>0</v>
      </c>
      <c r="O2" s="54">
        <v>0</v>
      </c>
      <c r="P2" s="54">
        <v>2000</v>
      </c>
      <c r="Q2" s="54">
        <v>0</v>
      </c>
      <c r="R2" s="54">
        <v>0</v>
      </c>
      <c r="S2" s="54">
        <v>0</v>
      </c>
      <c r="T2" s="54">
        <v>0</v>
      </c>
      <c r="U2" s="54">
        <v>2000</v>
      </c>
      <c r="V2" s="54">
        <v>0</v>
      </c>
      <c r="W2" s="54">
        <v>0</v>
      </c>
      <c r="X2" s="54">
        <v>0</v>
      </c>
      <c r="Y2" s="54">
        <v>0</v>
      </c>
      <c r="Z2" s="54">
        <v>0</v>
      </c>
      <c r="AA2" s="54">
        <v>0</v>
      </c>
      <c r="AB2" s="54">
        <v>0</v>
      </c>
      <c r="AC2" s="54">
        <v>0</v>
      </c>
      <c r="AD2" s="54">
        <v>0</v>
      </c>
      <c r="AE2" s="54">
        <v>0</v>
      </c>
      <c r="AF2" s="54">
        <v>0</v>
      </c>
      <c r="AG2" s="54">
        <v>0</v>
      </c>
      <c r="AH2" s="54">
        <v>0</v>
      </c>
      <c r="AI2" s="54">
        <v>0</v>
      </c>
      <c r="AJ2" s="54">
        <v>0</v>
      </c>
    </row>
    <row r="3" spans="1:37">
      <c r="A3" s="10" t="s">
        <v>230</v>
      </c>
      <c r="B3" s="11">
        <v>0</v>
      </c>
      <c r="C3" s="11">
        <v>0</v>
      </c>
      <c r="D3" s="11">
        <v>0</v>
      </c>
      <c r="E3" s="11">
        <v>0</v>
      </c>
      <c r="F3" s="11">
        <v>0</v>
      </c>
      <c r="G3" s="11">
        <v>0</v>
      </c>
      <c r="H3" s="11">
        <v>0</v>
      </c>
      <c r="I3" s="11">
        <v>0</v>
      </c>
      <c r="J3" s="11">
        <v>0</v>
      </c>
      <c r="K3" s="11">
        <v>0</v>
      </c>
      <c r="L3" s="11">
        <v>0</v>
      </c>
      <c r="M3" s="11">
        <v>0</v>
      </c>
      <c r="N3" s="11">
        <v>0</v>
      </c>
      <c r="O3" s="11">
        <v>0</v>
      </c>
      <c r="P3" s="11">
        <v>0</v>
      </c>
      <c r="Q3" s="11">
        <f>IFERROR(LOOKUP(Q1-'[1]Natural gas&amp;Petroleum&amp;Coal'!$J$3,'[1]Natural gas&amp;Petroleum&amp;Coal'!$A$1:$A$45,'[1]Natural gas&amp;Petroleum&amp;Coal'!$D$1:$D$45),0)</f>
        <v>0</v>
      </c>
      <c r="R3" s="11">
        <v>0</v>
      </c>
      <c r="S3" s="11">
        <v>0</v>
      </c>
      <c r="T3" s="11">
        <v>0</v>
      </c>
      <c r="U3" s="11">
        <v>0</v>
      </c>
      <c r="V3" s="11">
        <f>IFERROR(LOOKUP(V1-'[1]Natural gas&amp;Petroleum&amp;Coal'!$J$2,'[1]Natural gas&amp;Petroleum&amp;Coal'!$A$1:$A$45,'[1]Natural gas&amp;Petroleum&amp;Coal'!$B$1:$B$45),0)</f>
        <v>406.25</v>
      </c>
      <c r="W3" s="11">
        <f>IFERROR(LOOKUP(W1-'[1]Natural gas&amp;Petroleum&amp;Coal'!$J$2,'[1]Natural gas&amp;Petroleum&amp;Coal'!$A$1:$A$45,'[1]Natural gas&amp;Petroleum&amp;Coal'!$B$1:$B$45),0)</f>
        <v>0</v>
      </c>
      <c r="X3" s="11">
        <f>IFERROR(LOOKUP(X1-'[1]Natural gas&amp;Petroleum&amp;Coal'!$J$2,'[1]Natural gas&amp;Petroleum&amp;Coal'!$A$1:$A$45,'[1]Natural gas&amp;Petroleum&amp;Coal'!$B$1:$B$45),0)</f>
        <v>406.25</v>
      </c>
      <c r="Y3" s="11">
        <f>IFERROR(LOOKUP(Y1-'[1]Natural gas&amp;Petroleum&amp;Coal'!$J$2,'[1]Natural gas&amp;Petroleum&amp;Coal'!$A$1:$A$45,'[1]Natural gas&amp;Petroleum&amp;Coal'!$B$1:$B$45),0)</f>
        <v>406.25</v>
      </c>
      <c r="Z3" s="11">
        <f>IFERROR(LOOKUP(Z1-'[1]Natural gas&amp;Petroleum&amp;Coal'!$J$2,'[1]Natural gas&amp;Petroleum&amp;Coal'!$A$1:$A$45,'[1]Natural gas&amp;Petroleum&amp;Coal'!$B$1:$B$45),0)</f>
        <v>406.25</v>
      </c>
      <c r="AA3" s="11">
        <f>IFERROR(LOOKUP(AA1-'[1]Natural gas&amp;Petroleum&amp;Coal'!$J$2,'[1]Natural gas&amp;Petroleum&amp;Coal'!$A$1:$A$45,'[1]Natural gas&amp;Petroleum&amp;Coal'!$B$1:$B$45),0)</f>
        <v>406.25</v>
      </c>
      <c r="AB3" s="11">
        <f>IFERROR(LOOKUP(AB1-'[1]Natural gas&amp;Petroleum&amp;Coal'!$J$2,'[1]Natural gas&amp;Petroleum&amp;Coal'!$A$1:$A$45,'[1]Natural gas&amp;Petroleum&amp;Coal'!$B$1:$B$45),0)</f>
        <v>0</v>
      </c>
      <c r="AC3" s="11">
        <f>IFERROR(LOOKUP(AC1-'[1]Natural gas&amp;Petroleum&amp;Coal'!$J$2,'[1]Natural gas&amp;Petroleum&amp;Coal'!$A$1:$A$45,'[1]Natural gas&amp;Petroleum&amp;Coal'!$B$1:$B$45),0)</f>
        <v>406.25</v>
      </c>
      <c r="AD3" s="11">
        <f>IFERROR(LOOKUP(AD1-'[1]Natural gas&amp;Petroleum&amp;Coal'!$J$2,'[1]Natural gas&amp;Petroleum&amp;Coal'!$A$1:$A$45,'[1]Natural gas&amp;Petroleum&amp;Coal'!$B$1:$B$45),0)</f>
        <v>406.25</v>
      </c>
      <c r="AE3" s="11">
        <f>IFERROR(LOOKUP(AE1-'[1]Natural gas&amp;Petroleum&amp;Coal'!$J$2,'[1]Natural gas&amp;Petroleum&amp;Coal'!$A$1:$A$45,'[1]Natural gas&amp;Petroleum&amp;Coal'!$B$1:$B$45),0)</f>
        <v>0</v>
      </c>
      <c r="AF3" s="11">
        <f>IFERROR(LOOKUP(AF1-'[1]Natural gas&amp;Petroleum&amp;Coal'!$J$2,'[1]Natural gas&amp;Petroleum&amp;Coal'!$A$1:$A$45,'[1]Natural gas&amp;Petroleum&amp;Coal'!$B$1:$B$45),0)</f>
        <v>1501.25</v>
      </c>
      <c r="AG3" s="11">
        <f>IFERROR(LOOKUP(AG1-'[1]Natural gas&amp;Petroleum&amp;Coal'!$J$2,'[1]Natural gas&amp;Petroleum&amp;Coal'!$A$1:$A$45,'[1]Natural gas&amp;Petroleum&amp;Coal'!$B$1:$B$45),0)</f>
        <v>0</v>
      </c>
      <c r="AH3" s="11">
        <f>IFERROR(LOOKUP(AH1-'[1]Natural gas&amp;Petroleum&amp;Coal'!$J$2,'[1]Natural gas&amp;Petroleum&amp;Coal'!$A$1:$A$45,'[1]Natural gas&amp;Petroleum&amp;Coal'!$B$1:$B$45),0)</f>
        <v>0</v>
      </c>
      <c r="AI3" s="11">
        <f>IFERROR(LOOKUP(AI1-'[1]Natural gas&amp;Petroleum&amp;Coal'!$J$2,'[1]Natural gas&amp;Petroleum&amp;Coal'!$A$1:$A$45,'[1]Natural gas&amp;Petroleum&amp;Coal'!$B$1:$B$45),0)</f>
        <v>0</v>
      </c>
      <c r="AJ3" s="11">
        <f>IFERROR(LOOKUP(AJ1-'[1]Natural gas&amp;Petroleum&amp;Coal'!$J$2,'[1]Natural gas&amp;Petroleum&amp;Coal'!$A$1:$A$45,'[1]Natural gas&amp;Petroleum&amp;Coal'!$B$1:$B$45),0)</f>
        <v>0</v>
      </c>
    </row>
    <row r="4" spans="1:37" customFormat="1">
      <c r="A4" t="s">
        <v>231</v>
      </c>
      <c r="B4" t="e">
        <f>SUMIF([1]Nuclear!$G:$G,[1]BCR!B1,[1]Nuclear!$C:$C)</f>
        <v>#VALUE!</v>
      </c>
      <c r="C4" t="e">
        <f>SUMIF([1]Nuclear!$G:$G,[1]BCR!C1,[1]Nuclear!$C:$C)</f>
        <v>#VALUE!</v>
      </c>
      <c r="D4" t="e">
        <f>SUMIF([1]Nuclear!$G:$G,[1]BCR!D1,[1]Nuclear!$C:$C)</f>
        <v>#VALUE!</v>
      </c>
      <c r="E4" t="e">
        <f>SUMIF([1]Nuclear!$G:$G,[1]BCR!E1,[1]Nuclear!$C:$C)</f>
        <v>#VALUE!</v>
      </c>
      <c r="F4" t="e">
        <f>SUMIF([1]Nuclear!$G:$G,[1]BCR!F1,[1]Nuclear!$C:$C)</f>
        <v>#VALUE!</v>
      </c>
      <c r="G4" t="e">
        <f>SUMIF([1]Nuclear!$G:$G,[1]BCR!G1,[1]Nuclear!$C:$C)</f>
        <v>#VALUE!</v>
      </c>
      <c r="H4" t="e">
        <f>SUMIF([1]Nuclear!$G:$G,[1]BCR!H1,[1]Nuclear!$C:$C)</f>
        <v>#VALUE!</v>
      </c>
      <c r="I4" t="e">
        <f>SUMIF([1]Nuclear!$G:$G,[1]BCR!I1,[1]Nuclear!$C:$C)</f>
        <v>#VALUE!</v>
      </c>
      <c r="J4" t="e">
        <f>SUMIF([1]Nuclear!$G:$G,[1]BCR!J1,[1]Nuclear!$C:$C)</f>
        <v>#VALUE!</v>
      </c>
      <c r="K4" t="e">
        <f>SUMIF([1]Nuclear!$G:$G,[1]BCR!K1,[1]Nuclear!$C:$C)</f>
        <v>#VALUE!</v>
      </c>
      <c r="L4" t="e">
        <f>SUMIF([1]Nuclear!$G:$G,[1]BCR!L1,[1]Nuclear!$C:$C)</f>
        <v>#VALUE!</v>
      </c>
      <c r="M4" t="e">
        <f>SUMIF([1]Nuclear!$G:$G,[1]BCR!M1,[1]Nuclear!$C:$C)</f>
        <v>#VALUE!</v>
      </c>
      <c r="N4" t="e">
        <f>SUMIF([1]Nuclear!$G:$G,[1]BCR!N1,[1]Nuclear!$C:$C)</f>
        <v>#VALUE!</v>
      </c>
      <c r="O4" t="e">
        <f>SUMIF([1]Nuclear!$G:$G,[1]BCR!O1,[1]Nuclear!$C:$C)</f>
        <v>#VALUE!</v>
      </c>
      <c r="P4" t="e">
        <f>SUMIF([1]Nuclear!$G:$G,[1]BCR!P1,[1]Nuclear!$C:$C)</f>
        <v>#VALUE!</v>
      </c>
      <c r="Q4" t="e">
        <f>SUMIF([1]Nuclear!$G:$G,[1]BCR!Q1,[1]Nuclear!$C:$C)</f>
        <v>#VALUE!</v>
      </c>
      <c r="R4" t="e">
        <f>SUMIF([1]Nuclear!$G:$G,[1]BCR!R1,[1]Nuclear!$C:$C)</f>
        <v>#VALUE!</v>
      </c>
      <c r="S4" t="e">
        <f>SUMIF([1]Nuclear!$G:$G,[1]BCR!S1,[1]Nuclear!$C:$C)</f>
        <v>#VALUE!</v>
      </c>
      <c r="T4" t="e">
        <f>SUMIF([1]Nuclear!$G:$G,[1]BCR!T1,[1]Nuclear!$C:$C)</f>
        <v>#VALUE!</v>
      </c>
      <c r="U4" t="e">
        <f>SUMIF([1]Nuclear!$G:$G,[1]BCR!U1,[1]Nuclear!$C:$C)</f>
        <v>#VALUE!</v>
      </c>
      <c r="V4" t="e">
        <f>SUMIF([1]Nuclear!$G:$G,[1]BCR!V1,[1]Nuclear!$C:$C)</f>
        <v>#VALUE!</v>
      </c>
      <c r="W4" t="e">
        <f>SUMIF([1]Nuclear!$G:$G,[1]BCR!W1,[1]Nuclear!$C:$C)</f>
        <v>#VALUE!</v>
      </c>
      <c r="X4" t="e">
        <f>SUMIF([1]Nuclear!$G:$G,[1]BCR!X1,[1]Nuclear!$C:$C)</f>
        <v>#VALUE!</v>
      </c>
      <c r="Y4" t="e">
        <f>SUMIF([1]Nuclear!$G:$G,[1]BCR!Y1,[1]Nuclear!$C:$C)</f>
        <v>#VALUE!</v>
      </c>
      <c r="Z4" t="e">
        <f>SUMIF([1]Nuclear!$G:$G,[1]BCR!Z1,[1]Nuclear!$C:$C)</f>
        <v>#VALUE!</v>
      </c>
      <c r="AA4" t="e">
        <f>SUMIF([1]Nuclear!$G:$G,[1]BCR!AA1,[1]Nuclear!$C:$C)</f>
        <v>#VALUE!</v>
      </c>
      <c r="AB4" t="e">
        <f>SUMIF([1]Nuclear!$G:$G,[1]BCR!AB1,[1]Nuclear!$C:$C)</f>
        <v>#VALUE!</v>
      </c>
      <c r="AC4" t="e">
        <f>SUMIF([1]Nuclear!$G:$G,[1]BCR!AC1,[1]Nuclear!$C:$C)</f>
        <v>#VALUE!</v>
      </c>
      <c r="AD4" t="e">
        <f>SUMIF([1]Nuclear!$G:$G,[1]BCR!AD1,[1]Nuclear!$C:$C)</f>
        <v>#VALUE!</v>
      </c>
      <c r="AE4" t="e">
        <f>SUMIF([1]Nuclear!$G:$G,[1]BCR!AE1,[1]Nuclear!$C:$C)</f>
        <v>#VALUE!</v>
      </c>
      <c r="AF4" t="e">
        <f>SUMIF([1]Nuclear!$G:$G,[1]BCR!AF1,[1]Nuclear!$C:$C)</f>
        <v>#VALUE!</v>
      </c>
      <c r="AG4" t="e">
        <f>SUMIF([1]Nuclear!$G:$G,[1]BCR!AG1,[1]Nuclear!$C:$C)</f>
        <v>#VALUE!</v>
      </c>
      <c r="AH4" t="e">
        <f>SUMIF([1]Nuclear!$G:$G,[1]BCR!AH1,[1]Nuclear!$C:$C)</f>
        <v>#VALUE!</v>
      </c>
      <c r="AI4" t="e">
        <f>SUMIF([1]Nuclear!$G:$G,[1]BCR!AI1,[1]Nuclear!$C:$C)</f>
        <v>#VALUE!</v>
      </c>
      <c r="AJ4" t="e">
        <f>SUMIF([1]Nuclear!$G:$G,[1]BCR!AJ1,[1]Nuclear!$C:$C)</f>
        <v>#VALUE!</v>
      </c>
      <c r="AK4" s="11"/>
    </row>
    <row r="5" spans="1:37">
      <c r="A5" s="10" t="s">
        <v>232</v>
      </c>
      <c r="B5" s="11">
        <v>0</v>
      </c>
      <c r="C5" s="11">
        <v>0</v>
      </c>
      <c r="D5" s="11">
        <v>0</v>
      </c>
      <c r="E5" s="11">
        <v>0</v>
      </c>
      <c r="F5" s="11">
        <v>0</v>
      </c>
      <c r="G5" s="11">
        <v>0</v>
      </c>
      <c r="H5" s="11">
        <v>0</v>
      </c>
      <c r="I5" s="11">
        <v>0</v>
      </c>
      <c r="J5" s="11">
        <v>0</v>
      </c>
      <c r="K5" s="11">
        <v>0</v>
      </c>
      <c r="L5" s="11">
        <v>0</v>
      </c>
      <c r="M5" s="11">
        <v>0</v>
      </c>
      <c r="N5" s="11">
        <v>0</v>
      </c>
      <c r="O5" s="11">
        <v>0</v>
      </c>
      <c r="P5" s="11">
        <v>0</v>
      </c>
      <c r="Q5" s="11">
        <v>0</v>
      </c>
      <c r="R5" s="11">
        <v>0</v>
      </c>
      <c r="S5" s="11">
        <v>0</v>
      </c>
      <c r="T5" s="11">
        <v>0</v>
      </c>
      <c r="U5" s="11">
        <v>0</v>
      </c>
      <c r="V5" s="11">
        <v>0</v>
      </c>
      <c r="W5" s="11">
        <v>0</v>
      </c>
      <c r="X5" s="11">
        <v>0</v>
      </c>
      <c r="Y5" s="11">
        <v>0</v>
      </c>
      <c r="Z5" s="11">
        <v>0</v>
      </c>
      <c r="AA5" s="11">
        <v>0</v>
      </c>
      <c r="AB5" s="11">
        <v>0</v>
      </c>
      <c r="AC5" s="11">
        <v>0</v>
      </c>
      <c r="AD5" s="11">
        <v>0</v>
      </c>
      <c r="AE5" s="11">
        <v>0</v>
      </c>
      <c r="AF5" s="11">
        <v>0</v>
      </c>
      <c r="AG5" s="11">
        <v>0.5</v>
      </c>
      <c r="AH5" s="11">
        <v>0</v>
      </c>
      <c r="AI5" s="11">
        <v>0</v>
      </c>
      <c r="AJ5" s="11">
        <v>0</v>
      </c>
    </row>
    <row r="6" spans="1:37">
      <c r="A6" s="10" t="s">
        <v>233</v>
      </c>
      <c r="B6" s="11">
        <f>[1]Wind!B2</f>
        <v>0</v>
      </c>
      <c r="C6" s="11">
        <f>[1]Wind!C2</f>
        <v>0</v>
      </c>
      <c r="D6" s="11">
        <f>[1]Wind!D2</f>
        <v>0</v>
      </c>
      <c r="E6" s="11">
        <f>[1]Wind!E2</f>
        <v>0</v>
      </c>
      <c r="F6" s="11">
        <f>[1]Wind!F2</f>
        <v>0</v>
      </c>
      <c r="G6" s="11">
        <f>[1]Wind!G2</f>
        <v>0</v>
      </c>
      <c r="H6" s="11">
        <f>[1]Wind!H2</f>
        <v>0</v>
      </c>
      <c r="I6" s="11">
        <f>[1]Wind!I2</f>
        <v>0</v>
      </c>
      <c r="J6" s="11">
        <f>[1]Wind!J2</f>
        <v>0</v>
      </c>
      <c r="K6" s="11">
        <f>[1]Wind!K2</f>
        <v>0</v>
      </c>
      <c r="L6" s="11">
        <f>[1]Wind!V2</f>
        <v>0.8</v>
      </c>
      <c r="M6" s="11">
        <f>[1]Wind!M2</f>
        <v>0</v>
      </c>
      <c r="N6" s="11">
        <f>[1]Wind!N2</f>
        <v>0</v>
      </c>
      <c r="O6" s="11">
        <f>[1]Wind!O2</f>
        <v>0</v>
      </c>
      <c r="P6" s="11">
        <f>[1]Wind!P2</f>
        <v>0</v>
      </c>
      <c r="Q6" s="11">
        <f>[1]Wind!Q2</f>
        <v>0</v>
      </c>
      <c r="R6" s="11">
        <f>[1]Wind!R2</f>
        <v>0</v>
      </c>
      <c r="S6" s="11">
        <f>[1]Wind!S2</f>
        <v>0</v>
      </c>
      <c r="T6" s="11">
        <f>[1]Wind!T2</f>
        <v>0</v>
      </c>
      <c r="U6" s="11">
        <f>[1]Wind!U2</f>
        <v>0</v>
      </c>
      <c r="V6" s="11">
        <f>[1]Wind!V2</f>
        <v>0.8</v>
      </c>
      <c r="W6" s="11">
        <f>[1]Wind!W2</f>
        <v>0</v>
      </c>
      <c r="X6" s="11">
        <f>[1]Wind!X2</f>
        <v>0</v>
      </c>
      <c r="Y6" s="11">
        <f>[1]Wind!Y2</f>
        <v>0</v>
      </c>
      <c r="Z6" s="11">
        <f>[1]Wind!Z2</f>
        <v>0</v>
      </c>
      <c r="AA6" s="11">
        <f>[1]Wind!AA2</f>
        <v>0</v>
      </c>
      <c r="AB6" s="11">
        <f>[1]Wind!AB2</f>
        <v>0</v>
      </c>
      <c r="AC6" s="11">
        <f>[1]Wind!AC2</f>
        <v>0</v>
      </c>
      <c r="AD6" s="11">
        <f>[1]Wind!AD2</f>
        <v>0</v>
      </c>
      <c r="AE6" s="11">
        <f>[1]Wind!AE2</f>
        <v>0</v>
      </c>
      <c r="AF6" s="11">
        <f>[1]Wind!AF2</f>
        <v>0</v>
      </c>
      <c r="AG6" s="11">
        <f>[1]Wind!AG2</f>
        <v>0</v>
      </c>
      <c r="AH6" s="11">
        <f>[1]Wind!AH2</f>
        <v>0</v>
      </c>
      <c r="AI6" s="11">
        <f>[1]Wind!AI2</f>
        <v>0</v>
      </c>
      <c r="AJ6" s="11">
        <f>[1]Wind!AJ2</f>
        <v>0</v>
      </c>
    </row>
    <row r="7" spans="1:37">
      <c r="A7" s="10" t="s">
        <v>234</v>
      </c>
      <c r="B7" s="11">
        <f>LOOKUP(B1-'[1]Solar pv'!$G$1,'[1]Solar pv'!$A:$A,'[1]Solar pv'!$B:$B)</f>
        <v>0</v>
      </c>
      <c r="C7" s="11">
        <f>LOOKUP(C1-'[1]Solar pv'!$G$1,'[1]Solar pv'!$A:$A,'[1]Solar pv'!$B:$B)</f>
        <v>0</v>
      </c>
      <c r="D7" s="11">
        <f>LOOKUP(D1-'[1]Solar pv'!$G$1,'[1]Solar pv'!$A:$A,'[1]Solar pv'!$B:$B)</f>
        <v>0</v>
      </c>
      <c r="E7" s="11">
        <f>LOOKUP(E1-'[1]Solar pv'!$G$1,'[1]Solar pv'!$A:$A,'[1]Solar pv'!$B:$B)</f>
        <v>0</v>
      </c>
      <c r="F7" s="11">
        <f>LOOKUP(F1-'[1]Solar pv'!$G$1,'[1]Solar pv'!$A:$A,'[1]Solar pv'!$B:$B)</f>
        <v>0</v>
      </c>
      <c r="G7" s="11">
        <f>LOOKUP(G1-'[1]Solar pv'!$G$1,'[1]Solar pv'!$A:$A,'[1]Solar pv'!$B:$B)</f>
        <v>0</v>
      </c>
      <c r="H7" s="11">
        <f>LOOKUP(H1-'[1]Solar pv'!$G$1,'[1]Solar pv'!$A:$A,'[1]Solar pv'!$B:$B)</f>
        <v>0</v>
      </c>
      <c r="I7" s="11">
        <f>LOOKUP(I1-'[1]Solar pv'!$G$1,'[1]Solar pv'!$A:$A,'[1]Solar pv'!$B:$B)</f>
        <v>0</v>
      </c>
      <c r="J7" s="11">
        <f>LOOKUP(J1-'[1]Solar pv'!$G$1,'[1]Solar pv'!$A:$A,'[1]Solar pv'!$B:$B)</f>
        <v>0</v>
      </c>
      <c r="K7" s="11">
        <f>LOOKUP(K1-'[1]Solar pv'!$G$1,'[1]Solar pv'!$A:$A,'[1]Solar pv'!$B:$B)</f>
        <v>0</v>
      </c>
      <c r="L7" s="11">
        <f>LOOKUP(L1-'[1]Solar pv'!$G$1,'[1]Solar pv'!$A:$A,'[1]Solar pv'!$B:$B)</f>
        <v>1.1000000000000001</v>
      </c>
      <c r="M7" s="11">
        <f>LOOKUP(M1-'[1]Solar pv'!$G$1,'[1]Solar pv'!$A:$A,'[1]Solar pv'!$B:$B)</f>
        <v>0</v>
      </c>
      <c r="N7" s="11">
        <f>LOOKUP(N1-'[1]Solar pv'!$G$1,'[1]Solar pv'!$A:$A,'[1]Solar pv'!$B:$B)</f>
        <v>3.8</v>
      </c>
      <c r="O7" s="11">
        <f>LOOKUP(O1-'[1]Solar pv'!$G$1,'[1]Solar pv'!$A:$A,'[1]Solar pv'!$B:$B)</f>
        <v>0</v>
      </c>
      <c r="P7" s="11">
        <f>LOOKUP(P1-'[1]Solar pv'!$G$1,'[1]Solar pv'!$A:$A,'[1]Solar pv'!$B:$B)</f>
        <v>0</v>
      </c>
      <c r="Q7" s="11">
        <f>LOOKUP(Q1-'[1]Solar pv'!$G$1,'[1]Solar pv'!$A:$A,'[1]Solar pv'!$B:$B)</f>
        <v>0</v>
      </c>
      <c r="R7" s="11">
        <f>LOOKUP(R1-'[1]Solar pv'!$G$1,'[1]Solar pv'!$A:$A,'[1]Solar pv'!$B:$B)</f>
        <v>0</v>
      </c>
      <c r="S7" s="11">
        <f>LOOKUP(S1-'[1]Solar pv'!$G$1,'[1]Solar pv'!$A:$A,'[1]Solar pv'!$B:$B)</f>
        <v>0.1</v>
      </c>
      <c r="T7" s="11">
        <f>LOOKUP(T1-'[1]Solar pv'!$G$1,'[1]Solar pv'!$A:$A,'[1]Solar pv'!$B:$B)</f>
        <v>0</v>
      </c>
      <c r="U7" s="11">
        <f>LOOKUP(U1-'[1]Solar pv'!$G$1,'[1]Solar pv'!$A:$A,'[1]Solar pv'!$B:$B)</f>
        <v>0</v>
      </c>
      <c r="V7" s="11">
        <f>LOOKUP(V1-'[1]Solar pv'!$G$1,'[1]Solar pv'!$A:$A,'[1]Solar pv'!$B:$B)</f>
        <v>18.3</v>
      </c>
      <c r="W7" s="11">
        <f>LOOKUP(W1-'[1]Solar pv'!$G$1,'[1]Solar pv'!$A:$A,'[1]Solar pv'!$B:$B)</f>
        <v>0.3</v>
      </c>
      <c r="X7" s="11">
        <f>LOOKUP(X1-'[1]Solar pv'!$G$1,'[1]Solar pv'!$A:$A,'[1]Solar pv'!$B:$B)</f>
        <v>0.9</v>
      </c>
      <c r="Y7" s="11">
        <f>LOOKUP(Y1-'[1]Solar pv'!$G$1,'[1]Solar pv'!$A:$A,'[1]Solar pv'!$B:$B)</f>
        <v>0</v>
      </c>
      <c r="Z7" s="11">
        <f>LOOKUP(Z1-'[1]Solar pv'!$G$1,'[1]Solar pv'!$A:$A,'[1]Solar pv'!$B:$B)</f>
        <v>0</v>
      </c>
      <c r="AA7" s="11">
        <f>LOOKUP(AA1-'[1]Solar pv'!$G$1,'[1]Solar pv'!$A:$A,'[1]Solar pv'!$B:$B)</f>
        <v>0</v>
      </c>
      <c r="AB7" s="11">
        <f>LOOKUP(AB1-'[1]Solar pv'!$G$1,'[1]Solar pv'!$A:$A,'[1]Solar pv'!$B:$B)</f>
        <v>0</v>
      </c>
      <c r="AC7" s="11">
        <f>LOOKUP(AC1-'[1]Solar pv'!$G$1,'[1]Solar pv'!$A:$A,'[1]Solar pv'!$B:$B)</f>
        <v>0.15</v>
      </c>
      <c r="AD7" s="11">
        <f>LOOKUP(AD1-'[1]Solar pv'!$G$1,'[1]Solar pv'!$A:$A,'[1]Solar pv'!$B:$B)</f>
        <v>0</v>
      </c>
      <c r="AE7" s="11">
        <f>LOOKUP(AE1-'[1]Solar pv'!$G$1,'[1]Solar pv'!$A:$A,'[1]Solar pv'!$B:$B)</f>
        <v>0</v>
      </c>
      <c r="AF7" s="11">
        <f>LOOKUP(AF1-'[1]Solar pv'!$G$1,'[1]Solar pv'!$A:$A,'[1]Solar pv'!$B:$B)</f>
        <v>0</v>
      </c>
      <c r="AG7" s="11">
        <f>LOOKUP(AG1-'[1]Solar pv'!$G$1,'[1]Solar pv'!$A:$A,'[1]Solar pv'!$B:$B)</f>
        <v>0</v>
      </c>
      <c r="AH7" s="11">
        <f>LOOKUP(AH1-'[1]Solar pv'!$G$1,'[1]Solar pv'!$A:$A,'[1]Solar pv'!$B:$B)</f>
        <v>0</v>
      </c>
      <c r="AI7" s="11">
        <f>LOOKUP(AI1-'[1]Solar pv'!$G$1,'[1]Solar pv'!$A:$A,'[1]Solar pv'!$B:$B)</f>
        <v>0</v>
      </c>
      <c r="AJ7" s="11">
        <f>LOOKUP(AJ1-'[1]Solar pv'!$G$1,'[1]Solar pv'!$A:$A,'[1]Solar pv'!$B:$B)</f>
        <v>0</v>
      </c>
    </row>
    <row r="8" spans="1:37" s="31" customFormat="1">
      <c r="A8" s="30" t="s">
        <v>235</v>
      </c>
      <c r="B8" s="31" t="e">
        <f>SUMIF('[1]Solar thermal '!$E$2:$E$24,[1]BCR!B1-'[1]Solar thermal '!$I$1,'[1]Solar thermal '!$B$2:$B$24)</f>
        <v>#VALUE!</v>
      </c>
      <c r="C8" s="31" t="e">
        <f>SUMIF('[1]Solar thermal '!$E$2:$E$24,[1]BCR!C1-'[1]Solar thermal '!$I$1,'[1]Solar thermal '!$B$2:$B$24)</f>
        <v>#VALUE!</v>
      </c>
      <c r="D8" s="31" t="e">
        <f>SUMIF('[1]Solar thermal '!$E$2:$E$24,[1]BCR!D1-'[1]Solar thermal '!$I$1,'[1]Solar thermal '!$B$2:$B$24)</f>
        <v>#VALUE!</v>
      </c>
      <c r="E8" s="31" t="e">
        <f>SUMIF('[1]Solar thermal '!$E$2:$E$24,[1]BCR!E1-'[1]Solar thermal '!$I$1,'[1]Solar thermal '!$B$2:$B$24)</f>
        <v>#VALUE!</v>
      </c>
      <c r="F8" s="31" t="e">
        <f>SUMIF('[1]Solar thermal '!$E$2:$E$24,[1]BCR!F1-'[1]Solar thermal '!$I$1,'[1]Solar thermal '!$B$2:$B$24)</f>
        <v>#VALUE!</v>
      </c>
      <c r="G8" s="31" t="e">
        <f>SUMIF('[1]Solar thermal '!$E$2:$E$24,[1]BCR!G1-'[1]Solar thermal '!$I$1,'[1]Solar thermal '!$B$2:$B$24)</f>
        <v>#VALUE!</v>
      </c>
      <c r="H8" s="31" t="e">
        <f>SUMIF('[1]Solar thermal '!$E$2:$E$24,[1]BCR!H1-'[1]Solar thermal '!$I$1,'[1]Solar thermal '!$B$2:$B$24)</f>
        <v>#VALUE!</v>
      </c>
      <c r="I8" s="31" t="e">
        <f>SUMIF('[1]Solar thermal '!$E$2:$E$24,[1]BCR!I1-'[1]Solar thermal '!$I$1,'[1]Solar thermal '!$B$2:$B$24)</f>
        <v>#VALUE!</v>
      </c>
      <c r="J8" s="31" t="e">
        <f>SUMIF('[1]Solar thermal '!$E$2:$E$24,[1]BCR!J1-'[1]Solar thermal '!$I$1,'[1]Solar thermal '!$B$2:$B$24)</f>
        <v>#VALUE!</v>
      </c>
      <c r="K8" s="31" t="e">
        <f>SUMIF('[1]Solar thermal '!$E$2:$E$24,[1]BCR!K1-'[1]Solar thermal '!$I$1,'[1]Solar thermal '!$B$2:$B$24)</f>
        <v>#VALUE!</v>
      </c>
      <c r="L8" s="31" t="e">
        <f>SUMIF('[1]Solar thermal '!$E$2:$E$24,[1]BCR!L1-'[1]Solar thermal '!$I$1,'[1]Solar thermal '!$B$2:$B$24)</f>
        <v>#VALUE!</v>
      </c>
      <c r="M8" s="31" t="e">
        <f>SUMIF('[1]Solar thermal '!$E$2:$E$24,[1]BCR!M1-'[1]Solar thermal '!$I$1,'[1]Solar thermal '!$B$2:$B$24)</f>
        <v>#VALUE!</v>
      </c>
      <c r="N8" s="31" t="e">
        <f>SUMIF('[1]Solar thermal '!$E$2:$E$24,[1]BCR!N1-'[1]Solar thermal '!$I$1,'[1]Solar thermal '!$B$2:$B$24)</f>
        <v>#VALUE!</v>
      </c>
      <c r="O8" s="31" t="e">
        <f>SUMIF('[1]Solar thermal '!$E$2:$E$24,[1]BCR!O1-'[1]Solar thermal '!$I$1,'[1]Solar thermal '!$B$2:$B$24)</f>
        <v>#VALUE!</v>
      </c>
      <c r="P8" s="31" t="e">
        <f>SUMIF('[1]Solar thermal '!$E$2:$E$24,[1]BCR!P1-'[1]Solar thermal '!$I$1,'[1]Solar thermal '!$B$2:$B$24)</f>
        <v>#VALUE!</v>
      </c>
      <c r="Q8" s="31" t="e">
        <f>SUMIF('[1]Solar thermal '!$E$2:$E$24,[1]BCR!Q1-'[1]Solar thermal '!$I$1,'[1]Solar thermal '!$B$2:$B$24)</f>
        <v>#VALUE!</v>
      </c>
      <c r="R8" s="31" t="e">
        <f>SUMIF('[1]Solar thermal '!$E$2:$E$24,[1]BCR!R1-'[1]Solar thermal '!$I$1,'[1]Solar thermal '!$B$2:$B$24)</f>
        <v>#VALUE!</v>
      </c>
      <c r="S8" s="31" t="e">
        <f>SUMIF('[1]Solar thermal '!$E$2:$E$24,[1]BCR!S1-'[1]Solar thermal '!$I$1,'[1]Solar thermal '!$B$2:$B$24)</f>
        <v>#VALUE!</v>
      </c>
      <c r="T8" s="31" t="e">
        <f>SUMIF('[1]Solar thermal '!$E$2:$E$24,[1]BCR!T1-'[1]Solar thermal '!$I$1,'[1]Solar thermal '!$B$2:$B$24)</f>
        <v>#VALUE!</v>
      </c>
      <c r="U8" s="31" t="e">
        <f>SUMIF('[1]Solar thermal '!$E$2:$E$24,[1]BCR!U1-'[1]Solar thermal '!$I$1,'[1]Solar thermal '!$B$2:$B$24)</f>
        <v>#VALUE!</v>
      </c>
      <c r="V8" s="31" t="e">
        <f>SUMIF('[1]Solar thermal '!$E$2:$E$24,[1]BCR!V1-'[1]Solar thermal '!$I$1,'[1]Solar thermal '!$B$2:$B$24)</f>
        <v>#VALUE!</v>
      </c>
      <c r="W8" s="31" t="e">
        <f>SUMIF('[1]Solar thermal '!$E$2:$E$24,[1]BCR!W1-'[1]Solar thermal '!$I$1,'[1]Solar thermal '!$B$2:$B$24)</f>
        <v>#VALUE!</v>
      </c>
      <c r="X8" s="31" t="e">
        <f>SUMIF('[1]Solar thermal '!$E$2:$E$24,[1]BCR!X1-'[1]Solar thermal '!$I$1,'[1]Solar thermal '!$B$2:$B$24)</f>
        <v>#VALUE!</v>
      </c>
      <c r="Y8" s="31" t="e">
        <f>SUMIF('[1]Solar thermal '!$E$2:$E$24,[1]BCR!Y1-'[1]Solar thermal '!$I$1,'[1]Solar thermal '!$B$2:$B$24)</f>
        <v>#VALUE!</v>
      </c>
      <c r="Z8" s="31" t="e">
        <f>SUMIF('[1]Solar thermal '!$E$2:$E$24,[1]BCR!Z1-'[1]Solar thermal '!$I$1,'[1]Solar thermal '!$B$2:$B$24)</f>
        <v>#VALUE!</v>
      </c>
      <c r="AA8" s="31" t="e">
        <f>SUMIF('[1]Solar thermal '!$E$2:$E$24,[1]BCR!AA1-'[1]Solar thermal '!$I$1,'[1]Solar thermal '!$B$2:$B$24)</f>
        <v>#VALUE!</v>
      </c>
      <c r="AB8" s="31" t="e">
        <f>SUMIF('[1]Solar thermal '!$E$2:$E$24,[1]BCR!AB1-'[1]Solar thermal '!$I$1,'[1]Solar thermal '!$B$2:$B$24)</f>
        <v>#VALUE!</v>
      </c>
      <c r="AC8" s="31" t="e">
        <f>SUMIF('[1]Solar thermal '!$E$2:$E$24,[1]BCR!AC1-'[1]Solar thermal '!$I$1,'[1]Solar thermal '!$B$2:$B$24)</f>
        <v>#VALUE!</v>
      </c>
      <c r="AD8" s="31" t="e">
        <f>SUMIF('[1]Solar thermal '!$E$2:$E$24,[1]BCR!AD1-'[1]Solar thermal '!$I$1,'[1]Solar thermal '!$B$2:$B$24)</f>
        <v>#VALUE!</v>
      </c>
      <c r="AE8" s="31" t="e">
        <f>SUMIF('[1]Solar thermal '!$E$2:$E$24,[1]BCR!AE1-'[1]Solar thermal '!$I$1,'[1]Solar thermal '!$B$2:$B$24)</f>
        <v>#VALUE!</v>
      </c>
      <c r="AF8" s="31" t="e">
        <f>SUMIF('[1]Solar thermal '!$E$2:$E$24,[1]BCR!AF1-'[1]Solar thermal '!$I$1,'[1]Solar thermal '!$B$2:$B$24)</f>
        <v>#VALUE!</v>
      </c>
      <c r="AG8" s="31" t="e">
        <f>SUMIF('[1]Solar thermal '!$E$2:$E$24,[1]BCR!AG1-'[1]Solar thermal '!$I$1,'[1]Solar thermal '!$B$2:$B$24)</f>
        <v>#VALUE!</v>
      </c>
      <c r="AH8" s="31" t="e">
        <f>SUMIF('[1]Solar thermal '!$E$2:$E$24,[1]BCR!AH1-'[1]Solar thermal '!$I$1,'[1]Solar thermal '!$B$2:$B$24)</f>
        <v>#VALUE!</v>
      </c>
      <c r="AI8" s="31" t="e">
        <f>SUMIF('[1]Solar thermal '!$E$2:$E$24,[1]BCR!AI1-'[1]Solar thermal '!$I$1,'[1]Solar thermal '!$B$2:$B$24)</f>
        <v>#VALUE!</v>
      </c>
      <c r="AJ8" s="31" t="e">
        <f>SUMIF('[1]Solar thermal '!$E$2:$E$24,[1]BCR!AJ1-'[1]Solar thermal '!$I$1,'[1]Solar thermal '!$B$2:$B$24)</f>
        <v>#VALUE!</v>
      </c>
      <c r="AK8" s="11"/>
    </row>
    <row r="9" spans="1:37">
      <c r="A9" s="10" t="s">
        <v>236</v>
      </c>
      <c r="B9" s="11">
        <f>IFERROR(LOOKUP(B1-[1]Biomass!$F$1,[1]Biomass!$A$3:$A$17,[1]Biomass!$C$3:$C$17),0)</f>
        <v>0</v>
      </c>
      <c r="C9" s="11">
        <f>IFERROR(LOOKUP(C1-[1]Biomass!$F$1,[1]Biomass!$A$3:$A$17,[1]Biomass!$C$3:$C$17),0)</f>
        <v>0</v>
      </c>
      <c r="D9" s="11">
        <f>IFERROR(LOOKUP(D1-[1]Biomass!$F$1,[1]Biomass!$A$3:$A$17,[1]Biomass!$C$3:$C$17),0)</f>
        <v>0</v>
      </c>
      <c r="E9" s="11">
        <f>IFERROR(LOOKUP(E1-[1]Biomass!$F$1,[1]Biomass!$A$3:$A$17,[1]Biomass!$C$3:$C$17),0)</f>
        <v>0</v>
      </c>
      <c r="F9" s="11">
        <f>IFERROR(LOOKUP(F1-[1]Biomass!$F$1,[1]Biomass!$A$3:$A$17,[1]Biomass!$C$3:$C$17),0)</f>
        <v>0</v>
      </c>
      <c r="G9" s="11">
        <f>IFERROR(LOOKUP(G1-[1]Biomass!$F$1,[1]Biomass!$A$3:$A$17,[1]Biomass!$C$3:$C$17),0)</f>
        <v>0</v>
      </c>
      <c r="H9" s="11">
        <f>IFERROR(LOOKUP(H1-[1]Biomass!$F$1,[1]Biomass!$A$3:$A$17,[1]Biomass!$C$3:$C$17),0)</f>
        <v>0</v>
      </c>
      <c r="I9" s="11">
        <f>IFERROR(LOOKUP(I1-[1]Biomass!$F$1,[1]Biomass!$A$3:$A$17,[1]Biomass!$C$3:$C$17),0)</f>
        <v>0</v>
      </c>
      <c r="J9" s="11">
        <f>IFERROR(LOOKUP(J1-[1]Biomass!$F$1,[1]Biomass!$A$3:$A$17,[1]Biomass!$C$3:$C$17),0)</f>
        <v>0</v>
      </c>
      <c r="K9" s="11">
        <f>IFERROR(LOOKUP(K1-[1]Biomass!$F$1,[1]Biomass!$A$3:$A$17,[1]Biomass!$C$3:$C$17),0)</f>
        <v>0</v>
      </c>
      <c r="L9" s="11">
        <f>IFERROR(LOOKUP(L1-[1]Biomass!$F$1,[1]Biomass!$A$3:$A$17,[1]Biomass!$C$3:$C$17),0)</f>
        <v>0</v>
      </c>
      <c r="M9" s="11">
        <f>IFERROR(LOOKUP(M1-[1]Biomass!$F$1,[1]Biomass!$A$3:$A$17,[1]Biomass!$C$3:$C$17),0)</f>
        <v>0</v>
      </c>
      <c r="N9" s="11">
        <f>IFERROR(LOOKUP(N1-[1]Biomass!$F$1,[1]Biomass!$A$3:$A$17,[1]Biomass!$C$3:$C$17),0)</f>
        <v>0</v>
      </c>
      <c r="O9" s="11">
        <f>IFERROR(LOOKUP(O1-[1]Biomass!$F$1,[1]Biomass!$A$3:$A$17,[1]Biomass!$C$3:$C$17),0)</f>
        <v>0</v>
      </c>
      <c r="P9" s="11">
        <f>IFERROR(LOOKUP(P1-[1]Biomass!$F$1,[1]Biomass!$A$3:$A$17,[1]Biomass!$C$3:$C$17),0)</f>
        <v>0</v>
      </c>
      <c r="Q9" s="11">
        <f>IFERROR(LOOKUP(Q1-[1]Biomass!$F$1,[1]Biomass!$A$3:$A$17,[1]Biomass!$C$3:$C$17),0)</f>
        <v>0</v>
      </c>
      <c r="R9" s="11">
        <f>IFERROR(LOOKUP(R1-[1]Biomass!$F$1,[1]Biomass!$A$3:$A$17,[1]Biomass!$C$3:$C$17),0)</f>
        <v>0</v>
      </c>
      <c r="S9" s="11">
        <f>IFERROR(LOOKUP(S1-[1]Biomass!$F$1,[1]Biomass!$A$3:$A$17,[1]Biomass!$C$3:$C$17),0)</f>
        <v>0</v>
      </c>
      <c r="T9" s="11">
        <f>IFERROR(LOOKUP(T1-[1]Biomass!$F$1,[1]Biomass!$A$3:$A$17,[1]Biomass!$C$3:$C$17),0)</f>
        <v>0</v>
      </c>
      <c r="U9" s="11">
        <f>IFERROR(LOOKUP(U1-[1]Biomass!$F$1,[1]Biomass!$A$3:$A$17,[1]Biomass!$C$3:$C$17),0)</f>
        <v>0</v>
      </c>
      <c r="V9" s="11">
        <f>IFERROR(LOOKUP(V1-[1]Biomass!$F$1,[1]Biomass!$A$3:$A$17,[1]Biomass!$C$3:$C$17),0)</f>
        <v>0</v>
      </c>
      <c r="W9" s="11">
        <f>IFERROR(LOOKUP(W1-[1]Biomass!$F$1,[1]Biomass!$A$3:$A$17,[1]Biomass!$C$3:$C$17),0)</f>
        <v>0</v>
      </c>
      <c r="X9" s="11">
        <f>IFERROR(LOOKUP(X1-[1]Biomass!$F$1,[1]Biomass!$A$3:$A$17,[1]Biomass!$C$3:$C$17),0)</f>
        <v>0</v>
      </c>
      <c r="Y9" s="11">
        <f>IFERROR(LOOKUP(Y1-[1]Biomass!$F$1,[1]Biomass!$A$3:$A$17,[1]Biomass!$C$3:$C$17),0)</f>
        <v>0</v>
      </c>
      <c r="Z9" s="11">
        <f>IFERROR(LOOKUP(Z1-[1]Biomass!$F$1,[1]Biomass!$A$3:$A$17,[1]Biomass!$C$3:$C$17),0)</f>
        <v>0</v>
      </c>
      <c r="AA9" s="11">
        <f>IFERROR(LOOKUP(AA1-[1]Biomass!$F$1,[1]Biomass!$A$3:$A$17,[1]Biomass!$C$3:$C$17),0)</f>
        <v>0</v>
      </c>
      <c r="AB9" s="11">
        <f>IFERROR(LOOKUP(AB1-[1]Biomass!$F$1,[1]Biomass!$A$3:$A$17,[1]Biomass!$C$3:$C$17),0)</f>
        <v>0</v>
      </c>
      <c r="AC9" s="11">
        <f>IFERROR(LOOKUP(AC1-[1]Biomass!$F$1,[1]Biomass!$A$3:$A$17,[1]Biomass!$C$3:$C$17),0)</f>
        <v>0</v>
      </c>
      <c r="AD9" s="11">
        <f>IFERROR(LOOKUP(AD1-[1]Biomass!$F$1,[1]Biomass!$A$3:$A$17,[1]Biomass!$C$3:$C$17),0)</f>
        <v>0</v>
      </c>
      <c r="AE9" s="11">
        <f>IFERROR(LOOKUP(AE1-[1]Biomass!$F$1,[1]Biomass!$A$3:$A$17,[1]Biomass!$C$3:$C$17),0)</f>
        <v>0</v>
      </c>
      <c r="AF9" s="11">
        <f>IFERROR(LOOKUP(AF1-[1]Biomass!$F$1,[1]Biomass!$A$3:$A$17,[1]Biomass!$C$3:$C$17),0)</f>
        <v>0</v>
      </c>
      <c r="AG9" s="11">
        <f>IFERROR(LOOKUP(AG1-[1]Biomass!$F$1,[1]Biomass!$A$3:$A$17,[1]Biomass!$C$3:$C$17),0)</f>
        <v>0</v>
      </c>
      <c r="AH9" s="11">
        <f>IFERROR(LOOKUP(AH1-[1]Biomass!$F$1,[1]Biomass!$A$3:$A$17,[1]Biomass!$C$3:$C$17),0)</f>
        <v>0</v>
      </c>
      <c r="AI9" s="11">
        <f>IFERROR(LOOKUP(AI1-[1]Biomass!$F$1,[1]Biomass!$A$3:$A$17,[1]Biomass!$C$3:$C$17),0)</f>
        <v>10</v>
      </c>
      <c r="AJ9" s="11">
        <f>IFERROR(LOOKUP(AJ1-[1]Biomass!$F$1,[1]Biomass!$A$3:$A$17,[1]Biomass!$C$3:$C$17),0)</f>
        <v>0</v>
      </c>
    </row>
    <row r="10" spans="1:37" s="31" customFormat="1">
      <c r="A10" s="30" t="s">
        <v>237</v>
      </c>
      <c r="B10" s="31" t="e">
        <f>SUMIF([1]Geothermal!$F$2:$F$16,[1]BCR!B1,[1]Geothermal!$C$2:$C$16)</f>
        <v>#VALUE!</v>
      </c>
      <c r="C10" s="31" t="e">
        <f>SUMIF([1]Geothermal!$F$2:$F$16,[1]BCR!C1,[1]Geothermal!$C$2:$C$16)</f>
        <v>#VALUE!</v>
      </c>
      <c r="D10" s="31" t="e">
        <f>SUMIF([1]Geothermal!$F$2:$F$16,[1]BCR!D1,[1]Geothermal!$C$2:$C$16)</f>
        <v>#VALUE!</v>
      </c>
      <c r="E10" s="31" t="e">
        <f>SUMIF([1]Geothermal!$F$2:$F$16,[1]BCR!E1,[1]Geothermal!$C$2:$C$16)</f>
        <v>#VALUE!</v>
      </c>
      <c r="F10" s="31" t="e">
        <f>SUMIF([1]Geothermal!$F$2:$F$16,[1]BCR!F1,[1]Geothermal!$C$2:$C$16)</f>
        <v>#VALUE!</v>
      </c>
      <c r="G10" s="31" t="e">
        <f>SUMIF([1]Geothermal!$F$2:$F$16,[1]BCR!G1,[1]Geothermal!$C$2:$C$16)</f>
        <v>#VALUE!</v>
      </c>
      <c r="H10" s="31" t="e">
        <f>SUMIF([1]Geothermal!$F$2:$F$16,[1]BCR!H1,[1]Geothermal!$C$2:$C$16)</f>
        <v>#VALUE!</v>
      </c>
      <c r="I10" s="31" t="e">
        <f>SUMIF([1]Geothermal!$F$2:$F$16,[1]BCR!I1,[1]Geothermal!$C$2:$C$16)</f>
        <v>#VALUE!</v>
      </c>
      <c r="J10" s="31" t="e">
        <f>SUMIF([1]Geothermal!$F$2:$F$16,[1]BCR!J1,[1]Geothermal!$C$2:$C$16)</f>
        <v>#VALUE!</v>
      </c>
      <c r="K10" s="31" t="e">
        <f>SUMIF([1]Geothermal!$F$2:$F$16,[1]BCR!K1,[1]Geothermal!$C$2:$C$16)</f>
        <v>#VALUE!</v>
      </c>
      <c r="L10" s="31" t="e">
        <f>SUMIF([1]Geothermal!$F$2:$F$16,[1]BCR!L1,[1]Geothermal!$C$2:$C$16)</f>
        <v>#VALUE!</v>
      </c>
      <c r="M10" s="31" t="e">
        <f>SUMIF([1]Geothermal!$F$2:$F$16,[1]BCR!M1,[1]Geothermal!$C$2:$C$16)</f>
        <v>#VALUE!</v>
      </c>
      <c r="N10" s="31" t="e">
        <f>SUMIF([1]Geothermal!$F$2:$F$16,[1]BCR!N1,[1]Geothermal!$C$2:$C$16)</f>
        <v>#VALUE!</v>
      </c>
      <c r="O10" s="31" t="e">
        <f>SUMIF([1]Geothermal!$F$2:$F$16,[1]BCR!O1,[1]Geothermal!$C$2:$C$16)</f>
        <v>#VALUE!</v>
      </c>
      <c r="P10" s="31" t="e">
        <f>SUMIF([1]Geothermal!$F$2:$F$16,[1]BCR!P1,[1]Geothermal!$C$2:$C$16)</f>
        <v>#VALUE!</v>
      </c>
      <c r="Q10" s="31" t="e">
        <f>SUMIF([1]Geothermal!$F$2:$F$16,[1]BCR!Q1,[1]Geothermal!$C$2:$C$16)</f>
        <v>#VALUE!</v>
      </c>
      <c r="R10" s="31" t="e">
        <f>SUMIF([1]Geothermal!$F$2:$F$16,[1]BCR!R1,[1]Geothermal!$C$2:$C$16)</f>
        <v>#VALUE!</v>
      </c>
      <c r="S10" s="31" t="e">
        <f>SUMIF([1]Geothermal!$F$2:$F$16,[1]BCR!S1,[1]Geothermal!$C$2:$C$16)</f>
        <v>#VALUE!</v>
      </c>
      <c r="T10" s="31" t="e">
        <f>SUMIF([1]Geothermal!$F$2:$F$16,[1]BCR!T1,[1]Geothermal!$C$2:$C$16)</f>
        <v>#VALUE!</v>
      </c>
      <c r="U10" s="31" t="e">
        <f>SUMIF([1]Geothermal!$F$2:$F$16,[1]BCR!U1,[1]Geothermal!$C$2:$C$16)</f>
        <v>#VALUE!</v>
      </c>
      <c r="V10" s="31" t="e">
        <f>SUMIF([1]Geothermal!$F$2:$F$16,[1]BCR!V1,[1]Geothermal!$C$2:$C$16)</f>
        <v>#VALUE!</v>
      </c>
      <c r="W10" s="31" t="e">
        <f>SUMIF([1]Geothermal!$F$2:$F$16,[1]BCR!W1,[1]Geothermal!$C$2:$C$16)</f>
        <v>#VALUE!</v>
      </c>
      <c r="X10" s="31" t="e">
        <f>SUMIF([1]Geothermal!$F$2:$F$16,[1]BCR!X1,[1]Geothermal!$C$2:$C$16)</f>
        <v>#VALUE!</v>
      </c>
      <c r="Y10" s="31" t="e">
        <f>SUMIF([1]Geothermal!$F$2:$F$16,[1]BCR!Y1,[1]Geothermal!$C$2:$C$16)</f>
        <v>#VALUE!</v>
      </c>
      <c r="Z10" s="31" t="e">
        <f>SUMIF([1]Geothermal!$F$2:$F$16,[1]BCR!Z1,[1]Geothermal!$C$2:$C$16)</f>
        <v>#VALUE!</v>
      </c>
      <c r="AA10" s="31" t="e">
        <f>SUMIF([1]Geothermal!$F$2:$F$16,[1]BCR!AA1,[1]Geothermal!$C$2:$C$16)</f>
        <v>#VALUE!</v>
      </c>
      <c r="AB10" s="31" t="e">
        <f>SUMIF([1]Geothermal!$F$2:$F$16,[1]BCR!AB1,[1]Geothermal!$C$2:$C$16)</f>
        <v>#VALUE!</v>
      </c>
      <c r="AC10" s="31" t="e">
        <f>SUMIF([1]Geothermal!$F$2:$F$16,[1]BCR!AC1,[1]Geothermal!$C$2:$C$16)</f>
        <v>#VALUE!</v>
      </c>
      <c r="AD10" s="31" t="e">
        <f>SUMIF([1]Geothermal!$F$2:$F$16,[1]BCR!AD1,[1]Geothermal!$C$2:$C$16)</f>
        <v>#VALUE!</v>
      </c>
      <c r="AE10" s="31" t="e">
        <f>SUMIF([1]Geothermal!$F$2:$F$16,[1]BCR!AE1,[1]Geothermal!$C$2:$C$16)</f>
        <v>#VALUE!</v>
      </c>
      <c r="AF10" s="31" t="e">
        <f>SUMIF([1]Geothermal!$F$2:$F$16,[1]BCR!AF1,[1]Geothermal!$C$2:$C$16)</f>
        <v>#VALUE!</v>
      </c>
      <c r="AG10" s="31" t="e">
        <f>SUMIF([1]Geothermal!$F$2:$F$16,[1]BCR!AG1,[1]Geothermal!$C$2:$C$16)</f>
        <v>#VALUE!</v>
      </c>
      <c r="AH10" s="31" t="e">
        <f>SUMIF([1]Geothermal!$F$2:$F$16,[1]BCR!AH1,[1]Geothermal!$C$2:$C$16)</f>
        <v>#VALUE!</v>
      </c>
      <c r="AI10" s="31" t="e">
        <f>SUMIF([1]Geothermal!$F$2:$F$16,[1]BCR!AI1,[1]Geothermal!$C$2:$C$16)</f>
        <v>#VALUE!</v>
      </c>
      <c r="AJ10" s="31" t="e">
        <f>SUMIF([1]Geothermal!$F$2:$F$16,[1]BCR!AJ1,[1]Geothermal!$C$2:$C$16)</f>
        <v>#VALUE!</v>
      </c>
      <c r="AK10" s="11"/>
    </row>
    <row r="11" spans="1:37">
      <c r="A11" s="10" t="s">
        <v>238</v>
      </c>
      <c r="B11" s="11">
        <f>IFERROR(LOOKUP(B1-'[1]Natural gas&amp;Petroleum&amp;Coal'!$J$3,'[1]Natural gas&amp;Petroleum&amp;Coal'!$A$1:$A$45,'[1]Natural gas&amp;Petroleum&amp;Coal'!$D$1:$D$45),0)</f>
        <v>0</v>
      </c>
      <c r="C11" s="11">
        <f>IFERROR(LOOKUP(C1-'[1]Natural gas&amp;Petroleum&amp;Coal'!$J$3,'[1]Natural gas&amp;Petroleum&amp;Coal'!$A$1:$A$45,'[1]Natural gas&amp;Petroleum&amp;Coal'!$D$1:$D$45),0)</f>
        <v>0</v>
      </c>
      <c r="D11" s="11">
        <f>IFERROR(LOOKUP(D1-'[1]Natural gas&amp;Petroleum&amp;Coal'!$J$3,'[1]Natural gas&amp;Petroleum&amp;Coal'!$A$1:$A$45,'[1]Natural gas&amp;Petroleum&amp;Coal'!$D$1:$D$45),0)</f>
        <v>0</v>
      </c>
      <c r="E11" s="11">
        <f>IFERROR(LOOKUP(E1-'[1]Natural gas&amp;Petroleum&amp;Coal'!$J$3,'[1]Natural gas&amp;Petroleum&amp;Coal'!$A$1:$A$45,'[1]Natural gas&amp;Petroleum&amp;Coal'!$D$1:$D$45),0)</f>
        <v>0</v>
      </c>
      <c r="F11" s="11">
        <f>IFERROR(LOOKUP(F1-'[1]Natural gas&amp;Petroleum&amp;Coal'!$J$3,'[1]Natural gas&amp;Petroleum&amp;Coal'!$A$1:$A$45,'[1]Natural gas&amp;Petroleum&amp;Coal'!$D$1:$D$45),0)</f>
        <v>0</v>
      </c>
      <c r="G11" s="11">
        <f>IFERROR(LOOKUP(G1-'[1]Natural gas&amp;Petroleum&amp;Coal'!$J$3,'[1]Natural gas&amp;Petroleum&amp;Coal'!$A$1:$A$45,'[1]Natural gas&amp;Petroleum&amp;Coal'!$D$1:$D$45),0)</f>
        <v>0</v>
      </c>
      <c r="H11" s="11">
        <f>IFERROR(LOOKUP(H1-'[1]Natural gas&amp;Petroleum&amp;Coal'!$J$3,'[1]Natural gas&amp;Petroleum&amp;Coal'!$A$1:$A$45,'[1]Natural gas&amp;Petroleum&amp;Coal'!$D$1:$D$45),0)</f>
        <v>0</v>
      </c>
      <c r="I11" s="11">
        <f>IFERROR(LOOKUP(I1-'[1]Natural gas&amp;Petroleum&amp;Coal'!$J$3,'[1]Natural gas&amp;Petroleum&amp;Coal'!$A$1:$A$45,'[1]Natural gas&amp;Petroleum&amp;Coal'!$D$1:$D$45),0)</f>
        <v>0</v>
      </c>
      <c r="J11" s="11">
        <f>IFERROR(LOOKUP(J1-'[1]Natural gas&amp;Petroleum&amp;Coal'!$J$3,'[1]Natural gas&amp;Petroleum&amp;Coal'!$A$1:$A$45,'[1]Natural gas&amp;Petroleum&amp;Coal'!$D$1:$D$45),0)</f>
        <v>0</v>
      </c>
      <c r="K11" s="11">
        <f>IFERROR(LOOKUP(K1-'[1]Natural gas&amp;Petroleum&amp;Coal'!$J$3,'[1]Natural gas&amp;Petroleum&amp;Coal'!$A$1:$A$45,'[1]Natural gas&amp;Petroleum&amp;Coal'!$D$1:$D$45),0)</f>
        <v>0</v>
      </c>
      <c r="L11" s="11">
        <f>IFERROR(LOOKUP(L1-'[1]Natural gas&amp;Petroleum&amp;Coal'!$J$3,'[1]Natural gas&amp;Petroleum&amp;Coal'!$A$1:$A$45,'[1]Natural gas&amp;Petroleum&amp;Coal'!$D$1:$D$45),0)</f>
        <v>0</v>
      </c>
      <c r="M11" s="11">
        <f>IFERROR(LOOKUP(M1-'[1]Natural gas&amp;Petroleum&amp;Coal'!$J$3,'[1]Natural gas&amp;Petroleum&amp;Coal'!$A$1:$A$45,'[1]Natural gas&amp;Petroleum&amp;Coal'!$D$1:$D$45),0)</f>
        <v>0</v>
      </c>
      <c r="N11" s="11">
        <f>IFERROR(LOOKUP(N1-'[1]Natural gas&amp;Petroleum&amp;Coal'!$J$3,'[1]Natural gas&amp;Petroleum&amp;Coal'!$A$1:$A$45,'[1]Natural gas&amp;Petroleum&amp;Coal'!$D$1:$D$45),0)</f>
        <v>0</v>
      </c>
      <c r="O11" s="11">
        <f>IFERROR(LOOKUP(O1-'[1]Natural gas&amp;Petroleum&amp;Coal'!$J$3,'[1]Natural gas&amp;Petroleum&amp;Coal'!$A$1:$A$45,'[1]Natural gas&amp;Petroleum&amp;Coal'!$D$1:$D$45),0)</f>
        <v>0</v>
      </c>
      <c r="P11" s="11">
        <f>IFERROR(LOOKUP(P1-'[1]Natural gas&amp;Petroleum&amp;Coal'!$J$3,'[1]Natural gas&amp;Petroleum&amp;Coal'!$A$1:$A$45,'[1]Natural gas&amp;Petroleum&amp;Coal'!$D$1:$D$45),0)</f>
        <v>0</v>
      </c>
      <c r="Q11" s="11">
        <v>0</v>
      </c>
      <c r="R11" s="11">
        <f>IFERROR(LOOKUP(R1-'[1]Natural gas&amp;Petroleum&amp;Coal'!$J$3,'[1]Natural gas&amp;Petroleum&amp;Coal'!$A$1:$A$45,'[1]Natural gas&amp;Petroleum&amp;Coal'!$D$1:$D$45),0)-1</f>
        <v>299</v>
      </c>
      <c r="S11" s="11">
        <f>IFERROR(LOOKUP(S1-'[1]Natural gas&amp;Petroleum&amp;Coal'!$J$3,'[1]Natural gas&amp;Petroleum&amp;Coal'!$A$1:$A$45,'[1]Natural gas&amp;Petroleum&amp;Coal'!$D$1:$D$45),0)</f>
        <v>0</v>
      </c>
      <c r="T11" s="11">
        <f>IFERROR(LOOKUP(T1-'[1]Natural gas&amp;Petroleum&amp;Coal'!$J$3,'[1]Natural gas&amp;Petroleum&amp;Coal'!$A$1:$A$45,'[1]Natural gas&amp;Petroleum&amp;Coal'!$D$1:$D$45),0)</f>
        <v>0</v>
      </c>
      <c r="U11" s="11">
        <f>IFERROR(LOOKUP(U1-'[1]Natural gas&amp;Petroleum&amp;Coal'!$J$3,'[1]Natural gas&amp;Petroleum&amp;Coal'!$A$1:$A$45,'[1]Natural gas&amp;Petroleum&amp;Coal'!$D$1:$D$45),0)</f>
        <v>0</v>
      </c>
      <c r="V11" s="11">
        <f>IFERROR(LOOKUP(V1-'[1]Natural gas&amp;Petroleum&amp;Coal'!$J$3,'[1]Natural gas&amp;Petroleum&amp;Coal'!$A$1:$A$45,'[1]Natural gas&amp;Petroleum&amp;Coal'!$D$1:$D$45),0)</f>
        <v>0</v>
      </c>
      <c r="W11" s="11">
        <f>IFERROR(LOOKUP(W1-'[1]Natural gas&amp;Petroleum&amp;Coal'!$J$3,'[1]Natural gas&amp;Petroleum&amp;Coal'!$A$1:$A$45,'[1]Natural gas&amp;Petroleum&amp;Coal'!$D$1:$D$45),0)</f>
        <v>0</v>
      </c>
      <c r="X11" s="11">
        <f>IFERROR(LOOKUP(X1-'[1]Natural gas&amp;Petroleum&amp;Coal'!$J$3,'[1]Natural gas&amp;Petroleum&amp;Coal'!$A$1:$A$45,'[1]Natural gas&amp;Petroleum&amp;Coal'!$D$1:$D$45),0)</f>
        <v>0</v>
      </c>
      <c r="Y11" s="11">
        <f>IFERROR(LOOKUP(Y1-'[1]Natural gas&amp;Petroleum&amp;Coal'!$J$3,'[1]Natural gas&amp;Petroleum&amp;Coal'!$A$1:$A$45,'[1]Natural gas&amp;Petroleum&amp;Coal'!$D$1:$D$45),0)</f>
        <v>0</v>
      </c>
      <c r="Z11" s="11">
        <f>IFERROR(LOOKUP(Z1-'[1]Natural gas&amp;Petroleum&amp;Coal'!$J$3,'[1]Natural gas&amp;Petroleum&amp;Coal'!$A$1:$A$45,'[1]Natural gas&amp;Petroleum&amp;Coal'!$D$1:$D$45),0)</f>
        <v>0</v>
      </c>
      <c r="AA11" s="11">
        <f>IFERROR(LOOKUP(AA1-'[1]Natural gas&amp;Petroleum&amp;Coal'!$J$3,'[1]Natural gas&amp;Petroleum&amp;Coal'!$A$1:$A$45,'[1]Natural gas&amp;Petroleum&amp;Coal'!$D$1:$D$45),0)</f>
        <v>0</v>
      </c>
      <c r="AB11" s="11">
        <f>IFERROR(LOOKUP(AB1-'[1]Natural gas&amp;Petroleum&amp;Coal'!$J$3,'[1]Natural gas&amp;Petroleum&amp;Coal'!$A$1:$A$45,'[1]Natural gas&amp;Petroleum&amp;Coal'!$D$1:$D$45),0)</f>
        <v>0</v>
      </c>
      <c r="AC11" s="11">
        <f>IFERROR(LOOKUP(AC1-'[1]Natural gas&amp;Petroleum&amp;Coal'!$J$3,'[1]Natural gas&amp;Petroleum&amp;Coal'!$A$1:$A$45,'[1]Natural gas&amp;Petroleum&amp;Coal'!$D$1:$D$45),0)</f>
        <v>0</v>
      </c>
      <c r="AD11" s="11">
        <f>IFERROR(LOOKUP(AD1-'[1]Natural gas&amp;Petroleum&amp;Coal'!$J$3,'[1]Natural gas&amp;Petroleum&amp;Coal'!$A$1:$A$45,'[1]Natural gas&amp;Petroleum&amp;Coal'!$D$1:$D$45),0)</f>
        <v>0</v>
      </c>
      <c r="AE11" s="11">
        <f>IFERROR(LOOKUP(AE1-'[1]Natural gas&amp;Petroleum&amp;Coal'!$J$3,'[1]Natural gas&amp;Petroleum&amp;Coal'!$A$1:$A$45,'[1]Natural gas&amp;Petroleum&amp;Coal'!$D$1:$D$45),0)</f>
        <v>0</v>
      </c>
      <c r="AF11" s="11">
        <f>IFERROR(LOOKUP(AF1-'[1]Natural gas&amp;Petroleum&amp;Coal'!$J$3,'[1]Natural gas&amp;Petroleum&amp;Coal'!$A$1:$A$45,'[1]Natural gas&amp;Petroleum&amp;Coal'!$D$1:$D$45),0)</f>
        <v>0</v>
      </c>
      <c r="AG11" s="11">
        <f>IFERROR(LOOKUP(AG1-'[1]Natural gas&amp;Petroleum&amp;Coal'!$J$3,'[1]Natural gas&amp;Petroleum&amp;Coal'!$A$1:$A$45,'[1]Natural gas&amp;Petroleum&amp;Coal'!$D$1:$D$45),0)</f>
        <v>0</v>
      </c>
      <c r="AH11" s="11">
        <f>IFERROR(LOOKUP(AH1-'[1]Natural gas&amp;Petroleum&amp;Coal'!$J$3,'[1]Natural gas&amp;Petroleum&amp;Coal'!$A$1:$A$45,'[1]Natural gas&amp;Petroleum&amp;Coal'!$D$1:$D$45),0)</f>
        <v>0</v>
      </c>
      <c r="AI11" s="11">
        <f>IFERROR(LOOKUP(AI1-'[1]Natural gas&amp;Petroleum&amp;Coal'!$J$3,'[1]Natural gas&amp;Petroleum&amp;Coal'!$A$1:$A$45,'[1]Natural gas&amp;Petroleum&amp;Coal'!$D$1:$D$45),0)</f>
        <v>0</v>
      </c>
      <c r="AJ11" s="11">
        <f>IFERROR(LOOKUP(AJ1-'[1]Natural gas&amp;Petroleum&amp;Coal'!$J$3,'[1]Natural gas&amp;Petroleum&amp;Coal'!$A$1:$A$45,'[1]Natural gas&amp;Petroleum&amp;Coal'!$D$1:$D$45),0)</f>
        <v>0</v>
      </c>
    </row>
    <row r="12" spans="1:37" s="31" customFormat="1">
      <c r="A12" s="30" t="s">
        <v>239</v>
      </c>
      <c r="B12" s="11">
        <f>IFERROR(LOOKUP(B1-'[1]Natural gas&amp;Petroleum&amp;Coal'!$J$2,'[1]Natural gas&amp;Petroleum&amp;Coal'!$A$1:$A$45,'[1]Natural gas&amp;Petroleum&amp;Coal'!$B$1:$B$45),0)</f>
        <v>0</v>
      </c>
      <c r="C12" s="11">
        <f>IFERROR(LOOKUP(C1-'[1]Natural gas&amp;Petroleum&amp;Coal'!$J$2,'[1]Natural gas&amp;Petroleum&amp;Coal'!$A$1:$A$45,'[1]Natural gas&amp;Petroleum&amp;Coal'!$B$1:$B$45),0)</f>
        <v>0</v>
      </c>
      <c r="D12" s="11">
        <f>IFERROR(LOOKUP(D1-'[1]Natural gas&amp;Petroleum&amp;Coal'!$J$2,'[1]Natural gas&amp;Petroleum&amp;Coal'!$A$1:$A$45,'[1]Natural gas&amp;Petroleum&amp;Coal'!$B$1:$B$45),0)</f>
        <v>0</v>
      </c>
      <c r="E12" s="11">
        <f>IFERROR(LOOKUP(E1-'[1]Natural gas&amp;Petroleum&amp;Coal'!$J$2,'[1]Natural gas&amp;Petroleum&amp;Coal'!$A$1:$A$45,'[1]Natural gas&amp;Petroleum&amp;Coal'!$B$1:$B$45),0)</f>
        <v>0</v>
      </c>
      <c r="F12" s="11">
        <f>IFERROR(LOOKUP(F1-'[1]Natural gas&amp;Petroleum&amp;Coal'!$J$2,'[1]Natural gas&amp;Petroleum&amp;Coal'!$A$1:$A$45,'[1]Natural gas&amp;Petroleum&amp;Coal'!$B$1:$B$45),0)</f>
        <v>0</v>
      </c>
      <c r="G12" s="11">
        <f>IFERROR(LOOKUP(G1-'[1]Natural gas&amp;Petroleum&amp;Coal'!$J$2,'[1]Natural gas&amp;Petroleum&amp;Coal'!$A$1:$A$45,'[1]Natural gas&amp;Petroleum&amp;Coal'!$B$1:$B$45),0)</f>
        <v>0</v>
      </c>
      <c r="H12" s="11">
        <f>IFERROR(LOOKUP(H1-'[1]Natural gas&amp;Petroleum&amp;Coal'!$J$2,'[1]Natural gas&amp;Petroleum&amp;Coal'!$A$1:$A$45,'[1]Natural gas&amp;Petroleum&amp;Coal'!$B$1:$B$45),0)</f>
        <v>0</v>
      </c>
      <c r="I12" s="11">
        <f>IFERROR(LOOKUP(I1-'[1]Natural gas&amp;Petroleum&amp;Coal'!$J$2,'[1]Natural gas&amp;Petroleum&amp;Coal'!$A$1:$A$45,'[1]Natural gas&amp;Petroleum&amp;Coal'!$B$1:$B$45),0)</f>
        <v>0</v>
      </c>
      <c r="J12" s="11">
        <f>IFERROR(LOOKUP(J1-'[1]Natural gas&amp;Petroleum&amp;Coal'!$J$2,'[1]Natural gas&amp;Petroleum&amp;Coal'!$A$1:$A$45,'[1]Natural gas&amp;Petroleum&amp;Coal'!$B$1:$B$45),0)</f>
        <v>0</v>
      </c>
      <c r="K12" s="11">
        <f>IFERROR(LOOKUP(K1-'[1]Natural gas&amp;Petroleum&amp;Coal'!$J$2,'[1]Natural gas&amp;Petroleum&amp;Coal'!$A$1:$A$45,'[1]Natural gas&amp;Petroleum&amp;Coal'!$B$1:$B$45),0)</f>
        <v>0</v>
      </c>
      <c r="L12" s="11">
        <f>IFERROR(LOOKUP(L1-'[1]Natural gas&amp;Petroleum&amp;Coal'!$J$2,'[1]Natural gas&amp;Petroleum&amp;Coal'!$A$1:$A$45,'[1]Natural gas&amp;Petroleum&amp;Coal'!$B$1:$B$45),0)</f>
        <v>0</v>
      </c>
      <c r="M12" s="11">
        <f>IFERROR(LOOKUP(M1-'[1]Natural gas&amp;Petroleum&amp;Coal'!$J$2,'[1]Natural gas&amp;Petroleum&amp;Coal'!$A$1:$A$45,'[1]Natural gas&amp;Petroleum&amp;Coal'!$B$1:$B$45),0)</f>
        <v>0</v>
      </c>
      <c r="N12" s="11">
        <f>IFERROR(LOOKUP(N1-'[1]Natural gas&amp;Petroleum&amp;Coal'!$J$2,'[1]Natural gas&amp;Petroleum&amp;Coal'!$A$1:$A$45,'[1]Natural gas&amp;Petroleum&amp;Coal'!$B$1:$B$45),0)</f>
        <v>0</v>
      </c>
      <c r="O12" s="11">
        <f>IFERROR(LOOKUP(O1-'[1]Natural gas&amp;Petroleum&amp;Coal'!$J$2,'[1]Natural gas&amp;Petroleum&amp;Coal'!$A$1:$A$45,'[1]Natural gas&amp;Petroleum&amp;Coal'!$B$1:$B$45),0)</f>
        <v>0</v>
      </c>
      <c r="P12" s="11">
        <f>IFERROR(LOOKUP(P1-'[1]Natural gas&amp;Petroleum&amp;Coal'!$J$2,'[1]Natural gas&amp;Petroleum&amp;Coal'!$A$1:$A$45,'[1]Natural gas&amp;Petroleum&amp;Coal'!$B$1:$B$45),0)</f>
        <v>0</v>
      </c>
      <c r="Q12" s="11">
        <f>IFERROR(LOOKUP(Q1-'[1]Natural gas&amp;Petroleum&amp;Coal'!$J$2,'[1]Natural gas&amp;Petroleum&amp;Coal'!$A$1:$A$45,'[1]Natural gas&amp;Petroleum&amp;Coal'!$B$1:$B$45),0)</f>
        <v>0</v>
      </c>
      <c r="R12" s="11">
        <f>IFERROR(LOOKUP(R1-'[1]Natural gas&amp;Petroleum&amp;Coal'!$J$2,'[1]Natural gas&amp;Petroleum&amp;Coal'!$A$1:$A$45,'[1]Natural gas&amp;Petroleum&amp;Coal'!$B$1:$B$45),0)</f>
        <v>0</v>
      </c>
      <c r="S12" s="11">
        <f>IFERROR(LOOKUP(S1-'[1]Natural gas&amp;Petroleum&amp;Coal'!$J$2,'[1]Natural gas&amp;Petroleum&amp;Coal'!$A$1:$A$45,'[1]Natural gas&amp;Petroleum&amp;Coal'!$B$1:$B$45),0)</f>
        <v>0</v>
      </c>
      <c r="T12" s="11">
        <f>IFERROR(LOOKUP(T1-'[1]Natural gas&amp;Petroleum&amp;Coal'!$J$2,'[1]Natural gas&amp;Petroleum&amp;Coal'!$A$1:$A$45,'[1]Natural gas&amp;Petroleum&amp;Coal'!$B$1:$B$45),0)</f>
        <v>0</v>
      </c>
      <c r="U12" s="11">
        <f>IFERROR(LOOKUP(U1-'[1]Natural gas&amp;Petroleum&amp;Coal'!$J$2,'[1]Natural gas&amp;Petroleum&amp;Coal'!$A$1:$A$45,'[1]Natural gas&amp;Petroleum&amp;Coal'!$B$1:$B$45),0)</f>
        <v>0</v>
      </c>
      <c r="V12" s="11">
        <v>0</v>
      </c>
      <c r="W12" s="11">
        <v>0</v>
      </c>
      <c r="X12" s="11">
        <v>0</v>
      </c>
      <c r="Y12" s="11">
        <v>0</v>
      </c>
      <c r="Z12" s="11">
        <v>0</v>
      </c>
      <c r="AA12" s="11">
        <v>0</v>
      </c>
      <c r="AB12" s="11">
        <v>0</v>
      </c>
      <c r="AC12" s="11">
        <v>0</v>
      </c>
      <c r="AD12" s="11">
        <v>0</v>
      </c>
      <c r="AE12" s="11">
        <v>0</v>
      </c>
      <c r="AF12" s="11">
        <v>0</v>
      </c>
      <c r="AG12" s="11">
        <v>0</v>
      </c>
      <c r="AH12" s="11">
        <v>0</v>
      </c>
      <c r="AI12" s="11">
        <v>0</v>
      </c>
      <c r="AJ12" s="11">
        <v>0</v>
      </c>
      <c r="AK12" s="11"/>
    </row>
    <row r="13" spans="1:37" s="31" customFormat="1">
      <c r="A13" s="30" t="s">
        <v>240</v>
      </c>
      <c r="B13" s="31">
        <v>0</v>
      </c>
      <c r="C13" s="31">
        <v>0</v>
      </c>
      <c r="D13" s="31">
        <v>0</v>
      </c>
      <c r="E13" s="31">
        <v>0</v>
      </c>
      <c r="F13" s="31">
        <v>0</v>
      </c>
      <c r="G13" s="31">
        <v>0</v>
      </c>
      <c r="H13" s="31">
        <v>0</v>
      </c>
      <c r="I13" s="31">
        <v>0</v>
      </c>
      <c r="J13" s="31">
        <v>0</v>
      </c>
      <c r="K13" s="31">
        <v>0</v>
      </c>
      <c r="L13" s="31">
        <v>0</v>
      </c>
      <c r="M13" s="31">
        <v>0</v>
      </c>
      <c r="N13" s="31">
        <v>0</v>
      </c>
      <c r="O13" s="31">
        <v>0</v>
      </c>
      <c r="P13" s="31">
        <v>0</v>
      </c>
      <c r="Q13" s="31">
        <v>0</v>
      </c>
      <c r="R13" s="31">
        <v>0</v>
      </c>
      <c r="S13" s="31">
        <v>0</v>
      </c>
      <c r="T13" s="31">
        <v>0</v>
      </c>
      <c r="U13" s="31">
        <v>0</v>
      </c>
      <c r="V13" s="31">
        <v>0</v>
      </c>
      <c r="W13" s="31">
        <v>0</v>
      </c>
      <c r="X13" s="31">
        <v>0</v>
      </c>
      <c r="Y13" s="31">
        <v>0</v>
      </c>
      <c r="Z13" s="31">
        <v>0</v>
      </c>
      <c r="AA13" s="31">
        <v>0</v>
      </c>
      <c r="AB13" s="31">
        <v>0</v>
      </c>
      <c r="AC13" s="31">
        <v>0</v>
      </c>
      <c r="AD13" s="31">
        <v>0</v>
      </c>
      <c r="AE13" s="31">
        <v>0</v>
      </c>
      <c r="AF13" s="31">
        <v>0</v>
      </c>
      <c r="AG13" s="31">
        <v>0</v>
      </c>
      <c r="AH13" s="31">
        <v>0</v>
      </c>
      <c r="AI13" s="31">
        <v>0</v>
      </c>
      <c r="AJ13" s="31">
        <v>0</v>
      </c>
      <c r="AK13" s="11"/>
    </row>
    <row r="14" spans="1:37" s="31" customFormat="1">
      <c r="A14" s="30" t="s">
        <v>241</v>
      </c>
      <c r="B14" s="31">
        <f>[1]Wind!B3</f>
        <v>0</v>
      </c>
      <c r="C14" s="31">
        <f>[1]Wind!C3</f>
        <v>0</v>
      </c>
      <c r="D14" s="31">
        <f>[1]Wind!D3</f>
        <v>0</v>
      </c>
      <c r="E14" s="31">
        <f>[1]Wind!E3</f>
        <v>0</v>
      </c>
      <c r="F14" s="31">
        <f>[1]Wind!F3</f>
        <v>0</v>
      </c>
      <c r="G14" s="31">
        <f>[1]Wind!G3</f>
        <v>0</v>
      </c>
      <c r="H14" s="31">
        <f>[1]Wind!H3</f>
        <v>0</v>
      </c>
      <c r="I14" s="31">
        <f>[1]Wind!I3</f>
        <v>0</v>
      </c>
      <c r="J14" s="31">
        <f>[1]Wind!J3</f>
        <v>0</v>
      </c>
      <c r="K14" s="31">
        <f>[1]Wind!K3</f>
        <v>0</v>
      </c>
      <c r="L14" s="31">
        <f>[1]Wind!L3</f>
        <v>0</v>
      </c>
      <c r="M14" s="31">
        <f>[1]Wind!M3</f>
        <v>150</v>
      </c>
      <c r="N14" s="31">
        <f>[1]Wind!N3</f>
        <v>0</v>
      </c>
      <c r="O14" s="31">
        <f>[1]Wind!O3</f>
        <v>0</v>
      </c>
      <c r="P14" s="31">
        <f>[1]Wind!P3</f>
        <v>0</v>
      </c>
      <c r="Q14" s="31">
        <f>[1]Wind!Q3</f>
        <v>0</v>
      </c>
      <c r="R14" s="31">
        <f>[1]Wind!R3</f>
        <v>0</v>
      </c>
      <c r="S14" s="31">
        <f>[1]Wind!S3</f>
        <v>0</v>
      </c>
      <c r="T14" s="31">
        <f>[1]Wind!T3</f>
        <v>0</v>
      </c>
      <c r="U14" s="31">
        <f>[1]Wind!U3</f>
        <v>0</v>
      </c>
      <c r="V14" s="31">
        <f>[1]Wind!V3</f>
        <v>0</v>
      </c>
      <c r="W14" s="31">
        <f>[1]Wind!W3</f>
        <v>0</v>
      </c>
      <c r="X14" s="31">
        <f>[1]Wind!X3</f>
        <v>0</v>
      </c>
      <c r="Y14" s="31">
        <f>[1]Wind!Y3</f>
        <v>0</v>
      </c>
      <c r="Z14" s="31">
        <f>[1]Wind!Z3</f>
        <v>0</v>
      </c>
      <c r="AA14" s="31">
        <f>[1]Wind!AA3</f>
        <v>0</v>
      </c>
      <c r="AB14" s="31">
        <f>[1]Wind!AB3</f>
        <v>0</v>
      </c>
      <c r="AC14" s="31">
        <f>[1]Wind!AC3</f>
        <v>0</v>
      </c>
      <c r="AD14" s="31">
        <f>[1]Wind!AD3</f>
        <v>0</v>
      </c>
      <c r="AE14" s="31">
        <f>[1]Wind!AE3</f>
        <v>0</v>
      </c>
      <c r="AF14" s="31">
        <f>[1]Wind!AF3</f>
        <v>0</v>
      </c>
      <c r="AG14" s="31">
        <f>[1]Wind!AG3</f>
        <v>0</v>
      </c>
      <c r="AH14" s="31">
        <f>[1]Wind!AH3</f>
        <v>0</v>
      </c>
      <c r="AI14" s="31">
        <f>[1]Wind!AI3</f>
        <v>0</v>
      </c>
      <c r="AJ14" s="31">
        <f>[1]Wind!AJ3</f>
        <v>0</v>
      </c>
      <c r="AK14" s="11"/>
    </row>
    <row r="15" spans="1:37">
      <c r="B15" s="54"/>
      <c r="C15" s="54"/>
      <c r="D15" s="54"/>
      <c r="E15" s="54"/>
      <c r="F15" s="54"/>
      <c r="G15" s="54"/>
      <c r="H15" s="54"/>
      <c r="I15" s="54"/>
      <c r="J15" s="54"/>
      <c r="K15" s="54"/>
      <c r="L15" s="54"/>
      <c r="M15" s="54"/>
      <c r="N15" s="54"/>
      <c r="O15" s="54"/>
      <c r="P15" s="54"/>
      <c r="Q15" s="54"/>
      <c r="R15" s="54"/>
      <c r="S15" s="54"/>
      <c r="T15" s="54"/>
      <c r="U15" s="54"/>
      <c r="V15" s="54"/>
      <c r="W15" s="54"/>
      <c r="X15" s="54"/>
      <c r="Y15" s="54"/>
      <c r="Z15" s="54"/>
      <c r="AA15" s="54"/>
      <c r="AB15" s="54"/>
      <c r="AC15" s="54"/>
      <c r="AD15" s="54"/>
      <c r="AE15" s="54"/>
      <c r="AF15" s="54"/>
      <c r="AG15" s="54"/>
      <c r="AH15" s="54"/>
      <c r="AI15" s="54"/>
      <c r="AJ15" s="54"/>
    </row>
    <row r="16" spans="1:37">
      <c r="B16" s="54"/>
      <c r="C16" s="54"/>
      <c r="D16" s="54"/>
      <c r="E16" s="54"/>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row>
    <row r="17" spans="2:36">
      <c r="B17" s="54"/>
      <c r="C17" s="54"/>
      <c r="D17" s="54"/>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row>
    <row r="18" spans="2:36">
      <c r="B18" s="54"/>
      <c r="C18" s="54"/>
      <c r="D18" s="54"/>
      <c r="E18" s="54"/>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row>
  </sheetData>
  <phoneticPr fontId="10"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
  <sheetViews>
    <sheetView workbookViewId="0">
      <selection activeCell="O6" sqref="O6"/>
    </sheetView>
  </sheetViews>
  <sheetFormatPr defaultColWidth="8.81640625" defaultRowHeight="14.5"/>
  <cols>
    <col min="1" max="1" width="19.36328125" customWidth="1"/>
    <col min="2" max="2" width="11.36328125" customWidth="1"/>
  </cols>
  <sheetData>
    <row r="1" spans="1:36">
      <c r="A1" t="s">
        <v>210</v>
      </c>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s="12" customFormat="1">
      <c r="A2" s="5" t="s">
        <v>242</v>
      </c>
      <c r="V2" s="12">
        <f>'HKE Asset'!D14</f>
        <v>0.8</v>
      </c>
    </row>
    <row r="3" spans="1:36" s="12" customFormat="1">
      <c r="A3" s="5" t="s">
        <v>243</v>
      </c>
      <c r="M3" s="12">
        <v>150</v>
      </c>
    </row>
    <row r="7" spans="1:36">
      <c r="A7" s="15" t="s">
        <v>244</v>
      </c>
      <c r="B7" s="15">
        <v>30</v>
      </c>
    </row>
    <row r="9" spans="1:36">
      <c r="A9" t="s">
        <v>105</v>
      </c>
    </row>
    <row r="10" spans="1:36">
      <c r="A10" t="s">
        <v>245</v>
      </c>
    </row>
  </sheetData>
  <phoneticPr fontId="10"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6"/>
  <sheetViews>
    <sheetView topLeftCell="A18" workbookViewId="0">
      <selection activeCell="E32" sqref="E32"/>
    </sheetView>
  </sheetViews>
  <sheetFormatPr defaultColWidth="8.6328125" defaultRowHeight="14.5"/>
  <cols>
    <col min="1" max="1" width="6.1796875" style="2" customWidth="1"/>
    <col min="2" max="2" width="23.6328125" style="2" customWidth="1"/>
    <col min="3" max="3" width="13" style="9" customWidth="1"/>
    <col min="4" max="4" width="7.1796875" style="2" customWidth="1"/>
    <col min="5" max="5" width="8.6328125" style="2"/>
    <col min="6" max="6" width="20.1796875" style="2" customWidth="1"/>
    <col min="7" max="16384" width="8.6328125" style="2"/>
  </cols>
  <sheetData>
    <row r="1" spans="1:9">
      <c r="A1" s="2" t="s">
        <v>210</v>
      </c>
      <c r="B1" s="7" t="s">
        <v>246</v>
      </c>
      <c r="C1" s="9" t="s">
        <v>247</v>
      </c>
      <c r="F1" s="8" t="s">
        <v>212</v>
      </c>
      <c r="G1" s="8">
        <v>30</v>
      </c>
    </row>
    <row r="2" spans="1:9">
      <c r="A2" s="2">
        <v>1986</v>
      </c>
      <c r="B2">
        <v>0</v>
      </c>
      <c r="C2" s="9">
        <f t="shared" ref="C2:C7" si="0">A2+$G$1</f>
        <v>2016</v>
      </c>
      <c r="F2" s="9"/>
      <c r="G2" s="9"/>
    </row>
    <row r="3" spans="1:9">
      <c r="A3" s="2">
        <v>1987</v>
      </c>
      <c r="B3">
        <v>0</v>
      </c>
      <c r="C3" s="9">
        <f t="shared" si="0"/>
        <v>2017</v>
      </c>
      <c r="F3"/>
      <c r="G3"/>
      <c r="H3"/>
      <c r="I3"/>
    </row>
    <row r="4" spans="1:9">
      <c r="A4" s="2">
        <v>1988</v>
      </c>
      <c r="B4">
        <v>0</v>
      </c>
      <c r="C4" s="9">
        <f t="shared" si="0"/>
        <v>2018</v>
      </c>
      <c r="F4"/>
      <c r="G4"/>
      <c r="H4"/>
      <c r="I4"/>
    </row>
    <row r="5" spans="1:9">
      <c r="A5" s="2">
        <v>1989</v>
      </c>
      <c r="B5">
        <v>0</v>
      </c>
      <c r="C5" s="9">
        <f t="shared" si="0"/>
        <v>2019</v>
      </c>
      <c r="F5"/>
      <c r="G5"/>
      <c r="H5"/>
      <c r="I5"/>
    </row>
    <row r="6" spans="1:9">
      <c r="A6" s="2">
        <v>1990</v>
      </c>
      <c r="B6">
        <v>0</v>
      </c>
      <c r="C6" s="9">
        <f t="shared" si="0"/>
        <v>2020</v>
      </c>
      <c r="F6"/>
      <c r="G6"/>
      <c r="H6"/>
      <c r="I6"/>
    </row>
    <row r="7" spans="1:9">
      <c r="A7" s="2">
        <v>1991</v>
      </c>
      <c r="B7">
        <v>0</v>
      </c>
      <c r="C7" s="9">
        <f t="shared" si="0"/>
        <v>2021</v>
      </c>
      <c r="F7"/>
      <c r="G7"/>
      <c r="H7"/>
      <c r="I7"/>
    </row>
    <row r="8" spans="1:9">
      <c r="A8" s="2">
        <v>1992</v>
      </c>
      <c r="B8">
        <v>0</v>
      </c>
      <c r="C8" s="9">
        <f t="shared" ref="C8:C32" si="1">A8+$G$1</f>
        <v>2022</v>
      </c>
      <c r="F8"/>
      <c r="G8"/>
      <c r="H8"/>
      <c r="I8"/>
    </row>
    <row r="9" spans="1:9">
      <c r="A9" s="2">
        <v>1993</v>
      </c>
      <c r="B9">
        <v>0</v>
      </c>
      <c r="C9" s="9">
        <f t="shared" si="1"/>
        <v>2023</v>
      </c>
    </row>
    <row r="10" spans="1:9">
      <c r="A10" s="2">
        <v>1994</v>
      </c>
      <c r="B10">
        <v>0</v>
      </c>
      <c r="C10" s="9">
        <f t="shared" si="1"/>
        <v>2024</v>
      </c>
    </row>
    <row r="11" spans="1:9">
      <c r="A11" s="2">
        <v>1995</v>
      </c>
      <c r="B11">
        <v>0</v>
      </c>
      <c r="C11" s="9">
        <f t="shared" si="1"/>
        <v>2025</v>
      </c>
    </row>
    <row r="12" spans="1:9">
      <c r="A12" s="2">
        <v>1996</v>
      </c>
      <c r="B12">
        <v>0</v>
      </c>
      <c r="C12" s="9">
        <f t="shared" si="1"/>
        <v>2026</v>
      </c>
    </row>
    <row r="13" spans="1:9">
      <c r="A13" s="2">
        <v>1997</v>
      </c>
      <c r="B13">
        <v>0</v>
      </c>
      <c r="C13" s="9">
        <f t="shared" si="1"/>
        <v>2027</v>
      </c>
    </row>
    <row r="14" spans="1:9">
      <c r="A14" s="2">
        <v>1998</v>
      </c>
      <c r="B14">
        <v>0</v>
      </c>
      <c r="C14" s="9">
        <f t="shared" si="1"/>
        <v>2028</v>
      </c>
    </row>
    <row r="15" spans="1:9">
      <c r="A15" s="2">
        <v>1999</v>
      </c>
      <c r="B15">
        <v>0</v>
      </c>
      <c r="C15" s="9">
        <f t="shared" si="1"/>
        <v>2029</v>
      </c>
    </row>
    <row r="16" spans="1:9">
      <c r="A16" s="2">
        <v>2000</v>
      </c>
      <c r="B16">
        <v>0</v>
      </c>
      <c r="C16" s="9">
        <f t="shared" si="1"/>
        <v>2030</v>
      </c>
    </row>
    <row r="17" spans="1:3">
      <c r="A17" s="2">
        <v>2001</v>
      </c>
      <c r="B17">
        <v>0</v>
      </c>
      <c r="C17" s="9">
        <f t="shared" si="1"/>
        <v>2031</v>
      </c>
    </row>
    <row r="18" spans="1:3">
      <c r="A18" s="2">
        <v>2002</v>
      </c>
      <c r="B18">
        <v>0</v>
      </c>
      <c r="C18" s="9">
        <f t="shared" si="1"/>
        <v>2032</v>
      </c>
    </row>
    <row r="19" spans="1:3">
      <c r="A19" s="2">
        <v>2003</v>
      </c>
      <c r="B19">
        <v>0</v>
      </c>
      <c r="C19" s="9">
        <f t="shared" si="1"/>
        <v>2033</v>
      </c>
    </row>
    <row r="20" spans="1:3">
      <c r="A20" s="2">
        <v>2004</v>
      </c>
      <c r="B20">
        <v>0</v>
      </c>
      <c r="C20" s="9">
        <f t="shared" si="1"/>
        <v>2034</v>
      </c>
    </row>
    <row r="21" spans="1:3">
      <c r="A21" s="2">
        <v>2005</v>
      </c>
      <c r="B21">
        <v>0</v>
      </c>
      <c r="C21" s="9">
        <f t="shared" si="1"/>
        <v>2035</v>
      </c>
    </row>
    <row r="22" spans="1:3">
      <c r="A22" s="2">
        <v>2006</v>
      </c>
      <c r="B22">
        <v>0</v>
      </c>
      <c r="C22" s="9">
        <f t="shared" si="1"/>
        <v>2036</v>
      </c>
    </row>
    <row r="23" spans="1:3">
      <c r="A23" s="2">
        <v>2007</v>
      </c>
      <c r="B23">
        <v>0</v>
      </c>
      <c r="C23" s="9">
        <f t="shared" si="1"/>
        <v>2037</v>
      </c>
    </row>
    <row r="24" spans="1:3">
      <c r="A24" s="2">
        <v>2008</v>
      </c>
      <c r="B24">
        <v>0</v>
      </c>
      <c r="C24" s="9">
        <f t="shared" si="1"/>
        <v>2038</v>
      </c>
    </row>
    <row r="25" spans="1:3">
      <c r="A25" s="2">
        <v>2009</v>
      </c>
      <c r="B25">
        <v>0</v>
      </c>
      <c r="C25" s="9">
        <f t="shared" si="1"/>
        <v>2039</v>
      </c>
    </row>
    <row r="26" spans="1:3">
      <c r="A26" s="2">
        <v>2010</v>
      </c>
      <c r="B26">
        <v>0</v>
      </c>
      <c r="C26" s="9">
        <f t="shared" si="1"/>
        <v>2040</v>
      </c>
    </row>
    <row r="27" spans="1:3">
      <c r="A27" s="2">
        <v>2011</v>
      </c>
      <c r="B27">
        <v>0</v>
      </c>
      <c r="C27" s="9">
        <f t="shared" si="1"/>
        <v>2041</v>
      </c>
    </row>
    <row r="28" spans="1:3">
      <c r="A28" s="2">
        <v>2012</v>
      </c>
      <c r="B28">
        <v>0</v>
      </c>
      <c r="C28" s="9">
        <f t="shared" si="1"/>
        <v>2042</v>
      </c>
    </row>
    <row r="29" spans="1:3">
      <c r="A29" s="2">
        <v>2013</v>
      </c>
      <c r="B29">
        <v>0</v>
      </c>
      <c r="C29" s="9">
        <f t="shared" si="1"/>
        <v>2043</v>
      </c>
    </row>
    <row r="30" spans="1:3">
      <c r="A30" s="2">
        <v>2014</v>
      </c>
      <c r="B30">
        <v>0</v>
      </c>
      <c r="C30" s="9">
        <f t="shared" si="1"/>
        <v>2044</v>
      </c>
    </row>
    <row r="31" spans="1:3">
      <c r="A31" s="2">
        <v>2015</v>
      </c>
      <c r="B31">
        <v>0</v>
      </c>
      <c r="C31" s="9">
        <f t="shared" si="1"/>
        <v>2045</v>
      </c>
    </row>
    <row r="32" spans="1:3">
      <c r="A32" s="2">
        <v>2016</v>
      </c>
      <c r="B32">
        <v>0</v>
      </c>
      <c r="C32" s="9">
        <f t="shared" si="1"/>
        <v>2046</v>
      </c>
    </row>
    <row r="33" spans="1:4">
      <c r="A33" s="2">
        <v>2017</v>
      </c>
      <c r="B33">
        <v>0.5</v>
      </c>
      <c r="C33" s="9">
        <f t="shared" ref="C33:C36" si="2">A33+$G$1</f>
        <v>2047</v>
      </c>
    </row>
    <row r="34" spans="1:4">
      <c r="A34" s="2">
        <v>2018</v>
      </c>
      <c r="B34">
        <v>23</v>
      </c>
      <c r="C34" s="9">
        <f t="shared" si="2"/>
        <v>2048</v>
      </c>
      <c r="D34" s="2" t="s">
        <v>248</v>
      </c>
    </row>
    <row r="35" spans="1:4">
      <c r="A35" s="2">
        <v>2019</v>
      </c>
      <c r="B35">
        <v>0</v>
      </c>
      <c r="C35" s="9">
        <f t="shared" si="2"/>
        <v>2049</v>
      </c>
    </row>
    <row r="36" spans="1:4">
      <c r="A36" s="2">
        <v>2020</v>
      </c>
      <c r="B36">
        <v>0</v>
      </c>
      <c r="C36" s="9">
        <f t="shared" si="2"/>
        <v>2050</v>
      </c>
    </row>
  </sheetData>
  <sortState xmlns:xlrd2="http://schemas.microsoft.com/office/spreadsheetml/2017/richdata2" ref="A2:D26">
    <sortCondition ref="A1"/>
  </sortState>
  <phoneticPr fontId="1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5"/>
  <sheetViews>
    <sheetView workbookViewId="0">
      <selection activeCell="E16" sqref="E16"/>
    </sheetView>
  </sheetViews>
  <sheetFormatPr defaultColWidth="8.6328125" defaultRowHeight="14.5"/>
  <cols>
    <col min="1" max="1" width="32.6328125" style="2" customWidth="1"/>
    <col min="2" max="2" width="15.1796875" style="2" customWidth="1"/>
    <col min="3" max="3" width="26.81640625" style="2" customWidth="1"/>
    <col min="4" max="4" width="19.1796875" style="2" customWidth="1"/>
    <col min="5" max="5" width="20.81640625" style="2" customWidth="1"/>
    <col min="6" max="6" width="11.6328125" style="2" customWidth="1"/>
    <col min="7" max="7" width="28.81640625" style="2" customWidth="1"/>
    <col min="8" max="16384" width="8.6328125" style="2"/>
  </cols>
  <sheetData>
    <row r="1" spans="1:7">
      <c r="A1" s="7" t="s">
        <v>249</v>
      </c>
      <c r="B1" s="7" t="s">
        <v>250</v>
      </c>
      <c r="C1" s="7" t="s">
        <v>251</v>
      </c>
      <c r="D1" s="7" t="s">
        <v>252</v>
      </c>
      <c r="E1" s="7" t="s">
        <v>253</v>
      </c>
      <c r="F1" s="7" t="s">
        <v>254</v>
      </c>
      <c r="G1" s="7" t="s">
        <v>247</v>
      </c>
    </row>
    <row r="2" spans="1:7">
      <c r="A2" s="2" t="s">
        <v>255</v>
      </c>
      <c r="B2" s="2" t="s">
        <v>256</v>
      </c>
      <c r="C2" s="2">
        <f>'CLP Assets'!C12</f>
        <v>1577</v>
      </c>
      <c r="D2" s="2">
        <v>1994</v>
      </c>
      <c r="E2" s="2">
        <v>40</v>
      </c>
      <c r="F2" s="2" t="s">
        <v>257</v>
      </c>
    </row>
    <row r="5" spans="1:7">
      <c r="A5" s="2" t="s">
        <v>258</v>
      </c>
    </row>
  </sheetData>
  <phoneticPr fontId="10"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6"/>
  <sheetViews>
    <sheetView workbookViewId="0"/>
  </sheetViews>
  <sheetFormatPr defaultColWidth="8.6328125" defaultRowHeight="14.5"/>
  <cols>
    <col min="1" max="1" width="11.81640625" customWidth="1"/>
    <col min="2" max="2" width="8.6328125" style="13"/>
    <col min="3" max="3" width="13.1796875" style="13" customWidth="1"/>
    <col min="4" max="4" width="12.6328125" style="13" customWidth="1"/>
    <col min="5" max="5" width="14.36328125" style="13" customWidth="1"/>
    <col min="6" max="6" width="26.81640625" style="14" customWidth="1"/>
    <col min="7" max="7" width="8.6328125" style="13"/>
    <col min="8" max="8" width="16.36328125" style="13" customWidth="1"/>
    <col min="9" max="16384" width="8.6328125" style="13"/>
  </cols>
  <sheetData>
    <row r="1" spans="1:9" s="2" customFormat="1">
      <c r="A1" t="s">
        <v>259</v>
      </c>
      <c r="B1" s="2" t="s">
        <v>260</v>
      </c>
      <c r="C1" s="2" t="s">
        <v>174</v>
      </c>
      <c r="D1" s="2" t="s">
        <v>261</v>
      </c>
      <c r="E1" s="2" t="s">
        <v>254</v>
      </c>
      <c r="F1" s="9" t="s">
        <v>247</v>
      </c>
      <c r="H1" s="8" t="s">
        <v>212</v>
      </c>
      <c r="I1" s="8">
        <v>38</v>
      </c>
    </row>
    <row r="2" spans="1:9">
      <c r="A2" s="67" t="s">
        <v>262</v>
      </c>
      <c r="B2" s="13">
        <v>1</v>
      </c>
      <c r="C2" s="13">
        <v>0</v>
      </c>
      <c r="D2" s="13">
        <v>1977</v>
      </c>
      <c r="E2" s="13" t="s">
        <v>263</v>
      </c>
      <c r="F2" s="14" t="s">
        <v>264</v>
      </c>
    </row>
    <row r="3" spans="1:9">
      <c r="A3" s="67"/>
      <c r="B3" s="13">
        <v>2</v>
      </c>
      <c r="C3" s="13">
        <v>0</v>
      </c>
      <c r="D3" s="13">
        <v>1981</v>
      </c>
      <c r="E3" s="13" t="s">
        <v>257</v>
      </c>
      <c r="F3" s="14">
        <f>D3+$I$1</f>
        <v>2019</v>
      </c>
    </row>
    <row r="4" spans="1:9">
      <c r="A4" s="67"/>
      <c r="B4" s="13">
        <v>3</v>
      </c>
      <c r="C4" s="13">
        <v>0</v>
      </c>
      <c r="D4" s="13">
        <v>1982</v>
      </c>
      <c r="E4" s="13" t="s">
        <v>257</v>
      </c>
      <c r="F4" s="14">
        <f t="shared" ref="F4:F16" si="0">D4+$I$1</f>
        <v>2020</v>
      </c>
    </row>
    <row r="5" spans="1:9">
      <c r="A5" s="67"/>
      <c r="B5" s="13">
        <v>4</v>
      </c>
      <c r="C5" s="13">
        <v>0</v>
      </c>
      <c r="D5" s="13">
        <v>1985</v>
      </c>
      <c r="E5" s="13" t="s">
        <v>257</v>
      </c>
      <c r="F5" s="14">
        <f t="shared" si="0"/>
        <v>2023</v>
      </c>
    </row>
    <row r="6" spans="1:9">
      <c r="A6" s="67"/>
      <c r="B6" s="13">
        <v>5</v>
      </c>
      <c r="C6" s="13">
        <v>0</v>
      </c>
      <c r="D6" s="13">
        <v>1986</v>
      </c>
      <c r="E6" s="13" t="s">
        <v>257</v>
      </c>
      <c r="F6" s="14">
        <f t="shared" si="0"/>
        <v>2024</v>
      </c>
    </row>
    <row r="7" spans="1:9">
      <c r="A7" s="67"/>
      <c r="B7" s="13">
        <v>6</v>
      </c>
      <c r="C7" s="13">
        <v>0</v>
      </c>
      <c r="D7" s="13">
        <v>1988</v>
      </c>
      <c r="E7" s="13" t="s">
        <v>257</v>
      </c>
      <c r="F7" s="14">
        <f t="shared" si="0"/>
        <v>2026</v>
      </c>
    </row>
    <row r="8" spans="1:9">
      <c r="A8" s="67"/>
      <c r="B8" s="13">
        <v>7</v>
      </c>
      <c r="C8" s="13">
        <v>0</v>
      </c>
      <c r="D8" s="13">
        <v>1989</v>
      </c>
      <c r="E8" s="13" t="s">
        <v>257</v>
      </c>
      <c r="F8" s="14">
        <f t="shared" si="0"/>
        <v>2027</v>
      </c>
    </row>
    <row r="9" spans="1:9">
      <c r="A9" s="67"/>
      <c r="B9" s="13">
        <v>8</v>
      </c>
      <c r="C9" s="13">
        <v>0</v>
      </c>
      <c r="D9" s="13">
        <v>1991</v>
      </c>
      <c r="E9" s="13" t="s">
        <v>257</v>
      </c>
      <c r="F9" s="14">
        <f t="shared" si="0"/>
        <v>2029</v>
      </c>
    </row>
    <row r="10" spans="1:9">
      <c r="A10" s="67"/>
      <c r="B10" s="13">
        <v>9</v>
      </c>
      <c r="C10" s="13">
        <v>0</v>
      </c>
      <c r="D10" s="13">
        <v>1991</v>
      </c>
      <c r="E10" s="13" t="s">
        <v>257</v>
      </c>
      <c r="F10" s="14">
        <f t="shared" si="0"/>
        <v>2029</v>
      </c>
    </row>
    <row r="11" spans="1:9">
      <c r="A11" s="67" t="s">
        <v>265</v>
      </c>
      <c r="B11" s="13">
        <v>1</v>
      </c>
      <c r="C11" s="13">
        <v>0</v>
      </c>
      <c r="D11" s="13">
        <v>1970</v>
      </c>
      <c r="E11" s="13" t="s">
        <v>263</v>
      </c>
      <c r="F11" s="14" t="s">
        <v>264</v>
      </c>
    </row>
    <row r="12" spans="1:9">
      <c r="A12" s="67"/>
      <c r="B12" s="13">
        <v>2</v>
      </c>
      <c r="C12" s="13">
        <v>0</v>
      </c>
      <c r="D12" s="13">
        <v>1978</v>
      </c>
      <c r="E12" s="13" t="s">
        <v>263</v>
      </c>
      <c r="F12" s="14" t="s">
        <v>264</v>
      </c>
    </row>
    <row r="13" spans="1:9">
      <c r="A13" s="67"/>
      <c r="B13" s="13">
        <v>3</v>
      </c>
      <c r="C13" s="13">
        <v>0</v>
      </c>
      <c r="D13" s="13">
        <v>1984</v>
      </c>
      <c r="E13" s="13" t="s">
        <v>257</v>
      </c>
      <c r="F13" s="14">
        <f t="shared" si="0"/>
        <v>2022</v>
      </c>
    </row>
    <row r="14" spans="1:9">
      <c r="A14" t="s">
        <v>262</v>
      </c>
      <c r="C14" s="13">
        <v>0</v>
      </c>
      <c r="D14" s="13">
        <v>2009</v>
      </c>
      <c r="E14" s="13" t="s">
        <v>257</v>
      </c>
      <c r="F14" s="14">
        <f t="shared" si="0"/>
        <v>2047</v>
      </c>
    </row>
    <row r="15" spans="1:9">
      <c r="A15" t="s">
        <v>266</v>
      </c>
      <c r="C15" s="13">
        <v>0</v>
      </c>
      <c r="D15" s="13">
        <v>2011</v>
      </c>
      <c r="E15" s="13" t="s">
        <v>257</v>
      </c>
      <c r="F15" s="14">
        <f t="shared" si="0"/>
        <v>2049</v>
      </c>
    </row>
    <row r="16" spans="1:9">
      <c r="A16" t="s">
        <v>267</v>
      </c>
      <c r="C16" s="13">
        <v>0</v>
      </c>
      <c r="D16" s="13">
        <v>2011</v>
      </c>
      <c r="E16" s="13" t="s">
        <v>257</v>
      </c>
      <c r="F16" s="14">
        <f t="shared" si="0"/>
        <v>2049</v>
      </c>
    </row>
  </sheetData>
  <mergeCells count="2">
    <mergeCell ref="A2:A10"/>
    <mergeCell ref="A11:A13"/>
  </mergeCells>
  <phoneticPr fontId="10"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7"/>
  <sheetViews>
    <sheetView workbookViewId="0">
      <selection activeCell="G18" sqref="G18"/>
    </sheetView>
  </sheetViews>
  <sheetFormatPr defaultColWidth="8.6328125" defaultRowHeight="14.5"/>
  <cols>
    <col min="1" max="1" width="7.1796875" style="5" customWidth="1"/>
    <col min="2" max="2" width="15" style="5" customWidth="1"/>
    <col min="3" max="3" width="17.1796875" style="5" customWidth="1"/>
    <col min="4" max="4" width="8.6328125" style="5"/>
    <col min="5" max="5" width="16.36328125" style="5" customWidth="1"/>
    <col min="6" max="16384" width="8.6328125" style="5"/>
  </cols>
  <sheetData>
    <row r="1" spans="1:8">
      <c r="A1" s="5" t="s">
        <v>210</v>
      </c>
      <c r="B1" s="5" t="s">
        <v>268</v>
      </c>
      <c r="C1" s="5" t="s">
        <v>211</v>
      </c>
      <c r="E1" s="15" t="s">
        <v>244</v>
      </c>
      <c r="F1" s="15">
        <v>30</v>
      </c>
      <c r="H1" s="21" t="s">
        <v>105</v>
      </c>
    </row>
    <row r="2" spans="1:8">
      <c r="A2" s="5">
        <v>2005</v>
      </c>
      <c r="B2" s="16">
        <v>0</v>
      </c>
      <c r="H2" s="5" t="s">
        <v>269</v>
      </c>
    </row>
    <row r="3" spans="1:8">
      <c r="A3" s="5">
        <v>2006</v>
      </c>
      <c r="B3" s="16">
        <v>0</v>
      </c>
      <c r="C3" s="12">
        <f>B3-B2</f>
        <v>0</v>
      </c>
      <c r="H3" s="5" t="s">
        <v>270</v>
      </c>
    </row>
    <row r="4" spans="1:8">
      <c r="A4" s="5">
        <v>2007</v>
      </c>
      <c r="B4" s="16">
        <v>0</v>
      </c>
      <c r="C4" s="12">
        <f t="shared" ref="C4:C5" si="0">B4-B3</f>
        <v>0</v>
      </c>
      <c r="H4" s="5" t="s">
        <v>271</v>
      </c>
    </row>
    <row r="5" spans="1:8">
      <c r="A5" s="5">
        <v>2008</v>
      </c>
      <c r="B5" s="16">
        <v>0</v>
      </c>
      <c r="C5" s="12">
        <f t="shared" si="0"/>
        <v>0</v>
      </c>
    </row>
    <row r="6" spans="1:8">
      <c r="A6" s="5">
        <v>2009</v>
      </c>
      <c r="C6" s="17">
        <v>0</v>
      </c>
      <c r="H6" s="21" t="s">
        <v>272</v>
      </c>
    </row>
    <row r="7" spans="1:8">
      <c r="A7" s="5">
        <v>2010</v>
      </c>
      <c r="C7" s="17">
        <v>0</v>
      </c>
      <c r="H7" s="16" t="s">
        <v>273</v>
      </c>
    </row>
    <row r="8" spans="1:8">
      <c r="A8" s="5">
        <v>2011</v>
      </c>
      <c r="C8" s="17">
        <v>0</v>
      </c>
      <c r="H8" s="17" t="s">
        <v>273</v>
      </c>
    </row>
    <row r="9" spans="1:8">
      <c r="A9" s="5">
        <v>2012</v>
      </c>
      <c r="C9" s="17">
        <v>0</v>
      </c>
    </row>
    <row r="10" spans="1:8">
      <c r="A10" s="5">
        <v>2013</v>
      </c>
      <c r="C10" s="17">
        <v>0</v>
      </c>
    </row>
    <row r="11" spans="1:8">
      <c r="A11" s="5">
        <v>2014</v>
      </c>
      <c r="C11" s="17">
        <v>0</v>
      </c>
    </row>
    <row r="12" spans="1:8">
      <c r="A12" s="5">
        <v>2015</v>
      </c>
      <c r="C12" s="17">
        <v>0</v>
      </c>
    </row>
    <row r="13" spans="1:8">
      <c r="A13" s="5">
        <v>2016</v>
      </c>
      <c r="C13" s="17">
        <v>0</v>
      </c>
    </row>
    <row r="14" spans="1:8">
      <c r="A14" s="5">
        <v>2017</v>
      </c>
      <c r="C14" s="17">
        <v>0</v>
      </c>
    </row>
    <row r="15" spans="1:8">
      <c r="A15" s="5">
        <v>2018</v>
      </c>
      <c r="C15" s="17">
        <v>0</v>
      </c>
    </row>
    <row r="16" spans="1:8">
      <c r="A16" s="5">
        <v>2019</v>
      </c>
      <c r="C16" s="17">
        <f>'CLP Assets'!C10</f>
        <v>10</v>
      </c>
    </row>
    <row r="17" spans="1:3">
      <c r="A17" s="5">
        <v>2020</v>
      </c>
      <c r="C17" s="17">
        <v>0</v>
      </c>
    </row>
  </sheetData>
  <sortState xmlns:xlrd2="http://schemas.microsoft.com/office/spreadsheetml/2017/richdata2" ref="A2:C12">
    <sortCondition ref="A2"/>
  </sortState>
  <phoneticPr fontId="10"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4"/>
  <sheetViews>
    <sheetView workbookViewId="0"/>
  </sheetViews>
  <sheetFormatPr defaultColWidth="8.81640625" defaultRowHeight="14.5"/>
  <cols>
    <col min="1" max="1" width="52.36328125" customWidth="1"/>
    <col min="2" max="3" width="11.36328125" customWidth="1"/>
    <col min="4" max="4" width="19.36328125" customWidth="1"/>
    <col min="5" max="5" width="14.36328125" customWidth="1"/>
    <col min="7" max="7" width="13.36328125" customWidth="1"/>
    <col min="8" max="8" width="15.81640625" customWidth="1"/>
    <col min="9" max="9" width="6.6328125" customWidth="1"/>
  </cols>
  <sheetData>
    <row r="1" spans="1:9">
      <c r="A1" t="s">
        <v>274</v>
      </c>
      <c r="B1" t="s">
        <v>174</v>
      </c>
      <c r="C1" t="s">
        <v>275</v>
      </c>
      <c r="D1" t="s">
        <v>254</v>
      </c>
      <c r="E1" t="s">
        <v>276</v>
      </c>
      <c r="H1" s="15" t="s">
        <v>212</v>
      </c>
      <c r="I1" s="15">
        <v>30</v>
      </c>
    </row>
    <row r="2" spans="1:9">
      <c r="A2" t="s">
        <v>277</v>
      </c>
      <c r="B2">
        <v>0</v>
      </c>
      <c r="C2" s="23"/>
      <c r="D2" t="s">
        <v>278</v>
      </c>
    </row>
    <row r="3" spans="1:9">
      <c r="A3" t="s">
        <v>279</v>
      </c>
      <c r="B3">
        <v>0</v>
      </c>
      <c r="C3" s="23"/>
      <c r="D3" t="s">
        <v>278</v>
      </c>
      <c r="H3" t="s">
        <v>272</v>
      </c>
    </row>
    <row r="4" spans="1:9">
      <c r="A4" t="s">
        <v>280</v>
      </c>
      <c r="B4">
        <v>0</v>
      </c>
      <c r="C4" s="23"/>
      <c r="D4" t="s">
        <v>281</v>
      </c>
      <c r="E4" s="19">
        <v>2012</v>
      </c>
      <c r="H4" s="19" t="s">
        <v>282</v>
      </c>
    </row>
    <row r="5" spans="1:9">
      <c r="A5" t="s">
        <v>283</v>
      </c>
      <c r="B5">
        <v>0</v>
      </c>
      <c r="C5" s="23"/>
      <c r="D5" t="s">
        <v>284</v>
      </c>
      <c r="H5" s="18" t="s">
        <v>285</v>
      </c>
    </row>
    <row r="6" spans="1:9">
      <c r="A6" t="s">
        <v>286</v>
      </c>
      <c r="B6">
        <v>0</v>
      </c>
      <c r="C6" s="23"/>
      <c r="D6" t="s">
        <v>278</v>
      </c>
      <c r="E6" s="18">
        <v>2019</v>
      </c>
    </row>
    <row r="7" spans="1:9">
      <c r="A7" t="s">
        <v>287</v>
      </c>
      <c r="B7">
        <v>0</v>
      </c>
      <c r="C7" s="23"/>
      <c r="D7" t="s">
        <v>278</v>
      </c>
    </row>
    <row r="8" spans="1:9">
      <c r="A8" t="s">
        <v>288</v>
      </c>
      <c r="B8">
        <v>0</v>
      </c>
      <c r="C8" s="23"/>
      <c r="D8" t="s">
        <v>284</v>
      </c>
    </row>
    <row r="9" spans="1:9">
      <c r="A9" t="s">
        <v>289</v>
      </c>
      <c r="B9">
        <v>0</v>
      </c>
      <c r="C9" s="23"/>
      <c r="D9" t="s">
        <v>278</v>
      </c>
    </row>
    <row r="10" spans="1:9">
      <c r="A10" t="s">
        <v>290</v>
      </c>
      <c r="B10">
        <v>0</v>
      </c>
      <c r="C10" s="23"/>
      <c r="D10" t="s">
        <v>278</v>
      </c>
      <c r="E10" s="18">
        <v>2019</v>
      </c>
    </row>
    <row r="11" spans="1:9">
      <c r="A11" t="s">
        <v>291</v>
      </c>
      <c r="B11">
        <v>0</v>
      </c>
      <c r="C11" s="23"/>
      <c r="D11" t="s">
        <v>278</v>
      </c>
    </row>
    <row r="12" spans="1:9">
      <c r="A12" t="s">
        <v>292</v>
      </c>
      <c r="B12">
        <v>0</v>
      </c>
      <c r="C12" s="23"/>
      <c r="D12" t="s">
        <v>278</v>
      </c>
      <c r="E12" s="18">
        <v>2019</v>
      </c>
    </row>
    <row r="13" spans="1:9">
      <c r="A13" t="s">
        <v>293</v>
      </c>
      <c r="B13">
        <v>0</v>
      </c>
      <c r="C13" s="23"/>
      <c r="D13" t="s">
        <v>284</v>
      </c>
    </row>
    <row r="14" spans="1:9">
      <c r="A14" t="s">
        <v>294</v>
      </c>
      <c r="B14">
        <v>0</v>
      </c>
      <c r="C14" s="23"/>
      <c r="D14" t="s">
        <v>278</v>
      </c>
      <c r="E14" s="18">
        <v>2019</v>
      </c>
    </row>
    <row r="15" spans="1:9">
      <c r="A15" t="s">
        <v>295</v>
      </c>
      <c r="B15">
        <v>0</v>
      </c>
      <c r="C15" s="23"/>
      <c r="D15" t="s">
        <v>281</v>
      </c>
      <c r="E15" s="19">
        <v>2016</v>
      </c>
    </row>
    <row r="16" spans="1:9">
      <c r="A16" t="s">
        <v>296</v>
      </c>
      <c r="B16">
        <v>0</v>
      </c>
      <c r="C16" s="23"/>
      <c r="D16" t="s">
        <v>284</v>
      </c>
    </row>
    <row r="17" spans="1:5">
      <c r="A17" t="s">
        <v>297</v>
      </c>
      <c r="B17">
        <v>0</v>
      </c>
      <c r="C17" s="23"/>
      <c r="D17" t="s">
        <v>284</v>
      </c>
    </row>
    <row r="18" spans="1:5">
      <c r="A18" t="s">
        <v>298</v>
      </c>
      <c r="B18">
        <v>0</v>
      </c>
      <c r="C18" s="23"/>
      <c r="D18" t="s">
        <v>278</v>
      </c>
    </row>
    <row r="19" spans="1:5">
      <c r="A19" t="s">
        <v>299</v>
      </c>
      <c r="B19">
        <v>0</v>
      </c>
      <c r="C19" s="23"/>
      <c r="D19" t="s">
        <v>284</v>
      </c>
      <c r="E19" s="18">
        <v>2019</v>
      </c>
    </row>
    <row r="20" spans="1:5">
      <c r="A20" t="s">
        <v>300</v>
      </c>
      <c r="B20">
        <v>0</v>
      </c>
      <c r="C20" s="23"/>
      <c r="D20" t="s">
        <v>278</v>
      </c>
    </row>
    <row r="21" spans="1:5">
      <c r="A21" t="s">
        <v>301</v>
      </c>
      <c r="B21">
        <v>0</v>
      </c>
      <c r="C21" s="23"/>
      <c r="D21" t="s">
        <v>278</v>
      </c>
    </row>
    <row r="22" spans="1:5">
      <c r="A22" t="s">
        <v>302</v>
      </c>
      <c r="B22">
        <v>0</v>
      </c>
      <c r="C22" s="23"/>
      <c r="D22" t="s">
        <v>278</v>
      </c>
      <c r="E22" s="18">
        <v>2019</v>
      </c>
    </row>
    <row r="23" spans="1:5">
      <c r="A23" t="s">
        <v>303</v>
      </c>
      <c r="B23">
        <v>0</v>
      </c>
      <c r="C23" s="23"/>
      <c r="D23" t="s">
        <v>278</v>
      </c>
    </row>
    <row r="24" spans="1:5">
      <c r="A24" t="s">
        <v>304</v>
      </c>
      <c r="B24">
        <v>0</v>
      </c>
      <c r="C24" s="23"/>
      <c r="D24" t="s">
        <v>278</v>
      </c>
      <c r="E24" s="18">
        <v>2019</v>
      </c>
    </row>
  </sheetData>
  <phoneticPr fontId="10"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41"/>
  <sheetViews>
    <sheetView topLeftCell="A19" workbookViewId="0">
      <selection activeCell="D23" sqref="D23"/>
    </sheetView>
  </sheetViews>
  <sheetFormatPr defaultColWidth="8.81640625" defaultRowHeight="14.5"/>
  <cols>
    <col min="6" max="6" width="18.36328125" customWidth="1"/>
    <col min="7" max="7" width="7.36328125" customWidth="1"/>
  </cols>
  <sheetData>
    <row r="1" spans="1:7">
      <c r="A1" t="s">
        <v>210</v>
      </c>
      <c r="B1" t="s">
        <v>211</v>
      </c>
      <c r="F1" s="15" t="s">
        <v>244</v>
      </c>
      <c r="G1" s="15">
        <v>20</v>
      </c>
    </row>
    <row r="2" spans="1:7">
      <c r="A2">
        <v>1996</v>
      </c>
    </row>
    <row r="3" spans="1:7">
      <c r="A3">
        <v>1997</v>
      </c>
    </row>
    <row r="4" spans="1:7">
      <c r="A4">
        <v>1998</v>
      </c>
    </row>
    <row r="5" spans="1:7">
      <c r="A5">
        <v>1999</v>
      </c>
    </row>
    <row r="6" spans="1:7">
      <c r="A6">
        <v>2000</v>
      </c>
    </row>
    <row r="7" spans="1:7">
      <c r="A7">
        <v>2001</v>
      </c>
    </row>
    <row r="8" spans="1:7">
      <c r="A8">
        <v>2002</v>
      </c>
    </row>
    <row r="9" spans="1:7">
      <c r="A9">
        <v>2003</v>
      </c>
    </row>
    <row r="10" spans="1:7">
      <c r="A10">
        <v>2004</v>
      </c>
    </row>
    <row r="11" spans="1:7">
      <c r="A11">
        <v>2005</v>
      </c>
    </row>
    <row r="12" spans="1:7">
      <c r="A12">
        <v>2006</v>
      </c>
      <c r="B12">
        <f>'HKE Asset'!D12</f>
        <v>1.1000000000000001</v>
      </c>
    </row>
    <row r="13" spans="1:7">
      <c r="A13">
        <v>2007</v>
      </c>
    </row>
    <row r="14" spans="1:7">
      <c r="A14">
        <v>2008</v>
      </c>
      <c r="B14">
        <v>3.8</v>
      </c>
    </row>
    <row r="15" spans="1:7">
      <c r="A15">
        <v>2009</v>
      </c>
    </row>
    <row r="16" spans="1:7">
      <c r="A16">
        <v>2010</v>
      </c>
    </row>
    <row r="17" spans="1:16">
      <c r="A17">
        <v>2011</v>
      </c>
    </row>
    <row r="18" spans="1:16">
      <c r="A18">
        <v>2012</v>
      </c>
    </row>
    <row r="19" spans="1:16">
      <c r="A19">
        <v>2013</v>
      </c>
      <c r="B19">
        <f>'HKE Asset'!D13</f>
        <v>0.1</v>
      </c>
    </row>
    <row r="20" spans="1:16">
      <c r="A20">
        <v>2014</v>
      </c>
    </row>
    <row r="21" spans="1:16">
      <c r="A21">
        <v>2015</v>
      </c>
    </row>
    <row r="22" spans="1:16">
      <c r="A22">
        <v>2016</v>
      </c>
      <c r="B22">
        <v>18.3</v>
      </c>
      <c r="D22" t="s">
        <v>305</v>
      </c>
    </row>
    <row r="23" spans="1:16">
      <c r="A23">
        <v>2017</v>
      </c>
      <c r="B23">
        <v>0.3</v>
      </c>
      <c r="D23" t="s">
        <v>306</v>
      </c>
      <c r="P23" s="3" t="s">
        <v>307</v>
      </c>
    </row>
    <row r="24" spans="1:16">
      <c r="A24">
        <v>2018</v>
      </c>
      <c r="B24">
        <v>0.9</v>
      </c>
      <c r="D24" t="s">
        <v>308</v>
      </c>
    </row>
    <row r="25" spans="1:16">
      <c r="A25">
        <v>2019</v>
      </c>
    </row>
    <row r="26" spans="1:16">
      <c r="A26">
        <v>2020</v>
      </c>
    </row>
    <row r="27" spans="1:16">
      <c r="A27">
        <v>2021</v>
      </c>
    </row>
    <row r="28" spans="1:16">
      <c r="A28">
        <v>2022</v>
      </c>
    </row>
    <row r="29" spans="1:16">
      <c r="A29">
        <v>2023</v>
      </c>
      <c r="B29">
        <v>0.15</v>
      </c>
      <c r="D29" t="s">
        <v>309</v>
      </c>
    </row>
    <row r="30" spans="1:16">
      <c r="A30">
        <v>2024</v>
      </c>
    </row>
    <row r="31" spans="1:16">
      <c r="A31">
        <v>2025</v>
      </c>
    </row>
    <row r="32" spans="1:16">
      <c r="A32">
        <v>2026</v>
      </c>
    </row>
    <row r="33" spans="1:2">
      <c r="A33">
        <v>2027</v>
      </c>
    </row>
    <row r="34" spans="1:2">
      <c r="A34">
        <v>2028</v>
      </c>
    </row>
    <row r="35" spans="1:2">
      <c r="A35">
        <v>2029</v>
      </c>
    </row>
    <row r="36" spans="1:2">
      <c r="A36">
        <v>2030</v>
      </c>
    </row>
    <row r="39" spans="1:2">
      <c r="B39" t="s">
        <v>310</v>
      </c>
    </row>
    <row r="40" spans="1:2">
      <c r="B40" t="s">
        <v>311</v>
      </c>
    </row>
    <row r="41" spans="1:2">
      <c r="B41" t="s">
        <v>312</v>
      </c>
    </row>
  </sheetData>
  <phoneticPr fontId="10" type="noConversion"/>
  <hyperlinks>
    <hyperlink ref="P23" r:id="rId1" xr:uid="{4020C416-DEF7-43D9-AA9E-670A9AF568E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b176f07-3112-4ee9-93fd-ae2cb5f3e433">
      <Terms xmlns="http://schemas.microsoft.com/office/infopath/2007/PartnerControls"/>
    </lcf76f155ced4ddcb4097134ff3c332f>
    <TaxCatchAll xmlns="6b15a3a4-8173-42d6-9deb-398ec38eca4b" xsi:nil="true"/>
  </documentManagement>
</p:properties>
</file>

<file path=customXml/itemProps1.xml><?xml version="1.0" encoding="utf-8"?>
<ds:datastoreItem xmlns:ds="http://schemas.openxmlformats.org/officeDocument/2006/customXml" ds:itemID="{20A3B9D9-148A-4F8D-8A7C-887AD70B9493}">
  <ds:schemaRefs>
    <ds:schemaRef ds:uri="http://schemas.microsoft.com/office/2006/metadata/contentType"/>
    <ds:schemaRef ds:uri="http://schemas.microsoft.com/office/2006/metadata/properties/metaAttributes"/>
    <ds:schemaRef ds:uri="http://www.w3.org/2000/xmlns/"/>
    <ds:schemaRef ds:uri="http://www.w3.org/2001/XMLSchema"/>
    <ds:schemaRef ds:uri="cb176f07-3112-4ee9-93fd-ae2cb5f3e433"/>
    <ds:schemaRef ds:uri="6b15a3a4-8173-42d6-9deb-398ec38eca4b"/>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1E4517D-4D16-42D6-9794-2E3CC859BA7E}">
  <ds:schemaRefs>
    <ds:schemaRef ds:uri="http://schemas.microsoft.com/sharepoint/v3/contenttype/forms"/>
  </ds:schemaRefs>
</ds:datastoreItem>
</file>

<file path=customXml/itemProps3.xml><?xml version="1.0" encoding="utf-8"?>
<ds:datastoreItem xmlns:ds="http://schemas.openxmlformats.org/officeDocument/2006/customXml" ds:itemID="{6091D35F-3351-4929-98D7-691DD353B48B}">
  <ds:schemaRefs>
    <ds:schemaRef ds:uri="http://schemas.microsoft.com/office/2006/metadata/properties"/>
    <ds:schemaRef ds:uri="http://schemas.openxmlformats.org/package/2006/metadata/core-properties"/>
    <ds:schemaRef ds:uri="cb176f07-3112-4ee9-93fd-ae2cb5f3e433"/>
    <ds:schemaRef ds:uri="http://schemas.microsoft.com/office/2006/documentManagement/types"/>
    <ds:schemaRef ds:uri="http://purl.org/dc/terms/"/>
    <ds:schemaRef ds:uri="http://purl.org/dc/dcmitype/"/>
    <ds:schemaRef ds:uri="http://www.w3.org/XML/1998/namespace"/>
    <ds:schemaRef ds:uri="http://purl.org/dc/elements/1.1/"/>
    <ds:schemaRef ds:uri="http://schemas.microsoft.com/office/infopath/2007/PartnerControls"/>
    <ds:schemaRef ds:uri="6b15a3a4-8173-42d6-9deb-398ec38eca4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CLP Assets</vt:lpstr>
      <vt:lpstr>HKE Asset</vt:lpstr>
      <vt:lpstr>Natural gas&amp;Petroleum&amp;Coal</vt:lpstr>
      <vt:lpstr>BCRbQ</vt:lpstr>
      <vt:lpstr>Wind</vt:lpstr>
      <vt:lpstr>Hydro</vt:lpstr>
      <vt:lpstr>Nuclear</vt:lpstr>
      <vt:lpstr>Geothermal</vt:lpstr>
      <vt:lpstr>Biomass</vt:lpstr>
      <vt:lpstr>Solar thermal </vt:lpstr>
      <vt:lpstr>Solar pv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Robbie</dc:creator>
  <cp:keywords/>
  <dc:description/>
  <cp:lastModifiedBy>Daiyang Zhang</cp:lastModifiedBy>
  <cp:revision/>
  <dcterms:created xsi:type="dcterms:W3CDTF">2015-12-15T21:40:01Z</dcterms:created>
  <dcterms:modified xsi:type="dcterms:W3CDTF">2024-05-14T05:44:00Z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0x010100D257B2780BAD0A45A02FA065B9C6CC6A</vt:lpwstr>
  </property>
  <property fmtid="{D5CDD505-2E9C-101B-9397-08002B2CF9AE}" pid="3" name="AuthorIds_UIVersion_512">
    <vt:lpwstr>146</vt:lpwstr>
  </property>
  <property fmtid="{D5CDD505-2E9C-101B-9397-08002B2CF9AE}" pid="4" name="MediaServiceImageTags">
    <vt:lpwstr/>
  </property>
</Properties>
</file>