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Illinois\IL-eps\"/>
    </mc:Choice>
  </mc:AlternateContent>
  <xr:revisionPtr revIDLastSave="0" documentId="13_ncr:1_{DC289A62-7349-4554-BEC9-E37B96F4671E}" xr6:coauthVersionLast="46" xr6:coauthVersionMax="46" xr10:uidLastSave="{00000000-0000-0000-0000-000000000000}"/>
  <bookViews>
    <workbookView xWindow="2010" yWindow="2220"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D11" i="10"/>
  <c r="P62" i="5"/>
  <c r="B10" i="10"/>
  <c r="H10" i="10" s="1"/>
  <c r="B11" i="10"/>
  <c r="H11" i="10" s="1"/>
  <c r="I3" i="10"/>
  <c r="N88" i="3" l="1"/>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<sst xmlns="http://schemas.openxmlformats.org/spreadsheetml/2006/main" count="18388" uniqueCount="2197">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</sst>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35</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Illinois</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37.637553079589587</v>
      </c>
      <c r="C3" s="74">
        <f>E28</f>
        <v>3.6472799999999999</v>
      </c>
      <c r="D3" s="75">
        <v>0.55000000000000004</v>
      </c>
      <c r="E3" s="75">
        <v>0.4</v>
      </c>
      <c r="F3" s="117">
        <f t="shared" ref="F3:G9" si="0">$C3*(1-D3)</f>
        <v>1.6412759999999997</v>
      </c>
      <c r="G3" s="117">
        <f t="shared" si="0"/>
        <v>2.1883679999999996</v>
      </c>
      <c r="H3" s="69"/>
      <c r="I3" s="76">
        <f t="shared" ref="I3:I11" si="1">1-F3/$B3</f>
        <v>0.956392595540701</v>
      </c>
      <c r="J3" s="76">
        <f>1-G3/$B3</f>
        <v>0.94185679405426792</v>
      </c>
      <c r="K3" s="69" t="str">
        <f t="shared" ref="K3:K11" si="2">"In a scenario limiting global warming to 1.5 °C, " &amp; B$1 &amp; " would need to cut its " &amp; A3 &amp; " emissions by " &amp; ROUND(J3*100, 0) &amp; " to " &amp; ROUND(I3*100, 0) &amp; " percent of 2005 levels."</f>
        <v>In a scenario limiting global warming to 1.5 °C, Illinois would need to cut its buildings emissions by 94 to 96 percent of 2005 levels.</v>
      </c>
      <c r="L3" s="69"/>
      <c r="M3" s="69"/>
      <c r="N3" s="69"/>
      <c r="O3" s="69"/>
      <c r="P3" s="69"/>
      <c r="Q3" s="69"/>
      <c r="R3" s="69"/>
      <c r="S3" s="69"/>
      <c r="T3" s="69"/>
      <c r="U3" s="69"/>
      <c r="V3" s="69"/>
      <c r="W3" s="69"/>
      <c r="X3" s="69"/>
      <c r="Y3" s="69"/>
      <c r="Z3" s="69"/>
    </row>
    <row r="4" spans="1:26" x14ac:dyDescent="0.25">
      <c r="A4" s="73" t="s">
        <v>1028</v>
      </c>
      <c r="B4" s="116">
        <f>'State 2005 Data'!J6</f>
        <v>92.243880673523606</v>
      </c>
      <c r="C4" s="74">
        <f>G28</f>
        <v>12.6975</v>
      </c>
      <c r="D4" s="75">
        <v>0.89</v>
      </c>
      <c r="E4" s="75">
        <v>0.66</v>
      </c>
      <c r="F4" s="117">
        <f t="shared" si="0"/>
        <v>1.3967249999999998</v>
      </c>
      <c r="G4" s="117">
        <f t="shared" si="0"/>
        <v>4.3171499999999998</v>
      </c>
      <c r="H4" s="69"/>
      <c r="I4" s="76">
        <f t="shared" si="1"/>
        <v>0.98485834518450721</v>
      </c>
      <c r="J4" s="76">
        <f t="shared" ref="J4:J11" si="3">1-G4/$B4</f>
        <v>0.953198521479386</v>
      </c>
      <c r="K4" s="69" t="str">
        <f t="shared" si="2"/>
        <v>In a scenario limiting global warming to 1.5 °C, Illinois would need to cut its electricity emissions by 95 to 98 percent of 2005 levels.</v>
      </c>
      <c r="L4" s="69"/>
      <c r="M4" s="69"/>
      <c r="N4" s="69"/>
      <c r="O4" s="69"/>
      <c r="P4" s="69"/>
      <c r="Q4" s="69"/>
      <c r="R4" s="69"/>
      <c r="S4" s="69"/>
      <c r="T4" s="69"/>
      <c r="U4" s="69"/>
      <c r="V4" s="69"/>
      <c r="W4" s="69"/>
      <c r="X4" s="69"/>
      <c r="Y4" s="69"/>
      <c r="Z4" s="69"/>
    </row>
    <row r="5" spans="1:26" x14ac:dyDescent="0.25">
      <c r="A5" s="73" t="s">
        <v>1859</v>
      </c>
      <c r="B5" s="116">
        <f>'State 2005 Data'!J7</f>
        <v>58.1792753244019</v>
      </c>
      <c r="C5" s="118">
        <f>H28</f>
        <v>26.9559</v>
      </c>
      <c r="D5" s="75">
        <v>0.41</v>
      </c>
      <c r="E5" s="75">
        <v>0.33</v>
      </c>
      <c r="F5" s="117">
        <f t="shared" si="0"/>
        <v>15.903981000000002</v>
      </c>
      <c r="G5" s="117">
        <f t="shared" si="0"/>
        <v>18.060452999999999</v>
      </c>
      <c r="H5" s="69"/>
      <c r="I5" s="76">
        <f>1-F5/$B5</f>
        <v>0.7266383791939488</v>
      </c>
      <c r="J5" s="76">
        <f t="shared" si="3"/>
        <v>0.6895723967117724</v>
      </c>
      <c r="K5" s="69" t="str">
        <f t="shared" si="2"/>
        <v>In a scenario limiting global warming to 1.5 °C, Illinois would need to cut its industry emissions by 69 to 73 percent of 2005 levels.</v>
      </c>
      <c r="L5" s="69"/>
      <c r="M5" s="69"/>
      <c r="N5" s="69"/>
      <c r="O5" s="69"/>
      <c r="P5" s="69"/>
      <c r="Q5" s="69"/>
      <c r="R5" s="69"/>
      <c r="S5" s="69"/>
      <c r="T5" s="69"/>
      <c r="U5" s="69"/>
      <c r="V5" s="69"/>
      <c r="W5" s="69"/>
      <c r="X5" s="69"/>
      <c r="Y5" s="69"/>
      <c r="Z5" s="69"/>
    </row>
    <row r="6" spans="1:26" x14ac:dyDescent="0.25">
      <c r="A6" s="73" t="s">
        <v>1860</v>
      </c>
      <c r="B6" s="116">
        <f>'State 2005 Data'!J8</f>
        <v>77.80172605846839</v>
      </c>
      <c r="C6" s="118">
        <f>F28</f>
        <v>14.0167</v>
      </c>
      <c r="D6" s="75">
        <v>0.48</v>
      </c>
      <c r="E6" s="75">
        <v>0.27</v>
      </c>
      <c r="F6" s="117">
        <f>$C6*(1-D6)</f>
        <v>7.2886839999999999</v>
      </c>
      <c r="G6" s="117">
        <f t="shared" si="0"/>
        <v>10.232191</v>
      </c>
      <c r="H6" s="69"/>
      <c r="I6" s="76">
        <f t="shared" si="1"/>
        <v>0.90631719411311629</v>
      </c>
      <c r="J6" s="76">
        <f t="shared" si="3"/>
        <v>0.86848375327418248</v>
      </c>
      <c r="K6" s="69" t="str">
        <f t="shared" si="2"/>
        <v>In a scenario limiting global warming to 1.5 °C, Illinois would need to cut its transportation emissions by 87 to 91 percent of 2005 levels.</v>
      </c>
      <c r="L6" s="69"/>
      <c r="M6" s="69"/>
      <c r="N6" s="69"/>
      <c r="O6" s="69"/>
      <c r="P6" s="69"/>
      <c r="Q6" s="69"/>
      <c r="R6" s="69"/>
      <c r="S6" s="69"/>
      <c r="T6" s="69"/>
      <c r="U6" s="69"/>
      <c r="V6" s="69"/>
      <c r="W6" s="69"/>
      <c r="X6" s="69"/>
      <c r="Y6" s="69"/>
      <c r="Z6" s="69"/>
    </row>
    <row r="7" spans="1:26" x14ac:dyDescent="0.25">
      <c r="A7" s="73" t="s">
        <v>775</v>
      </c>
      <c r="B7" s="116">
        <f>'State 2005 Data'!J9</f>
        <v>18.448807091380999</v>
      </c>
      <c r="C7" s="118">
        <f>D28</f>
        <v>7.6132600000000004</v>
      </c>
      <c r="D7" s="75">
        <v>0.06</v>
      </c>
      <c r="E7" s="75">
        <v>0.02</v>
      </c>
      <c r="F7" s="117">
        <f t="shared" si="0"/>
        <v>7.1564643999999999</v>
      </c>
      <c r="G7" s="117">
        <f t="shared" si="0"/>
        <v>7.4609947999999999</v>
      </c>
      <c r="H7" s="69"/>
      <c r="I7" s="76">
        <f t="shared" si="1"/>
        <v>0.61209066989792582</v>
      </c>
      <c r="J7" s="76">
        <f t="shared" si="3"/>
        <v>0.59558388989358213</v>
      </c>
      <c r="K7" s="69" t="str">
        <f t="shared" si="2"/>
        <v>In a scenario limiting global warming to 1.5 °C, Illinois would need to cut its agriculture emissions by 60 to 61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Illinois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10.130164839970609</v>
      </c>
      <c r="C9" s="118">
        <f>C28</f>
        <v>1.59965</v>
      </c>
      <c r="D9" s="75">
        <v>0.06</v>
      </c>
      <c r="E9" s="75">
        <v>0.02</v>
      </c>
      <c r="F9" s="117">
        <f t="shared" si="0"/>
        <v>1.503671</v>
      </c>
      <c r="G9" s="117">
        <f t="shared" si="0"/>
        <v>1.5676570000000001</v>
      </c>
      <c r="H9" s="69"/>
      <c r="I9" s="76">
        <f t="shared" si="1"/>
        <v>0.85156500177894812</v>
      </c>
      <c r="J9" s="76">
        <f t="shared" si="3"/>
        <v>0.84524861887592462</v>
      </c>
      <c r="K9" s="69" t="str">
        <f t="shared" si="2"/>
        <v>In a scenario limiting global warming to 1.5 °C, Illinois would need to cut its waste emissions by 85 to 85 percent of 2005 levels.</v>
      </c>
      <c r="L9" s="69"/>
      <c r="M9" s="69"/>
      <c r="N9" s="69"/>
      <c r="O9" s="69"/>
      <c r="P9" s="69"/>
      <c r="Q9" s="69"/>
      <c r="R9" s="69"/>
      <c r="S9" s="69"/>
      <c r="T9" s="69"/>
      <c r="U9" s="69"/>
      <c r="V9" s="69"/>
      <c r="W9" s="69"/>
      <c r="X9" s="69"/>
      <c r="Y9" s="69"/>
      <c r="Z9" s="69"/>
    </row>
    <row r="10" spans="1:26" x14ac:dyDescent="0.25">
      <c r="A10" s="73" t="s">
        <v>1865</v>
      </c>
      <c r="B10" s="119">
        <f>SUM(B3:B9)</f>
        <v>288.0030470673351</v>
      </c>
      <c r="C10" s="119">
        <f>SUM(C3:C9)</f>
        <v>60.091929999999991</v>
      </c>
      <c r="D10" s="76">
        <f>1-F10/$C10</f>
        <v>0.52651809652311032</v>
      </c>
      <c r="E10" s="76">
        <f>1-G10/$C10</f>
        <v>0.37781239843686165</v>
      </c>
      <c r="F10" s="117">
        <f>SUM(F3:F9)</f>
        <v>28.452441400000005</v>
      </c>
      <c r="G10" s="117">
        <f>SUM(G3:G9)</f>
        <v>37.388453799999994</v>
      </c>
      <c r="H10" s="171">
        <f>IFERROR(B10*(1-'Unique State Inputs'!A$8),"")</f>
        <v>158.40167588703432</v>
      </c>
      <c r="I10" s="76">
        <f t="shared" si="1"/>
        <v>0.90120784592481129</v>
      </c>
      <c r="J10" s="76">
        <f t="shared" si="3"/>
        <v>0.8701803533652942</v>
      </c>
      <c r="K10" s="69" t="str">
        <f t="shared" si="2"/>
        <v>In a scenario limiting global warming to 1.5 °C, Illinois would need to cut its total (including land use) emissions by 87 to 90 percent of 2005 levels.</v>
      </c>
      <c r="L10" s="69"/>
      <c r="M10" s="69"/>
      <c r="N10" s="69"/>
      <c r="O10" s="69"/>
      <c r="P10" s="69"/>
      <c r="Q10" s="69"/>
      <c r="R10" s="69"/>
      <c r="S10" s="69"/>
      <c r="T10" s="69"/>
      <c r="U10" s="69"/>
      <c r="V10" s="69"/>
      <c r="W10" s="69"/>
      <c r="X10" s="69"/>
      <c r="Y10" s="69"/>
      <c r="Z10" s="69"/>
    </row>
    <row r="11" spans="1:26" x14ac:dyDescent="0.25">
      <c r="A11" s="73" t="s">
        <v>1867</v>
      </c>
      <c r="B11" s="119">
        <f>SUM(B3:B9)-B8</f>
        <v>294.44140706733509</v>
      </c>
      <c r="C11" s="119">
        <f>SUM(C3:C9)-C8</f>
        <v>66.530289999999994</v>
      </c>
      <c r="D11" s="76">
        <f>1-F11/$C11</f>
        <v>0.47556516888773503</v>
      </c>
      <c r="E11" s="76">
        <f>1-G11/$C11</f>
        <v>0.34125022151564344</v>
      </c>
      <c r="F11" s="117">
        <f>F10-F8</f>
        <v>34.890801400000008</v>
      </c>
      <c r="G11" s="117">
        <f>G10-G8</f>
        <v>43.826813799999996</v>
      </c>
      <c r="H11" s="171">
        <f>IFERROR(B11*(1-'Unique State Inputs'!A$8),"")</f>
        <v>161.94277388703432</v>
      </c>
      <c r="I11" s="76">
        <f t="shared" si="1"/>
        <v>0.88150171625819962</v>
      </c>
      <c r="J11" s="76">
        <f t="shared" si="3"/>
        <v>0.85115268183059134</v>
      </c>
      <c r="K11" s="69" t="str">
        <f t="shared" si="2"/>
        <v>In a scenario limiting global warming to 1.5 °C, Illinois would need to cut its total (excluding land use) emissions by 85 to 88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Illinois had 2058 EV charging outlets, approximately 16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Illinois, the share of electricity among fuels used for heating in urban, residential buildings will rise from 7.2% to 8.6%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Illinois, the share of electricity among fuels used by appliances in urban, residential buildings will fall from 76.3% to 69.1%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Illinois, the share of electricity among fuels used for heating in rural, residential buildings will rise from 7.2% to 8.6%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76.3% to 69.1%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Illinois, the share of electricity among fuels used for heating in commercial buildings will fall from 0.4% to 0.4%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Illinois, the share of electricity among fuels used by appliances in commercial buildings will fall from 59.7% to 36.3%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Illinois, the share of electricity among fuels used by other components in commercial buildings will rise from 80.1% to 86.4%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Illinois.</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25% in 2050 as a generation-weighted state average. Many states have different requirements for municipalities, co-ops, and investor owned utilities. In 2020, the value is 16%. To set a carbon-free electricity standard that starts ramping up in 2021, the Customize Implementation Schedule feature below allows users to customize the start year setting. Simply take the 16% value, divide by your chosen policy setting, and enter the resulting value in the 'Implementation %' box for 2020.  // **Guidance for setting values:** Multiple states have set 100% clean energy or renewable energy laws or goals,  not includingIllinois. After weighing for coop and municipality requirements, the BAU assumes a total CES of 25% in 2030 that rises to 25%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-18%.</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Illinois, a 100% setting provides for an additional 9263 MW of demand response capacity in 2050 (on top of a BAU quantity of 2997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Illinois will retire 5820 MW of coal by 2050. Illinois currently has 10174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Illinois will retire 0 MW of gas non-peaking plants by 2050. Illinois currently has 3574MW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Illinois will retire 4097 MW of nuclear capacity by 2050. Illinois currently has 11582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Illinois will retire 0 MW of biomass capacity by 2050. Illinois currently has 88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Illinois will retire 0 MW of petroleum capacity by 2050. Illinois currently has 659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Illinois will retire 243 MW of natural gas peaker capacity by 2050. Illinois currently has 11892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Illinois will retire 0 MW of natural gas peaker capacity by 2050. Illinois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Illinois had about 23 of grid battery storage.  The BAU scenario is based on EIA AEO data and sees grid battery capacity reach 1686 by 2050.  The additional potential is based on NREL's Renewable Electricity Futures Study (80% RE-ITI (2014) scenario) and suggests Illinois could reach 21482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36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Illinois had 2058 EV charging outlets, approximately 16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Illinois, the share of electricity among fuels used for heating in urban, residential buildings will rise from 7.2% to 8.6%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Illinois, the share of electricity among fuels used by appliances in urban, residential buildings will fall from 76.3% to 69.1%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Illinois, the share of electricity among fuels used for heating in rural, residential buildings will rise from 7.2% to 8.6%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76.3% to 69.1%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Illinois, the share of electricity among fuels used for heating in commercial buildings will fall from 0.4% to 0.4%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Illinois, the share of electricity among fuels used by appliances in commercial buildings will fall from 59.7% to 36.3%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Illinois, the share of electricity among fuels used by other components in commercial buildings will rise from 80.1% to 86.4%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Illinois.</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25% in 2050 as a generation-weighted state average. Many states have different requirements for municipalities, co-ops, and investor owned utilities. In 2020, the value is 16%. To set a carbon-free electricity standard that starts ramping up in 2021, the Customize Implementation Schedule feature below allows users to customize the start year setting. Simply take the 16% value, divide by your chosen policy setting, and enter the resulting value in the 'Implementation %' box for 2020.  // **Guidance for setting values:** Multiple states have set 100% clean energy or renewable energy laws or goals, not includingIllinois.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-18%.</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Illinois, a 100% setting provides for an additional 9263 MW of demand response capacity in 2050 (on top of a BAU quantity of 2997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Illinois will retire 5820 MW of coal by 2050. Illinois currently has 10174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Illinois will retire 0 MW of gas non-peaking plants by 2050. Illinois currently has 3574MW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Yes</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Illinois will retire 4097 MW of nuclear capacity by 2050. Illinois currently has 11582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Illinois will retire 0 MW of biomass capacity by 2050. Illinois currently has 88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Illinois will retire 0 MW of biomass capacity by 2050. Illinois currently has 88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Illinois will retire 0 MW of petroleum capacity by 2050. Illinois currently has 659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Illinois will retire 243 MW of natural gas peaker capacity by 2050. Illinois currently has 11892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Illinois will retire 0 MW of natural gas peaker capacity by 2050. Illinois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Illinois had about 23 of grid battery storage.  The BAU scenario is based on EIA AEO data and sees grid battery capacity reach 1686 by 2050.  The additional potential is based on NREL's Renewable Electricity Futures Study (80% RE-ITI (2014) scenario) and suggests Illinois could reach 21482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36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Illinois</v>
      </c>
      <c r="B6" s="145">
        <f>SUMIFS(B7:B57,$A7:$A57,$A$6)</f>
        <v>2058</v>
      </c>
      <c r="C6" s="145">
        <f>SUMIFS(C7:C57,$A7:$A57,$A$6)</f>
        <v>12791188</v>
      </c>
      <c r="D6" s="145">
        <f>ROUND(SUMIFS(D7:D57,$A7:$A57,$A$6),2)</f>
        <v>16.09</v>
      </c>
      <c r="E6" s="145">
        <f t="shared" ref="E6:L6" si="0">SUMIFS(E7:E57,$A7:$A57,$A$6)</f>
        <v>0</v>
      </c>
      <c r="F6" s="145">
        <f t="shared" si="0"/>
        <v>0.16</v>
      </c>
      <c r="G6" s="145">
        <f t="shared" si="0"/>
        <v>0.25</v>
      </c>
      <c r="H6" s="145">
        <f t="shared" si="0"/>
        <v>0.25</v>
      </c>
      <c r="I6" s="145">
        <f t="shared" si="0"/>
        <v>52802</v>
      </c>
      <c r="J6" s="145">
        <f t="shared" si="0"/>
        <v>40457236</v>
      </c>
      <c r="K6" s="145">
        <f t="shared" si="0"/>
        <v>24285</v>
      </c>
      <c r="L6" s="145">
        <f t="shared" si="0"/>
        <v>33121780</v>
      </c>
      <c r="M6" s="145">
        <f>ROUND(SUMIFS(M7:M57,$A7:$A57,$A$6)*100,0)</f>
        <v>-54</v>
      </c>
      <c r="N6" s="145">
        <f>ROUND(SUMIFS(N7:N57,$A7:$A57,$A$6)*100,0)</f>
        <v>-18</v>
      </c>
      <c r="O6" s="145">
        <f t="shared" ref="O6:AM6" si="1">ROUND(SUMIFS(O7:O57,$A7:$A57,$A$6),0)</f>
        <v>6266</v>
      </c>
      <c r="P6" s="145">
        <f t="shared" si="1"/>
        <v>2997</v>
      </c>
      <c r="Q6" s="145">
        <f t="shared" si="1"/>
        <v>5820</v>
      </c>
      <c r="R6" s="145">
        <f t="shared" si="1"/>
        <v>0</v>
      </c>
      <c r="S6" s="145">
        <f t="shared" si="1"/>
        <v>4097</v>
      </c>
      <c r="T6" s="145">
        <f t="shared" si="1"/>
        <v>0</v>
      </c>
      <c r="U6" s="145">
        <f t="shared" si="1"/>
        <v>0</v>
      </c>
      <c r="V6" s="145">
        <f t="shared" si="1"/>
        <v>243</v>
      </c>
      <c r="W6" s="145">
        <f t="shared" si="1"/>
        <v>0</v>
      </c>
      <c r="X6" s="145">
        <f t="shared" si="1"/>
        <v>10174</v>
      </c>
      <c r="Y6" s="145">
        <f t="shared" si="1"/>
        <v>3574</v>
      </c>
      <c r="Z6" s="145">
        <f t="shared" si="1"/>
        <v>11582</v>
      </c>
      <c r="AA6" s="145">
        <f t="shared" si="1"/>
        <v>33</v>
      </c>
      <c r="AB6" s="145">
        <f t="shared" si="1"/>
        <v>5229</v>
      </c>
      <c r="AC6" s="145">
        <f t="shared" si="1"/>
        <v>42</v>
      </c>
      <c r="AD6" s="145">
        <f t="shared" si="1"/>
        <v>0</v>
      </c>
      <c r="AE6" s="145">
        <f t="shared" si="1"/>
        <v>88</v>
      </c>
      <c r="AF6" s="145">
        <f t="shared" si="1"/>
        <v>0</v>
      </c>
      <c r="AG6" s="145">
        <f t="shared" si="1"/>
        <v>659</v>
      </c>
      <c r="AH6" s="145">
        <f t="shared" si="1"/>
        <v>11892</v>
      </c>
      <c r="AI6" s="145">
        <f t="shared" si="1"/>
        <v>0</v>
      </c>
      <c r="AJ6" s="145">
        <f t="shared" si="1"/>
        <v>0</v>
      </c>
      <c r="AK6" s="145">
        <f t="shared" si="1"/>
        <v>0</v>
      </c>
      <c r="AL6" s="145">
        <f t="shared" si="1"/>
        <v>0</v>
      </c>
      <c r="AM6" s="145">
        <f t="shared" si="1"/>
        <v>0</v>
      </c>
      <c r="AN6" s="145">
        <f>ROUND(SUMIFS(AN7:AN57,$A7:$A57,$A$6),)</f>
        <v>1686</v>
      </c>
      <c r="AO6" s="145">
        <f t="shared" ref="AO6:AP6" si="2">ROUND(SUMIFS(AO7:AO57,$A7:$A57,$A$6),)</f>
        <v>21482</v>
      </c>
      <c r="AP6" s="145">
        <f t="shared" si="2"/>
        <v>23</v>
      </c>
      <c r="AQ6" s="145">
        <f>ROUND(SUMIFS(AQ7:AQ57,$A7:$A57,$A$6),0)</f>
        <v>36</v>
      </c>
      <c r="AR6" s="146">
        <f>SUMIFS(AR7:AR57,$A7:$A57,$A$6)</f>
        <v>0.1364403917595407</v>
      </c>
      <c r="AS6" s="145">
        <f>ROUND(SUMIFS(AS7:AS57,$A7:$A57,$A$6),0)</f>
        <v>2231</v>
      </c>
      <c r="AT6" s="145">
        <f>ROUND(SUMIFS(AT7:AT57,$A7:$A57,$A$6),0)</f>
        <v>2997</v>
      </c>
      <c r="AU6" s="145">
        <f>ROUND(SUMIFS(AU7:AU57,$A7:$A57,$A$6),0)</f>
        <v>9263</v>
      </c>
      <c r="AV6" s="145">
        <f>ROUND(SUMIFS(AV7:AV57,$A7:$A57,$A$6)*100,0)</f>
        <v>16</v>
      </c>
      <c r="AW6" s="145">
        <f>ROUND(SUMIFS(AW7:AW57,$A7:$A57,$A$6)*100,0)</f>
        <v>25</v>
      </c>
      <c r="AX6" s="145">
        <f>ROUND(SUMIFS(AX7:AX57,$A7:$A57,$A$6)*100,0)</f>
        <v>25</v>
      </c>
      <c r="AY6" s="145">
        <f>SUMIFS(AY7:AY57,$A7:$A57,$A$6)</f>
        <v>0</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IL</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IL</v>
      </c>
      <c r="D77" s="93">
        <v>2019</v>
      </c>
      <c r="E77" s="93">
        <v>2050</v>
      </c>
    </row>
    <row r="78" spans="1:40" ht="15.95" customHeight="1" x14ac:dyDescent="0.25">
      <c r="B78" s="93" t="s">
        <v>2058</v>
      </c>
      <c r="C78" s="93" t="s">
        <v>497</v>
      </c>
      <c r="D78" s="93" cm="1">
        <f t="array" ref="D78">ROUND(INDEX($B$95:$H$845,MATCH(1,($C78=$E$95:$E$845)*($B78=$F$95:$F$845)*($C$77=$B$95:$B$845),0),MATCH(D$77,$B$95:$H$95,0))*100,1)</f>
        <v>7.2</v>
      </c>
      <c r="E78" s="165" cm="1">
        <f t="array" ref="E78">ROUND(INDEX($B$95:$H$845,MATCH(1,($C78=$E$95:$E$845)*($B78=$F$95:$F$845)*($C$77=$B$95:$B$845),0),MATCH(E$77,$B$95:$H$95,0))*100,1)</f>
        <v>8.6</v>
      </c>
    </row>
    <row r="79" spans="1:40" ht="15.95" customHeight="1" x14ac:dyDescent="0.25">
      <c r="B79" s="165" t="s">
        <v>2058</v>
      </c>
      <c r="C79" s="93" t="s">
        <v>2057</v>
      </c>
      <c r="D79" s="165" cm="1">
        <f t="array" ref="D79">ROUND(INDEX($B$95:$H$845,MATCH(1,($C79=$E$95:$E$845)*($B79=$F$95:$F$845)*($C$77=$B$95:$B$845),0),MATCH(D$77,$B$95:$H$95,0))*100,1)</f>
        <v>76.3</v>
      </c>
      <c r="E79" s="165" cm="1">
        <f t="array" ref="E79">ROUND(INDEX($B$95:$H$845,MATCH(1,($C79=$E$95:$E$845)*($B79=$F$95:$F$845)*($C$77=$B$95:$B$845),0),MATCH(E$77,$B$95:$H$95,0))*100,1)</f>
        <v>69.099999999999994</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7.2</v>
      </c>
      <c r="E81" s="165" cm="1">
        <f t="array" ref="E81">ROUND(INDEX($B$95:$H$845,MATCH(1,($C81=$E$95:$E$845)*($B81=$F$95:$F$845)*($C$77=$B$95:$B$845),0),MATCH(E$77,$B$95:$H$95,0))*100,1)</f>
        <v>8.6</v>
      </c>
    </row>
    <row r="82" spans="2:26" ht="15.95" customHeight="1" x14ac:dyDescent="0.25">
      <c r="B82" s="165" t="s">
        <v>2055</v>
      </c>
      <c r="C82" s="165" t="s">
        <v>2057</v>
      </c>
      <c r="D82" s="165" cm="1">
        <f t="array" ref="D82">ROUND(INDEX($B$95:$H$845,MATCH(1,($C82=$E$95:$E$845)*($B82=$F$95:$F$845)*($C$77=$B$95:$B$845),0),MATCH(D$77,$B$95:$H$95,0))*100,1)</f>
        <v>76.3</v>
      </c>
      <c r="E82" s="165" cm="1">
        <f t="array" ref="E82">ROUND(INDEX($B$95:$H$845,MATCH(1,($C82=$E$95:$E$845)*($B82=$F$95:$F$845)*($C$77=$B$95:$B$845),0),MATCH(E$77,$B$95:$H$95,0))*100,1)</f>
        <v>69.099999999999994</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IL</v>
      </c>
    </row>
    <row r="84" spans="2:26" ht="15.95" customHeight="1" x14ac:dyDescent="0.25">
      <c r="B84" s="93" t="s">
        <v>2059</v>
      </c>
      <c r="C84" s="165" t="s">
        <v>497</v>
      </c>
      <c r="D84" s="165" cm="1">
        <f t="array" ref="D84">ROUND(INDEX($B$95:$H$845,MATCH(1,($C84=$E$95:$E$845)*($B84=$F$95:$F$845)*($C$77=$B$95:$B$845),0),MATCH(D$77,$B$95:$H$95,0))*100,1)</f>
        <v>0.4</v>
      </c>
      <c r="E84" s="165" cm="1">
        <f t="array" ref="E84">ROUND(INDEX($B$95:$H$845,MATCH(1,($C84=$E$95:$E$845)*($B84=$F$95:$F$845)*($C$77=$B$95:$B$845),0),MATCH(E$77,$B$95:$H$95,0))*100,1)</f>
        <v>0.4</v>
      </c>
    </row>
    <row r="85" spans="2:26" ht="15.95" customHeight="1" x14ac:dyDescent="0.25">
      <c r="B85" s="165" t="s">
        <v>2059</v>
      </c>
      <c r="C85" s="165" t="s">
        <v>2057</v>
      </c>
      <c r="D85" s="165" cm="1">
        <f t="array" ref="D85">ROUND(INDEX($B$95:$H$845,MATCH(1,($C85=$E$95:$E$845)*($B85=$F$95:$F$845)*($C$77=$B$95:$B$845),0),MATCH(D$77,$B$95:$H$95,0))*100,1)</f>
        <v>59.7</v>
      </c>
      <c r="E85" s="165" cm="1">
        <f t="array" ref="E85">ROUND(INDEX($B$95:$H$845,MATCH(1,($C85=$E$95:$E$845)*($B85=$F$95:$F$845)*($C$77=$B$95:$B$845),0),MATCH(E$77,$B$95:$H$95,0))*100,1)</f>
        <v>36.299999999999997</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80.099999999999994</v>
      </c>
      <c r="E86" s="165" cm="1">
        <f t="array" ref="E86">ROUND(INDEX($B$95:$H$845,MATCH(1,($C86=$E$95:$E$845)*($B86=$F$95:$F$845)*($C$77=$B$95:$B$845),0),MATCH(E$77,$B$95:$H$95,0))*100,1)</f>
        <v>86.4</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34100010433063</v>
      </c>
      <c r="N86" s="165" cm="1">
        <f t="array" ref="N86">INDEX($K$95:$Z$195,MATCH(1,($J86=$L$95:$L$195)*($J$83=$K$95:$K$195),0),MATCH(N$85,$K$95:$Z$95,0))</f>
        <v>3817068554478.9302</v>
      </c>
      <c r="O86" s="165" cm="1">
        <f t="array" ref="O86">INDEX($K$95:$Z$195,MATCH(1,($J86=$L$95:$L$195)*($J$83=$K$95:$K$195),0),MATCH(O$85,$K$95:$Z$95,0))</f>
        <v>198837257286011</v>
      </c>
      <c r="P86" s="165" cm="1">
        <f t="array" ref="P86">INDEX($K$95:$Z$195,MATCH(1,($J86=$L$95:$L$195)*($J$83=$K$95:$K$195),0),MATCH(P$85,$K$95:$Z$95,0))</f>
        <v>0</v>
      </c>
      <c r="Q86" s="165" cm="1">
        <f t="array" ref="Q86">INDEX($K$95:$Z$195,MATCH(1,($J86=$L$95:$L$195)*($J$83=$K$95:$K$195),0),MATCH(Q$85,$K$95:$Z$95,0))</f>
        <v>515776924856634</v>
      </c>
      <c r="R86" s="165" cm="1">
        <f t="array" ref="R86">INDEX($K$95:$Z$195,MATCH(1,($J86=$L$95:$L$195)*($J$83=$K$95:$K$195),0),MATCH(R$85,$K$95:$Z$95,0))</f>
        <v>1080179213119880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34985010433063</v>
      </c>
      <c r="N87" s="165" cm="1">
        <f t="array" ref="N87">INDEX($K$95:$Z$195,MATCH(1,($J87=$L$95:$L$195)*($J$83=$K$95:$K$195),0),MATCH(N$85,$K$95:$Z$95,0))</f>
        <v>192861068554478</v>
      </c>
      <c r="O87" s="165" cm="1">
        <f t="array" ref="O87">INDEX($K$95:$Z$195,MATCH(1,($J87=$L$95:$L$195)*($J$83=$K$95:$K$195),0),MATCH(O$85,$K$95:$Z$95,0))</f>
        <v>241741257286011</v>
      </c>
      <c r="P87" s="165" cm="1">
        <f t="array" ref="P87">INDEX($K$95:$Z$195,MATCH(1,($J87=$L$95:$L$195)*($J$83=$K$95:$K$195),0),MATCH(P$85,$K$95:$Z$95,0))</f>
        <v>0</v>
      </c>
      <c r="Q87" s="165" cm="1">
        <f t="array" ref="Q87">INDEX($K$95:$Z$195,MATCH(1,($J87=$L$95:$L$195)*($J$83=$K$95:$K$195),0),MATCH(Q$85,$K$95:$Z$95,0))</f>
        <v>828555924856634</v>
      </c>
      <c r="R87" s="165" cm="1">
        <f t="array" ref="R87">INDEX($K$95:$Z$195,MATCH(1,($J87=$L$95:$L$195)*($J$83=$K$95:$K$195),0),MATCH(R$85,$K$95:$Z$95,0))</f>
        <v>1637883213119880</v>
      </c>
    </row>
    <row r="88" spans="2:26" ht="15.95" customHeight="1" x14ac:dyDescent="0.25">
      <c r="J88" s="93" t="s">
        <v>2060</v>
      </c>
      <c r="K88" s="165">
        <f>IFERROR(K86/K87 *100,0)</f>
        <v>0</v>
      </c>
      <c r="L88" s="165">
        <f t="shared" ref="L88:R88" si="19">IFERROR(L86/L87 *100,0)</f>
        <v>0</v>
      </c>
      <c r="M88" s="165">
        <f t="shared" si="19"/>
        <v>97.470345187710393</v>
      </c>
      <c r="N88" s="273">
        <f>ROUND(IFERROR(N86/N87 *100,0),0)</f>
        <v>2</v>
      </c>
      <c r="O88" s="165">
        <f>ROUND(IFERROR(O86/O87 *100,0),0)</f>
        <v>82</v>
      </c>
      <c r="P88" s="165">
        <f t="shared" si="19"/>
        <v>0</v>
      </c>
      <c r="Q88" s="165">
        <f t="shared" si="19"/>
        <v>62.250103992181273</v>
      </c>
      <c r="R88" s="165">
        <f t="shared" si="19"/>
        <v>65.949709018772367</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Illinois</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Illinois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Illinois</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37.637553079589587</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92.243880673523606</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58.1792753244019</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77.80172605846839</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18.448807091380999</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-27.900813631021059</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10.130164839970609</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266.54059343631405</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294.44140706733509</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2021-05-06T17:16:26Z</dcterms:modified>
</cp:coreProperties>
</file>