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mahajan\Documents\eps-india\InputData\trans\SYFAFE\"/>
    </mc:Choice>
  </mc:AlternateContent>
  <xr:revisionPtr revIDLastSave="0" documentId="13_ncr:1_{4C00178D-DBC9-41FD-BD23-DFDFB5B15943}" xr6:coauthVersionLast="47" xr6:coauthVersionMax="47" xr10:uidLastSave="{00000000-0000-0000-0000-000000000000}"/>
  <bookViews>
    <workbookView xWindow="-120" yWindow="-120" windowWidth="29040" windowHeight="17640" tabRatio="742" xr2:uid="{00000000-000D-0000-FFFF-FFFF00000000}"/>
  </bookViews>
  <sheets>
    <sheet name="About" sheetId="1" r:id="rId1"/>
    <sheet name="Unit Conversions" sheetId="37" r:id="rId2"/>
    <sheet name="Calculations Etc" sheetId="18" r:id="rId3"/>
    <sheet name="AVLo" sheetId="32" r:id="rId4"/>
    <sheet name="SYVbT" sheetId="34" r:id="rId5"/>
    <sheet name="BAADTbVT" sheetId="33" r:id="rId6"/>
    <sheet name="Cargo Distance Transported" sheetId="35" r:id="rId7"/>
    <sheet name="Min. of Petr. &amp; NG" sheetId="36" r:id="rId8"/>
    <sheet name="IESS Energy" sheetId="38" r:id="rId9"/>
    <sheet name="Calcs" sheetId="39" r:id="rId10"/>
    <sheet name="Rail Calcs" sheetId="40" r:id="rId11"/>
    <sheet name="IESS passenger" sheetId="29" r:id="rId12"/>
    <sheet name="IESS freight" sheetId="30" r:id="rId13"/>
    <sheet name="Calibration Adjustments" sheetId="25" r:id="rId14"/>
    <sheet name="SYFAFE-psgr" sheetId="23" r:id="rId15"/>
    <sheet name="SYFAFE-frgt" sheetId="24" r:id="rId16"/>
  </sheets>
  <externalReferences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</externalReferences>
  <definedNames>
    <definedName name="BIDR">[1]Conversions!$E$76</definedName>
    <definedName name="billion">[10]About!$A$109</definedName>
    <definedName name="BTU_per_kWh">[2]About!$A$164</definedName>
    <definedName name="BTU_per_TJ">[2]About!$A$166</definedName>
    <definedName name="BTU_per_TOE">'Unit Conversions'!$A$25</definedName>
    <definedName name="BTU_per_TWh">#REF!</definedName>
    <definedName name="CAP_Conversion">#REF!</definedName>
    <definedName name="Coal_Multiplier">#REF!</definedName>
    <definedName name="Constants.GCV.Coal">[1]Constants!$C$8</definedName>
    <definedName name="Constants.GCV.NaturalGasProduced">[1]Constants!$C$21</definedName>
    <definedName name="Conversion">#REF!</definedName>
    <definedName name="Conversion.to.annual.energy">[1]Conversions!$E$59</definedName>
    <definedName name="Conversion.to.average.power">[1]Conversions!$E$58</definedName>
    <definedName name="Conversions.Area.m2">[1]Conversions!$E$48:$E$53</definedName>
    <definedName name="Conversions.Area.Units">[1]Conversions!$B$48:$B$53</definedName>
    <definedName name="Conversions.Energy.Joules">[1]Conversions!$E$5:$E$23</definedName>
    <definedName name="Conversions.Energy.Units">[1]Conversions!$B$5:$B$23</definedName>
    <definedName name="Conversions.Money.GBP">[1]Conversions!$F$71:$F$84</definedName>
    <definedName name="Conversions.Money.Units">[1]Conversions!$B$71:$B$84</definedName>
    <definedName name="Conversions.Power.Units">[1]Conversions!$B$30:$B$35</definedName>
    <definedName name="Conversions.Power.Watts">[1]Conversions!$E$30:$E$35</definedName>
    <definedName name="discount_factors">'[1]Global assumptions'!$D$28:$K$28</definedName>
    <definedName name="Discount_rate">'[1]Global assumptions'!$C$26</definedName>
    <definedName name="EF.BlastFurnaceGas.CO2">[1]Constants!$F$11</definedName>
    <definedName name="EF.Diesel.CH4">[1]Constants!$G$9</definedName>
    <definedName name="EF.Diesel.CO2">[1]Constants!$F$9</definedName>
    <definedName name="EF.Diesel.N2O">[1]Constants!$H$9</definedName>
    <definedName name="EF.IndustrialCoal.CH4">[1]Constants!$G$8</definedName>
    <definedName name="EF.IndustrialCoal.CO2">[1]Constants!$F$8</definedName>
    <definedName name="EF.IndustrialCoal.N2O">[1]Constants!$H$8</definedName>
    <definedName name="EF.NaturalGas.CH4">[1]Constants!$G$10</definedName>
    <definedName name="EF.NaturalGas.CO2">[1]Constants!$F$10</definedName>
    <definedName name="EF.NaturalGas.N2O">[1]Constants!$H$10</definedName>
    <definedName name="Eno_TM" localSheetId="10">'[3]1997  Table 1a Modified'!#REF!</definedName>
    <definedName name="Eno_TM" localSheetId="15">'[3]1997  Table 1a Modified'!#REF!</definedName>
    <definedName name="Eno_TM" localSheetId="1">'[4]1997  Table 1a Modified'!#REF!</definedName>
    <definedName name="Eno_TM">'[3]1997  Table 1a Modified'!#REF!</definedName>
    <definedName name="Eno_Tons" localSheetId="15">'[3]1997  Table 1a Modified'!#REF!</definedName>
    <definedName name="Eno_Tons" localSheetId="1">'[4]1997  Table 1a Modified'!#REF!</definedName>
    <definedName name="Eno_Tons">'[3]1997  Table 1a Modified'!#REF!</definedName>
    <definedName name="gal_per_barrel">[5]About!$A$63</definedName>
    <definedName name="GBP">[1]Conversions!$E$84</definedName>
    <definedName name="GBPppyr">#NAME?</definedName>
    <definedName name="GWP.CH4">[1]Constants!$K$9</definedName>
    <definedName name="GWP.N2O">[1]Constants!$K$10</definedName>
    <definedName name="HHV_Adjust">[2]About!$A$161</definedName>
    <definedName name="I.a.Scenario">[1]Control!#REF!</definedName>
    <definedName name="I.a.Technology">[1]Control!#REF!</definedName>
    <definedName name="I.b.Scenario">[1]Control!$E$5</definedName>
    <definedName name="IDR">[1]Conversions!$E$79</definedName>
    <definedName name="II.a.Scenario">[1]Control!$E$9</definedName>
    <definedName name="II.b.Scenario">[1]Control!$E$10</definedName>
    <definedName name="II.c.Scenario">[1]Control!$E$11</definedName>
    <definedName name="II.d.Scenario">[1]Control!$E$12</definedName>
    <definedName name="II.e.Scenario">[1]Control!$E$13</definedName>
    <definedName name="II.f.Scenario">[1]Control!$E$14</definedName>
    <definedName name="III.a.Scenario">[1]Control!$E$15</definedName>
    <definedName name="IV.a.Scenario">[1]Control!$E$19</definedName>
    <definedName name="IV.b.Scenario">[1]Control!$E$20</definedName>
    <definedName name="IV.c.Scenario">[1]Control!$E$21</definedName>
    <definedName name="IV.d.Scenario">[1]Control!$E$22</definedName>
    <definedName name="IV.e.Scenario">[1]Control!$E$23</definedName>
    <definedName name="IX.a.Energy">[1]Control!$E$40</definedName>
    <definedName name="IX.a.Fuel">[1]Control!$E$41</definedName>
    <definedName name="IX.b.1.Mode">[1]Control!$E$43</definedName>
    <definedName name="IX.b.1.Technology">[1]Control!$E$44</definedName>
    <definedName name="IX.b.1.Zero">[1]Control!$E$45</definedName>
    <definedName name="IX.b.2.Scenario">[1]Control!$E$46</definedName>
    <definedName name="IX.c.Energy">[1]Control!$E$48</definedName>
    <definedName name="IX.c.Fuel">[1]Control!$E$49</definedName>
    <definedName name="km_per_mile">#REF!</definedName>
    <definedName name="MGBP">[1]Conversions!$E$73</definedName>
    <definedName name="MIDR">[1]Conversions!$E$77</definedName>
    <definedName name="MoneyUnit">#REF!</definedName>
    <definedName name="Preferences.AreaUnits">[1]Preferences!$C$7</definedName>
    <definedName name="preferences.energyunits" localSheetId="10">[11]Preferences!$C$3</definedName>
    <definedName name="Preferences.EnergyUnits" localSheetId="1">[1]Preferences!$C$3</definedName>
    <definedName name="preferences.energyunits">[6]Preferences!$C$3</definedName>
    <definedName name="Preferences.moneyunits">[1]Preferences!$C$9</definedName>
    <definedName name="Preferences.PowerUnits">[1]Preferences!$C$5</definedName>
    <definedName name="Preferences.Unit.Energy">[1]Preferences!$F$3</definedName>
    <definedName name="Preferences.Unit.Power">[1]Preferences!$F$5</definedName>
    <definedName name="Price2005">[1]Conversions!$D$105</definedName>
    <definedName name="Sum_T2" localSheetId="10">'[3]1997  Table 1a Modified'!#REF!</definedName>
    <definedName name="Sum_T2" localSheetId="15">'[3]1997  Table 1a Modified'!#REF!</definedName>
    <definedName name="Sum_T2" localSheetId="1">'[4]1997  Table 1a Modified'!#REF!</definedName>
    <definedName name="Sum_T2">'[3]1997  Table 1a Modified'!#REF!</definedName>
    <definedName name="Sum_TTM" localSheetId="10">'[3]1997  Table 1a Modified'!#REF!</definedName>
    <definedName name="Sum_TTM" localSheetId="15">'[3]1997  Table 1a Modified'!#REF!</definedName>
    <definedName name="Sum_TTM" localSheetId="1">'[4]1997  Table 1a Modified'!#REF!</definedName>
    <definedName name="Sum_TTM">'[3]1997  Table 1a Modified'!#REF!</definedName>
    <definedName name="ti_tbl_50" localSheetId="10">#REF!</definedName>
    <definedName name="ti_tbl_50" localSheetId="15">#REF!</definedName>
    <definedName name="ti_tbl_50" localSheetId="1">#REF!</definedName>
    <definedName name="ti_tbl_50">#REF!</definedName>
    <definedName name="ti_tbl_69" localSheetId="10">#REF!</definedName>
    <definedName name="ti_tbl_69" localSheetId="15">#REF!</definedName>
    <definedName name="ti_tbl_69" localSheetId="1">#REF!</definedName>
    <definedName name="ti_tbl_69">#REF!</definedName>
    <definedName name="trillion">[10]About!$A$110</definedName>
    <definedName name="TTJ_GpBTU">[2]About!$A$168</definedName>
    <definedName name="Unit.boe">[7]Conversions!$F$15</definedName>
    <definedName name="Unit.day">[1]Conversions!$F$41</definedName>
    <definedName name="Unit.GJ">[1]Conversions!$F$7</definedName>
    <definedName name="Unit.GW">[1]Conversions!$F$30</definedName>
    <definedName name="Unit.GWh">[1]Conversions!$F$13</definedName>
    <definedName name="Unit.ha">[1]Conversions!$F$48</definedName>
    <definedName name="Unit.hour">[1]Conversions!$F$42</definedName>
    <definedName name="Unit.J">[1]Conversions!$F$8</definedName>
    <definedName name="Unit.kWh">[1]Conversions!$F$10</definedName>
    <definedName name="Unit.m2">[1]Conversions!$F$52</definedName>
    <definedName name="Unit.Mboe">[1]Conversions!$F$16</definedName>
    <definedName name="Unit.minute">[1]Conversions!$F$43</definedName>
    <definedName name="Unit.MJ">[1]Conversions!$F$9</definedName>
    <definedName name="Unit.Mtce">[8]Conversions!$F$25</definedName>
    <definedName name="Unit.MW">[1]Conversions!$F$31</definedName>
    <definedName name="Unit.PJ">[1]Conversions!$F$5</definedName>
    <definedName name="Unit.therm">[1]Conversions!$F$20</definedName>
    <definedName name="Unit.TWh">[1]Conversions!$F$12</definedName>
    <definedName name="Unit.W">[1]Conversions!$F$33</definedName>
    <definedName name="Unit.year">[1]Conversions!$F$40</definedName>
    <definedName name="use_lifecycle_biofuel_EIs">[2]About!$A$84</definedName>
    <definedName name="V.a.Scenario">[1]Control!#REF!</definedName>
    <definedName name="V.b.Technology">[1]Control!$E$8</definedName>
    <definedName name="VI.a.EnergyIntensity">[1]Control!$E$27</definedName>
    <definedName name="VI.b.EnergyIntensity">[1]Control!$E$28</definedName>
    <definedName name="VI.c.EnergyIntensity">[1]Control!$E$29</definedName>
    <definedName name="VI.d.EnergyIntensity">[1]Control!$E$30</definedName>
    <definedName name="VII.a.EnergyIntensity">[1]Control!$E$31</definedName>
    <definedName name="VII.b.EnergyIntensity">[1]Control!$E$32</definedName>
    <definedName name="VII.c.EnergyIntensity">[1]Control!$E$33</definedName>
    <definedName name="VII.d.EnergyIntensity">[1]Control!$E$34</definedName>
    <definedName name="VIII.a.Fuel">[1]Control!$E$38</definedName>
    <definedName name="VIII.a.Scenario.Efficiency">[1]Control!$E$37</definedName>
    <definedName name="VIII.a.Scenario.Output">[1]Control!$E$36</definedName>
    <definedName name="VIII.Efficiency">[1]Control!#REF!</definedName>
    <definedName name="X.a.Energy">[1]Control!$E$51</definedName>
    <definedName name="X.a.Fuel">[1]Control!$E$52</definedName>
    <definedName name="X.a.Scenario">[1]Control!$E$50</definedName>
    <definedName name="X.a.Scenario.Demand">#NAME?</definedName>
    <definedName name="X.a.Scenario.Technology">#NAME?</definedName>
    <definedName name="X.b.Scenario.Technology">[1]Control!#REF!</definedName>
    <definedName name="XI.a.Export">[1]Control!#REF!</definedName>
    <definedName name="XI.a.Scenario">[1]Control!$E$16</definedName>
    <definedName name="XI.b.Scenario">[1]Control!$E$17</definedName>
    <definedName name="XI.c.Scenario">[1]Control!$E$18</definedName>
    <definedName name="XI.d.Scenario">[1]Control!#REF!</definedName>
    <definedName name="XII.a.Scenario">[1]Control!$E$24</definedName>
    <definedName name="XII.b.Scenario">[1]Control!$E$25</definedName>
    <definedName name="XIV.a.Scenario">[1]Control!$E$55</definedName>
    <definedName name="XIV.b.Area">[1]Control!$E$58</definedName>
    <definedName name="XIV.b.AreaNonFood">[1]Control!$E$60</definedName>
    <definedName name="XIV.b.Consumptions">[1]Control!$E$56</definedName>
    <definedName name="XIV.b.Productivity">[1]Control!$E$57</definedName>
    <definedName name="XIV.b.ProductivityNonFood">[1]Control!$E$59</definedName>
    <definedName name="XIV.c.Area">[1]Control!$E$62</definedName>
    <definedName name="XIV.c.Productivity">[1]Control!$E$61</definedName>
    <definedName name="XIV.d.AreaRatio">[1]Control!$E$63</definedName>
    <definedName name="XIV.e.Area">[1]Control!$E$64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24" l="1"/>
  <c r="H6" i="24"/>
  <c r="B5" i="24"/>
  <c r="B5" i="23"/>
  <c r="C17" i="40"/>
  <c r="B17" i="40"/>
  <c r="B13" i="40"/>
  <c r="C18" i="40" s="1"/>
  <c r="B12" i="40"/>
  <c r="C9" i="40"/>
  <c r="C8" i="40"/>
  <c r="G4" i="40"/>
  <c r="F4" i="40"/>
  <c r="G3" i="40"/>
  <c r="F3" i="40"/>
  <c r="B18" i="40" l="1"/>
  <c r="C12" i="39" l="1"/>
  <c r="D12" i="39"/>
  <c r="F12" i="39"/>
  <c r="G12" i="39"/>
  <c r="H12" i="39"/>
  <c r="C13" i="39"/>
  <c r="D13" i="39"/>
  <c r="F13" i="39"/>
  <c r="G13" i="39"/>
  <c r="H13" i="39"/>
  <c r="C14" i="39"/>
  <c r="D14" i="39"/>
  <c r="F14" i="39"/>
  <c r="G14" i="39"/>
  <c r="H14" i="39"/>
  <c r="C15" i="39"/>
  <c r="D15" i="39"/>
  <c r="F15" i="39"/>
  <c r="G15" i="39"/>
  <c r="H15" i="39"/>
  <c r="C16" i="39"/>
  <c r="D16" i="39"/>
  <c r="F16" i="39"/>
  <c r="G16" i="39"/>
  <c r="H16" i="39"/>
  <c r="C17" i="39"/>
  <c r="F17" i="39"/>
  <c r="H17" i="39"/>
  <c r="B13" i="39"/>
  <c r="B14" i="39"/>
  <c r="B15" i="39"/>
  <c r="B16" i="39"/>
  <c r="B17" i="39"/>
  <c r="B12" i="39"/>
  <c r="G7" i="39"/>
  <c r="C3" i="39"/>
  <c r="F3" i="39"/>
  <c r="H3" i="39"/>
  <c r="C4" i="39"/>
  <c r="D4" i="39"/>
  <c r="F4" i="39"/>
  <c r="G4" i="39"/>
  <c r="H4" i="39"/>
  <c r="C5" i="39"/>
  <c r="D5" i="39"/>
  <c r="F5" i="39"/>
  <c r="G5" i="39"/>
  <c r="H5" i="39"/>
  <c r="C6" i="39"/>
  <c r="D6" i="39"/>
  <c r="F6" i="39"/>
  <c r="G6" i="39"/>
  <c r="H6" i="39"/>
  <c r="C7" i="39"/>
  <c r="D7" i="39"/>
  <c r="F7" i="39"/>
  <c r="H7" i="39"/>
  <c r="C8" i="39"/>
  <c r="E8" i="39"/>
  <c r="F8" i="39"/>
  <c r="G8" i="39"/>
  <c r="H8" i="39"/>
  <c r="B4" i="39"/>
  <c r="B5" i="39"/>
  <c r="B6" i="39"/>
  <c r="B7" i="39"/>
  <c r="B8" i="39"/>
  <c r="B3" i="39"/>
  <c r="H37" i="38"/>
  <c r="G37" i="38"/>
  <c r="H36" i="38"/>
  <c r="G36" i="38"/>
  <c r="C12" i="35"/>
  <c r="D12" i="35"/>
  <c r="E12" i="35"/>
  <c r="F12" i="35"/>
  <c r="G12" i="35"/>
  <c r="H12" i="35"/>
  <c r="C13" i="35"/>
  <c r="D13" i="35"/>
  <c r="E13" i="35"/>
  <c r="F13" i="35"/>
  <c r="G13" i="35"/>
  <c r="H13" i="35"/>
  <c r="C14" i="35"/>
  <c r="D14" i="35"/>
  <c r="E14" i="35"/>
  <c r="F14" i="35"/>
  <c r="G14" i="35"/>
  <c r="H14" i="35"/>
  <c r="C15" i="35"/>
  <c r="D15" i="35"/>
  <c r="E15" i="35"/>
  <c r="F15" i="35"/>
  <c r="G15" i="35"/>
  <c r="H15" i="35"/>
  <c r="C16" i="35"/>
  <c r="D16" i="35"/>
  <c r="E16" i="35"/>
  <c r="F16" i="35"/>
  <c r="G16" i="35"/>
  <c r="H16" i="35"/>
  <c r="C17" i="35"/>
  <c r="D17" i="35"/>
  <c r="E17" i="35"/>
  <c r="F17" i="35"/>
  <c r="G17" i="35"/>
  <c r="H17" i="35"/>
  <c r="B13" i="35"/>
  <c r="B14" i="35"/>
  <c r="B15" i="35"/>
  <c r="B16" i="35"/>
  <c r="B17" i="35"/>
  <c r="B12" i="35"/>
  <c r="C3" i="35"/>
  <c r="D3" i="35"/>
  <c r="E3" i="35"/>
  <c r="F3" i="35"/>
  <c r="G3" i="35"/>
  <c r="H3" i="35"/>
  <c r="C4" i="35"/>
  <c r="D4" i="35"/>
  <c r="E4" i="35"/>
  <c r="F4" i="35"/>
  <c r="G4" i="35"/>
  <c r="H4" i="35"/>
  <c r="C5" i="35"/>
  <c r="D5" i="35"/>
  <c r="E5" i="35"/>
  <c r="F5" i="35"/>
  <c r="G5" i="35"/>
  <c r="H5" i="35"/>
  <c r="C6" i="35"/>
  <c r="D6" i="35"/>
  <c r="E6" i="35"/>
  <c r="F6" i="35"/>
  <c r="G6" i="35"/>
  <c r="H6" i="35"/>
  <c r="C7" i="35"/>
  <c r="D7" i="35"/>
  <c r="E7" i="35"/>
  <c r="F7" i="35"/>
  <c r="G7" i="35"/>
  <c r="H7" i="35"/>
  <c r="C8" i="35"/>
  <c r="D8" i="35"/>
  <c r="E8" i="35"/>
  <c r="F8" i="35"/>
  <c r="G8" i="35"/>
  <c r="H8" i="35"/>
  <c r="B4" i="35"/>
  <c r="B5" i="35"/>
  <c r="B6" i="35"/>
  <c r="B7" i="35"/>
  <c r="B8" i="35"/>
  <c r="B3" i="35"/>
  <c r="D42" i="38"/>
  <c r="D41" i="38"/>
  <c r="D40" i="38"/>
  <c r="D39" i="38"/>
  <c r="D37" i="38"/>
  <c r="D36" i="38"/>
  <c r="C36" i="38"/>
  <c r="C39" i="38"/>
  <c r="C38" i="38"/>
  <c r="AD5" i="38" a="1"/>
  <c r="AD5" i="38" s="1"/>
  <c r="AD6" i="38" a="1"/>
  <c r="AD6" i="38" s="1"/>
  <c r="AD7" i="38" a="1"/>
  <c r="AD7" i="38" s="1"/>
  <c r="AD8" i="38" a="1"/>
  <c r="AD8" i="38" s="1"/>
  <c r="AD9" i="38" a="1"/>
  <c r="AD9" i="38" s="1"/>
  <c r="AD4" i="38" a="1"/>
  <c r="AD4" i="38" s="1"/>
  <c r="O5" i="38" a="1"/>
  <c r="O5" i="38" s="1"/>
  <c r="O6" i="38" a="1"/>
  <c r="O6" i="38" s="1"/>
  <c r="O7" i="38" a="1"/>
  <c r="O7" i="38" s="1"/>
  <c r="O8" i="38" a="1"/>
  <c r="O8" i="38" s="1"/>
  <c r="O9" i="38" a="1"/>
  <c r="O9" i="38" s="1"/>
  <c r="O10" i="38" a="1"/>
  <c r="O10" i="38" s="1"/>
  <c r="O11" i="38" a="1"/>
  <c r="O11" i="38" s="1"/>
  <c r="O12" i="38" a="1"/>
  <c r="O12" i="38"/>
  <c r="O13" i="38" a="1"/>
  <c r="O13" i="38" s="1"/>
  <c r="O14" i="38" a="1"/>
  <c r="O14" i="38" s="1"/>
  <c r="O15" i="38" a="1"/>
  <c r="O15" i="38" s="1"/>
  <c r="O16" i="38" a="1"/>
  <c r="O16" i="38" s="1"/>
  <c r="O17" i="38" a="1"/>
  <c r="O17" i="38" s="1"/>
  <c r="O18" i="38" a="1"/>
  <c r="O18" i="38" s="1"/>
  <c r="O19" i="38" a="1"/>
  <c r="O19" i="38" s="1"/>
  <c r="O20" i="38" a="1"/>
  <c r="O20" i="38" s="1"/>
  <c r="O21" i="38" a="1"/>
  <c r="O21" i="38" s="1"/>
  <c r="B39" i="38" s="1"/>
  <c r="O22" i="38" a="1"/>
  <c r="O22" i="38" s="1"/>
  <c r="O23" i="38" a="1"/>
  <c r="O23" i="38" s="1"/>
  <c r="O24" i="38" a="1"/>
  <c r="O24" i="38" s="1"/>
  <c r="O25" i="38" a="1"/>
  <c r="O25" i="38" s="1"/>
  <c r="O26" i="38" a="1"/>
  <c r="O26" i="38" s="1"/>
  <c r="O27" i="38" a="1"/>
  <c r="O27" i="38" s="1"/>
  <c r="O28" i="38" a="1"/>
  <c r="O28" i="38" s="1"/>
  <c r="O29" i="38" a="1"/>
  <c r="O29" i="38" s="1"/>
  <c r="O30" i="38" a="1"/>
  <c r="O30" i="38" s="1"/>
  <c r="O31" i="38" a="1"/>
  <c r="O31" i="38" s="1"/>
  <c r="O32" i="38" a="1"/>
  <c r="O32" i="38"/>
  <c r="O4" i="38" a="1"/>
  <c r="O4" i="38" s="1"/>
  <c r="F213" i="36"/>
  <c r="F214" i="36"/>
  <c r="D214" i="36"/>
  <c r="D215" i="36"/>
  <c r="C213" i="36"/>
  <c r="C214" i="36"/>
  <c r="C215" i="36"/>
  <c r="D212" i="36"/>
  <c r="B213" i="36"/>
  <c r="B214" i="36"/>
  <c r="B215" i="36"/>
  <c r="O60" i="36"/>
  <c r="P60" i="36"/>
  <c r="Q60" i="36"/>
  <c r="R60" i="36"/>
  <c r="S60" i="36"/>
  <c r="T60" i="36"/>
  <c r="N60" i="36"/>
  <c r="O56" i="36"/>
  <c r="P56" i="36"/>
  <c r="Q56" i="36"/>
  <c r="R56" i="36"/>
  <c r="S56" i="36"/>
  <c r="T56" i="36"/>
  <c r="T59" i="36" s="1"/>
  <c r="O57" i="36"/>
  <c r="O59" i="36" s="1"/>
  <c r="O61" i="36" s="1"/>
  <c r="P57" i="36"/>
  <c r="Q57" i="36"/>
  <c r="R57" i="36"/>
  <c r="S57" i="36"/>
  <c r="T57" i="36"/>
  <c r="O58" i="36"/>
  <c r="P58" i="36"/>
  <c r="Q58" i="36"/>
  <c r="Q59" i="36" s="1"/>
  <c r="Q61" i="36" s="1"/>
  <c r="R58" i="36"/>
  <c r="R59" i="36" s="1"/>
  <c r="R61" i="36" s="1"/>
  <c r="S58" i="36"/>
  <c r="T58" i="36"/>
  <c r="N57" i="36"/>
  <c r="N58" i="36"/>
  <c r="N56" i="36"/>
  <c r="S59" i="36"/>
  <c r="S61" i="36" s="1"/>
  <c r="H61" i="36"/>
  <c r="D59" i="36"/>
  <c r="D61" i="36" s="1"/>
  <c r="E59" i="36"/>
  <c r="E61" i="36" s="1"/>
  <c r="F59" i="36"/>
  <c r="F61" i="36" s="1"/>
  <c r="G59" i="36"/>
  <c r="G61" i="36" s="1"/>
  <c r="H59" i="36"/>
  <c r="I59" i="36"/>
  <c r="I61" i="36" s="1"/>
  <c r="C59" i="36"/>
  <c r="C61" i="36" s="1"/>
  <c r="O48" i="36"/>
  <c r="O50" i="36" s="1"/>
  <c r="P48" i="36"/>
  <c r="Q48" i="36"/>
  <c r="R48" i="36"/>
  <c r="S48" i="36"/>
  <c r="C212" i="36" s="1"/>
  <c r="T48" i="36"/>
  <c r="O49" i="36"/>
  <c r="P49" i="36"/>
  <c r="P50" i="36" s="1"/>
  <c r="Q49" i="36"/>
  <c r="R49" i="36"/>
  <c r="S49" i="36"/>
  <c r="T49" i="36"/>
  <c r="T50" i="36" s="1"/>
  <c r="N49" i="36"/>
  <c r="N48" i="36"/>
  <c r="D50" i="36"/>
  <c r="E50" i="36"/>
  <c r="F50" i="36"/>
  <c r="G50" i="36"/>
  <c r="H50" i="36"/>
  <c r="I50" i="36"/>
  <c r="C50" i="36"/>
  <c r="M202" i="36"/>
  <c r="N202" i="36"/>
  <c r="O202" i="36"/>
  <c r="P202" i="36"/>
  <c r="Q202" i="36"/>
  <c r="R202" i="36"/>
  <c r="S202" i="36"/>
  <c r="M203" i="36"/>
  <c r="N203" i="36"/>
  <c r="O203" i="36"/>
  <c r="P203" i="36"/>
  <c r="Q203" i="36"/>
  <c r="R203" i="36"/>
  <c r="S203" i="36"/>
  <c r="M204" i="36"/>
  <c r="N204" i="36"/>
  <c r="O204" i="36"/>
  <c r="P204" i="36"/>
  <c r="Q204" i="36"/>
  <c r="R204" i="36"/>
  <c r="S204" i="36"/>
  <c r="M205" i="36"/>
  <c r="N205" i="36"/>
  <c r="O205" i="36"/>
  <c r="P205" i="36"/>
  <c r="Q205" i="36"/>
  <c r="R205" i="36"/>
  <c r="S205" i="36"/>
  <c r="M206" i="36"/>
  <c r="N206" i="36"/>
  <c r="O206" i="36"/>
  <c r="P206" i="36"/>
  <c r="Q206" i="36"/>
  <c r="R206" i="36"/>
  <c r="S206" i="36"/>
  <c r="M207" i="36"/>
  <c r="N207" i="36"/>
  <c r="O207" i="36"/>
  <c r="P207" i="36"/>
  <c r="Q207" i="36"/>
  <c r="R207" i="36"/>
  <c r="S207" i="36"/>
  <c r="N201" i="36"/>
  <c r="O201" i="36"/>
  <c r="P201" i="36"/>
  <c r="Q201" i="36"/>
  <c r="R201" i="36"/>
  <c r="S201" i="36"/>
  <c r="M201" i="36"/>
  <c r="M191" i="36"/>
  <c r="N191" i="36"/>
  <c r="O191" i="36"/>
  <c r="P191" i="36"/>
  <c r="Q191" i="36"/>
  <c r="R191" i="36"/>
  <c r="S191" i="36"/>
  <c r="M192" i="36"/>
  <c r="N192" i="36"/>
  <c r="O192" i="36"/>
  <c r="P192" i="36"/>
  <c r="Q192" i="36"/>
  <c r="R192" i="36"/>
  <c r="S192" i="36"/>
  <c r="M193" i="36"/>
  <c r="N193" i="36"/>
  <c r="O193" i="36"/>
  <c r="P193" i="36"/>
  <c r="Q193" i="36"/>
  <c r="R193" i="36"/>
  <c r="S193" i="36"/>
  <c r="M194" i="36"/>
  <c r="N194" i="36"/>
  <c r="O194" i="36"/>
  <c r="P194" i="36"/>
  <c r="Q194" i="36"/>
  <c r="R194" i="36"/>
  <c r="S194" i="36"/>
  <c r="M195" i="36"/>
  <c r="N195" i="36"/>
  <c r="O195" i="36"/>
  <c r="P195" i="36"/>
  <c r="Q195" i="36"/>
  <c r="R195" i="36"/>
  <c r="S195" i="36"/>
  <c r="M196" i="36"/>
  <c r="N196" i="36"/>
  <c r="O196" i="36"/>
  <c r="P196" i="36"/>
  <c r="Q196" i="36"/>
  <c r="R196" i="36"/>
  <c r="S196" i="36"/>
  <c r="M197" i="36"/>
  <c r="N197" i="36"/>
  <c r="O197" i="36"/>
  <c r="P197" i="36"/>
  <c r="Q197" i="36"/>
  <c r="R197" i="36"/>
  <c r="S197" i="36"/>
  <c r="M198" i="36"/>
  <c r="N198" i="36"/>
  <c r="O198" i="36"/>
  <c r="P198" i="36"/>
  <c r="Q198" i="36"/>
  <c r="R198" i="36"/>
  <c r="S198" i="36"/>
  <c r="M199" i="36"/>
  <c r="N199" i="36"/>
  <c r="O199" i="36"/>
  <c r="P199" i="36"/>
  <c r="Q199" i="36"/>
  <c r="R199" i="36"/>
  <c r="S199" i="36"/>
  <c r="N190" i="36"/>
  <c r="O190" i="36"/>
  <c r="P190" i="36"/>
  <c r="Q190" i="36"/>
  <c r="R190" i="36"/>
  <c r="S190" i="36"/>
  <c r="I28" i="37"/>
  <c r="N163" i="36"/>
  <c r="O163" i="36"/>
  <c r="P163" i="36"/>
  <c r="Q163" i="36"/>
  <c r="R163" i="36"/>
  <c r="S163" i="36"/>
  <c r="T163" i="36"/>
  <c r="N164" i="36"/>
  <c r="O164" i="36"/>
  <c r="P164" i="36"/>
  <c r="Q164" i="36"/>
  <c r="R164" i="36"/>
  <c r="S164" i="36"/>
  <c r="T164" i="36"/>
  <c r="N165" i="36"/>
  <c r="O165" i="36"/>
  <c r="P165" i="36"/>
  <c r="Q165" i="36"/>
  <c r="R165" i="36"/>
  <c r="S165" i="36"/>
  <c r="T165" i="36"/>
  <c r="N166" i="36"/>
  <c r="O166" i="36"/>
  <c r="P166" i="36"/>
  <c r="Q166" i="36"/>
  <c r="R166" i="36"/>
  <c r="S166" i="36"/>
  <c r="T166" i="36"/>
  <c r="N167" i="36"/>
  <c r="O167" i="36"/>
  <c r="P167" i="36"/>
  <c r="Q167" i="36"/>
  <c r="R167" i="36"/>
  <c r="S167" i="36"/>
  <c r="T167" i="36"/>
  <c r="N168" i="36"/>
  <c r="O168" i="36"/>
  <c r="P168" i="36"/>
  <c r="Q168" i="36"/>
  <c r="R168" i="36"/>
  <c r="S168" i="36"/>
  <c r="T168" i="36"/>
  <c r="N169" i="36"/>
  <c r="O169" i="36"/>
  <c r="P169" i="36"/>
  <c r="Q169" i="36"/>
  <c r="R169" i="36"/>
  <c r="S169" i="36"/>
  <c r="T169" i="36"/>
  <c r="N170" i="36"/>
  <c r="O170" i="36"/>
  <c r="P170" i="36"/>
  <c r="Q170" i="36"/>
  <c r="R170" i="36"/>
  <c r="S170" i="36"/>
  <c r="T170" i="36"/>
  <c r="N171" i="36"/>
  <c r="O171" i="36"/>
  <c r="P171" i="36"/>
  <c r="Q171" i="36"/>
  <c r="R171" i="36"/>
  <c r="S171" i="36"/>
  <c r="T171" i="36"/>
  <c r="N172" i="36"/>
  <c r="O172" i="36"/>
  <c r="P172" i="36"/>
  <c r="Q172" i="36"/>
  <c r="R172" i="36"/>
  <c r="S172" i="36"/>
  <c r="T172" i="36"/>
  <c r="N173" i="36"/>
  <c r="O173" i="36"/>
  <c r="P173" i="36"/>
  <c r="Q173" i="36"/>
  <c r="R173" i="36"/>
  <c r="S173" i="36"/>
  <c r="T173" i="36"/>
  <c r="N174" i="36"/>
  <c r="O174" i="36"/>
  <c r="P174" i="36"/>
  <c r="Q174" i="36"/>
  <c r="R174" i="36"/>
  <c r="S174" i="36"/>
  <c r="T174" i="36"/>
  <c r="N175" i="36"/>
  <c r="O175" i="36"/>
  <c r="P175" i="36"/>
  <c r="Q175" i="36"/>
  <c r="R175" i="36"/>
  <c r="S175" i="36"/>
  <c r="T175" i="36"/>
  <c r="N176" i="36"/>
  <c r="O176" i="36"/>
  <c r="P176" i="36"/>
  <c r="Q176" i="36"/>
  <c r="R176" i="36"/>
  <c r="S176" i="36"/>
  <c r="T176" i="36"/>
  <c r="N177" i="36"/>
  <c r="O177" i="36"/>
  <c r="P177" i="36"/>
  <c r="Q177" i="36"/>
  <c r="R177" i="36"/>
  <c r="S177" i="36"/>
  <c r="T177" i="36"/>
  <c r="N178" i="36"/>
  <c r="O178" i="36"/>
  <c r="P178" i="36"/>
  <c r="Q178" i="36"/>
  <c r="R178" i="36"/>
  <c r="S178" i="36"/>
  <c r="T178" i="36"/>
  <c r="N179" i="36"/>
  <c r="O179" i="36"/>
  <c r="P179" i="36"/>
  <c r="Q179" i="36"/>
  <c r="R179" i="36"/>
  <c r="S179" i="36"/>
  <c r="T179" i="36"/>
  <c r="N180" i="36"/>
  <c r="O180" i="36"/>
  <c r="P180" i="36"/>
  <c r="Q180" i="36"/>
  <c r="R180" i="36"/>
  <c r="S180" i="36"/>
  <c r="T180" i="36"/>
  <c r="O162" i="36"/>
  <c r="P162" i="36"/>
  <c r="Q162" i="36"/>
  <c r="R162" i="36"/>
  <c r="S162" i="36"/>
  <c r="T162" i="36"/>
  <c r="N162" i="36"/>
  <c r="N131" i="36"/>
  <c r="O131" i="36"/>
  <c r="P131" i="36"/>
  <c r="Q131" i="36"/>
  <c r="R131" i="36"/>
  <c r="S131" i="36"/>
  <c r="F212" i="36" s="1"/>
  <c r="T131" i="36"/>
  <c r="N132" i="36"/>
  <c r="O132" i="36"/>
  <c r="P132" i="36"/>
  <c r="Q132" i="36"/>
  <c r="R132" i="36"/>
  <c r="S132" i="36"/>
  <c r="F215" i="36" s="1"/>
  <c r="T132" i="36"/>
  <c r="N133" i="36"/>
  <c r="O133" i="36"/>
  <c r="P133" i="36"/>
  <c r="Q133" i="36"/>
  <c r="R133" i="36"/>
  <c r="S133" i="36"/>
  <c r="T133" i="36"/>
  <c r="N134" i="36"/>
  <c r="O134" i="36"/>
  <c r="P134" i="36"/>
  <c r="Q134" i="36"/>
  <c r="R134" i="36"/>
  <c r="S134" i="36"/>
  <c r="T134" i="36"/>
  <c r="N135" i="36"/>
  <c r="O135" i="36"/>
  <c r="P135" i="36"/>
  <c r="Q135" i="36"/>
  <c r="R135" i="36"/>
  <c r="S135" i="36"/>
  <c r="T135" i="36"/>
  <c r="N136" i="36"/>
  <c r="O136" i="36"/>
  <c r="P136" i="36"/>
  <c r="Q136" i="36"/>
  <c r="R136" i="36"/>
  <c r="S136" i="36"/>
  <c r="T136" i="36"/>
  <c r="N137" i="36"/>
  <c r="O137" i="36"/>
  <c r="P137" i="36"/>
  <c r="Q137" i="36"/>
  <c r="R137" i="36"/>
  <c r="S137" i="36"/>
  <c r="T137" i="36"/>
  <c r="N138" i="36"/>
  <c r="O138" i="36"/>
  <c r="P138" i="36"/>
  <c r="Q138" i="36"/>
  <c r="R138" i="36"/>
  <c r="S138" i="36"/>
  <c r="T138" i="36"/>
  <c r="N139" i="36"/>
  <c r="O139" i="36"/>
  <c r="P139" i="36"/>
  <c r="Q139" i="36"/>
  <c r="R139" i="36"/>
  <c r="S139" i="36"/>
  <c r="T139" i="36"/>
  <c r="N140" i="36"/>
  <c r="O140" i="36"/>
  <c r="P140" i="36"/>
  <c r="Q140" i="36"/>
  <c r="R140" i="36"/>
  <c r="S140" i="36"/>
  <c r="T140" i="36"/>
  <c r="N141" i="36"/>
  <c r="O141" i="36"/>
  <c r="P141" i="36"/>
  <c r="Q141" i="36"/>
  <c r="R141" i="36"/>
  <c r="S141" i="36"/>
  <c r="T141" i="36"/>
  <c r="N142" i="36"/>
  <c r="O142" i="36"/>
  <c r="P142" i="36"/>
  <c r="Q142" i="36"/>
  <c r="R142" i="36"/>
  <c r="S142" i="36"/>
  <c r="T142" i="36"/>
  <c r="N143" i="36"/>
  <c r="O143" i="36"/>
  <c r="P143" i="36"/>
  <c r="Q143" i="36"/>
  <c r="R143" i="36"/>
  <c r="S143" i="36"/>
  <c r="T143" i="36"/>
  <c r="N144" i="36"/>
  <c r="O144" i="36"/>
  <c r="P144" i="36"/>
  <c r="Q144" i="36"/>
  <c r="R144" i="36"/>
  <c r="S144" i="36"/>
  <c r="T144" i="36"/>
  <c r="N145" i="36"/>
  <c r="O145" i="36"/>
  <c r="P145" i="36"/>
  <c r="Q145" i="36"/>
  <c r="R145" i="36"/>
  <c r="S145" i="36"/>
  <c r="T145" i="36"/>
  <c r="N146" i="36"/>
  <c r="O146" i="36"/>
  <c r="P146" i="36"/>
  <c r="Q146" i="36"/>
  <c r="R146" i="36"/>
  <c r="S146" i="36"/>
  <c r="T146" i="36"/>
  <c r="N147" i="36"/>
  <c r="O147" i="36"/>
  <c r="P147" i="36"/>
  <c r="Q147" i="36"/>
  <c r="R147" i="36"/>
  <c r="S147" i="36"/>
  <c r="T147" i="36"/>
  <c r="N148" i="36"/>
  <c r="O148" i="36"/>
  <c r="P148" i="36"/>
  <c r="Q148" i="36"/>
  <c r="R148" i="36"/>
  <c r="S148" i="36"/>
  <c r="T148" i="36"/>
  <c r="N149" i="36"/>
  <c r="O149" i="36"/>
  <c r="P149" i="36"/>
  <c r="Q149" i="36"/>
  <c r="R149" i="36"/>
  <c r="S149" i="36"/>
  <c r="T149" i="36"/>
  <c r="N150" i="36"/>
  <c r="O150" i="36"/>
  <c r="P150" i="36"/>
  <c r="Q150" i="36"/>
  <c r="R150" i="36"/>
  <c r="S150" i="36"/>
  <c r="T150" i="36"/>
  <c r="N151" i="36"/>
  <c r="O151" i="36"/>
  <c r="P151" i="36"/>
  <c r="Q151" i="36"/>
  <c r="R151" i="36"/>
  <c r="S151" i="36"/>
  <c r="T151" i="36"/>
  <c r="N152" i="36"/>
  <c r="O152" i="36"/>
  <c r="P152" i="36"/>
  <c r="Q152" i="36"/>
  <c r="R152" i="36"/>
  <c r="S152" i="36"/>
  <c r="T152" i="36"/>
  <c r="N153" i="36"/>
  <c r="O153" i="36"/>
  <c r="P153" i="36"/>
  <c r="Q153" i="36"/>
  <c r="R153" i="36"/>
  <c r="S153" i="36"/>
  <c r="T153" i="36"/>
  <c r="N154" i="36"/>
  <c r="O154" i="36"/>
  <c r="P154" i="36"/>
  <c r="Q154" i="36"/>
  <c r="R154" i="36"/>
  <c r="S154" i="36"/>
  <c r="T154" i="36"/>
  <c r="O130" i="36"/>
  <c r="P130" i="36"/>
  <c r="Q130" i="36"/>
  <c r="R130" i="36"/>
  <c r="S130" i="36"/>
  <c r="T130" i="36"/>
  <c r="N130" i="36"/>
  <c r="N101" i="36"/>
  <c r="O101" i="36"/>
  <c r="P101" i="36"/>
  <c r="Q101" i="36"/>
  <c r="R101" i="36"/>
  <c r="S101" i="36"/>
  <c r="T101" i="36"/>
  <c r="N102" i="36"/>
  <c r="O102" i="36"/>
  <c r="P102" i="36"/>
  <c r="Q102" i="36"/>
  <c r="R102" i="36"/>
  <c r="S102" i="36"/>
  <c r="T102" i="36"/>
  <c r="N103" i="36"/>
  <c r="O103" i="36"/>
  <c r="P103" i="36"/>
  <c r="Q103" i="36"/>
  <c r="R103" i="36"/>
  <c r="S103" i="36"/>
  <c r="T103" i="36"/>
  <c r="N104" i="36"/>
  <c r="O104" i="36"/>
  <c r="P104" i="36"/>
  <c r="Q104" i="36"/>
  <c r="R104" i="36"/>
  <c r="S104" i="36"/>
  <c r="T104" i="36"/>
  <c r="N105" i="36"/>
  <c r="O105" i="36"/>
  <c r="P105" i="36"/>
  <c r="Q105" i="36"/>
  <c r="R105" i="36"/>
  <c r="S105" i="36"/>
  <c r="T105" i="36"/>
  <c r="N106" i="36"/>
  <c r="O106" i="36"/>
  <c r="P106" i="36"/>
  <c r="Q106" i="36"/>
  <c r="R106" i="36"/>
  <c r="S106" i="36"/>
  <c r="T106" i="36"/>
  <c r="N107" i="36"/>
  <c r="O107" i="36"/>
  <c r="P107" i="36"/>
  <c r="Q107" i="36"/>
  <c r="R107" i="36"/>
  <c r="S107" i="36"/>
  <c r="T107" i="36"/>
  <c r="N108" i="36"/>
  <c r="O108" i="36"/>
  <c r="P108" i="36"/>
  <c r="Q108" i="36"/>
  <c r="R108" i="36"/>
  <c r="S108" i="36"/>
  <c r="T108" i="36"/>
  <c r="N109" i="36"/>
  <c r="O109" i="36"/>
  <c r="P109" i="36"/>
  <c r="Q109" i="36"/>
  <c r="R109" i="36"/>
  <c r="S109" i="36"/>
  <c r="T109" i="36"/>
  <c r="N110" i="36"/>
  <c r="O110" i="36"/>
  <c r="P110" i="36"/>
  <c r="Q110" i="36"/>
  <c r="R110" i="36"/>
  <c r="S110" i="36"/>
  <c r="T110" i="36"/>
  <c r="N111" i="36"/>
  <c r="O111" i="36"/>
  <c r="P111" i="36"/>
  <c r="Q111" i="36"/>
  <c r="R111" i="36"/>
  <c r="S111" i="36"/>
  <c r="T111" i="36"/>
  <c r="N112" i="36"/>
  <c r="O112" i="36"/>
  <c r="P112" i="36"/>
  <c r="Q112" i="36"/>
  <c r="R112" i="36"/>
  <c r="S112" i="36"/>
  <c r="T112" i="36"/>
  <c r="N113" i="36"/>
  <c r="O113" i="36"/>
  <c r="P113" i="36"/>
  <c r="Q113" i="36"/>
  <c r="R113" i="36"/>
  <c r="S113" i="36"/>
  <c r="T113" i="36"/>
  <c r="N114" i="36"/>
  <c r="O114" i="36"/>
  <c r="P114" i="36"/>
  <c r="Q114" i="36"/>
  <c r="R114" i="36"/>
  <c r="S114" i="36"/>
  <c r="T114" i="36"/>
  <c r="N115" i="36"/>
  <c r="O115" i="36"/>
  <c r="P115" i="36"/>
  <c r="Q115" i="36"/>
  <c r="R115" i="36"/>
  <c r="S115" i="36"/>
  <c r="T115" i="36"/>
  <c r="N116" i="36"/>
  <c r="O116" i="36"/>
  <c r="P116" i="36"/>
  <c r="Q116" i="36"/>
  <c r="R116" i="36"/>
  <c r="S116" i="36"/>
  <c r="T116" i="36"/>
  <c r="N117" i="36"/>
  <c r="O117" i="36"/>
  <c r="P117" i="36"/>
  <c r="Q117" i="36"/>
  <c r="R117" i="36"/>
  <c r="S117" i="36"/>
  <c r="T117" i="36"/>
  <c r="N118" i="36"/>
  <c r="O118" i="36"/>
  <c r="P118" i="36"/>
  <c r="Q118" i="36"/>
  <c r="R118" i="36"/>
  <c r="S118" i="36"/>
  <c r="T118" i="36"/>
  <c r="N119" i="36"/>
  <c r="O119" i="36"/>
  <c r="P119" i="36"/>
  <c r="Q119" i="36"/>
  <c r="R119" i="36"/>
  <c r="S119" i="36"/>
  <c r="T119" i="36"/>
  <c r="N120" i="36"/>
  <c r="O120" i="36"/>
  <c r="P120" i="36"/>
  <c r="Q120" i="36"/>
  <c r="R120" i="36"/>
  <c r="S120" i="36"/>
  <c r="T120" i="36"/>
  <c r="N121" i="36"/>
  <c r="O121" i="36"/>
  <c r="P121" i="36"/>
  <c r="Q121" i="36"/>
  <c r="R121" i="36"/>
  <c r="S121" i="36"/>
  <c r="T121" i="36"/>
  <c r="N122" i="36"/>
  <c r="O122" i="36"/>
  <c r="P122" i="36"/>
  <c r="Q122" i="36"/>
  <c r="R122" i="36"/>
  <c r="S122" i="36"/>
  <c r="T122" i="36"/>
  <c r="O100" i="36"/>
  <c r="P100" i="36"/>
  <c r="Q100" i="36"/>
  <c r="R100" i="36"/>
  <c r="S100" i="36"/>
  <c r="T100" i="36"/>
  <c r="N100" i="36"/>
  <c r="N68" i="36"/>
  <c r="O68" i="36"/>
  <c r="P68" i="36"/>
  <c r="Q68" i="36"/>
  <c r="R68" i="36"/>
  <c r="S68" i="36"/>
  <c r="E212" i="36" s="1"/>
  <c r="T68" i="36"/>
  <c r="N69" i="36"/>
  <c r="O69" i="36"/>
  <c r="P69" i="36"/>
  <c r="Q69" i="36"/>
  <c r="R69" i="36"/>
  <c r="S69" i="36"/>
  <c r="E213" i="36" s="1"/>
  <c r="T69" i="36"/>
  <c r="N70" i="36"/>
  <c r="O70" i="36"/>
  <c r="P70" i="36"/>
  <c r="Q70" i="36"/>
  <c r="R70" i="36"/>
  <c r="S70" i="36"/>
  <c r="E215" i="36" s="1"/>
  <c r="E59" i="38" s="1"/>
  <c r="E16" i="39" s="1"/>
  <c r="E6" i="24" s="1"/>
  <c r="T70" i="36"/>
  <c r="N71" i="36"/>
  <c r="O71" i="36"/>
  <c r="P71" i="36"/>
  <c r="Q71" i="36"/>
  <c r="R71" i="36"/>
  <c r="S71" i="36"/>
  <c r="E214" i="36" s="1"/>
  <c r="T71" i="36"/>
  <c r="N72" i="36"/>
  <c r="O72" i="36"/>
  <c r="P72" i="36"/>
  <c r="Q72" i="36"/>
  <c r="R72" i="36"/>
  <c r="S72" i="36"/>
  <c r="T72" i="36"/>
  <c r="N73" i="36"/>
  <c r="O73" i="36"/>
  <c r="P73" i="36"/>
  <c r="Q73" i="36"/>
  <c r="R73" i="36"/>
  <c r="S73" i="36"/>
  <c r="T73" i="36"/>
  <c r="N74" i="36"/>
  <c r="O74" i="36"/>
  <c r="P74" i="36"/>
  <c r="Q74" i="36"/>
  <c r="R74" i="36"/>
  <c r="S74" i="36"/>
  <c r="T74" i="36"/>
  <c r="N75" i="36"/>
  <c r="O75" i="36"/>
  <c r="P75" i="36"/>
  <c r="Q75" i="36"/>
  <c r="R75" i="36"/>
  <c r="S75" i="36"/>
  <c r="T75" i="36"/>
  <c r="N76" i="36"/>
  <c r="O76" i="36"/>
  <c r="P76" i="36"/>
  <c r="Q76" i="36"/>
  <c r="R76" i="36"/>
  <c r="S76" i="36"/>
  <c r="T76" i="36"/>
  <c r="N77" i="36"/>
  <c r="O77" i="36"/>
  <c r="P77" i="36"/>
  <c r="Q77" i="36"/>
  <c r="R77" i="36"/>
  <c r="S77" i="36"/>
  <c r="T77" i="36"/>
  <c r="N78" i="36"/>
  <c r="O78" i="36"/>
  <c r="P78" i="36"/>
  <c r="Q78" i="36"/>
  <c r="R78" i="36"/>
  <c r="S78" i="36"/>
  <c r="T78" i="36"/>
  <c r="N79" i="36"/>
  <c r="O79" i="36"/>
  <c r="P79" i="36"/>
  <c r="Q79" i="36"/>
  <c r="R79" i="36"/>
  <c r="S79" i="36"/>
  <c r="T79" i="36"/>
  <c r="N80" i="36"/>
  <c r="O80" i="36"/>
  <c r="P80" i="36"/>
  <c r="Q80" i="36"/>
  <c r="R80" i="36"/>
  <c r="S80" i="36"/>
  <c r="T80" i="36"/>
  <c r="N81" i="36"/>
  <c r="O81" i="36"/>
  <c r="P81" i="36"/>
  <c r="Q81" i="36"/>
  <c r="R81" i="36"/>
  <c r="S81" i="36"/>
  <c r="T81" i="36"/>
  <c r="N82" i="36"/>
  <c r="O82" i="36"/>
  <c r="P82" i="36"/>
  <c r="Q82" i="36"/>
  <c r="R82" i="36"/>
  <c r="S82" i="36"/>
  <c r="T82" i="36"/>
  <c r="N83" i="36"/>
  <c r="O83" i="36"/>
  <c r="P83" i="36"/>
  <c r="Q83" i="36"/>
  <c r="R83" i="36"/>
  <c r="S83" i="36"/>
  <c r="T83" i="36"/>
  <c r="N84" i="36"/>
  <c r="O84" i="36"/>
  <c r="P84" i="36"/>
  <c r="Q84" i="36"/>
  <c r="R84" i="36"/>
  <c r="S84" i="36"/>
  <c r="T84" i="36"/>
  <c r="N85" i="36"/>
  <c r="O85" i="36"/>
  <c r="P85" i="36"/>
  <c r="Q85" i="36"/>
  <c r="R85" i="36"/>
  <c r="S85" i="36"/>
  <c r="T85" i="36"/>
  <c r="N86" i="36"/>
  <c r="O86" i="36"/>
  <c r="P86" i="36"/>
  <c r="Q86" i="36"/>
  <c r="R86" i="36"/>
  <c r="S86" i="36"/>
  <c r="T86" i="36"/>
  <c r="N87" i="36"/>
  <c r="O87" i="36"/>
  <c r="P87" i="36"/>
  <c r="Q87" i="36"/>
  <c r="R87" i="36"/>
  <c r="S87" i="36"/>
  <c r="T87" i="36"/>
  <c r="N88" i="36"/>
  <c r="O88" i="36"/>
  <c r="P88" i="36"/>
  <c r="Q88" i="36"/>
  <c r="R88" i="36"/>
  <c r="S88" i="36"/>
  <c r="T88" i="36"/>
  <c r="N89" i="36"/>
  <c r="O89" i="36"/>
  <c r="P89" i="36"/>
  <c r="Q89" i="36"/>
  <c r="R89" i="36"/>
  <c r="S89" i="36"/>
  <c r="T89" i="36"/>
  <c r="N90" i="36"/>
  <c r="O90" i="36"/>
  <c r="P90" i="36"/>
  <c r="Q90" i="36"/>
  <c r="R90" i="36"/>
  <c r="S90" i="36"/>
  <c r="T90" i="36"/>
  <c r="N91" i="36"/>
  <c r="O91" i="36"/>
  <c r="P91" i="36"/>
  <c r="Q91" i="36"/>
  <c r="R91" i="36"/>
  <c r="S91" i="36"/>
  <c r="T91" i="36"/>
  <c r="O67" i="36"/>
  <c r="P67" i="36"/>
  <c r="Q67" i="36"/>
  <c r="R67" i="36"/>
  <c r="S67" i="36"/>
  <c r="T67" i="36"/>
  <c r="N67" i="36"/>
  <c r="N34" i="36"/>
  <c r="O34" i="36"/>
  <c r="P34" i="36"/>
  <c r="Q34" i="36"/>
  <c r="R34" i="36"/>
  <c r="S34" i="36"/>
  <c r="T34" i="36"/>
  <c r="N35" i="36"/>
  <c r="O35" i="36"/>
  <c r="P35" i="36"/>
  <c r="Q35" i="36"/>
  <c r="R35" i="36"/>
  <c r="S35" i="36"/>
  <c r="T35" i="36"/>
  <c r="N36" i="36"/>
  <c r="O36" i="36"/>
  <c r="P36" i="36"/>
  <c r="Q36" i="36"/>
  <c r="R36" i="36"/>
  <c r="S36" i="36"/>
  <c r="T36" i="36"/>
  <c r="N37" i="36"/>
  <c r="O37" i="36"/>
  <c r="P37" i="36"/>
  <c r="Q37" i="36"/>
  <c r="R37" i="36"/>
  <c r="S37" i="36"/>
  <c r="T37" i="36"/>
  <c r="N38" i="36"/>
  <c r="O38" i="36"/>
  <c r="P38" i="36"/>
  <c r="Q38" i="36"/>
  <c r="R38" i="36"/>
  <c r="S38" i="36"/>
  <c r="T38" i="36"/>
  <c r="N39" i="36"/>
  <c r="O39" i="36"/>
  <c r="P39" i="36"/>
  <c r="Q39" i="36"/>
  <c r="R39" i="36"/>
  <c r="S39" i="36"/>
  <c r="T39" i="36"/>
  <c r="N40" i="36"/>
  <c r="O40" i="36"/>
  <c r="P40" i="36"/>
  <c r="Q40" i="36"/>
  <c r="R40" i="36"/>
  <c r="S40" i="36"/>
  <c r="T40" i="36"/>
  <c r="O33" i="36"/>
  <c r="P33" i="36"/>
  <c r="Q33" i="36"/>
  <c r="R33" i="36"/>
  <c r="S33" i="36"/>
  <c r="T33" i="36"/>
  <c r="N33" i="36"/>
  <c r="N6" i="36"/>
  <c r="O6" i="36"/>
  <c r="P6" i="36"/>
  <c r="Q6" i="36"/>
  <c r="R6" i="36"/>
  <c r="S6" i="36"/>
  <c r="T6" i="36"/>
  <c r="N7" i="36"/>
  <c r="O7" i="36"/>
  <c r="P7" i="36"/>
  <c r="Q7" i="36"/>
  <c r="R7" i="36"/>
  <c r="S7" i="36"/>
  <c r="T7" i="36"/>
  <c r="N8" i="36"/>
  <c r="O8" i="36"/>
  <c r="P8" i="36"/>
  <c r="Q8" i="36"/>
  <c r="R8" i="36"/>
  <c r="S8" i="36"/>
  <c r="B212" i="36" s="1"/>
  <c r="G60" i="38" s="1"/>
  <c r="G17" i="39" s="1"/>
  <c r="G7" i="24" s="1"/>
  <c r="T8" i="36"/>
  <c r="N9" i="36"/>
  <c r="O9" i="36"/>
  <c r="P9" i="36"/>
  <c r="Q9" i="36"/>
  <c r="R9" i="36"/>
  <c r="S9" i="36"/>
  <c r="T9" i="36"/>
  <c r="N10" i="36"/>
  <c r="O10" i="36"/>
  <c r="P10" i="36"/>
  <c r="Q10" i="36"/>
  <c r="R10" i="36"/>
  <c r="S10" i="36"/>
  <c r="T10" i="36"/>
  <c r="N11" i="36"/>
  <c r="O11" i="36"/>
  <c r="P11" i="36"/>
  <c r="Q11" i="36"/>
  <c r="R11" i="36"/>
  <c r="S11" i="36"/>
  <c r="T11" i="36"/>
  <c r="N12" i="36"/>
  <c r="O12" i="36"/>
  <c r="P12" i="36"/>
  <c r="Q12" i="36"/>
  <c r="R12" i="36"/>
  <c r="S12" i="36"/>
  <c r="T12" i="36"/>
  <c r="N13" i="36"/>
  <c r="O13" i="36"/>
  <c r="P13" i="36"/>
  <c r="Q13" i="36"/>
  <c r="R13" i="36"/>
  <c r="S13" i="36"/>
  <c r="T13" i="36"/>
  <c r="N14" i="36"/>
  <c r="O14" i="36"/>
  <c r="P14" i="36"/>
  <c r="Q14" i="36"/>
  <c r="R14" i="36"/>
  <c r="S14" i="36"/>
  <c r="T14" i="36"/>
  <c r="N15" i="36"/>
  <c r="O15" i="36"/>
  <c r="P15" i="36"/>
  <c r="Q15" i="36"/>
  <c r="R15" i="36"/>
  <c r="S15" i="36"/>
  <c r="T15" i="36"/>
  <c r="N16" i="36"/>
  <c r="O16" i="36"/>
  <c r="P16" i="36"/>
  <c r="Q16" i="36"/>
  <c r="R16" i="36"/>
  <c r="S16" i="36"/>
  <c r="T16" i="36"/>
  <c r="N17" i="36"/>
  <c r="O17" i="36"/>
  <c r="P17" i="36"/>
  <c r="Q17" i="36"/>
  <c r="R17" i="36"/>
  <c r="S17" i="36"/>
  <c r="T17" i="36"/>
  <c r="N18" i="36"/>
  <c r="O18" i="36"/>
  <c r="P18" i="36"/>
  <c r="Q18" i="36"/>
  <c r="R18" i="36"/>
  <c r="S18" i="36"/>
  <c r="T18" i="36"/>
  <c r="N19" i="36"/>
  <c r="O19" i="36"/>
  <c r="P19" i="36"/>
  <c r="Q19" i="36"/>
  <c r="R19" i="36"/>
  <c r="S19" i="36"/>
  <c r="T19" i="36"/>
  <c r="N20" i="36"/>
  <c r="O20" i="36"/>
  <c r="P20" i="36"/>
  <c r="Q20" i="36"/>
  <c r="R20" i="36"/>
  <c r="S20" i="36"/>
  <c r="T20" i="36"/>
  <c r="N21" i="36"/>
  <c r="O21" i="36"/>
  <c r="P21" i="36"/>
  <c r="Q21" i="36"/>
  <c r="R21" i="36"/>
  <c r="S21" i="36"/>
  <c r="T21" i="36"/>
  <c r="N22" i="36"/>
  <c r="O22" i="36"/>
  <c r="P22" i="36"/>
  <c r="Q22" i="36"/>
  <c r="R22" i="36"/>
  <c r="S22" i="36"/>
  <c r="T22" i="36"/>
  <c r="N23" i="36"/>
  <c r="O23" i="36"/>
  <c r="P23" i="36"/>
  <c r="Q23" i="36"/>
  <c r="R23" i="36"/>
  <c r="S23" i="36"/>
  <c r="T23" i="36"/>
  <c r="N24" i="36"/>
  <c r="O24" i="36"/>
  <c r="P24" i="36"/>
  <c r="Q24" i="36"/>
  <c r="R24" i="36"/>
  <c r="S24" i="36"/>
  <c r="T24" i="36"/>
  <c r="N25" i="36"/>
  <c r="O25" i="36"/>
  <c r="P25" i="36"/>
  <c r="Q25" i="36"/>
  <c r="R25" i="36"/>
  <c r="S25" i="36"/>
  <c r="T25" i="36"/>
  <c r="O5" i="36"/>
  <c r="P5" i="36"/>
  <c r="Q5" i="36"/>
  <c r="R5" i="36"/>
  <c r="S5" i="36"/>
  <c r="T5" i="36"/>
  <c r="N5" i="36"/>
  <c r="B32" i="37"/>
  <c r="B33" i="37" s="1"/>
  <c r="B34" i="37" s="1"/>
  <c r="J67" i="36"/>
  <c r="D60" i="38" l="1"/>
  <c r="D17" i="39" s="1"/>
  <c r="D7" i="24" s="1"/>
  <c r="D46" i="38"/>
  <c r="D3" i="39" s="1"/>
  <c r="D2" i="23" s="1"/>
  <c r="D51" i="38"/>
  <c r="D8" i="39" s="1"/>
  <c r="D7" i="23" s="1"/>
  <c r="E58" i="38"/>
  <c r="E15" i="39" s="1"/>
  <c r="E5" i="24" s="1"/>
  <c r="E49" i="38"/>
  <c r="E6" i="39" s="1"/>
  <c r="E5" i="23" s="1"/>
  <c r="E60" i="38"/>
  <c r="E17" i="39" s="1"/>
  <c r="E7" i="24" s="1"/>
  <c r="E56" i="38"/>
  <c r="E13" i="39" s="1"/>
  <c r="E3" i="24" s="1"/>
  <c r="E55" i="38"/>
  <c r="E12" i="39" s="1"/>
  <c r="E2" i="24" s="1"/>
  <c r="E50" i="38"/>
  <c r="E7" i="39" s="1"/>
  <c r="E6" i="23" s="1"/>
  <c r="E47" i="38"/>
  <c r="E4" i="39" s="1"/>
  <c r="E3" i="23" s="1"/>
  <c r="E46" i="38"/>
  <c r="E3" i="39" s="1"/>
  <c r="E2" i="23" s="1"/>
  <c r="P59" i="36"/>
  <c r="T61" i="36"/>
  <c r="D213" i="36"/>
  <c r="R50" i="36"/>
  <c r="G46" i="38"/>
  <c r="G3" i="39" s="1"/>
  <c r="G2" i="23" s="1"/>
  <c r="B37" i="38"/>
  <c r="B36" i="38"/>
  <c r="P61" i="36"/>
  <c r="N59" i="36"/>
  <c r="N61" i="36" s="1"/>
  <c r="S50" i="36"/>
  <c r="Q50" i="36"/>
  <c r="N50" i="36"/>
  <c r="M190" i="36"/>
  <c r="E48" i="38" l="1"/>
  <c r="E5" i="39" s="1"/>
  <c r="E4" i="23" s="1"/>
  <c r="E57" i="38"/>
  <c r="E14" i="39" s="1"/>
  <c r="E4" i="24" s="1"/>
  <c r="D6" i="23"/>
  <c r="H4" i="24" l="1"/>
  <c r="D2" i="24"/>
  <c r="H7" i="24"/>
  <c r="F7" i="24"/>
  <c r="E13" i="30"/>
  <c r="F13" i="30"/>
  <c r="G13" i="30"/>
  <c r="O13" i="30" s="1" a="1"/>
  <c r="O13" i="30" s="1"/>
  <c r="H13" i="30"/>
  <c r="I13" i="30"/>
  <c r="J13" i="30"/>
  <c r="K13" i="30"/>
  <c r="L13" i="30"/>
  <c r="E14" i="30"/>
  <c r="F14" i="30"/>
  <c r="G14" i="30"/>
  <c r="H14" i="30"/>
  <c r="I14" i="30"/>
  <c r="J14" i="30"/>
  <c r="K14" i="30"/>
  <c r="L14" i="30"/>
  <c r="E15" i="30"/>
  <c r="F15" i="30"/>
  <c r="O15" i="30" s="1" a="1"/>
  <c r="O15" i="30" s="1"/>
  <c r="G15" i="30"/>
  <c r="H15" i="30"/>
  <c r="I15" i="30"/>
  <c r="J15" i="30"/>
  <c r="K15" i="30"/>
  <c r="L15" i="30"/>
  <c r="E16" i="30"/>
  <c r="F16" i="30"/>
  <c r="O16" i="30" s="1" a="1"/>
  <c r="O16" i="30" s="1"/>
  <c r="G16" i="30"/>
  <c r="H16" i="30"/>
  <c r="I16" i="30"/>
  <c r="J16" i="30"/>
  <c r="K16" i="30"/>
  <c r="L16" i="30"/>
  <c r="E17" i="30"/>
  <c r="F17" i="30"/>
  <c r="O17" i="30" s="1" a="1"/>
  <c r="O17" i="30" s="1"/>
  <c r="G17" i="30"/>
  <c r="H17" i="30"/>
  <c r="I17" i="30"/>
  <c r="J17" i="30"/>
  <c r="K17" i="30"/>
  <c r="L17" i="30"/>
  <c r="D14" i="30"/>
  <c r="D15" i="30"/>
  <c r="D16" i="30"/>
  <c r="D17" i="30"/>
  <c r="D13" i="30"/>
  <c r="H7" i="23"/>
  <c r="D3" i="23"/>
  <c r="H3" i="23" s="1"/>
  <c r="H2" i="23"/>
  <c r="H6" i="23" s="1"/>
  <c r="F2" i="23"/>
  <c r="F6" i="23" s="1"/>
  <c r="O14" i="30" l="1" a="1"/>
  <c r="O14" i="30" s="1"/>
  <c r="E7" i="23"/>
  <c r="G7" i="23" s="1"/>
  <c r="F7" i="23"/>
  <c r="C7" i="23"/>
  <c r="F3" i="23"/>
  <c r="G3" i="23"/>
  <c r="AG4" i="29" l="1" a="1"/>
  <c r="AG4" i="29" s="1"/>
  <c r="AG5" i="29" a="1"/>
  <c r="AG5" i="29" s="1"/>
  <c r="AG6" i="29" a="1"/>
  <c r="AG6" i="29" s="1"/>
  <c r="AG7" i="29" a="1"/>
  <c r="AG7" i="29"/>
  <c r="AG8" i="29" a="1"/>
  <c r="AG8" i="29" s="1"/>
  <c r="AG9" i="29" a="1"/>
  <c r="AG9" i="29" s="1"/>
  <c r="AG10" i="29" a="1"/>
  <c r="AG10" i="29" s="1"/>
  <c r="AG11" i="29" a="1"/>
  <c r="AG11" i="29"/>
  <c r="AG12" i="29" a="1"/>
  <c r="AG12" i="29" s="1"/>
  <c r="AG13" i="29" a="1"/>
  <c r="AG13" i="29" s="1"/>
  <c r="AG14" i="29" a="1"/>
  <c r="AG14" i="29" s="1"/>
  <c r="AG15" i="29" a="1"/>
  <c r="AG15" i="29"/>
  <c r="AG16" i="29" a="1"/>
  <c r="AG16" i="29" s="1"/>
  <c r="AG17" i="29" a="1"/>
  <c r="AG17" i="29" s="1"/>
  <c r="AG18" i="29" a="1"/>
  <c r="AG18" i="29" s="1"/>
  <c r="AG19" i="29" a="1"/>
  <c r="AG19" i="29"/>
  <c r="AG20" i="29" a="1"/>
  <c r="AG20" i="29" s="1"/>
  <c r="AG21" i="29" a="1"/>
  <c r="AG21" i="29" s="1"/>
  <c r="AG22" i="29" a="1"/>
  <c r="AG22" i="29" s="1"/>
  <c r="AG23" i="29" a="1"/>
  <c r="AG23" i="29"/>
  <c r="AG24" i="29" a="1"/>
  <c r="AG24" i="29" s="1"/>
  <c r="AG25" i="29" a="1"/>
  <c r="AG25" i="29" s="1"/>
  <c r="AG26" i="29" a="1"/>
  <c r="AG26" i="29" s="1"/>
  <c r="AG27" i="29" a="1"/>
  <c r="AG27" i="29"/>
  <c r="AG28" i="29" a="1"/>
  <c r="AG28" i="29" s="1"/>
  <c r="AG29" i="29" a="1"/>
  <c r="AG29" i="29" s="1"/>
  <c r="AG30" i="29" a="1"/>
  <c r="AG30" i="29" s="1"/>
  <c r="AG31" i="29" a="1"/>
  <c r="AG31" i="29"/>
  <c r="AG3" i="29" a="1"/>
  <c r="AG3" i="29" s="1"/>
  <c r="E37" i="29"/>
  <c r="F37" i="29"/>
  <c r="G37" i="29"/>
  <c r="H37" i="29"/>
  <c r="I37" i="29"/>
  <c r="J37" i="29"/>
  <c r="K37" i="29"/>
  <c r="L37" i="29"/>
  <c r="M37" i="29"/>
  <c r="N37" i="29"/>
  <c r="E38" i="29"/>
  <c r="F38" i="29"/>
  <c r="G38" i="29"/>
  <c r="H38" i="29"/>
  <c r="P38" i="29" s="1" a="1"/>
  <c r="P38" i="29" s="1"/>
  <c r="B3" i="23" s="1"/>
  <c r="I38" i="29"/>
  <c r="J38" i="29"/>
  <c r="K38" i="29"/>
  <c r="L38" i="29"/>
  <c r="M38" i="29"/>
  <c r="N38" i="29"/>
  <c r="E39" i="29"/>
  <c r="F39" i="29"/>
  <c r="G39" i="29"/>
  <c r="H39" i="29"/>
  <c r="P39" i="29" s="1" a="1"/>
  <c r="P39" i="29" s="1"/>
  <c r="I39" i="29"/>
  <c r="J39" i="29"/>
  <c r="K39" i="29"/>
  <c r="L39" i="29"/>
  <c r="M39" i="29"/>
  <c r="N39" i="29"/>
  <c r="E40" i="29"/>
  <c r="F40" i="29"/>
  <c r="G40" i="29"/>
  <c r="H40" i="29"/>
  <c r="P40" i="29" s="1" a="1"/>
  <c r="P40" i="29" s="1"/>
  <c r="I40" i="29"/>
  <c r="J40" i="29"/>
  <c r="K40" i="29"/>
  <c r="L40" i="29"/>
  <c r="M40" i="29"/>
  <c r="N40" i="29"/>
  <c r="E41" i="29"/>
  <c r="F41" i="29"/>
  <c r="G41" i="29"/>
  <c r="H41" i="29"/>
  <c r="I41" i="29"/>
  <c r="J41" i="29"/>
  <c r="K41" i="29"/>
  <c r="L41" i="29"/>
  <c r="M41" i="29"/>
  <c r="N41" i="29"/>
  <c r="E42" i="29"/>
  <c r="F42" i="29"/>
  <c r="G42" i="29"/>
  <c r="H42" i="29"/>
  <c r="P42" i="29" s="1" a="1"/>
  <c r="P42" i="29" s="1"/>
  <c r="I42" i="29"/>
  <c r="J42" i="29"/>
  <c r="K42" i="29"/>
  <c r="L42" i="29"/>
  <c r="M42" i="29"/>
  <c r="N42" i="29"/>
  <c r="E43" i="29"/>
  <c r="F43" i="29"/>
  <c r="G43" i="29"/>
  <c r="H43" i="29"/>
  <c r="P43" i="29" s="1" a="1"/>
  <c r="P43" i="29" s="1"/>
  <c r="I43" i="29"/>
  <c r="J43" i="29"/>
  <c r="K43" i="29"/>
  <c r="L43" i="29"/>
  <c r="M43" i="29"/>
  <c r="N43" i="29"/>
  <c r="E44" i="29"/>
  <c r="F44" i="29"/>
  <c r="G44" i="29"/>
  <c r="H44" i="29"/>
  <c r="P44" i="29" s="1" a="1"/>
  <c r="P44" i="29" s="1"/>
  <c r="C2" i="23" s="1"/>
  <c r="I44" i="29"/>
  <c r="J44" i="29"/>
  <c r="K44" i="29"/>
  <c r="L44" i="29"/>
  <c r="M44" i="29"/>
  <c r="N44" i="29"/>
  <c r="E45" i="29"/>
  <c r="F45" i="29"/>
  <c r="G45" i="29"/>
  <c r="H45" i="29"/>
  <c r="I45" i="29"/>
  <c r="J45" i="29"/>
  <c r="K45" i="29"/>
  <c r="L45" i="29"/>
  <c r="M45" i="29"/>
  <c r="N45" i="29"/>
  <c r="E46" i="29"/>
  <c r="F46" i="29"/>
  <c r="G46" i="29"/>
  <c r="H46" i="29"/>
  <c r="P46" i="29" s="1" a="1"/>
  <c r="P46" i="29" s="1"/>
  <c r="B2" i="23" s="1"/>
  <c r="I46" i="29"/>
  <c r="J46" i="29"/>
  <c r="K46" i="29"/>
  <c r="L46" i="29"/>
  <c r="M46" i="29"/>
  <c r="N46" i="29"/>
  <c r="E47" i="29"/>
  <c r="F47" i="29"/>
  <c r="G47" i="29"/>
  <c r="H47" i="29"/>
  <c r="P47" i="29" s="1" a="1"/>
  <c r="P47" i="29" s="1"/>
  <c r="I47" i="29"/>
  <c r="J47" i="29"/>
  <c r="K47" i="29"/>
  <c r="L47" i="29"/>
  <c r="M47" i="29"/>
  <c r="N47" i="29"/>
  <c r="E48" i="29"/>
  <c r="F48" i="29"/>
  <c r="G48" i="29"/>
  <c r="H48" i="29"/>
  <c r="P48" i="29" s="1" a="1"/>
  <c r="P48" i="29" s="1"/>
  <c r="I48" i="29"/>
  <c r="J48" i="29"/>
  <c r="K48" i="29"/>
  <c r="L48" i="29"/>
  <c r="M48" i="29"/>
  <c r="N48" i="29"/>
  <c r="E49" i="29"/>
  <c r="F49" i="29"/>
  <c r="G49" i="29"/>
  <c r="H49" i="29"/>
  <c r="I49" i="29"/>
  <c r="J49" i="29"/>
  <c r="K49" i="29"/>
  <c r="L49" i="29"/>
  <c r="M49" i="29"/>
  <c r="N49" i="29"/>
  <c r="E50" i="29"/>
  <c r="F50" i="29"/>
  <c r="G50" i="29"/>
  <c r="H50" i="29"/>
  <c r="P50" i="29" s="1" a="1"/>
  <c r="P50" i="29" s="1"/>
  <c r="I50" i="29"/>
  <c r="J50" i="29"/>
  <c r="K50" i="29"/>
  <c r="L50" i="29"/>
  <c r="M50" i="29"/>
  <c r="N50" i="29"/>
  <c r="E51" i="29"/>
  <c r="F51" i="29"/>
  <c r="G51" i="29"/>
  <c r="H51" i="29"/>
  <c r="P51" i="29" s="1" a="1"/>
  <c r="P51" i="29" s="1"/>
  <c r="B7" i="23" s="1"/>
  <c r="I51" i="29"/>
  <c r="J51" i="29"/>
  <c r="K51" i="29"/>
  <c r="L51" i="29"/>
  <c r="M51" i="29"/>
  <c r="N51" i="29"/>
  <c r="E52" i="29"/>
  <c r="F52" i="29"/>
  <c r="G52" i="29"/>
  <c r="H52" i="29"/>
  <c r="P52" i="29" s="1" a="1"/>
  <c r="P52" i="29" s="1"/>
  <c r="C7" i="24" s="1"/>
  <c r="I52" i="29"/>
  <c r="J52" i="29"/>
  <c r="K52" i="29"/>
  <c r="L52" i="29"/>
  <c r="M52" i="29"/>
  <c r="N52" i="29"/>
  <c r="E53" i="29"/>
  <c r="F53" i="29"/>
  <c r="G53" i="29"/>
  <c r="H53" i="29"/>
  <c r="I53" i="29"/>
  <c r="J53" i="29"/>
  <c r="K53" i="29"/>
  <c r="L53" i="29"/>
  <c r="M53" i="29"/>
  <c r="N53" i="29"/>
  <c r="E54" i="29"/>
  <c r="F54" i="29"/>
  <c r="G54" i="29"/>
  <c r="H54" i="29"/>
  <c r="P54" i="29" s="1" a="1"/>
  <c r="P54" i="29" s="1"/>
  <c r="I54" i="29"/>
  <c r="J54" i="29"/>
  <c r="K54" i="29"/>
  <c r="L54" i="29"/>
  <c r="M54" i="29"/>
  <c r="N54" i="29"/>
  <c r="E55" i="29"/>
  <c r="F55" i="29"/>
  <c r="G55" i="29"/>
  <c r="H55" i="29"/>
  <c r="P55" i="29" s="1" a="1"/>
  <c r="P55" i="29" s="1"/>
  <c r="I55" i="29"/>
  <c r="J55" i="29"/>
  <c r="K55" i="29"/>
  <c r="L55" i="29"/>
  <c r="M55" i="29"/>
  <c r="N55" i="29"/>
  <c r="E56" i="29"/>
  <c r="F56" i="29"/>
  <c r="G56" i="29"/>
  <c r="H56" i="29"/>
  <c r="P56" i="29" s="1" a="1"/>
  <c r="P56" i="29" s="1"/>
  <c r="B7" i="24" s="1"/>
  <c r="I56" i="29"/>
  <c r="J56" i="29"/>
  <c r="K56" i="29"/>
  <c r="L56" i="29"/>
  <c r="M56" i="29"/>
  <c r="N56" i="29"/>
  <c r="E57" i="29"/>
  <c r="F57" i="29"/>
  <c r="G57" i="29"/>
  <c r="H57" i="29"/>
  <c r="I57" i="29"/>
  <c r="J57" i="29"/>
  <c r="K57" i="29"/>
  <c r="L57" i="29"/>
  <c r="M57" i="29"/>
  <c r="N57" i="29"/>
  <c r="E58" i="29"/>
  <c r="F58" i="29"/>
  <c r="G58" i="29"/>
  <c r="H58" i="29"/>
  <c r="P58" i="29" s="1" a="1"/>
  <c r="P58" i="29" s="1"/>
  <c r="G6" i="23" s="1"/>
  <c r="I58" i="29"/>
  <c r="J58" i="29"/>
  <c r="K58" i="29"/>
  <c r="L58" i="29"/>
  <c r="M58" i="29"/>
  <c r="N58" i="29"/>
  <c r="E59" i="29"/>
  <c r="F59" i="29"/>
  <c r="G59" i="29"/>
  <c r="H59" i="29"/>
  <c r="P59" i="29" s="1" a="1"/>
  <c r="P59" i="29" s="1"/>
  <c r="I59" i="29"/>
  <c r="J59" i="29"/>
  <c r="K59" i="29"/>
  <c r="L59" i="29"/>
  <c r="M59" i="29"/>
  <c r="N59" i="29"/>
  <c r="E60" i="29"/>
  <c r="F60" i="29"/>
  <c r="G60" i="29"/>
  <c r="H60" i="29"/>
  <c r="P60" i="29" s="1" a="1"/>
  <c r="P60" i="29" s="1"/>
  <c r="B6" i="23" s="1"/>
  <c r="I60" i="29"/>
  <c r="J60" i="29"/>
  <c r="K60" i="29"/>
  <c r="L60" i="29"/>
  <c r="M60" i="29"/>
  <c r="N60" i="29"/>
  <c r="E61" i="29"/>
  <c r="F61" i="29"/>
  <c r="G61" i="29"/>
  <c r="H61" i="29"/>
  <c r="I61" i="29"/>
  <c r="J61" i="29"/>
  <c r="K61" i="29"/>
  <c r="L61" i="29"/>
  <c r="M61" i="29"/>
  <c r="N61" i="29"/>
  <c r="E62" i="29"/>
  <c r="F62" i="29"/>
  <c r="G62" i="29"/>
  <c r="H62" i="29"/>
  <c r="P62" i="29" s="1" a="1"/>
  <c r="P62" i="29" s="1"/>
  <c r="I62" i="29"/>
  <c r="J62" i="29"/>
  <c r="K62" i="29"/>
  <c r="L62" i="29"/>
  <c r="M62" i="29"/>
  <c r="N62" i="29"/>
  <c r="E63" i="29"/>
  <c r="F63" i="29"/>
  <c r="G63" i="29"/>
  <c r="H63" i="29"/>
  <c r="P63" i="29" s="1" a="1"/>
  <c r="P63" i="29" s="1"/>
  <c r="I63" i="29"/>
  <c r="J63" i="29"/>
  <c r="K63" i="29"/>
  <c r="L63" i="29"/>
  <c r="M63" i="29"/>
  <c r="N63" i="29"/>
  <c r="F36" i="29"/>
  <c r="G36" i="29"/>
  <c r="P36" i="29" s="1" a="1"/>
  <c r="P36" i="29" s="1"/>
  <c r="H36" i="29"/>
  <c r="I36" i="29"/>
  <c r="J36" i="29"/>
  <c r="K36" i="29"/>
  <c r="L36" i="29"/>
  <c r="M36" i="29"/>
  <c r="N36" i="29"/>
  <c r="E36" i="29"/>
  <c r="P41" i="29" l="1" a="1"/>
  <c r="P41" i="29" s="1"/>
  <c r="P53" i="29" a="1"/>
  <c r="P53" i="29" s="1"/>
  <c r="P45" i="29" a="1"/>
  <c r="P45" i="29" s="1"/>
  <c r="P37" i="29" a="1"/>
  <c r="P37" i="29" s="1"/>
  <c r="P61" i="29" a="1"/>
  <c r="P61" i="29" s="1"/>
  <c r="P57" i="29" a="1"/>
  <c r="P57" i="29" s="1"/>
  <c r="C6" i="23" s="1"/>
  <c r="P49" i="29" a="1"/>
  <c r="P49" i="29" s="1"/>
  <c r="D15" i="18"/>
  <c r="D16" i="18" s="1"/>
  <c r="E15" i="18"/>
  <c r="E16" i="18" s="1"/>
  <c r="F15" i="18"/>
  <c r="F16" i="18" s="1"/>
  <c r="G15" i="18"/>
  <c r="G16" i="18" s="1"/>
  <c r="H15" i="18"/>
  <c r="H16" i="18" s="1"/>
  <c r="I15" i="18"/>
  <c r="I16" i="18" s="1"/>
  <c r="D17" i="18"/>
  <c r="D18" i="18" s="1"/>
  <c r="D19" i="18" s="1"/>
  <c r="E17" i="18"/>
  <c r="E18" i="18" s="1"/>
  <c r="F17" i="18"/>
  <c r="F18" i="18" s="1"/>
  <c r="F19" i="18" s="1"/>
  <c r="G17" i="18"/>
  <c r="G18" i="18" s="1"/>
  <c r="H17" i="18"/>
  <c r="H18" i="18" s="1"/>
  <c r="I17" i="18"/>
  <c r="I18" i="18" s="1"/>
  <c r="C3" i="23" l="1"/>
  <c r="I19" i="18"/>
  <c r="G19" i="18"/>
  <c r="E19" i="18"/>
  <c r="H19" i="18"/>
  <c r="B17" i="18" l="1"/>
  <c r="B18" i="18" s="1"/>
  <c r="B19" i="18" s="1"/>
  <c r="C17" i="18"/>
  <c r="C18" i="18" s="1"/>
  <c r="B15" i="18"/>
  <c r="B16" i="18" s="1"/>
  <c r="C15" i="18"/>
  <c r="C16" i="18" s="1"/>
  <c r="C19" i="18" l="1"/>
  <c r="B11" i="18" l="1"/>
  <c r="B3" i="24" l="1"/>
  <c r="H2" i="24"/>
  <c r="F3" i="24" l="1"/>
  <c r="D3" i="24"/>
  <c r="H3" i="24" s="1"/>
  <c r="C3" i="24"/>
  <c r="G3" i="24"/>
  <c r="G2" i="24"/>
  <c r="C2" i="24"/>
  <c r="F2" i="24"/>
  <c r="B2" i="2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<sst xmlns="http://schemas.openxmlformats.org/spreadsheetml/2006/main" count="1319" uniqueCount="371">
  <si>
    <t>Sources:</t>
  </si>
  <si>
    <t>Notes</t>
  </si>
  <si>
    <t>This variable gives fuel economy in units of cargo distance per BTU.</t>
  </si>
  <si>
    <t>battery electric vehicle</t>
  </si>
  <si>
    <t>natural gas vehicle</t>
  </si>
  <si>
    <t>gasoline vehicle</t>
  </si>
  <si>
    <t>diesel vehicle</t>
  </si>
  <si>
    <t>plugin hybrid vehicle</t>
  </si>
  <si>
    <t>aircraft</t>
  </si>
  <si>
    <t>HDVs</t>
  </si>
  <si>
    <t>Perc Reduction in Fuel Use for Electricity</t>
  </si>
  <si>
    <t>Perc of Electricity Use for Plug-In Hybrid Vehicles</t>
  </si>
  <si>
    <t>electricity share</t>
  </si>
  <si>
    <t>LDVs and motorbikes</t>
  </si>
  <si>
    <t>Source:</t>
  </si>
  <si>
    <t>SYFAFE Start Year Fleet Avg Fuel Economy</t>
  </si>
  <si>
    <t>LDVs</t>
  </si>
  <si>
    <t>rail</t>
  </si>
  <si>
    <t>ships</t>
  </si>
  <si>
    <t>motorbikes</t>
  </si>
  <si>
    <t>This sheet implements adjustments that are determined during the model calibration phase, which</t>
  </si>
  <si>
    <t>may be necessary to avoid situations where the weighted contribution of a given type/technology</t>
  </si>
  <si>
    <t>of vehicles to the fleet average fuel economy "runs out" (is depleted) before the corresponding type</t>
  </si>
  <si>
    <t>of vehicle is fully retired.  Although input data from an external source (like EIA) will typically be</t>
  </si>
  <si>
    <t>in the right ballpark or even very close, it is unlikely that it is exactly in sync with the data for other</t>
  </si>
  <si>
    <t>variables that play into this calculation in the EPS, such as vehicle loading levels and annual average</t>
  </si>
  <si>
    <t>distance traveled.  These calibration factors allow us to line up the input data for start year fuel</t>
  </si>
  <si>
    <t>economy with the other input data in the model.</t>
  </si>
  <si>
    <t>Passenger Vehicles</t>
  </si>
  <si>
    <t>Freight Vehicles</t>
  </si>
  <si>
    <t>This is typically only a significant issue in scenarios where a given vehicle type/technology is</t>
  </si>
  <si>
    <t>fully depleted during the model run.  For example, if you implement an EV minimum required</t>
  </si>
  <si>
    <t>sales percentage of 100% and use plcy-schd/FoPITY to scale it in by year 2030, then you encounter</t>
  </si>
  <si>
    <t>a mismatch in the years when "Retiring Vehicles" and "Weighted Contribution of Retiring Vehicles</t>
  </si>
  <si>
    <t>Calibration Adjustments</t>
  </si>
  <si>
    <t>This variable may need calibration after all other data are in place.  See the notes on the</t>
  </si>
  <si>
    <t>"Calibration Adjustments" tab for what conditions might highlight the need for</t>
  </si>
  <si>
    <t>calibration and how to perform it.</t>
  </si>
  <si>
    <t>can adjust the calibration factors on this tab to eliminate the mismatch.</t>
  </si>
  <si>
    <t>to Fleet Avg Fuel Economy" for gasoline passenger LDVs reach zero (in the 2040-2043 range).  You</t>
  </si>
  <si>
    <t>For sources and calculations, see the variable trans/PTFURfE.</t>
  </si>
  <si>
    <t>For source, see the variable trans/BPoEFUbVT.</t>
  </si>
  <si>
    <t>We adjust for the greater efficiency of electricity use in vehicles, accounting</t>
  </si>
  <si>
    <t>for the share of electricity used by plug-in hybrids, in the same way we do in</t>
  </si>
  <si>
    <t>trans/BHNVFEAL.</t>
  </si>
  <si>
    <t>Fuel Economy (passenger*miles/BTU)</t>
  </si>
  <si>
    <t>LPG vehicle</t>
  </si>
  <si>
    <t>hydrogen vehicle</t>
  </si>
  <si>
    <t>Fuel Economy (freight ton*miles/BTU)</t>
  </si>
  <si>
    <t>gasoline car efficiency</t>
  </si>
  <si>
    <t>hydrogen FCV efficiency</t>
  </si>
  <si>
    <t>distance multiplier for hydrogen vehicles</t>
  </si>
  <si>
    <t>Hydrogen vs. Gasoline Efficiency (see trans/BHNVFEAL)</t>
  </si>
  <si>
    <t>Mode</t>
  </si>
  <si>
    <t>Passenger LDVs</t>
  </si>
  <si>
    <t>Energy Consumption (PJ)</t>
  </si>
  <si>
    <t>Energy Consumption (BTU)</t>
  </si>
  <si>
    <t>Passenger-miles</t>
  </si>
  <si>
    <t>PJ to BTU</t>
  </si>
  <si>
    <t>km to miles</t>
  </si>
  <si>
    <t>passenger-miles/BTU</t>
  </si>
  <si>
    <t>Billion Passenger-km</t>
  </si>
  <si>
    <t>Start Year</t>
  </si>
  <si>
    <t>BTU per TWh</t>
  </si>
  <si>
    <t>Calculation of energy per vehicle-Passenger Km</t>
  </si>
  <si>
    <t>TWh/vehicle-passenger-km</t>
  </si>
  <si>
    <t>Sub-mode</t>
  </si>
  <si>
    <t>Technology</t>
  </si>
  <si>
    <t>ROAD</t>
  </si>
  <si>
    <t>BUS</t>
  </si>
  <si>
    <t>DIESEL</t>
  </si>
  <si>
    <t>CNG</t>
  </si>
  <si>
    <t>ELECTRIC</t>
  </si>
  <si>
    <t>FCV</t>
  </si>
  <si>
    <t>ONMI-BUS</t>
  </si>
  <si>
    <t>CAR</t>
  </si>
  <si>
    <t>PETROL</t>
  </si>
  <si>
    <t>LPG</t>
  </si>
  <si>
    <t>2W</t>
  </si>
  <si>
    <t>3W</t>
  </si>
  <si>
    <t>TAXI</t>
  </si>
  <si>
    <t>RAIL</t>
  </si>
  <si>
    <t>AIR</t>
  </si>
  <si>
    <t>Tab XII.a, Table 10.3</t>
  </si>
  <si>
    <t>Converted to psgr-mile per BTU</t>
  </si>
  <si>
    <t>miles per km</t>
  </si>
  <si>
    <t>Total Billion Passenger KM demand</t>
  </si>
  <si>
    <t>Tab XII.a, Table 10.2</t>
  </si>
  <si>
    <t>Tab XII.b, Table 3.5</t>
  </si>
  <si>
    <t>Chosen Trajectory</t>
  </si>
  <si>
    <t>Type</t>
  </si>
  <si>
    <t>HCV</t>
  </si>
  <si>
    <t>LCV</t>
  </si>
  <si>
    <t>NITI Aayog, Government of India</t>
  </si>
  <si>
    <t>India Energy Security Scenarios 2047 downloadable Excel model</t>
  </si>
  <si>
    <t>http://indiaenergy.gov.in/iess/docs/IESS_Version2.2.xlsx</t>
  </si>
  <si>
    <t>Tabs XIIa (Tables 10.2 and 10.3) and XIIb (Table 3.5)</t>
  </si>
  <si>
    <t>TWh/vehicle-ton-km</t>
  </si>
  <si>
    <t>In India, we repurpose the passenger ship vehicle type to be taxis.</t>
  </si>
  <si>
    <t>Vehicle Loading (passengers)</t>
  </si>
  <si>
    <t>Vehicle Loading (tons)</t>
  </si>
  <si>
    <t>Vehicle Type</t>
  </si>
  <si>
    <t>Number of Vehicles</t>
  </si>
  <si>
    <t>passenger</t>
  </si>
  <si>
    <t>freight</t>
  </si>
  <si>
    <t>V.4 Sector-wise Consumption (end use) of Liquefied Petroleum Gas (LPG)</t>
  </si>
  <si>
    <r>
      <rPr>
        <b/>
        <sz val="12"/>
        <color rgb="FFFFFFFF"/>
        <rFont val="Calibri"/>
        <family val="2"/>
      </rPr>
      <t>V.4 Sector-wise Consumption (end use) of Liquefied Petroleum Gas (LPG)</t>
    </r>
  </si>
  <si>
    <t>Model Sector</t>
  </si>
  <si>
    <r>
      <rPr>
        <sz val="9"/>
        <color rgb="FF231F20"/>
        <rFont val="Calibri"/>
        <family val="2"/>
      </rPr>
      <t>( in '000' Tonnes)</t>
    </r>
  </si>
  <si>
    <t>In BTU</t>
  </si>
  <si>
    <r>
      <rPr>
        <b/>
        <sz val="9"/>
        <color rgb="FF231F20"/>
        <rFont val="Calibri"/>
        <family val="2"/>
      </rPr>
      <t>Sector</t>
    </r>
  </si>
  <si>
    <r>
      <rPr>
        <b/>
        <sz val="9"/>
        <color rgb="FF231F20"/>
        <rFont val="Calibri"/>
        <family val="2"/>
      </rPr>
      <t>2012-13</t>
    </r>
  </si>
  <si>
    <r>
      <rPr>
        <b/>
        <sz val="9"/>
        <color rgb="FF231F20"/>
        <rFont val="Calibri"/>
        <family val="2"/>
      </rPr>
      <t>2013-14</t>
    </r>
  </si>
  <si>
    <r>
      <rPr>
        <b/>
        <sz val="9"/>
        <color rgb="FF231F20"/>
        <rFont val="Calibri"/>
        <family val="2"/>
      </rPr>
      <t>2014-15</t>
    </r>
  </si>
  <si>
    <r>
      <rPr>
        <b/>
        <sz val="9"/>
        <color rgb="FF231F20"/>
        <rFont val="Calibri"/>
        <family val="2"/>
      </rPr>
      <t>2015-16</t>
    </r>
  </si>
  <si>
    <t xml:space="preserve">2016-17 </t>
  </si>
  <si>
    <t xml:space="preserve">2017-18 </t>
  </si>
  <si>
    <t>2018-19 (P)</t>
  </si>
  <si>
    <t>2017-18</t>
  </si>
  <si>
    <r>
      <rPr>
        <sz val="9"/>
        <color rgb="FF231F20"/>
        <rFont val="Calibri"/>
        <family val="2"/>
      </rPr>
      <t>Domestic Distribution</t>
    </r>
  </si>
  <si>
    <r>
      <rPr>
        <sz val="9"/>
        <color rgb="FF231F20"/>
        <rFont val="Calibri"/>
        <family val="2"/>
      </rPr>
      <t>Non-Domestic/ Industry/ Commercial</t>
    </r>
  </si>
  <si>
    <r>
      <rPr>
        <sz val="9"/>
        <color rgb="FF231F20"/>
        <rFont val="Calibri"/>
        <family val="2"/>
      </rPr>
      <t>Transport</t>
    </r>
  </si>
  <si>
    <r>
      <rPr>
        <sz val="9"/>
        <color rgb="FF231F20"/>
        <rFont val="Calibri"/>
        <family val="2"/>
      </rPr>
      <t>(i)</t>
    </r>
  </si>
  <si>
    <r>
      <rPr>
        <sz val="9"/>
        <color rgb="FF231F20"/>
        <rFont val="Calibri"/>
        <family val="2"/>
      </rPr>
      <t>Auto LPG</t>
    </r>
  </si>
  <si>
    <r>
      <rPr>
        <sz val="9"/>
        <color rgb="FF231F20"/>
        <rFont val="Calibri"/>
        <family val="2"/>
      </rPr>
      <t>(ii)</t>
    </r>
  </si>
  <si>
    <r>
      <rPr>
        <sz val="9"/>
        <color rgb="FF231F20"/>
        <rFont val="Calibri"/>
        <family val="2"/>
      </rPr>
      <t>Railways</t>
    </r>
  </si>
  <si>
    <r>
      <rPr>
        <sz val="9"/>
        <color rgb="FF231F20"/>
        <rFont val="Calibri"/>
        <family val="2"/>
      </rPr>
      <t>Power Generation</t>
    </r>
  </si>
  <si>
    <r>
      <rPr>
        <sz val="9"/>
        <color rgb="FF231F20"/>
        <rFont val="Calibri"/>
        <family val="2"/>
      </rPr>
      <t>Agriculture Sector</t>
    </r>
  </si>
  <si>
    <r>
      <rPr>
        <sz val="9"/>
        <color rgb="FF231F20"/>
        <rFont val="Calibri"/>
        <family val="2"/>
      </rPr>
      <t>Mining</t>
    </r>
  </si>
  <si>
    <r>
      <rPr>
        <sz val="9"/>
        <color rgb="FF231F20"/>
        <rFont val="Calibri"/>
        <family val="2"/>
      </rPr>
      <t>Manufacturing (Bulk LPG)</t>
    </r>
  </si>
  <si>
    <r>
      <rPr>
        <sz val="9"/>
        <color rgb="FF231F20"/>
        <rFont val="Calibri"/>
        <family val="2"/>
      </rPr>
      <t>Chemicals</t>
    </r>
  </si>
  <si>
    <r>
      <rPr>
        <sz val="9"/>
        <color rgb="FF231F20"/>
        <rFont val="Calibri"/>
        <family val="2"/>
      </rPr>
      <t>Engineering</t>
    </r>
  </si>
  <si>
    <r>
      <rPr>
        <sz val="9"/>
        <color rgb="FF231F20"/>
        <rFont val="Calibri"/>
        <family val="2"/>
      </rPr>
      <t>(iii)</t>
    </r>
  </si>
  <si>
    <r>
      <rPr>
        <sz val="9"/>
        <color rgb="FF231F20"/>
        <rFont val="Calibri"/>
        <family val="2"/>
      </rPr>
      <t>Electronics</t>
    </r>
  </si>
  <si>
    <r>
      <rPr>
        <sz val="9"/>
        <color rgb="FF231F20"/>
        <rFont val="Calibri"/>
        <family val="2"/>
      </rPr>
      <t>(iv)</t>
    </r>
  </si>
  <si>
    <r>
      <rPr>
        <sz val="9"/>
        <color rgb="FF231F20"/>
        <rFont val="Calibri"/>
        <family val="2"/>
      </rPr>
      <t>Mechanical</t>
    </r>
  </si>
  <si>
    <r>
      <rPr>
        <sz val="9"/>
        <color rgb="FF231F20"/>
        <rFont val="Calibri"/>
        <family val="2"/>
      </rPr>
      <t>(v)</t>
    </r>
  </si>
  <si>
    <r>
      <rPr>
        <sz val="9"/>
        <color rgb="FF231F20"/>
        <rFont val="Calibri"/>
        <family val="2"/>
      </rPr>
      <t>Metallurgical</t>
    </r>
  </si>
  <si>
    <r>
      <rPr>
        <sz val="9"/>
        <color rgb="FF231F20"/>
        <rFont val="Calibri"/>
        <family val="2"/>
      </rPr>
      <t>(vi)</t>
    </r>
  </si>
  <si>
    <r>
      <rPr>
        <sz val="9"/>
        <color rgb="FF231F20"/>
        <rFont val="Calibri"/>
        <family val="2"/>
      </rPr>
      <t>Textiles</t>
    </r>
  </si>
  <si>
    <r>
      <rPr>
        <sz val="9"/>
        <color rgb="FF231F20"/>
        <rFont val="Calibri"/>
        <family val="2"/>
      </rPr>
      <t>(vii)</t>
    </r>
  </si>
  <si>
    <r>
      <rPr>
        <sz val="9"/>
        <color rgb="FF231F20"/>
        <rFont val="Calibri"/>
        <family val="2"/>
      </rPr>
      <t>Other Consumer/ Industrial Goods</t>
    </r>
  </si>
  <si>
    <r>
      <rPr>
        <sz val="9"/>
        <color rgb="FF231F20"/>
        <rFont val="Calibri"/>
        <family val="2"/>
      </rPr>
      <t>Resellers/Retail</t>
    </r>
  </si>
  <si>
    <r>
      <rPr>
        <sz val="9"/>
        <color rgb="FF231F20"/>
        <rFont val="Calibri"/>
        <family val="2"/>
      </rPr>
      <t>Miscellaneous (Bulk)</t>
    </r>
  </si>
  <si>
    <r>
      <rPr>
        <b/>
        <sz val="9"/>
        <color rgb="FF231F20"/>
        <rFont val="Calibri"/>
        <family val="2"/>
      </rPr>
      <t>Total Sales</t>
    </r>
  </si>
  <si>
    <r>
      <rPr>
        <sz val="9"/>
        <color rgb="FF231F20"/>
        <rFont val="Calibri"/>
        <family val="2"/>
      </rPr>
      <t>Pvt Imports</t>
    </r>
  </si>
  <si>
    <r>
      <rPr>
        <b/>
        <sz val="9"/>
        <color rgb="FF231F20"/>
        <rFont val="Calibri"/>
        <family val="2"/>
      </rPr>
      <t>Total Consumption</t>
    </r>
  </si>
  <si>
    <r>
      <rPr>
        <sz val="9"/>
        <color rgb="FF231F20"/>
        <rFont val="Calibri"/>
        <family val="2"/>
      </rPr>
      <t>*: Included in Miscellaneous                                                                                                                                                 P : Provisional</t>
    </r>
  </si>
  <si>
    <r>
      <rPr>
        <sz val="9"/>
        <color rgb="FF231F20"/>
        <rFont val="Calibri"/>
        <family val="2"/>
      </rPr>
      <t>Source: Petroleum Planning &amp; Analysis Cell.</t>
    </r>
  </si>
  <si>
    <r>
      <rPr>
        <b/>
        <sz val="12"/>
        <color rgb="FFFFFFFF"/>
        <rFont val="Calibri"/>
        <family val="2"/>
      </rPr>
      <t>V.5 Sector-wise Consumption (end use) of Naphtha</t>
    </r>
  </si>
  <si>
    <r>
      <rPr>
        <sz val="9"/>
        <color rgb="FF231F20"/>
        <rFont val="Calibri"/>
        <family val="2"/>
      </rPr>
      <t>Fertilizers Sector</t>
    </r>
  </si>
  <si>
    <r>
      <rPr>
        <sz val="9"/>
        <color rgb="FF231F20"/>
        <rFont val="Calibri"/>
        <family val="2"/>
      </rPr>
      <t>Petrochemicals Sector</t>
    </r>
  </si>
  <si>
    <r>
      <rPr>
        <sz val="9"/>
        <color rgb="FF231F20"/>
        <rFont val="Calibri"/>
        <family val="2"/>
      </rPr>
      <t>Power Sector</t>
    </r>
  </si>
  <si>
    <r>
      <rPr>
        <sz val="9"/>
        <color rgb="FF231F20"/>
        <rFont val="Calibri"/>
        <family val="2"/>
      </rPr>
      <t>Steel Plants</t>
    </r>
  </si>
  <si>
    <r>
      <rPr>
        <sz val="9"/>
        <color rgb="FF231F20"/>
        <rFont val="Calibri"/>
        <family val="2"/>
      </rPr>
      <t>Others</t>
    </r>
  </si>
  <si>
    <r>
      <rPr>
        <sz val="9"/>
        <color rgb="FF231F20"/>
        <rFont val="Calibri"/>
        <family val="2"/>
      </rPr>
      <t>P : Provisional</t>
    </r>
  </si>
  <si>
    <t>V.9 Sector-wise Consumption (end use) of High Speed Diesel Oil</t>
  </si>
  <si>
    <r>
      <rPr>
        <sz val="9"/>
        <color rgb="FF231F20"/>
        <rFont val="Calibri"/>
        <family val="2"/>
      </rPr>
      <t>Road Transport</t>
    </r>
  </si>
  <si>
    <r>
      <rPr>
        <sz val="9"/>
        <color rgb="FF231F20"/>
        <rFont val="Calibri"/>
        <family val="2"/>
      </rPr>
      <t>Aviation</t>
    </r>
  </si>
  <si>
    <r>
      <rPr>
        <sz val="9"/>
        <color rgb="FF231F20"/>
        <rFont val="Calibri"/>
        <family val="2"/>
      </rPr>
      <t>Shipping</t>
    </r>
  </si>
  <si>
    <r>
      <rPr>
        <sz val="9"/>
        <color rgb="FF231F20"/>
        <rFont val="Calibri"/>
        <family val="2"/>
      </rPr>
      <t>Agriculture</t>
    </r>
  </si>
  <si>
    <r>
      <rPr>
        <sz val="9"/>
        <color rgb="FF231F20"/>
        <rFont val="Calibri"/>
        <family val="2"/>
      </rPr>
      <t>Mining &amp; Quarrying</t>
    </r>
  </si>
  <si>
    <r>
      <rPr>
        <sz val="9"/>
        <color rgb="FF231F20"/>
        <rFont val="Calibri"/>
        <family val="2"/>
      </rPr>
      <t>Manufacture Industry</t>
    </r>
  </si>
  <si>
    <r>
      <rPr>
        <sz val="9"/>
        <color rgb="FF231F20"/>
        <rFont val="Calibri"/>
        <family val="2"/>
      </rPr>
      <t>Iron &amp; Steel(Metallurgy)</t>
    </r>
  </si>
  <si>
    <r>
      <rPr>
        <sz val="9"/>
        <color rgb="FF231F20"/>
        <rFont val="Calibri"/>
        <family val="2"/>
      </rPr>
      <t>Textile</t>
    </r>
  </si>
  <si>
    <r>
      <rPr>
        <sz val="9"/>
        <color rgb="FF231F20"/>
        <rFont val="Calibri"/>
        <family val="2"/>
      </rPr>
      <t>Cement</t>
    </r>
  </si>
  <si>
    <r>
      <rPr>
        <sz val="9"/>
        <color rgb="FF231F20"/>
        <rFont val="Calibri"/>
        <family val="2"/>
      </rPr>
      <t>Ceramic &amp; Glass</t>
    </r>
  </si>
  <si>
    <r>
      <rPr>
        <sz val="9"/>
        <color rgb="FF231F20"/>
        <rFont val="Calibri"/>
        <family val="2"/>
      </rPr>
      <t>Chemicals &amp; Allied</t>
    </r>
  </si>
  <si>
    <r>
      <rPr>
        <sz val="9"/>
        <color rgb="FF231F20"/>
        <rFont val="Calibri"/>
        <family val="2"/>
      </rPr>
      <t>Aluminium</t>
    </r>
  </si>
  <si>
    <r>
      <rPr>
        <sz val="9"/>
        <color rgb="FF231F20"/>
        <rFont val="Calibri"/>
        <family val="2"/>
      </rPr>
      <t>Civil Engineering</t>
    </r>
  </si>
  <si>
    <r>
      <rPr>
        <sz val="9"/>
        <color rgb="FF231F20"/>
        <rFont val="Calibri"/>
        <family val="2"/>
      </rPr>
      <t>(viii)</t>
    </r>
  </si>
  <si>
    <r>
      <rPr>
        <sz val="9"/>
        <color rgb="FF231F20"/>
        <rFont val="Calibri"/>
        <family val="2"/>
      </rPr>
      <t>Elec./Electronics</t>
    </r>
  </si>
  <si>
    <r>
      <rPr>
        <sz val="9"/>
        <color rgb="FF231F20"/>
        <rFont val="Calibri"/>
        <family val="2"/>
      </rPr>
      <t>(ix)</t>
    </r>
  </si>
  <si>
    <r>
      <rPr>
        <sz val="9"/>
        <color rgb="FF231F20"/>
        <rFont val="Calibri"/>
        <family val="2"/>
      </rPr>
      <t>(x)</t>
    </r>
  </si>
  <si>
    <r>
      <rPr>
        <sz val="9"/>
        <color rgb="FF231F20"/>
        <rFont val="Calibri"/>
        <family val="2"/>
      </rPr>
      <t>Fertilizers</t>
    </r>
  </si>
  <si>
    <r>
      <rPr>
        <sz val="9"/>
        <color rgb="FF231F20"/>
        <rFont val="Calibri"/>
        <family val="2"/>
      </rPr>
      <t>(xi)</t>
    </r>
  </si>
  <si>
    <r>
      <rPr>
        <sz val="9"/>
        <color rgb="FF231F20"/>
        <rFont val="Calibri"/>
        <family val="2"/>
      </rPr>
      <t>Miscellaneous</t>
    </r>
  </si>
  <si>
    <r>
      <rPr>
        <b/>
        <sz val="9"/>
        <color rgb="FF231F20"/>
        <rFont val="Calibri"/>
        <family val="2"/>
      </rPr>
      <t>Total</t>
    </r>
  </si>
  <si>
    <t>V.10 Sector-wise Consumption (end use) of Light Diesel Oil (LDO)</t>
  </si>
  <si>
    <r>
      <rPr>
        <b/>
        <sz val="9"/>
        <color rgb="FF231F20"/>
        <rFont val="Calibri"/>
        <family val="2"/>
      </rPr>
      <t>LDO</t>
    </r>
  </si>
  <si>
    <r>
      <rPr>
        <sz val="9"/>
        <color rgb="FF231F20"/>
        <rFont val="Calibri"/>
        <family val="2"/>
      </rPr>
      <t>Textile &amp; Fibre</t>
    </r>
  </si>
  <si>
    <r>
      <rPr>
        <sz val="9"/>
        <color rgb="FF231F20"/>
        <rFont val="Calibri"/>
        <family val="2"/>
      </rPr>
      <t>Resellers</t>
    </r>
  </si>
  <si>
    <t>V.11 Sector-wise Consumption (end use) of Furnace Oil</t>
  </si>
  <si>
    <r>
      <rPr>
        <b/>
        <sz val="9"/>
        <color rgb="FF231F20"/>
        <rFont val="Calibri"/>
        <family val="2"/>
      </rPr>
      <t>Transport</t>
    </r>
  </si>
  <si>
    <r>
      <rPr>
        <b/>
        <sz val="9"/>
        <color rgb="FF231F20"/>
        <rFont val="Calibri"/>
        <family val="2"/>
      </rPr>
      <t>Road Transport</t>
    </r>
  </si>
  <si>
    <r>
      <rPr>
        <sz val="9"/>
        <color rgb="FF231F20"/>
        <rFont val="Calibri"/>
        <family val="2"/>
      </rPr>
      <t>Other Transport (incl. Agri. Retail Trade)</t>
    </r>
  </si>
  <si>
    <r>
      <rPr>
        <sz val="9"/>
        <color rgb="FF231F20"/>
        <rFont val="Calibri"/>
        <family val="2"/>
      </rPr>
      <t>Manufacturing Industry</t>
    </r>
  </si>
  <si>
    <r>
      <rPr>
        <sz val="9"/>
        <color rgb="FF231F20"/>
        <rFont val="Calibri"/>
        <family val="2"/>
      </rPr>
      <t>Electrical</t>
    </r>
  </si>
  <si>
    <r>
      <rPr>
        <sz val="9"/>
        <color rgb="FF231F20"/>
        <rFont val="Calibri"/>
        <family val="2"/>
      </rPr>
      <t>Other Consumer/ Industrial Goods)</t>
    </r>
  </si>
  <si>
    <r>
      <rPr>
        <sz val="9"/>
        <color rgb="FF231F20"/>
        <rFont val="Calibri"/>
        <family val="2"/>
      </rPr>
      <t>*: Included in Miscellaneous                                                                                                                                                 P: Provisional</t>
    </r>
  </si>
  <si>
    <r>
      <rPr>
        <b/>
        <sz val="9"/>
        <color rgb="FF231F20"/>
        <rFont val="Calibri"/>
        <family val="2"/>
      </rPr>
      <t xml:space="preserve">Source: </t>
    </r>
    <r>
      <rPr>
        <sz val="9"/>
        <color rgb="FF231F20"/>
        <rFont val="Calibri"/>
        <family val="2"/>
      </rPr>
      <t>Petroleum Planning &amp; Analysis Cell.</t>
    </r>
  </si>
  <si>
    <t>V.12 Sector-wise Consumption (end use) of LSHS/HHS</t>
  </si>
  <si>
    <t>2018-19</t>
  </si>
  <si>
    <r>
      <rPr>
        <sz val="9"/>
        <color rgb="FF231F20"/>
        <rFont val="Calibri"/>
        <family val="2"/>
      </rPr>
      <t>Iron &amp; Steel</t>
    </r>
  </si>
  <si>
    <t>Resellers</t>
  </si>
  <si>
    <t>II.17 Sector-wise Consumption of Natural Gas</t>
  </si>
  <si>
    <r>
      <rPr>
        <sz val="10"/>
        <color rgb="FF231F20"/>
        <rFont val="Calibri"/>
        <family val="2"/>
      </rPr>
      <t>(in MMSCM)</t>
    </r>
  </si>
  <si>
    <t>(in BTU)</t>
  </si>
  <si>
    <r>
      <rPr>
        <b/>
        <sz val="10"/>
        <color rgb="FF231F20"/>
        <rFont val="Calibri"/>
        <family val="2"/>
      </rPr>
      <t>Sector</t>
    </r>
  </si>
  <si>
    <r>
      <rPr>
        <b/>
        <sz val="10"/>
        <color rgb="FF231F20"/>
        <rFont val="Calibri"/>
        <family val="2"/>
      </rPr>
      <t>(a) Energy Purpose</t>
    </r>
  </si>
  <si>
    <r>
      <rPr>
        <sz val="10"/>
        <color rgb="FF231F20"/>
        <rFont val="Calibri"/>
        <family val="2"/>
      </rPr>
      <t>Power</t>
    </r>
  </si>
  <si>
    <r>
      <rPr>
        <sz val="10"/>
        <color rgb="FF231F20"/>
        <rFont val="Calibri"/>
        <family val="2"/>
      </rPr>
      <t>Industrial</t>
    </r>
  </si>
  <si>
    <r>
      <rPr>
        <sz val="10"/>
        <color rgb="FF231F20"/>
        <rFont val="Calibri"/>
        <family val="2"/>
      </rPr>
      <t>Manufacture</t>
    </r>
  </si>
  <si>
    <r>
      <rPr>
        <sz val="10"/>
        <color rgb="FF231F20"/>
        <rFont val="Calibri"/>
        <family val="2"/>
      </rPr>
      <t>Road Transport</t>
    </r>
  </si>
  <si>
    <r>
      <rPr>
        <sz val="10"/>
        <color rgb="FF231F20"/>
        <rFont val="Calibri"/>
        <family val="2"/>
      </rPr>
      <t xml:space="preserve">City or Local Natural Gas </t>
    </r>
    <r>
      <rPr>
        <sz val="10"/>
        <rFont val="Calibri"/>
        <family val="2"/>
      </rPr>
      <t>Distribution Network</t>
    </r>
  </si>
  <si>
    <r>
      <rPr>
        <sz val="10"/>
        <color rgb="FF231F20"/>
        <rFont val="Calibri"/>
        <family val="2"/>
      </rPr>
      <t>City or Local Natural Gas</t>
    </r>
    <r>
      <rPr>
        <sz val="10"/>
        <rFont val="Calibri"/>
        <family val="2"/>
      </rPr>
      <t xml:space="preserve"> 
Distribution Network</t>
    </r>
  </si>
  <si>
    <r>
      <rPr>
        <sz val="10"/>
        <color rgb="FF231F20"/>
        <rFont val="Calibri"/>
        <family val="2"/>
      </rPr>
      <t>Tea Plantation</t>
    </r>
  </si>
  <si>
    <t>Internal Consumption for Pipeline System</t>
  </si>
  <si>
    <r>
      <rPr>
        <sz val="10"/>
        <color rgb="FF231F20"/>
        <rFont val="Calibri"/>
        <family val="2"/>
      </rPr>
      <t>Refinery</t>
    </r>
  </si>
  <si>
    <r>
      <rPr>
        <sz val="10"/>
        <color rgb="FF231F20"/>
        <rFont val="Calibri"/>
        <family val="2"/>
      </rPr>
      <t>Miscellaneous</t>
    </r>
  </si>
  <si>
    <r>
      <rPr>
        <b/>
        <sz val="10"/>
        <color rgb="FF231F20"/>
        <rFont val="Calibri"/>
        <family val="2"/>
      </rPr>
      <t>Total (a)</t>
    </r>
  </si>
  <si>
    <r>
      <rPr>
        <b/>
        <sz val="10"/>
        <color rgb="FF231F20"/>
        <rFont val="Calibri"/>
        <family val="2"/>
      </rPr>
      <t>(b) Non-Energy Purpose</t>
    </r>
  </si>
  <si>
    <r>
      <rPr>
        <sz val="10"/>
        <color rgb="FF231F20"/>
        <rFont val="Calibri"/>
        <family val="2"/>
      </rPr>
      <t>Fertilizer Industry</t>
    </r>
  </si>
  <si>
    <r>
      <rPr>
        <sz val="10"/>
        <color rgb="FF231F20"/>
        <rFont val="Calibri"/>
        <family val="2"/>
      </rPr>
      <t>Petrochemical</t>
    </r>
  </si>
  <si>
    <r>
      <rPr>
        <sz val="10"/>
        <color rgb="FF231F20"/>
        <rFont val="Calibri"/>
        <family val="2"/>
      </rPr>
      <t>Sponge Iron</t>
    </r>
  </si>
  <si>
    <r>
      <rPr>
        <sz val="10"/>
        <color rgb="FF231F20"/>
        <rFont val="Calibri"/>
        <family val="2"/>
      </rPr>
      <t>LPG Shrinkage</t>
    </r>
  </si>
  <si>
    <r>
      <rPr>
        <b/>
        <sz val="10"/>
        <color rgb="FF231F20"/>
        <rFont val="Calibri"/>
        <family val="2"/>
      </rPr>
      <t>Total (b)</t>
    </r>
  </si>
  <si>
    <r>
      <rPr>
        <b/>
        <sz val="10"/>
        <color rgb="FF231F20"/>
        <rFont val="Calibri"/>
        <family val="2"/>
      </rPr>
      <t>Grand Total (a+b)</t>
    </r>
  </si>
  <si>
    <r>
      <rPr>
        <b/>
        <sz val="10"/>
        <color rgb="FF231F20"/>
        <rFont val="Calibri"/>
        <family val="2"/>
      </rPr>
      <t>Total in MMSCMD</t>
    </r>
  </si>
  <si>
    <r>
      <rPr>
        <sz val="9"/>
        <color rgb="FF231F20"/>
        <rFont val="Calibri"/>
        <family val="2"/>
      </rPr>
      <t>Note:                                                                                                                                                                      P: Provisional</t>
    </r>
  </si>
  <si>
    <r>
      <rPr>
        <sz val="9"/>
        <color rgb="FF231F20"/>
        <rFont val="Calibri"/>
        <family val="2"/>
      </rPr>
      <t>1. Re-classification among the sectors of consumption of natural gas under energy and non-energy sectors, has been done depending on usage. Sectors where natural gas is being used as feedstock are classified as consumption of gas under non- energy purpose whereas those sectors where natural gas is being used as fuel are classified as consumption of gas under energy purpose.</t>
    </r>
  </si>
  <si>
    <r>
      <rPr>
        <b/>
        <sz val="10"/>
        <color rgb="FFFFFFFF"/>
        <rFont val="Arial Narrow"/>
        <family val="2"/>
      </rPr>
      <t>T</t>
    </r>
    <r>
      <rPr>
        <b/>
        <sz val="10"/>
        <color rgb="FFFFFFFF"/>
        <rFont val="Arial"/>
        <family val="2"/>
      </rPr>
      <t xml:space="preserve">able 7 </t>
    </r>
    <r>
      <rPr>
        <sz val="10"/>
        <color rgb="FFFFFFFF"/>
        <rFont val="Arial"/>
        <family val="2"/>
      </rPr>
      <t>Conversion factors of petroleum products</t>
    </r>
  </si>
  <si>
    <r>
      <rPr>
        <b/>
        <sz val="10"/>
        <color rgb="FFFFFFFF"/>
        <rFont val="Franklin Gothic Demi Cond"/>
        <family val="2"/>
      </rPr>
      <t>Table</t>
    </r>
    <r>
      <rPr>
        <b/>
        <sz val="10"/>
        <color rgb="FFFFFFFF"/>
        <rFont val="Arial"/>
        <family val="2"/>
      </rPr>
      <t xml:space="preserve"> 6  </t>
    </r>
    <r>
      <rPr>
        <sz val="10"/>
        <color rgb="FFFFFFFF"/>
        <rFont val="Arial"/>
        <family val="2"/>
      </rPr>
      <t>Calorific values of different petroleum products</t>
    </r>
  </si>
  <si>
    <r>
      <rPr>
        <sz val="9"/>
        <color rgb="FF231F20"/>
        <rFont val="Arial"/>
        <family val="2"/>
      </rPr>
      <t>Product</t>
    </r>
  </si>
  <si>
    <r>
      <rPr>
        <sz val="9"/>
        <color rgb="FF231F20"/>
        <rFont val="Arial"/>
        <family val="2"/>
      </rPr>
      <t>TOE/tonne</t>
    </r>
  </si>
  <si>
    <r>
      <rPr>
        <sz val="9"/>
        <color rgb="FF231F20"/>
        <rFont val="Arial"/>
        <family val="2"/>
      </rPr>
      <t>Barrel/tonne</t>
    </r>
  </si>
  <si>
    <r>
      <rPr>
        <sz val="9"/>
        <color rgb="FF231F20"/>
        <rFont val="Arial"/>
        <family val="2"/>
      </rPr>
      <t>Petroleum product</t>
    </r>
  </si>
  <si>
    <r>
      <rPr>
        <sz val="9"/>
        <color rgb="FF231F20"/>
        <rFont val="Arial"/>
        <family val="2"/>
      </rPr>
      <t>Calorific value (kcal/kg)</t>
    </r>
  </si>
  <si>
    <r>
      <rPr>
        <sz val="9"/>
        <color rgb="FF231F20"/>
        <rFont val="Arial"/>
        <family val="2"/>
      </rPr>
      <t>Refinery gas</t>
    </r>
  </si>
  <si>
    <r>
      <rPr>
        <sz val="9"/>
        <color rgb="FF231F20"/>
        <rFont val="Arial"/>
        <family val="2"/>
      </rPr>
      <t>LPG</t>
    </r>
  </si>
  <si>
    <r>
      <rPr>
        <sz val="9"/>
        <color rgb="FF231F20"/>
        <rFont val="Arial"/>
        <family val="2"/>
      </rPr>
      <t>Ethane</t>
    </r>
  </si>
  <si>
    <r>
      <rPr>
        <sz val="9"/>
        <color rgb="FF231F20"/>
        <rFont val="Arial"/>
        <family val="2"/>
      </rPr>
      <t>Naphtha</t>
    </r>
  </si>
  <si>
    <r>
      <rPr>
        <sz val="9"/>
        <color rgb="FF231F20"/>
        <rFont val="Arial"/>
        <family val="2"/>
      </rPr>
      <t>Kerosene</t>
    </r>
  </si>
  <si>
    <r>
      <rPr>
        <sz val="9"/>
        <color rgb="FF231F20"/>
        <rFont val="Arial"/>
        <family val="2"/>
      </rPr>
      <t>Aviation gasoline</t>
    </r>
  </si>
  <si>
    <r>
      <rPr>
        <sz val="9"/>
        <color rgb="FF231F20"/>
        <rFont val="Arial"/>
        <family val="2"/>
      </rPr>
      <t>ATF</t>
    </r>
  </si>
  <si>
    <r>
      <rPr>
        <sz val="9"/>
        <color rgb="FF231F20"/>
        <rFont val="Arial"/>
        <family val="2"/>
      </rPr>
      <t>Motor gasoline</t>
    </r>
  </si>
  <si>
    <r>
      <rPr>
        <sz val="9"/>
        <color rgb="FF231F20"/>
        <rFont val="Arial"/>
        <family val="2"/>
      </rPr>
      <t>Fuel oil</t>
    </r>
  </si>
  <si>
    <r>
      <rPr>
        <sz val="9"/>
        <color rgb="FF231F20"/>
        <rFont val="Arial"/>
        <family val="2"/>
      </rPr>
      <t>Jet gasoline</t>
    </r>
  </si>
  <si>
    <r>
      <rPr>
        <sz val="9"/>
        <color rgb="FF231F20"/>
        <rFont val="Arial"/>
        <family val="2"/>
      </rPr>
      <t>Jet kerosene</t>
    </r>
  </si>
  <si>
    <r>
      <rPr>
        <sz val="9"/>
        <color rgb="FF231F20"/>
        <rFont val="Arial"/>
        <family val="2"/>
      </rPr>
      <t>HSD</t>
    </r>
  </si>
  <si>
    <r>
      <rPr>
        <sz val="9"/>
        <color rgb="FF231F20"/>
        <rFont val="Arial"/>
        <family val="2"/>
      </rPr>
      <t>Other kerosene</t>
    </r>
  </si>
  <si>
    <r>
      <rPr>
        <sz val="8"/>
        <color rgb="FF231F20"/>
        <rFont val="Arial"/>
        <family val="2"/>
      </rPr>
      <t>ATF – aviation turbine fuel; HSD – high-speed diesel; LPG – liquefied petroleum gas</t>
    </r>
  </si>
  <si>
    <r>
      <rPr>
        <b/>
        <sz val="8"/>
        <color rgb="FF231F20"/>
        <rFont val="Arial Narrow"/>
        <family val="2"/>
      </rPr>
      <t xml:space="preserve">Source </t>
    </r>
    <r>
      <rPr>
        <sz val="8"/>
        <color rgb="FF231F20"/>
        <rFont val="Arial"/>
        <family val="2"/>
      </rPr>
      <t>MoPNG (2009)</t>
    </r>
  </si>
  <si>
    <r>
      <rPr>
        <sz val="9"/>
        <color rgb="FF231F20"/>
        <rFont val="Arial"/>
        <family val="2"/>
      </rPr>
      <t>Gas/diesel oil</t>
    </r>
  </si>
  <si>
    <r>
      <rPr>
        <sz val="9"/>
        <color rgb="FF231F20"/>
        <rFont val="Arial"/>
        <family val="2"/>
      </rPr>
      <t>Heavy fuel oil</t>
    </r>
  </si>
  <si>
    <r>
      <rPr>
        <b/>
        <sz val="10"/>
        <color rgb="FFFFFFFF"/>
        <rFont val="Arial Narrow"/>
        <family val="2"/>
      </rPr>
      <t>T</t>
    </r>
    <r>
      <rPr>
        <b/>
        <sz val="10"/>
        <color rgb="FFFFFFFF"/>
        <rFont val="Arial"/>
        <family val="2"/>
      </rPr>
      <t xml:space="preserve">able 1  </t>
    </r>
    <r>
      <rPr>
        <sz val="10"/>
        <color rgb="FFFFFFFF"/>
        <rFont val="Arial"/>
        <family val="2"/>
      </rPr>
      <t>Main conversions used in the petroleum industry</t>
    </r>
  </si>
  <si>
    <r>
      <rPr>
        <sz val="9"/>
        <color rgb="FF231F20"/>
        <rFont val="Arial"/>
        <family val="2"/>
      </rPr>
      <t>Petroleum coke</t>
    </r>
  </si>
  <si>
    <r>
      <rPr>
        <sz val="9"/>
        <color rgb="FF231F20"/>
        <rFont val="Arial"/>
        <family val="2"/>
      </rPr>
      <t>Item</t>
    </r>
  </si>
  <si>
    <r>
      <rPr>
        <sz val="9"/>
        <color rgb="FF231F20"/>
        <rFont val="Arial"/>
        <family val="2"/>
      </rPr>
      <t>Conversion factor</t>
    </r>
  </si>
  <si>
    <r>
      <rPr>
        <sz val="9"/>
        <color rgb="FF231F20"/>
        <rFont val="Arial"/>
        <family val="2"/>
      </rPr>
      <t>White spirit</t>
    </r>
  </si>
  <si>
    <r>
      <rPr>
        <sz val="9"/>
        <color rgb="FF231F20"/>
        <rFont val="Arial"/>
        <family val="2"/>
      </rPr>
      <t>Crude oil</t>
    </r>
  </si>
  <si>
    <r>
      <rPr>
        <sz val="9"/>
        <color rgb="FF231F20"/>
        <rFont val="Arial"/>
        <family val="2"/>
      </rPr>
      <t>1 tonne</t>
    </r>
  </si>
  <si>
    <r>
      <rPr>
        <sz val="9"/>
        <color rgb="FF231F20"/>
        <rFont val="Arial"/>
        <family val="2"/>
      </rPr>
      <t>= 7.33 barrels</t>
    </r>
  </si>
  <si>
    <r>
      <rPr>
        <sz val="9"/>
        <color rgb="FF231F20"/>
        <rFont val="Arial"/>
        <family val="2"/>
      </rPr>
      <t>Lubricants</t>
    </r>
  </si>
  <si>
    <r>
      <rPr>
        <sz val="9"/>
        <color rgb="FF231F20"/>
        <rFont val="Arial"/>
        <family val="2"/>
      </rPr>
      <t>= 1.165 m</t>
    </r>
    <r>
      <rPr>
        <sz val="6"/>
        <color rgb="FF231F20"/>
        <rFont val="Arial"/>
        <family val="2"/>
      </rPr>
      <t xml:space="preserve">3 </t>
    </r>
    <r>
      <rPr>
        <sz val="9"/>
        <color rgb="FF231F20"/>
        <rFont val="Arial"/>
        <family val="2"/>
      </rPr>
      <t>(kilolitres)</t>
    </r>
  </si>
  <si>
    <r>
      <rPr>
        <sz val="9"/>
        <color rgb="FF231F20"/>
        <rFont val="Arial"/>
        <family val="2"/>
      </rPr>
      <t>Bitumen</t>
    </r>
  </si>
  <si>
    <r>
      <rPr>
        <sz val="9"/>
        <color rgb="FF231F20"/>
        <rFont val="Arial"/>
        <family val="2"/>
      </rPr>
      <t>1 barrel</t>
    </r>
  </si>
  <si>
    <r>
      <rPr>
        <sz val="9"/>
        <color rgb="FF231F20"/>
        <rFont val="Arial"/>
        <family val="2"/>
      </rPr>
      <t>= 0.136 tonne</t>
    </r>
  </si>
  <si>
    <r>
      <rPr>
        <sz val="9"/>
        <color rgb="FF231F20"/>
        <rFont val="Arial"/>
        <family val="2"/>
      </rPr>
      <t>Paraffin waxes</t>
    </r>
  </si>
  <si>
    <r>
      <rPr>
        <sz val="9"/>
        <color rgb="FF231F20"/>
        <rFont val="Arial"/>
        <family val="2"/>
      </rPr>
      <t>= 0.159 m</t>
    </r>
    <r>
      <rPr>
        <sz val="6"/>
        <color rgb="FF231F20"/>
        <rFont val="Arial"/>
        <family val="2"/>
      </rPr>
      <t xml:space="preserve">3 </t>
    </r>
    <r>
      <rPr>
        <sz val="9"/>
        <color rgb="FF231F20"/>
        <rFont val="Arial"/>
        <family val="2"/>
      </rPr>
      <t>(kilolitre)</t>
    </r>
  </si>
  <si>
    <r>
      <rPr>
        <sz val="9"/>
        <color rgb="FF231F20"/>
        <rFont val="Arial"/>
        <family val="2"/>
      </rPr>
      <t>Non-specified products</t>
    </r>
  </si>
  <si>
    <r>
      <rPr>
        <sz val="9"/>
        <color rgb="FF231F20"/>
        <rFont val="Arial"/>
        <family val="2"/>
      </rPr>
      <t>1 m</t>
    </r>
    <r>
      <rPr>
        <sz val="6"/>
        <color rgb="FF231F20"/>
        <rFont val="Arial"/>
        <family val="2"/>
      </rPr>
      <t>3</t>
    </r>
  </si>
  <si>
    <r>
      <rPr>
        <sz val="9"/>
        <color rgb="FF231F20"/>
        <rFont val="Arial"/>
        <family val="2"/>
      </rPr>
      <t>= 0.858 tonnes</t>
    </r>
  </si>
  <si>
    <r>
      <rPr>
        <sz val="8"/>
        <color rgb="FF231F20"/>
        <rFont val="Arial"/>
        <family val="2"/>
      </rPr>
      <t>LPG – liquefied petroleum gas; TOE – tonnes of oil equivalent</t>
    </r>
  </si>
  <si>
    <r>
      <rPr>
        <sz val="9"/>
        <color rgb="FF231F20"/>
        <rFont val="Arial"/>
        <family val="2"/>
      </rPr>
      <t>= 6.289 barrels</t>
    </r>
  </si>
  <si>
    <r>
      <rPr>
        <sz val="9"/>
        <color rgb="FF231F20"/>
        <rFont val="Arial"/>
        <family val="2"/>
      </rPr>
      <t>1 MT</t>
    </r>
  </si>
  <si>
    <r>
      <rPr>
        <sz val="9"/>
        <color rgb="FF231F20"/>
        <rFont val="Arial"/>
        <family val="2"/>
      </rPr>
      <t>= 1.111 BCM natural gas</t>
    </r>
  </si>
  <si>
    <r>
      <rPr>
        <sz val="9"/>
        <color rgb="FF231F20"/>
        <rFont val="Arial"/>
        <family val="2"/>
      </rPr>
      <t>= 39.2 BCF natural gas</t>
    </r>
  </si>
  <si>
    <r>
      <rPr>
        <sz val="9"/>
        <color rgb="FF231F20"/>
        <rFont val="Arial"/>
        <family val="2"/>
      </rPr>
      <t>= 0.805 MT (LNG)</t>
    </r>
  </si>
  <si>
    <r>
      <rPr>
        <sz val="9"/>
        <color rgb="FF231F20"/>
        <rFont val="Arial"/>
        <family val="2"/>
      </rPr>
      <t>= 40.4 trillion BTU</t>
    </r>
  </si>
  <si>
    <t>BTU/TOE</t>
  </si>
  <si>
    <t>IEA</t>
  </si>
  <si>
    <r>
      <rPr>
        <sz val="9"/>
        <color rgb="FF231F20"/>
        <rFont val="Arial"/>
        <family val="2"/>
      </rPr>
      <t>Natural gas</t>
    </r>
  </si>
  <si>
    <r>
      <rPr>
        <sz val="9"/>
        <color rgb="FF231F20"/>
        <rFont val="Arial"/>
        <family val="2"/>
      </rPr>
      <t>1 BCM</t>
    </r>
  </si>
  <si>
    <r>
      <rPr>
        <sz val="9"/>
        <color rgb="FF231F20"/>
        <rFont val="Arial"/>
        <family val="2"/>
      </rPr>
      <t>= 35.3 BCF natural gas</t>
    </r>
  </si>
  <si>
    <t>BTU/MWH</t>
  </si>
  <si>
    <r>
      <rPr>
        <sz val="9"/>
        <color rgb="FF231F20"/>
        <rFont val="Arial"/>
        <family val="2"/>
      </rPr>
      <t>= 0.90 MT crude oil</t>
    </r>
  </si>
  <si>
    <t>BTU/TCE</t>
  </si>
  <si>
    <r>
      <rPr>
        <sz val="9"/>
        <color rgb="FF231F20"/>
        <rFont val="Arial"/>
        <family val="2"/>
      </rPr>
      <t>= 0.73 MT LNG</t>
    </r>
  </si>
  <si>
    <t>BTU/TJ</t>
  </si>
  <si>
    <r>
      <rPr>
        <sz val="9"/>
        <color rgb="FF231F20"/>
        <rFont val="Arial"/>
        <family val="2"/>
      </rPr>
      <t>= 36 trillion BTU</t>
    </r>
  </si>
  <si>
    <t>BTU/kcal</t>
  </si>
  <si>
    <r>
      <rPr>
        <sz val="9"/>
        <color rgb="FF231F20"/>
        <rFont val="Arial"/>
        <family val="2"/>
      </rPr>
      <t>= 6.29 million barrels of oil equivalent</t>
    </r>
  </si>
  <si>
    <r>
      <rPr>
        <sz val="9"/>
        <color rgb="FF231F20"/>
        <rFont val="Arial"/>
        <family val="2"/>
      </rPr>
      <t>LNG</t>
    </r>
  </si>
  <si>
    <r>
      <rPr>
        <sz val="9"/>
        <color rgb="FF231F20"/>
        <rFont val="Arial"/>
        <family val="2"/>
      </rPr>
      <t>= 1.38 BCM natural gas</t>
    </r>
  </si>
  <si>
    <t>Coal</t>
  </si>
  <si>
    <r>
      <rPr>
        <sz val="9"/>
        <color rgb="FF231F20"/>
        <rFont val="Arial"/>
        <family val="2"/>
      </rPr>
      <t>= 48.7 BCF natural gas</t>
    </r>
  </si>
  <si>
    <t>kcal/kg</t>
  </si>
  <si>
    <r>
      <rPr>
        <sz val="9"/>
        <color rgb="FF231F20"/>
        <rFont val="Arial"/>
        <family val="2"/>
      </rPr>
      <t>= 1.23 MT crude oil</t>
    </r>
  </si>
  <si>
    <t>BTU/kg</t>
  </si>
  <si>
    <r>
      <rPr>
        <sz val="9"/>
        <color rgb="FF231F20"/>
        <rFont val="Arial"/>
        <family val="2"/>
      </rPr>
      <t>= 52 trillion BTU</t>
    </r>
  </si>
  <si>
    <t>BTU/ton</t>
  </si>
  <si>
    <r>
      <rPr>
        <sz val="9"/>
        <color rgb="FF231F20"/>
        <rFont val="Arial"/>
        <family val="2"/>
      </rPr>
      <t>= 8.68 million barrels of oil equivalent</t>
    </r>
  </si>
  <si>
    <r>
      <rPr>
        <sz val="9"/>
        <color rgb="FF231F20"/>
        <rFont val="Arial"/>
        <family val="2"/>
      </rPr>
      <t>CNG</t>
    </r>
  </si>
  <si>
    <r>
      <rPr>
        <sz val="9"/>
        <color rgb="FF231F20"/>
        <rFont val="Arial"/>
        <family val="2"/>
      </rPr>
      <t>1 kg</t>
    </r>
  </si>
  <si>
    <r>
      <rPr>
        <sz val="9"/>
        <color rgb="FF231F20"/>
        <rFont val="Arial"/>
        <family val="2"/>
      </rPr>
      <t>= 1.244 standard cubic metres of natural gas</t>
    </r>
  </si>
  <si>
    <r>
      <rPr>
        <sz val="9"/>
        <color rgb="FF231F20"/>
        <rFont val="Arial"/>
        <family val="2"/>
      </rPr>
      <t>= 1.391 litres of petrol</t>
    </r>
  </si>
  <si>
    <r>
      <rPr>
        <sz val="9"/>
        <color rgb="FF231F20"/>
        <rFont val="Arial"/>
        <family val="2"/>
      </rPr>
      <t>= 1.399 litres of HSD oil</t>
    </r>
  </si>
  <si>
    <r>
      <rPr>
        <sz val="8"/>
        <color rgb="FF231F20"/>
        <rFont val="Arial"/>
        <family val="2"/>
      </rPr>
      <t>BTU – British thermal units; BCF – billion cubic feet; BCM – billion cubic metre;</t>
    </r>
  </si>
  <si>
    <r>
      <rPr>
        <sz val="8"/>
        <color rgb="FF231F20"/>
        <rFont val="Arial"/>
        <family val="2"/>
      </rPr>
      <t>CNG – compressed natural gas; HSD – high-speed diesel; LNG – liquefied natural gas; MT – million tonnes</t>
    </r>
  </si>
  <si>
    <t>Onroad</t>
  </si>
  <si>
    <t>Rail</t>
  </si>
  <si>
    <t>Aircraft</t>
  </si>
  <si>
    <t>Ships</t>
  </si>
  <si>
    <t>Grand Total</t>
  </si>
  <si>
    <t>Retail/Resellers</t>
  </si>
  <si>
    <t>Others</t>
  </si>
  <si>
    <t>V.7 Sector-wise Consumption (end use) MS (Petrol)</t>
  </si>
  <si>
    <t>V.8 Sector-wise Consumption (end use) of Aviation Turbine Fuel (ATF)</t>
  </si>
  <si>
    <t>Total Consumption</t>
  </si>
  <si>
    <t>Foreign Airlines</t>
  </si>
  <si>
    <t>Indian Airliance</t>
  </si>
  <si>
    <t>Total Sales</t>
  </si>
  <si>
    <t>Pvt Imports</t>
  </si>
  <si>
    <t>Petrol</t>
  </si>
  <si>
    <t>ATF</t>
  </si>
  <si>
    <t>Diesel</t>
  </si>
  <si>
    <t>HFO</t>
  </si>
  <si>
    <t>Calculation of Energy Demand per Scenario</t>
  </si>
  <si>
    <t>TWh</t>
  </si>
  <si>
    <t>Total Energy Demand in TWh</t>
  </si>
  <si>
    <t>IESS, Tab XII.a, Table 10.4</t>
  </si>
  <si>
    <t>Calculation of energy use by fuel per Scenario</t>
  </si>
  <si>
    <t>Total</t>
  </si>
  <si>
    <t>IESS, Tab XII.b, Table 8.2</t>
  </si>
  <si>
    <t>Cars</t>
  </si>
  <si>
    <t>Taxis</t>
  </si>
  <si>
    <t>Buses</t>
  </si>
  <si>
    <t>Passenger</t>
  </si>
  <si>
    <t>Freight</t>
  </si>
  <si>
    <t>For fuel types where we have historical data broken out for the transport sector (from the Ministry of Petroleum and Natural Gas), we</t>
  </si>
  <si>
    <t>calculate start year efficiency by calculating total cargo distance traveled (using EPS variables) and dividing by total energy consumption.</t>
  </si>
  <si>
    <t xml:space="preserve">For onroad vehicles, where our historical data does not break out consumption by vehicle type, we use IESS to allocate consumption </t>
  </si>
  <si>
    <t>between vehicle types.</t>
  </si>
  <si>
    <t>Petroleum Products Historical Consumption (2018-19)</t>
  </si>
  <si>
    <t>Ministry of Petroleum and Natural Gas</t>
  </si>
  <si>
    <t>Indian Petroleum and Natural Gas Statistics 2018-2019</t>
  </si>
  <si>
    <t>https://mopng.gov.in/files/TableManagements/arep2020.pdf</t>
  </si>
  <si>
    <t>Tables V.4., V.5., V.6., V.7., V.9., V.10, V.11., V.12., and II.16</t>
  </si>
  <si>
    <t>Supporting EPS data</t>
  </si>
  <si>
    <t>See trans/AVL variable, trans/AVLo, trans/SYVbT, trans/BAADTbVT</t>
  </si>
  <si>
    <t>EPS</t>
  </si>
  <si>
    <t>BAADTbVT</t>
  </si>
  <si>
    <t>AVLo</t>
  </si>
  <si>
    <t>SYVbT - electric</t>
  </si>
  <si>
    <t>SYVbT - diesel</t>
  </si>
  <si>
    <t>Start year cargo-distance, electric</t>
  </si>
  <si>
    <t>Start year cargo-distance, diesel</t>
  </si>
  <si>
    <t>Statistical Summary - Indian Railways</t>
  </si>
  <si>
    <t>converted to BTU</t>
  </si>
  <si>
    <t>Diesel (kilo-liters)</t>
  </si>
  <si>
    <t>Electricity (million kWh)</t>
  </si>
  <si>
    <t>Share of energy demand</t>
  </si>
  <si>
    <t>energy consumption from passenger</t>
  </si>
  <si>
    <t>energy consumption from freight</t>
  </si>
  <si>
    <t>Calculations</t>
  </si>
  <si>
    <t>diesel</t>
  </si>
  <si>
    <t>electric</t>
  </si>
  <si>
    <t>passenger efficiency</t>
  </si>
  <si>
    <t>freight efficiency</t>
  </si>
  <si>
    <t>liters per gallon</t>
  </si>
  <si>
    <t>BTU per gallon diesel</t>
  </si>
  <si>
    <t>Other Vehicle Tpes, Except Rail</t>
  </si>
  <si>
    <t>Ministry of Railways, Government of India</t>
  </si>
  <si>
    <t>Indian Railways Annual Statistical Statements 2016-2017</t>
  </si>
  <si>
    <t>http://www.indianrailways.gov.in/railwayboard/uploads/directorate/stat_econ/IRSP_2016-17/Facts_Figure/Indian%20Railway%20Annual%20Statistical%20Statements%20Final.pdf</t>
  </si>
  <si>
    <t>Page 335</t>
  </si>
  <si>
    <t>The Future of Rail, Opportunities for energy and the environment</t>
  </si>
  <si>
    <t xml:space="preserve">https://www.iea.org/reports/the-future-of-rail </t>
  </si>
  <si>
    <t>Figure 4.10</t>
  </si>
  <si>
    <t>For most other vehicles, we take efficiency directly from IESS. For electric rail, we use data from the Ministry of Railways and IEA.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</si>
</sst>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0.00_)"/>
    <numFmt numFmtId="165" formatCode="#,##0_)"/>
    <numFmt numFmtId="166" formatCode="0.000"/>
    <numFmt numFmtId="167" formatCode="0.000E+00"/>
    <numFmt numFmtId="168" formatCode="#,##0_);\(#,##0\);&quot;-&quot;_);@"/>
    <numFmt numFmtId="169" formatCode="###0_);\(###0\)"/>
    <numFmt numFmtId="170" formatCode="###0;###0"/>
    <numFmt numFmtId="171" formatCode="###0.00;###0.00"/>
    <numFmt numFmtId="172" formatCode="###0.0;###0.0"/>
    <numFmt numFmtId="173" formatCode="0.0"/>
    <numFmt numFmtId="174" formatCode="_-* #,##0.00_-;\-* #,##0.00_-;_-* &quot;-&quot;??_-;_-@_-"/>
  </numFmts>
  <fonts count="6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Helv"/>
    </font>
    <font>
      <sz val="10"/>
      <name val="Arial"/>
      <family val="2"/>
    </font>
    <font>
      <b/>
      <sz val="12"/>
      <name val="Helv"/>
    </font>
    <font>
      <sz val="10"/>
      <name val="Helv"/>
    </font>
    <font>
      <sz val="10"/>
      <name val="Helv"/>
      <family val="2"/>
    </font>
    <font>
      <sz val="9"/>
      <name val="Helv"/>
    </font>
    <font>
      <vertAlign val="superscript"/>
      <sz val="12"/>
      <name val="Helv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name val="Helv"/>
    </font>
    <font>
      <b/>
      <sz val="10"/>
      <name val="Helv"/>
      <family val="2"/>
    </font>
    <font>
      <b/>
      <sz val="9"/>
      <name val="Helv"/>
    </font>
    <font>
      <sz val="8.5"/>
      <name val="Helv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8"/>
      <name val="P-AVGARD"/>
    </font>
    <font>
      <b/>
      <sz val="11"/>
      <color indexed="63"/>
      <name val="Calibri"/>
      <family val="2"/>
    </font>
    <font>
      <sz val="8"/>
      <name val="Helv"/>
    </font>
    <font>
      <vertAlign val="superscript"/>
      <sz val="12"/>
      <name val="Helv"/>
      <family val="2"/>
    </font>
    <font>
      <sz val="8"/>
      <name val="Helv"/>
      <family val="2"/>
    </font>
    <font>
      <b/>
      <sz val="18"/>
      <color indexed="56"/>
      <name val="Cambria"/>
      <family val="2"/>
    </font>
    <font>
      <b/>
      <sz val="14"/>
      <name val="Helv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i/>
      <sz val="11"/>
      <color theme="1"/>
      <name val="Calibri"/>
      <family val="2"/>
      <scheme val="minor"/>
    </font>
    <font>
      <b/>
      <sz val="10"/>
      <name val="Calibri"/>
      <family val="1"/>
      <scheme val="minor"/>
    </font>
    <font>
      <b/>
      <sz val="11"/>
      <color rgb="FFFA7D00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2"/>
      <color rgb="FFFFFFFF"/>
      <name val="Calibri"/>
      <family val="2"/>
    </font>
    <font>
      <b/>
      <sz val="12"/>
      <name val="Calibri"/>
      <family val="2"/>
    </font>
    <font>
      <sz val="9"/>
      <name val="Calibri"/>
      <family val="2"/>
    </font>
    <font>
      <sz val="9"/>
      <color rgb="FF231F20"/>
      <name val="Calibri"/>
      <family val="2"/>
    </font>
    <font>
      <b/>
      <sz val="9"/>
      <name val="Calibri"/>
      <family val="2"/>
    </font>
    <font>
      <b/>
      <sz val="9"/>
      <color rgb="FF231F20"/>
      <name val="Calibri"/>
      <family val="2"/>
    </font>
    <font>
      <b/>
      <i/>
      <sz val="9"/>
      <color rgb="FF231F20"/>
      <name val="Calibri"/>
      <family val="2"/>
    </font>
    <font>
      <sz val="10"/>
      <name val="Calibri"/>
      <family val="2"/>
    </font>
    <font>
      <sz val="10"/>
      <color rgb="FF231F20"/>
      <name val="Calibri"/>
      <family val="2"/>
    </font>
    <font>
      <b/>
      <sz val="10"/>
      <name val="Calibri"/>
      <family val="2"/>
    </font>
    <font>
      <b/>
      <sz val="10"/>
      <color rgb="FF231F20"/>
      <name val="Calibri"/>
      <family val="2"/>
    </font>
    <font>
      <b/>
      <i/>
      <sz val="10"/>
      <color rgb="FF231F20"/>
      <name val="Calibri"/>
      <family val="2"/>
    </font>
    <font>
      <b/>
      <sz val="10"/>
      <color rgb="FFFFFFFF"/>
      <name val="Arial Narrow"/>
      <family val="2"/>
    </font>
    <font>
      <b/>
      <sz val="10"/>
      <color rgb="FFFFFFFF"/>
      <name val="Arial"/>
      <family val="2"/>
    </font>
    <font>
      <sz val="10"/>
      <color rgb="FFFFFFFF"/>
      <name val="Arial"/>
      <family val="2"/>
    </font>
    <font>
      <sz val="10"/>
      <color rgb="FFFFFFFF"/>
      <name val="Calibri"/>
      <family val="2"/>
    </font>
    <font>
      <b/>
      <sz val="10"/>
      <color rgb="FFFFFFFF"/>
      <name val="Franklin Gothic Demi Cond"/>
      <family val="2"/>
    </font>
    <font>
      <sz val="9"/>
      <name val="Arial"/>
      <family val="2"/>
    </font>
    <font>
      <sz val="9"/>
      <color rgb="FF231F20"/>
      <name val="Arial"/>
      <family val="2"/>
    </font>
    <font>
      <sz val="8"/>
      <name val="Arial"/>
      <family val="2"/>
    </font>
    <font>
      <sz val="8"/>
      <color rgb="FF231F20"/>
      <name val="Arial"/>
      <family val="2"/>
    </font>
    <font>
      <b/>
      <sz val="8"/>
      <color rgb="FF231F20"/>
      <name val="Arial Narrow"/>
      <family val="2"/>
    </font>
    <font>
      <sz val="6"/>
      <color rgb="FF231F20"/>
      <name val="Arial"/>
      <family val="2"/>
    </font>
    <font>
      <u/>
      <sz val="11"/>
      <color theme="1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55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2F2F2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D9E8C9"/>
      </patternFill>
    </fill>
    <fill>
      <patternFill patternType="solid">
        <fgColor rgb="FF231F20"/>
      </patternFill>
    </fill>
    <fill>
      <patternFill patternType="solid">
        <fgColor rgb="FFC7C8CA"/>
      </patternFill>
    </fill>
    <fill>
      <patternFill patternType="solid">
        <fgColor rgb="FFE6E7E8"/>
      </patternFill>
    </fill>
    <fill>
      <patternFill patternType="solid">
        <fgColor rgb="FFD1D3D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4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hair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231F20"/>
      </left>
      <right/>
      <top style="thin">
        <color rgb="FF231F20"/>
      </top>
      <bottom style="thin">
        <color rgb="FF231F20"/>
      </bottom>
      <diagonal/>
    </border>
    <border>
      <left/>
      <right/>
      <top style="thin">
        <color rgb="FF231F20"/>
      </top>
      <bottom style="thin">
        <color rgb="FF231F20"/>
      </bottom>
      <diagonal/>
    </border>
    <border>
      <left/>
      <right style="thin">
        <color rgb="FF231F20"/>
      </right>
      <top style="thin">
        <color rgb="FF231F20"/>
      </top>
      <bottom style="thin">
        <color rgb="FF231F20"/>
      </bottom>
      <diagonal/>
    </border>
    <border>
      <left style="thin">
        <color rgb="FF231F20"/>
      </left>
      <right style="thin">
        <color rgb="FF231F20"/>
      </right>
      <top style="thin">
        <color rgb="FF231F20"/>
      </top>
      <bottom style="thin">
        <color rgb="FF231F20"/>
      </bottom>
      <diagonal/>
    </border>
    <border>
      <left style="thin">
        <color rgb="FF231F20"/>
      </left>
      <right style="thin">
        <color rgb="FF231F20"/>
      </right>
      <top style="thin">
        <color rgb="FF231F20"/>
      </top>
      <bottom/>
      <diagonal/>
    </border>
    <border>
      <left style="thin">
        <color rgb="FF231F20"/>
      </left>
      <right/>
      <top style="thin">
        <color rgb="FF231F2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231F20"/>
      </left>
      <right style="thin">
        <color rgb="FF231F20"/>
      </right>
      <top/>
      <bottom/>
      <diagonal/>
    </border>
    <border>
      <left style="thin">
        <color rgb="FF231F20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231F20"/>
      </left>
      <right style="thin">
        <color rgb="FF231F20"/>
      </right>
      <top/>
      <bottom style="thin">
        <color rgb="FF231F20"/>
      </bottom>
      <diagonal/>
    </border>
    <border>
      <left style="thin">
        <color rgb="FF231F20"/>
      </left>
      <right/>
      <top/>
      <bottom style="thin">
        <color rgb="FF231F20"/>
      </bottom>
      <diagonal/>
    </border>
    <border>
      <left/>
      <right/>
      <top/>
      <bottom style="thin">
        <color rgb="FF231F20"/>
      </bottom>
      <diagonal/>
    </border>
    <border>
      <left/>
      <right/>
      <top style="thin">
        <color rgb="FF231F2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231F20"/>
      </left>
      <right/>
      <top style="thin">
        <color rgb="FF231F20"/>
      </top>
      <bottom style="thin">
        <color rgb="FF808285"/>
      </bottom>
      <diagonal/>
    </border>
    <border>
      <left/>
      <right/>
      <top style="thin">
        <color rgb="FF231F20"/>
      </top>
      <bottom style="thin">
        <color rgb="FF808285"/>
      </bottom>
      <diagonal/>
    </border>
    <border>
      <left/>
      <right style="thin">
        <color rgb="FF231F20"/>
      </right>
      <top style="thin">
        <color rgb="FF231F20"/>
      </top>
      <bottom style="thin">
        <color rgb="FF808285"/>
      </bottom>
      <diagonal/>
    </border>
    <border>
      <left style="thin">
        <color rgb="FF808285"/>
      </left>
      <right style="thin">
        <color rgb="FF808285"/>
      </right>
      <top style="thin">
        <color rgb="FF808285"/>
      </top>
      <bottom style="thin">
        <color rgb="FF808285"/>
      </bottom>
      <diagonal/>
    </border>
    <border>
      <left style="thin">
        <color rgb="FF808285"/>
      </left>
      <right style="thin">
        <color rgb="FF808285"/>
      </right>
      <top style="thin">
        <color rgb="FF231F20"/>
      </top>
      <bottom style="thin">
        <color rgb="FF808285"/>
      </bottom>
      <diagonal/>
    </border>
    <border>
      <left style="thin">
        <color rgb="FF808285"/>
      </left>
      <right/>
      <top style="thin">
        <color rgb="FF808285"/>
      </top>
      <bottom style="thin">
        <color rgb="FF808285"/>
      </bottom>
      <diagonal/>
    </border>
    <border>
      <left/>
      <right style="thin">
        <color rgb="FF808285"/>
      </right>
      <top style="thin">
        <color rgb="FF808285"/>
      </top>
      <bottom style="thin">
        <color rgb="FF808285"/>
      </bottom>
      <diagonal/>
    </border>
    <border>
      <left style="thin">
        <color rgb="FF808285"/>
      </left>
      <right style="thin">
        <color rgb="FF808285"/>
      </right>
      <top style="thin">
        <color rgb="FF808285"/>
      </top>
      <bottom/>
      <diagonal/>
    </border>
    <border>
      <left style="thin">
        <color rgb="FF808285"/>
      </left>
      <right style="thin">
        <color rgb="FF808285"/>
      </right>
      <top/>
      <bottom/>
      <diagonal/>
    </border>
    <border>
      <left style="thin">
        <color rgb="FF808285"/>
      </left>
      <right style="thin">
        <color rgb="FF808285"/>
      </right>
      <top/>
      <bottom style="thin">
        <color rgb="FF808285"/>
      </bottom>
      <diagonal/>
    </border>
  </borders>
  <cellStyleXfs count="157">
    <xf numFmtId="0" fontId="0" fillId="0" borderId="0"/>
    <xf numFmtId="0" fontId="3" fillId="0" borderId="0"/>
    <xf numFmtId="0" fontId="3" fillId="0" borderId="2" applyNumberFormat="0" applyProtection="0">
      <alignment wrapText="1"/>
    </xf>
    <xf numFmtId="0" fontId="4" fillId="0" borderId="3" applyNumberFormat="0" applyProtection="0">
      <alignment wrapText="1"/>
    </xf>
    <xf numFmtId="0" fontId="3" fillId="0" borderId="4" applyNumberFormat="0" applyFont="0" applyProtection="0">
      <alignment wrapText="1"/>
    </xf>
    <xf numFmtId="0" fontId="4" fillId="0" borderId="5" applyNumberFormat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8" fillId="5" borderId="0" applyNumberFormat="0" applyBorder="0" applyAlignment="0" applyProtection="0"/>
    <xf numFmtId="0" fontId="3" fillId="0" borderId="4" applyNumberFormat="0" applyFont="0" applyProtection="0">
      <alignment wrapText="1"/>
    </xf>
    <xf numFmtId="0" fontId="9" fillId="22" borderId="6" applyNumberFormat="0" applyAlignment="0" applyProtection="0"/>
    <xf numFmtId="0" fontId="10" fillId="23" borderId="7" applyNumberFormat="0" applyAlignment="0" applyProtection="0"/>
    <xf numFmtId="0" fontId="11" fillId="0" borderId="0">
      <alignment horizontal="center" vertical="center" wrapText="1"/>
    </xf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" fillId="0" borderId="0">
      <alignment horizontal="left" vertical="center" wrapText="1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2" fillId="0" borderId="0" applyFont="0" applyFill="0" applyBorder="0" applyAlignment="0" applyProtection="0"/>
    <xf numFmtId="164" fontId="14" fillId="0" borderId="8" applyNumberFormat="0" applyFill="0">
      <alignment horizontal="right"/>
    </xf>
    <xf numFmtId="164" fontId="15" fillId="0" borderId="8" applyNumberFormat="0" applyFill="0">
      <alignment horizontal="right"/>
    </xf>
    <xf numFmtId="165" fontId="16" fillId="0" borderId="8">
      <alignment horizontal="right" vertical="center"/>
    </xf>
    <xf numFmtId="49" fontId="17" fillId="0" borderId="8">
      <alignment horizontal="left" vertical="center"/>
    </xf>
    <xf numFmtId="164" fontId="14" fillId="0" borderId="8" applyNumberFormat="0" applyFill="0">
      <alignment horizontal="right"/>
    </xf>
    <xf numFmtId="0" fontId="18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2" applyNumberFormat="0" applyProtection="0">
      <alignment wrapText="1"/>
    </xf>
    <xf numFmtId="0" fontId="19" fillId="6" borderId="0" applyNumberFormat="0" applyBorder="0" applyAlignment="0" applyProtection="0"/>
    <xf numFmtId="0" fontId="4" fillId="0" borderId="5" applyNumberFormat="0" applyProtection="0">
      <alignment wrapText="1"/>
    </xf>
    <xf numFmtId="0" fontId="20" fillId="0" borderId="9" applyNumberFormat="0" applyFill="0" applyAlignment="0" applyProtection="0"/>
    <xf numFmtId="0" fontId="21" fillId="0" borderId="10" applyNumberFormat="0" applyFill="0" applyAlignment="0" applyProtection="0"/>
    <xf numFmtId="0" fontId="22" fillId="0" borderId="11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8">
      <alignment horizontal="left"/>
    </xf>
    <xf numFmtId="0" fontId="24" fillId="0" borderId="8">
      <alignment horizontal="left"/>
    </xf>
    <xf numFmtId="0" fontId="25" fillId="0" borderId="12">
      <alignment horizontal="right" vertical="center"/>
    </xf>
    <xf numFmtId="0" fontId="26" fillId="0" borderId="8">
      <alignment horizontal="left" vertical="center"/>
    </xf>
    <xf numFmtId="0" fontId="14" fillId="0" borderId="8">
      <alignment horizontal="left" vertical="center"/>
    </xf>
    <xf numFmtId="0" fontId="23" fillId="0" borderId="8">
      <alignment horizontal="left"/>
    </xf>
    <xf numFmtId="0" fontId="23" fillId="24" borderId="0">
      <alignment horizontal="centerContinuous" wrapText="1"/>
    </xf>
    <xf numFmtId="49" fontId="23" fillId="24" borderId="13">
      <alignment horizontal="left" vertical="center"/>
    </xf>
    <xf numFmtId="0" fontId="23" fillId="24" borderId="0">
      <alignment horizontal="centerContinuous" vertical="center" wrapText="1"/>
    </xf>
    <xf numFmtId="0" fontId="27" fillId="0" borderId="0" applyNumberFormat="0" applyFill="0" applyBorder="0" applyAlignment="0" applyProtection="0">
      <alignment vertical="top"/>
      <protection locked="0"/>
    </xf>
    <xf numFmtId="0" fontId="28" fillId="9" borderId="6" applyNumberFormat="0" applyAlignment="0" applyProtection="0"/>
    <xf numFmtId="0" fontId="29" fillId="0" borderId="14" applyNumberFormat="0" applyFill="0" applyAlignment="0" applyProtection="0"/>
    <xf numFmtId="0" fontId="30" fillId="25" borderId="0" applyNumberFormat="0" applyBorder="0" applyAlignment="0" applyProtection="0"/>
    <xf numFmtId="0" fontId="1" fillId="0" borderId="0"/>
    <xf numFmtId="0" fontId="1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2" borderId="1" applyNumberFormat="0" applyFont="0" applyAlignment="0" applyProtection="0"/>
    <xf numFmtId="0" fontId="12" fillId="26" borderId="15" applyNumberFormat="0" applyFont="0" applyAlignment="0" applyProtection="0"/>
    <xf numFmtId="0" fontId="32" fillId="22" borderId="16" applyNumberFormat="0" applyAlignment="0" applyProtection="0"/>
    <xf numFmtId="0" fontId="4" fillId="0" borderId="3" applyNumberFormat="0" applyProtection="0">
      <alignment wrapText="1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3" fontId="16" fillId="0" borderId="0">
      <alignment horizontal="left" vertical="center"/>
    </xf>
    <xf numFmtId="0" fontId="11" fillId="0" borderId="0">
      <alignment horizontal="left" vertical="center"/>
    </xf>
    <xf numFmtId="0" fontId="33" fillId="0" borderId="0">
      <alignment horizontal="right"/>
    </xf>
    <xf numFmtId="49" fontId="33" fillId="0" borderId="0">
      <alignment horizontal="center"/>
    </xf>
    <xf numFmtId="0" fontId="17" fillId="0" borderId="0">
      <alignment horizontal="right"/>
    </xf>
    <xf numFmtId="0" fontId="34" fillId="0" borderId="0">
      <alignment horizontal="right"/>
    </xf>
    <xf numFmtId="0" fontId="33" fillId="0" borderId="0">
      <alignment horizontal="left"/>
    </xf>
    <xf numFmtId="0" fontId="35" fillId="0" borderId="0">
      <alignment horizontal="left"/>
    </xf>
    <xf numFmtId="49" fontId="16" fillId="0" borderId="0">
      <alignment horizontal="left" vertical="center"/>
    </xf>
    <xf numFmtId="49" fontId="17" fillId="0" borderId="8">
      <alignment horizontal="left"/>
    </xf>
    <xf numFmtId="164" fontId="16" fillId="0" borderId="0" applyNumberFormat="0">
      <alignment horizontal="right"/>
    </xf>
    <xf numFmtId="0" fontId="25" fillId="27" borderId="0">
      <alignment horizontal="centerContinuous" vertical="center" wrapText="1"/>
    </xf>
    <xf numFmtId="0" fontId="25" fillId="0" borderId="17">
      <alignment horizontal="left" vertical="center"/>
    </xf>
    <xf numFmtId="0" fontId="5" fillId="0" borderId="0" applyNumberFormat="0" applyProtection="0">
      <alignment horizontal="left"/>
    </xf>
    <xf numFmtId="0" fontId="36" fillId="0" borderId="0" applyNumberFormat="0" applyFill="0" applyBorder="0" applyAlignment="0" applyProtection="0"/>
    <xf numFmtId="0" fontId="23" fillId="0" borderId="0">
      <alignment horizontal="left"/>
    </xf>
    <xf numFmtId="0" fontId="13" fillId="0" borderId="0">
      <alignment horizontal="left"/>
    </xf>
    <xf numFmtId="0" fontId="14" fillId="0" borderId="0">
      <alignment horizontal="left"/>
    </xf>
    <xf numFmtId="0" fontId="37" fillId="0" borderId="0">
      <alignment horizontal="left" vertical="top"/>
    </xf>
    <xf numFmtId="0" fontId="13" fillId="0" borderId="0">
      <alignment horizontal="left"/>
    </xf>
    <xf numFmtId="0" fontId="14" fillId="0" borderId="0">
      <alignment horizontal="left"/>
    </xf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49" fontId="16" fillId="0" borderId="8">
      <alignment horizontal="left"/>
    </xf>
    <xf numFmtId="0" fontId="25" fillId="0" borderId="12">
      <alignment horizontal="left"/>
    </xf>
    <xf numFmtId="0" fontId="23" fillId="0" borderId="0">
      <alignment horizontal="left" vertical="center"/>
    </xf>
    <xf numFmtId="49" fontId="33" fillId="0" borderId="8">
      <alignment horizontal="left"/>
    </xf>
    <xf numFmtId="43" fontId="1" fillId="0" borderId="0" applyFont="0" applyFill="0" applyBorder="0" applyAlignment="0" applyProtection="0"/>
    <xf numFmtId="0" fontId="42" fillId="30" borderId="19" applyNumberFormat="0" applyAlignment="0" applyProtection="0"/>
    <xf numFmtId="174" fontId="1" fillId="0" borderId="0" applyFont="0" applyFill="0" applyBorder="0" applyAlignment="0" applyProtection="0"/>
    <xf numFmtId="0" fontId="67" fillId="0" borderId="0" applyNumberFormat="0" applyFill="0" applyBorder="0" applyAlignment="0" applyProtection="0"/>
  </cellStyleXfs>
  <cellXfs count="189">
    <xf numFmtId="0" fontId="0" fillId="0" borderId="0" xfId="0"/>
    <xf numFmtId="0" fontId="2" fillId="0" borderId="0" xfId="0" applyFont="1"/>
    <xf numFmtId="0" fontId="2" fillId="3" borderId="0" xfId="0" applyFont="1" applyFill="1"/>
    <xf numFmtId="0" fontId="0" fillId="3" borderId="0" xfId="0" applyFill="1"/>
    <xf numFmtId="0" fontId="0" fillId="0" borderId="0" xfId="0" applyAlignment="1">
      <alignment horizontal="left"/>
    </xf>
    <xf numFmtId="0" fontId="40" fillId="0" borderId="0" xfId="0" applyFont="1"/>
    <xf numFmtId="166" fontId="0" fillId="0" borderId="0" xfId="0" applyNumberFormat="1"/>
    <xf numFmtId="0" fontId="0" fillId="0" borderId="0" xfId="0" applyAlignment="1">
      <alignment horizontal="right"/>
    </xf>
    <xf numFmtId="0" fontId="0" fillId="0" borderId="0" xfId="0" applyNumberFormat="1"/>
    <xf numFmtId="0" fontId="2" fillId="28" borderId="0" xfId="0" applyFont="1" applyFill="1"/>
    <xf numFmtId="0" fontId="0" fillId="28" borderId="0" xfId="0" applyFill="1"/>
    <xf numFmtId="167" fontId="0" fillId="0" borderId="0" xfId="0" applyNumberFormat="1"/>
    <xf numFmtId="11" fontId="0" fillId="0" borderId="0" xfId="0" applyNumberFormat="1"/>
    <xf numFmtId="0" fontId="2" fillId="0" borderId="0" xfId="0" applyFont="1" applyAlignment="1">
      <alignment wrapText="1"/>
    </xf>
    <xf numFmtId="0" fontId="0" fillId="0" borderId="0" xfId="0" applyNumberFormat="1" applyFill="1"/>
    <xf numFmtId="0" fontId="0" fillId="0" borderId="0" xfId="0" applyAlignment="1">
      <alignment wrapText="1"/>
    </xf>
    <xf numFmtId="168" fontId="41" fillId="29" borderId="0" xfId="153" applyNumberFormat="1" applyFont="1" applyFill="1" applyBorder="1" applyAlignment="1">
      <alignment vertical="center"/>
    </xf>
    <xf numFmtId="0" fontId="43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horizontal="right"/>
    </xf>
    <xf numFmtId="0" fontId="0" fillId="0" borderId="0" xfId="0" applyFont="1"/>
    <xf numFmtId="1" fontId="0" fillId="0" borderId="0" xfId="0" applyNumberFormat="1" applyFont="1"/>
    <xf numFmtId="3" fontId="0" fillId="0" borderId="0" xfId="0" applyNumberFormat="1" applyFont="1"/>
    <xf numFmtId="0" fontId="42" fillId="30" borderId="19" xfId="154"/>
    <xf numFmtId="0" fontId="48" fillId="32" borderId="23" xfId="0" applyFont="1" applyFill="1" applyBorder="1" applyAlignment="1">
      <alignment horizontal="left" vertical="top"/>
    </xf>
    <xf numFmtId="0" fontId="49" fillId="32" borderId="23" xfId="0" applyFont="1" applyFill="1" applyBorder="1" applyAlignment="1">
      <alignment horizontal="left" vertical="top"/>
    </xf>
    <xf numFmtId="169" fontId="50" fillId="32" borderId="23" xfId="0" applyNumberFormat="1" applyFont="1" applyFill="1" applyBorder="1" applyAlignment="1">
      <alignment horizontal="center" vertical="top"/>
    </xf>
    <xf numFmtId="170" fontId="47" fillId="0" borderId="24" xfId="0" applyNumberFormat="1" applyFont="1" applyBorder="1" applyAlignment="1">
      <alignment horizontal="center" vertical="top"/>
    </xf>
    <xf numFmtId="0" fontId="46" fillId="0" borderId="24" xfId="0" applyFont="1" applyBorder="1" applyAlignment="1">
      <alignment horizontal="left" vertical="top"/>
    </xf>
    <xf numFmtId="171" fontId="47" fillId="0" borderId="24" xfId="0" applyNumberFormat="1" applyFont="1" applyBorder="1" applyAlignment="1">
      <alignment horizontal="right" vertical="top"/>
    </xf>
    <xf numFmtId="172" fontId="47" fillId="0" borderId="25" xfId="0" applyNumberFormat="1" applyFont="1" applyBorder="1" applyAlignment="1">
      <alignment horizontal="right" vertical="top"/>
    </xf>
    <xf numFmtId="171" fontId="47" fillId="0" borderId="26" xfId="0" applyNumberFormat="1" applyFont="1" applyBorder="1" applyAlignment="1">
      <alignment horizontal="right" vertical="top"/>
    </xf>
    <xf numFmtId="11" fontId="47" fillId="0" borderId="24" xfId="0" applyNumberFormat="1" applyFont="1" applyBorder="1" applyAlignment="1">
      <alignment horizontal="left" vertical="top"/>
    </xf>
    <xf numFmtId="170" fontId="47" fillId="0" borderId="27" xfId="0" applyNumberFormat="1" applyFont="1" applyBorder="1" applyAlignment="1">
      <alignment horizontal="center" vertical="top"/>
    </xf>
    <xf numFmtId="0" fontId="46" fillId="0" borderId="27" xfId="0" applyFont="1" applyBorder="1" applyAlignment="1">
      <alignment horizontal="left" vertical="top"/>
    </xf>
    <xf numFmtId="171" fontId="47" fillId="0" borderId="27" xfId="0" applyNumberFormat="1" applyFont="1" applyBorder="1" applyAlignment="1">
      <alignment horizontal="right" vertical="top"/>
    </xf>
    <xf numFmtId="172" fontId="47" fillId="0" borderId="28" xfId="0" applyNumberFormat="1" applyFont="1" applyBorder="1" applyAlignment="1">
      <alignment horizontal="right" vertical="top"/>
    </xf>
    <xf numFmtId="171" fontId="47" fillId="0" borderId="29" xfId="0" applyNumberFormat="1" applyFont="1" applyBorder="1" applyAlignment="1">
      <alignment horizontal="right" vertical="top"/>
    </xf>
    <xf numFmtId="0" fontId="0" fillId="0" borderId="27" xfId="0" applyBorder="1" applyAlignment="1">
      <alignment horizontal="left" vertical="top"/>
    </xf>
    <xf numFmtId="0" fontId="48" fillId="0" borderId="27" xfId="0" applyFont="1" applyBorder="1" applyAlignment="1">
      <alignment horizontal="left" vertical="top"/>
    </xf>
    <xf numFmtId="171" fontId="49" fillId="0" borderId="27" xfId="0" applyNumberFormat="1" applyFont="1" applyBorder="1" applyAlignment="1">
      <alignment horizontal="right" vertical="top"/>
    </xf>
    <xf numFmtId="170" fontId="49" fillId="0" borderId="28" xfId="0" applyNumberFormat="1" applyFont="1" applyBorder="1" applyAlignment="1">
      <alignment horizontal="right" vertical="top"/>
    </xf>
    <xf numFmtId="171" fontId="49" fillId="0" borderId="29" xfId="0" applyNumberFormat="1" applyFont="1" applyBorder="1" applyAlignment="1">
      <alignment horizontal="right" vertical="top"/>
    </xf>
    <xf numFmtId="172" fontId="0" fillId="0" borderId="0" xfId="0" applyNumberFormat="1"/>
    <xf numFmtId="170" fontId="47" fillId="0" borderId="30" xfId="0" applyNumberFormat="1" applyFont="1" applyBorder="1" applyAlignment="1">
      <alignment horizontal="left" vertical="top"/>
    </xf>
    <xf numFmtId="0" fontId="46" fillId="0" borderId="30" xfId="0" applyFont="1" applyBorder="1" applyAlignment="1">
      <alignment horizontal="left" vertical="top"/>
    </xf>
    <xf numFmtId="171" fontId="47" fillId="0" borderId="30" xfId="0" applyNumberFormat="1" applyFont="1" applyBorder="1" applyAlignment="1">
      <alignment horizontal="right" vertical="top"/>
    </xf>
    <xf numFmtId="170" fontId="47" fillId="0" borderId="31" xfId="0" applyNumberFormat="1" applyFont="1" applyBorder="1" applyAlignment="1">
      <alignment horizontal="right" vertical="top"/>
    </xf>
    <xf numFmtId="171" fontId="49" fillId="0" borderId="23" xfId="0" applyNumberFormat="1" applyFont="1" applyBorder="1" applyAlignment="1">
      <alignment horizontal="right" vertical="top"/>
    </xf>
    <xf numFmtId="171" fontId="49" fillId="0" borderId="20" xfId="0" applyNumberFormat="1" applyFont="1" applyBorder="1" applyAlignment="1">
      <alignment horizontal="right" vertical="top"/>
    </xf>
    <xf numFmtId="0" fontId="46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171" fontId="0" fillId="0" borderId="0" xfId="0" applyNumberFormat="1" applyAlignment="1">
      <alignment horizontal="left" vertical="top"/>
    </xf>
    <xf numFmtId="173" fontId="0" fillId="0" borderId="0" xfId="0" applyNumberFormat="1"/>
    <xf numFmtId="170" fontId="47" fillId="0" borderId="24" xfId="0" applyNumberFormat="1" applyFont="1" applyBorder="1" applyAlignment="1">
      <alignment horizontal="left" vertical="top"/>
    </xf>
    <xf numFmtId="170" fontId="47" fillId="0" borderId="27" xfId="0" applyNumberFormat="1" applyFont="1" applyBorder="1" applyAlignment="1">
      <alignment horizontal="left" vertical="top"/>
    </xf>
    <xf numFmtId="171" fontId="49" fillId="0" borderId="22" xfId="0" applyNumberFormat="1" applyFont="1" applyBorder="1" applyAlignment="1">
      <alignment horizontal="right" vertical="top"/>
    </xf>
    <xf numFmtId="171" fontId="47" fillId="0" borderId="24" xfId="0" applyNumberFormat="1" applyFont="1" applyBorder="1" applyAlignment="1">
      <alignment horizontal="left" vertical="top"/>
    </xf>
    <xf numFmtId="171" fontId="47" fillId="0" borderId="27" xfId="0" applyNumberFormat="1" applyFont="1" applyBorder="1" applyAlignment="1">
      <alignment horizontal="left" vertical="top"/>
    </xf>
    <xf numFmtId="0" fontId="46" fillId="0" borderId="27" xfId="0" applyFont="1" applyBorder="1" applyAlignment="1">
      <alignment horizontal="center" vertical="top"/>
    </xf>
    <xf numFmtId="171" fontId="49" fillId="0" borderId="27" xfId="0" applyNumberFormat="1" applyFont="1" applyBorder="1" applyAlignment="1">
      <alignment horizontal="left" vertical="top"/>
    </xf>
    <xf numFmtId="171" fontId="47" fillId="0" borderId="30" xfId="0" applyNumberFormat="1" applyFont="1" applyBorder="1" applyAlignment="1">
      <alignment horizontal="left" vertical="top"/>
    </xf>
    <xf numFmtId="0" fontId="48" fillId="0" borderId="23" xfId="0" applyFont="1" applyBorder="1" applyAlignment="1">
      <alignment horizontal="left" vertical="top"/>
    </xf>
    <xf numFmtId="171" fontId="49" fillId="0" borderId="23" xfId="0" applyNumberFormat="1" applyFont="1" applyBorder="1" applyAlignment="1">
      <alignment horizontal="left" vertical="top"/>
    </xf>
    <xf numFmtId="170" fontId="47" fillId="0" borderId="30" xfId="0" applyNumberFormat="1" applyFont="1" applyBorder="1" applyAlignment="1">
      <alignment horizontal="center" vertical="top"/>
    </xf>
    <xf numFmtId="0" fontId="0" fillId="0" borderId="23" xfId="0" applyBorder="1" applyAlignment="1">
      <alignment horizontal="left" vertical="top"/>
    </xf>
    <xf numFmtId="0" fontId="48" fillId="0" borderId="24" xfId="0" applyFont="1" applyBorder="1" applyAlignment="1">
      <alignment horizontal="left" vertical="top"/>
    </xf>
    <xf numFmtId="0" fontId="48" fillId="0" borderId="0" xfId="0" applyFont="1" applyAlignment="1">
      <alignment horizontal="left" vertical="top"/>
    </xf>
    <xf numFmtId="171" fontId="49" fillId="0" borderId="0" xfId="0" applyNumberFormat="1" applyFont="1" applyAlignment="1">
      <alignment horizontal="left" vertical="top"/>
    </xf>
    <xf numFmtId="11" fontId="47" fillId="0" borderId="0" xfId="0" applyNumberFormat="1" applyFont="1" applyAlignment="1">
      <alignment horizontal="left" vertical="top"/>
    </xf>
    <xf numFmtId="0" fontId="53" fillId="32" borderId="23" xfId="0" applyFont="1" applyFill="1" applyBorder="1" applyAlignment="1">
      <alignment horizontal="center" vertical="top"/>
    </xf>
    <xf numFmtId="169" fontId="55" fillId="32" borderId="23" xfId="0" applyNumberFormat="1" applyFont="1" applyFill="1" applyBorder="1" applyAlignment="1">
      <alignment horizontal="center" vertical="top"/>
    </xf>
    <xf numFmtId="169" fontId="55" fillId="32" borderId="24" xfId="0" applyNumberFormat="1" applyFont="1" applyFill="1" applyBorder="1" applyAlignment="1">
      <alignment horizontal="center" vertical="top"/>
    </xf>
    <xf numFmtId="0" fontId="51" fillId="0" borderId="24" xfId="0" applyFont="1" applyBorder="1" applyAlignment="1">
      <alignment horizontal="left" vertical="top"/>
    </xf>
    <xf numFmtId="172" fontId="52" fillId="0" borderId="24" xfId="0" applyNumberFormat="1" applyFont="1" applyBorder="1" applyAlignment="1">
      <alignment horizontal="left" vertical="top"/>
    </xf>
    <xf numFmtId="170" fontId="52" fillId="0" borderId="24" xfId="0" applyNumberFormat="1" applyFont="1" applyBorder="1" applyAlignment="1">
      <alignment horizontal="left" vertical="top"/>
    </xf>
    <xf numFmtId="171" fontId="52" fillId="0" borderId="24" xfId="0" applyNumberFormat="1" applyFont="1" applyBorder="1" applyAlignment="1">
      <alignment horizontal="left" vertical="top"/>
    </xf>
    <xf numFmtId="0" fontId="51" fillId="0" borderId="27" xfId="0" applyFont="1" applyBorder="1" applyAlignment="1">
      <alignment horizontal="left" vertical="top"/>
    </xf>
    <xf numFmtId="11" fontId="52" fillId="0" borderId="27" xfId="0" applyNumberFormat="1" applyFont="1" applyBorder="1" applyAlignment="1">
      <alignment horizontal="left" vertical="top"/>
    </xf>
    <xf numFmtId="172" fontId="52" fillId="0" borderId="27" xfId="0" applyNumberFormat="1" applyFont="1" applyBorder="1" applyAlignment="1">
      <alignment horizontal="left" vertical="top"/>
    </xf>
    <xf numFmtId="170" fontId="52" fillId="0" borderId="27" xfId="0" applyNumberFormat="1" applyFont="1" applyBorder="1" applyAlignment="1">
      <alignment horizontal="left" vertical="top"/>
    </xf>
    <xf numFmtId="171" fontId="52" fillId="0" borderId="27" xfId="0" applyNumberFormat="1" applyFont="1" applyBorder="1" applyAlignment="1">
      <alignment horizontal="left" vertical="top"/>
    </xf>
    <xf numFmtId="0" fontId="51" fillId="0" borderId="27" xfId="0" applyFont="1" applyBorder="1" applyAlignment="1">
      <alignment horizontal="left" vertical="top" wrapText="1"/>
    </xf>
    <xf numFmtId="0" fontId="52" fillId="0" borderId="27" xfId="0" applyFont="1" applyBorder="1" applyAlignment="1">
      <alignment horizontal="left" vertical="top"/>
    </xf>
    <xf numFmtId="0" fontId="51" fillId="0" borderId="30" xfId="0" applyFont="1" applyBorder="1" applyAlignment="1">
      <alignment horizontal="left" vertical="top"/>
    </xf>
    <xf numFmtId="172" fontId="52" fillId="0" borderId="30" xfId="0" applyNumberFormat="1" applyFont="1" applyBorder="1" applyAlignment="1">
      <alignment horizontal="left" vertical="top"/>
    </xf>
    <xf numFmtId="170" fontId="52" fillId="0" borderId="30" xfId="0" applyNumberFormat="1" applyFont="1" applyBorder="1" applyAlignment="1">
      <alignment horizontal="left" vertical="top"/>
    </xf>
    <xf numFmtId="171" fontId="52" fillId="0" borderId="30" xfId="0" applyNumberFormat="1" applyFont="1" applyBorder="1" applyAlignment="1">
      <alignment horizontal="left" vertical="top"/>
    </xf>
    <xf numFmtId="0" fontId="53" fillId="0" borderId="23" xfId="0" applyFont="1" applyBorder="1" applyAlignment="1">
      <alignment horizontal="left" vertical="top"/>
    </xf>
    <xf numFmtId="171" fontId="54" fillId="0" borderId="23" xfId="0" applyNumberFormat="1" applyFont="1" applyBorder="1" applyAlignment="1">
      <alignment horizontal="left" vertical="top"/>
    </xf>
    <xf numFmtId="0" fontId="53" fillId="0" borderId="20" xfId="0" applyFont="1" applyBorder="1" applyAlignment="1">
      <alignment horizontal="left" vertical="top"/>
    </xf>
    <xf numFmtId="0" fontId="0" fillId="0" borderId="0" xfId="0"/>
    <xf numFmtId="11" fontId="52" fillId="0" borderId="24" xfId="0" applyNumberFormat="1" applyFont="1" applyBorder="1" applyAlignment="1">
      <alignment horizontal="left" vertical="top"/>
    </xf>
    <xf numFmtId="0" fontId="61" fillId="34" borderId="40" xfId="0" applyFont="1" applyFill="1" applyBorder="1" applyAlignment="1">
      <alignment horizontal="left" vertical="top"/>
    </xf>
    <xf numFmtId="0" fontId="61" fillId="34" borderId="41" xfId="0" applyFont="1" applyFill="1" applyBorder="1" applyAlignment="1">
      <alignment horizontal="left" vertical="top"/>
    </xf>
    <xf numFmtId="0" fontId="61" fillId="35" borderId="40" xfId="0" applyFont="1" applyFill="1" applyBorder="1" applyAlignment="1">
      <alignment horizontal="left" vertical="top"/>
    </xf>
    <xf numFmtId="171" fontId="62" fillId="35" borderId="40" xfId="0" applyNumberFormat="1" applyFont="1" applyFill="1" applyBorder="1" applyAlignment="1">
      <alignment horizontal="left" vertical="top"/>
    </xf>
    <xf numFmtId="0" fontId="61" fillId="36" borderId="40" xfId="0" applyFont="1" applyFill="1" applyBorder="1" applyAlignment="1">
      <alignment horizontal="left" vertical="top"/>
    </xf>
    <xf numFmtId="171" fontId="62" fillId="36" borderId="40" xfId="0" applyNumberFormat="1" applyFont="1" applyFill="1" applyBorder="1" applyAlignment="1">
      <alignment horizontal="left" vertical="top"/>
    </xf>
    <xf numFmtId="0" fontId="63" fillId="0" borderId="0" xfId="0" applyFont="1" applyAlignment="1">
      <alignment horizontal="left" vertical="top"/>
    </xf>
    <xf numFmtId="0" fontId="61" fillId="35" borderId="44" xfId="0" applyFont="1" applyFill="1" applyBorder="1" applyAlignment="1">
      <alignment horizontal="left" vertical="top"/>
    </xf>
    <xf numFmtId="0" fontId="61" fillId="35" borderId="42" xfId="0" applyFont="1" applyFill="1" applyBorder="1" applyAlignment="1">
      <alignment horizontal="left" vertical="top"/>
    </xf>
    <xf numFmtId="0" fontId="61" fillId="35" borderId="43" xfId="0" applyFont="1" applyFill="1" applyBorder="1" applyAlignment="1">
      <alignment horizontal="left" vertical="top"/>
    </xf>
    <xf numFmtId="0" fontId="0" fillId="35" borderId="45" xfId="0" applyFill="1" applyBorder="1" applyAlignment="1">
      <alignment horizontal="left" vertical="top"/>
    </xf>
    <xf numFmtId="0" fontId="0" fillId="35" borderId="42" xfId="0" applyFill="1" applyBorder="1" applyAlignment="1">
      <alignment horizontal="left" vertical="top"/>
    </xf>
    <xf numFmtId="0" fontId="0" fillId="35" borderId="43" xfId="0" applyFill="1" applyBorder="1" applyAlignment="1">
      <alignment horizontal="left" vertical="top"/>
    </xf>
    <xf numFmtId="0" fontId="0" fillId="35" borderId="46" xfId="0" applyFill="1" applyBorder="1" applyAlignment="1">
      <alignment horizontal="left" vertical="top"/>
    </xf>
    <xf numFmtId="174" fontId="0" fillId="0" borderId="0" xfId="155" applyFont="1"/>
    <xf numFmtId="0" fontId="61" fillId="36" borderId="44" xfId="0" applyFont="1" applyFill="1" applyBorder="1" applyAlignment="1">
      <alignment horizontal="left" vertical="top"/>
    </xf>
    <xf numFmtId="0" fontId="61" fillId="36" borderId="42" xfId="0" applyFont="1" applyFill="1" applyBorder="1" applyAlignment="1">
      <alignment horizontal="left" vertical="top"/>
    </xf>
    <xf numFmtId="0" fontId="61" fillId="36" borderId="43" xfId="0" applyFont="1" applyFill="1" applyBorder="1" applyAlignment="1">
      <alignment horizontal="left" vertical="top"/>
    </xf>
    <xf numFmtId="0" fontId="0" fillId="36" borderId="45" xfId="0" applyFill="1" applyBorder="1" applyAlignment="1">
      <alignment horizontal="left" vertical="top"/>
    </xf>
    <xf numFmtId="0" fontId="0" fillId="36" borderId="42" xfId="0" applyFill="1" applyBorder="1" applyAlignment="1">
      <alignment horizontal="left" vertical="top"/>
    </xf>
    <xf numFmtId="0" fontId="0" fillId="36" borderId="46" xfId="0" applyFill="1" applyBorder="1" applyAlignment="1">
      <alignment horizontal="left" vertical="top"/>
    </xf>
    <xf numFmtId="2" fontId="0" fillId="0" borderId="0" xfId="0" applyNumberFormat="1"/>
    <xf numFmtId="0" fontId="46" fillId="0" borderId="24" xfId="0" applyFont="1" applyBorder="1" applyAlignment="1">
      <alignment horizontal="left" vertical="top" wrapText="1"/>
    </xf>
    <xf numFmtId="0" fontId="46" fillId="0" borderId="27" xfId="0" applyFont="1" applyBorder="1" applyAlignment="1">
      <alignment horizontal="left" vertical="top" wrapText="1"/>
    </xf>
    <xf numFmtId="0" fontId="48" fillId="0" borderId="27" xfId="0" applyFont="1" applyBorder="1" applyAlignment="1">
      <alignment horizontal="left" vertical="top" wrapText="1"/>
    </xf>
    <xf numFmtId="0" fontId="46" fillId="0" borderId="30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48" fillId="0" borderId="20" xfId="0" applyFont="1" applyBorder="1" applyAlignment="1">
      <alignment horizontal="left" vertical="top" wrapText="1"/>
    </xf>
    <xf numFmtId="0" fontId="48" fillId="0" borderId="24" xfId="0" applyFont="1" applyBorder="1" applyAlignment="1">
      <alignment horizontal="left" vertical="top" wrapText="1"/>
    </xf>
    <xf numFmtId="0" fontId="48" fillId="0" borderId="23" xfId="0" applyFont="1" applyBorder="1" applyAlignment="1">
      <alignment horizontal="left" vertical="top" wrapText="1"/>
    </xf>
    <xf numFmtId="0" fontId="48" fillId="0" borderId="0" xfId="0" applyFont="1" applyAlignment="1">
      <alignment horizontal="left" vertical="top" wrapText="1"/>
    </xf>
    <xf numFmtId="0" fontId="48" fillId="32" borderId="23" xfId="0" applyFont="1" applyFill="1" applyBorder="1" applyAlignment="1">
      <alignment horizontal="left" vertical="top" wrapText="1"/>
    </xf>
    <xf numFmtId="169" fontId="55" fillId="32" borderId="24" xfId="0" applyNumberFormat="1" applyFont="1" applyFill="1" applyBorder="1" applyAlignment="1">
      <alignment horizontal="center" vertical="top" wrapText="1"/>
    </xf>
    <xf numFmtId="11" fontId="52" fillId="0" borderId="27" xfId="0" applyNumberFormat="1" applyFont="1" applyBorder="1" applyAlignment="1">
      <alignment horizontal="left" vertical="top" wrapText="1"/>
    </xf>
    <xf numFmtId="11" fontId="52" fillId="0" borderId="24" xfId="0" applyNumberFormat="1" applyFont="1" applyBorder="1" applyAlignment="1">
      <alignment horizontal="left" vertical="top" wrapText="1"/>
    </xf>
    <xf numFmtId="0" fontId="47" fillId="0" borderId="24" xfId="0" applyFont="1" applyBorder="1" applyAlignment="1">
      <alignment horizontal="left" vertical="top"/>
    </xf>
    <xf numFmtId="0" fontId="47" fillId="0" borderId="27" xfId="0" applyFont="1" applyBorder="1" applyAlignment="1">
      <alignment horizontal="left" vertical="top"/>
    </xf>
    <xf numFmtId="11" fontId="47" fillId="0" borderId="24" xfId="0" applyNumberFormat="1" applyFont="1" applyBorder="1" applyAlignment="1">
      <alignment horizontal="right" vertical="top"/>
    </xf>
    <xf numFmtId="11" fontId="49" fillId="0" borderId="23" xfId="0" applyNumberFormat="1" applyFont="1" applyBorder="1" applyAlignment="1">
      <alignment horizontal="right" vertical="top"/>
    </xf>
    <xf numFmtId="11" fontId="47" fillId="0" borderId="27" xfId="0" applyNumberFormat="1" applyFont="1" applyBorder="1" applyAlignment="1">
      <alignment horizontal="right" vertical="top"/>
    </xf>
    <xf numFmtId="0" fontId="0" fillId="37" borderId="0" xfId="0" applyFill="1"/>
    <xf numFmtId="0" fontId="0" fillId="0" borderId="0" xfId="0" applyAlignment="1">
      <alignment horizontal="right" wrapText="1"/>
    </xf>
    <xf numFmtId="167" fontId="0" fillId="0" borderId="0" xfId="0" applyNumberFormat="1" applyAlignment="1">
      <alignment wrapText="1"/>
    </xf>
    <xf numFmtId="11" fontId="0" fillId="0" borderId="0" xfId="0" applyNumberFormat="1" applyAlignment="1">
      <alignment wrapText="1"/>
    </xf>
    <xf numFmtId="0" fontId="43" fillId="0" borderId="0" xfId="0" applyFont="1" applyAlignment="1">
      <alignment wrapText="1"/>
    </xf>
    <xf numFmtId="167" fontId="0" fillId="0" borderId="0" xfId="0" applyNumberFormat="1" applyFill="1" applyAlignment="1">
      <alignment wrapText="1"/>
    </xf>
    <xf numFmtId="167" fontId="0" fillId="38" borderId="0" xfId="0" applyNumberFormat="1" applyFill="1"/>
    <xf numFmtId="0" fontId="0" fillId="33" borderId="37" xfId="0" applyFill="1" applyBorder="1" applyAlignment="1">
      <alignment horizontal="left" vertical="top"/>
    </xf>
    <xf numFmtId="0" fontId="0" fillId="33" borderId="38" xfId="0" applyFill="1" applyBorder="1" applyAlignment="1">
      <alignment horizontal="left" vertical="top"/>
    </xf>
    <xf numFmtId="0" fontId="0" fillId="33" borderId="39" xfId="0" applyFill="1" applyBorder="1" applyAlignment="1">
      <alignment horizontal="left" vertical="top"/>
    </xf>
    <xf numFmtId="0" fontId="59" fillId="33" borderId="20" xfId="0" applyFont="1" applyFill="1" applyBorder="1" applyAlignment="1">
      <alignment horizontal="left" vertical="top"/>
    </xf>
    <xf numFmtId="0" fontId="0" fillId="33" borderId="22" xfId="0" applyFill="1" applyBorder="1" applyAlignment="1">
      <alignment horizontal="left" vertical="top"/>
    </xf>
    <xf numFmtId="0" fontId="61" fillId="34" borderId="42" xfId="0" applyFont="1" applyFill="1" applyBorder="1" applyAlignment="1">
      <alignment horizontal="left" vertical="top"/>
    </xf>
    <xf numFmtId="0" fontId="61" fillId="34" borderId="43" xfId="0" applyFont="1" applyFill="1" applyBorder="1" applyAlignment="1">
      <alignment horizontal="left" vertical="top"/>
    </xf>
    <xf numFmtId="0" fontId="48" fillId="32" borderId="20" xfId="0" applyFont="1" applyFill="1" applyBorder="1" applyAlignment="1">
      <alignment horizontal="center" vertical="top"/>
    </xf>
    <xf numFmtId="0" fontId="48" fillId="32" borderId="22" xfId="0" applyFont="1" applyFill="1" applyBorder="1" applyAlignment="1">
      <alignment horizontal="center" vertical="top"/>
    </xf>
    <xf numFmtId="169" fontId="50" fillId="32" borderId="20" xfId="0" applyNumberFormat="1" applyFont="1" applyFill="1" applyBorder="1" applyAlignment="1">
      <alignment horizontal="center" vertical="top"/>
    </xf>
    <xf numFmtId="169" fontId="50" fillId="32" borderId="22" xfId="0" applyNumberFormat="1" applyFont="1" applyFill="1" applyBorder="1" applyAlignment="1">
      <alignment horizontal="center" vertical="top"/>
    </xf>
    <xf numFmtId="0" fontId="49" fillId="0" borderId="20" xfId="0" applyFont="1" applyBorder="1" applyAlignment="1">
      <alignment horizontal="left" vertical="top"/>
    </xf>
    <xf numFmtId="0" fontId="48" fillId="0" borderId="22" xfId="0" applyFont="1" applyBorder="1" applyAlignment="1">
      <alignment horizontal="left" vertical="top"/>
    </xf>
    <xf numFmtId="0" fontId="44" fillId="31" borderId="20" xfId="0" applyFont="1" applyFill="1" applyBorder="1" applyAlignment="1">
      <alignment horizontal="left" vertical="top"/>
    </xf>
    <xf numFmtId="0" fontId="45" fillId="31" borderId="21" xfId="0" applyFont="1" applyFill="1" applyBorder="1" applyAlignment="1">
      <alignment horizontal="left" vertical="top"/>
    </xf>
    <xf numFmtId="0" fontId="45" fillId="31" borderId="22" xfId="0" applyFont="1" applyFill="1" applyBorder="1" applyAlignment="1">
      <alignment horizontal="left" vertical="top"/>
    </xf>
    <xf numFmtId="0" fontId="46" fillId="0" borderId="20" xfId="0" applyFont="1" applyBorder="1" applyAlignment="1">
      <alignment horizontal="right" vertical="top"/>
    </xf>
    <xf numFmtId="0" fontId="46" fillId="0" borderId="21" xfId="0" applyFont="1" applyBorder="1" applyAlignment="1">
      <alignment horizontal="right" vertical="top"/>
    </xf>
    <xf numFmtId="0" fontId="46" fillId="0" borderId="22" xfId="0" applyFont="1" applyBorder="1" applyAlignment="1">
      <alignment horizontal="right" vertical="top"/>
    </xf>
    <xf numFmtId="0" fontId="47" fillId="0" borderId="20" xfId="0" applyFont="1" applyBorder="1" applyAlignment="1">
      <alignment horizontal="right" vertical="top"/>
    </xf>
    <xf numFmtId="0" fontId="51" fillId="0" borderId="31" xfId="0" applyFont="1" applyBorder="1" applyAlignment="1">
      <alignment horizontal="right" vertical="top"/>
    </xf>
    <xf numFmtId="0" fontId="51" fillId="0" borderId="32" xfId="0" applyFont="1" applyBorder="1" applyAlignment="1">
      <alignment horizontal="right" vertical="top"/>
    </xf>
    <xf numFmtId="0" fontId="0" fillId="0" borderId="32" xfId="0" applyBorder="1"/>
    <xf numFmtId="0" fontId="52" fillId="0" borderId="20" xfId="0" applyFont="1" applyBorder="1" applyAlignment="1">
      <alignment horizontal="right" vertical="top"/>
    </xf>
    <xf numFmtId="0" fontId="51" fillId="0" borderId="21" xfId="0" applyFont="1" applyBorder="1" applyAlignment="1">
      <alignment horizontal="right" vertical="top"/>
    </xf>
    <xf numFmtId="0" fontId="51" fillId="0" borderId="22" xfId="0" applyFont="1" applyBorder="1" applyAlignment="1">
      <alignment horizontal="right" vertical="top"/>
    </xf>
    <xf numFmtId="0" fontId="53" fillId="0" borderId="25" xfId="0" applyFont="1" applyBorder="1" applyAlignment="1">
      <alignment horizontal="left" vertical="top"/>
    </xf>
    <xf numFmtId="0" fontId="53" fillId="0" borderId="33" xfId="0" applyFont="1" applyBorder="1" applyAlignment="1">
      <alignment horizontal="left" vertical="top"/>
    </xf>
    <xf numFmtId="0" fontId="0" fillId="0" borderId="33" xfId="0" applyBorder="1"/>
    <xf numFmtId="0" fontId="53" fillId="0" borderId="34" xfId="0" applyFont="1" applyBorder="1" applyAlignment="1">
      <alignment horizontal="left" vertical="top"/>
    </xf>
    <xf numFmtId="0" fontId="53" fillId="0" borderId="35" xfId="0" applyFont="1" applyBorder="1" applyAlignment="1">
      <alignment horizontal="left" vertical="top"/>
    </xf>
    <xf numFmtId="0" fontId="0" fillId="0" borderId="36" xfId="0" applyBorder="1"/>
    <xf numFmtId="0" fontId="53" fillId="0" borderId="28" xfId="0" applyFont="1" applyBorder="1" applyAlignment="1">
      <alignment horizontal="left" vertical="top"/>
    </xf>
    <xf numFmtId="0" fontId="53" fillId="0" borderId="0" xfId="0" applyFont="1" applyAlignment="1">
      <alignment horizontal="left" vertical="top"/>
    </xf>
    <xf numFmtId="0" fontId="0" fillId="0" borderId="0" xfId="0"/>
    <xf numFmtId="170" fontId="47" fillId="0" borderId="27" xfId="0" applyNumberFormat="1" applyFont="1" applyBorder="1" applyAlignment="1">
      <alignment horizontal="center" vertical="top"/>
    </xf>
    <xf numFmtId="170" fontId="47" fillId="0" borderId="30" xfId="0" applyNumberFormat="1" applyFont="1" applyBorder="1" applyAlignment="1">
      <alignment horizontal="center" vertical="top"/>
    </xf>
    <xf numFmtId="0" fontId="48" fillId="0" borderId="20" xfId="0" applyFont="1" applyBorder="1" applyAlignment="1">
      <alignment horizontal="center" vertical="top"/>
    </xf>
    <xf numFmtId="0" fontId="48" fillId="0" borderId="21" xfId="0" applyFont="1" applyBorder="1" applyAlignment="1">
      <alignment horizontal="center" vertical="top"/>
    </xf>
    <xf numFmtId="0" fontId="48" fillId="0" borderId="22" xfId="0" applyFont="1" applyBorder="1" applyAlignment="1">
      <alignment horizontal="center" vertical="top"/>
    </xf>
    <xf numFmtId="11" fontId="48" fillId="0" borderId="20" xfId="0" applyNumberFormat="1" applyFont="1" applyBorder="1" applyAlignment="1">
      <alignment horizontal="center" vertical="top"/>
    </xf>
    <xf numFmtId="11" fontId="48" fillId="0" borderId="21" xfId="0" applyNumberFormat="1" applyFont="1" applyBorder="1" applyAlignment="1">
      <alignment horizontal="center" vertical="top"/>
    </xf>
    <xf numFmtId="11" fontId="48" fillId="0" borderId="22" xfId="0" applyNumberFormat="1" applyFont="1" applyBorder="1" applyAlignment="1">
      <alignment horizontal="center" vertical="top"/>
    </xf>
    <xf numFmtId="0" fontId="48" fillId="0" borderId="20" xfId="0" applyFont="1" applyBorder="1" applyAlignment="1">
      <alignment horizontal="left" vertical="top"/>
    </xf>
    <xf numFmtId="0" fontId="48" fillId="0" borderId="21" xfId="0" applyFont="1" applyBorder="1" applyAlignment="1">
      <alignment horizontal="left" vertical="top"/>
    </xf>
    <xf numFmtId="0" fontId="67" fillId="0" borderId="0" xfId="156" applyAlignment="1" applyProtection="1"/>
    <xf numFmtId="1" fontId="0" fillId="0" borderId="0" xfId="0" applyNumberFormat="1"/>
    <xf numFmtId="0" fontId="0" fillId="0" borderId="0" xfId="0" applyFill="1"/>
    <xf numFmtId="0" fontId="67" fillId="0" borderId="0" xfId="156"/>
  </cellXfs>
  <cellStyles count="157">
    <cellStyle name="20% - Accent1 2" xfId="8" xr:uid="{00000000-0005-0000-0000-000000000000}"/>
    <cellStyle name="20% - Accent2 2" xfId="9" xr:uid="{00000000-0005-0000-0000-000001000000}"/>
    <cellStyle name="20% - Accent3 2" xfId="10" xr:uid="{00000000-0005-0000-0000-000002000000}"/>
    <cellStyle name="20% - Accent4 2" xfId="11" xr:uid="{00000000-0005-0000-0000-000003000000}"/>
    <cellStyle name="20% - Accent5 2" xfId="12" xr:uid="{00000000-0005-0000-0000-000004000000}"/>
    <cellStyle name="20% - Accent6 2" xfId="13" xr:uid="{00000000-0005-0000-0000-000005000000}"/>
    <cellStyle name="40% - Accent1 2" xfId="14" xr:uid="{00000000-0005-0000-0000-000006000000}"/>
    <cellStyle name="40% - Accent2 2" xfId="15" xr:uid="{00000000-0005-0000-0000-000007000000}"/>
    <cellStyle name="40% - Accent3 2" xfId="16" xr:uid="{00000000-0005-0000-0000-000008000000}"/>
    <cellStyle name="40% - Accent4 2" xfId="17" xr:uid="{00000000-0005-0000-0000-000009000000}"/>
    <cellStyle name="40% - Accent5 2" xfId="18" xr:uid="{00000000-0005-0000-0000-00000A000000}"/>
    <cellStyle name="40% - Accent6 2" xfId="19" xr:uid="{00000000-0005-0000-0000-00000B000000}"/>
    <cellStyle name="60% - Accent1 2" xfId="20" xr:uid="{00000000-0005-0000-0000-00000C000000}"/>
    <cellStyle name="60% - Accent2 2" xfId="21" xr:uid="{00000000-0005-0000-0000-00000D000000}"/>
    <cellStyle name="60% - Accent3 2" xfId="22" xr:uid="{00000000-0005-0000-0000-00000E000000}"/>
    <cellStyle name="60% - Accent4 2" xfId="23" xr:uid="{00000000-0005-0000-0000-00000F000000}"/>
    <cellStyle name="60% - Accent5 2" xfId="24" xr:uid="{00000000-0005-0000-0000-000010000000}"/>
    <cellStyle name="60% - Accent6 2" xfId="25" xr:uid="{00000000-0005-0000-0000-000011000000}"/>
    <cellStyle name="Accent1 2" xfId="26" xr:uid="{00000000-0005-0000-0000-000012000000}"/>
    <cellStyle name="Accent2 2" xfId="27" xr:uid="{00000000-0005-0000-0000-000013000000}"/>
    <cellStyle name="Accent3 2" xfId="28" xr:uid="{00000000-0005-0000-0000-000014000000}"/>
    <cellStyle name="Accent4 2" xfId="29" xr:uid="{00000000-0005-0000-0000-000015000000}"/>
    <cellStyle name="Accent5 2" xfId="30" xr:uid="{00000000-0005-0000-0000-000016000000}"/>
    <cellStyle name="Accent6 2" xfId="31" xr:uid="{00000000-0005-0000-0000-000017000000}"/>
    <cellStyle name="Bad 2" xfId="32" xr:uid="{00000000-0005-0000-0000-000018000000}"/>
    <cellStyle name="Body: normal cell" xfId="4" xr:uid="{00000000-0005-0000-0000-000019000000}"/>
    <cellStyle name="Body: normal cell 2" xfId="33" xr:uid="{00000000-0005-0000-0000-00001A000000}"/>
    <cellStyle name="Calculation" xfId="154" builtinId="22"/>
    <cellStyle name="Calculation 2" xfId="34" xr:uid="{00000000-0005-0000-0000-00001B000000}"/>
    <cellStyle name="Check Cell 2" xfId="35" xr:uid="{00000000-0005-0000-0000-00001C000000}"/>
    <cellStyle name="Column heading" xfId="36" xr:uid="{00000000-0005-0000-0000-00001D000000}"/>
    <cellStyle name="Comma" xfId="153" builtinId="3"/>
    <cellStyle name="Comma 2" xfId="37" xr:uid="{00000000-0005-0000-0000-00001E000000}"/>
    <cellStyle name="Comma 2 2" xfId="38" xr:uid="{00000000-0005-0000-0000-00001F000000}"/>
    <cellStyle name="Comma 3" xfId="39" xr:uid="{00000000-0005-0000-0000-000020000000}"/>
    <cellStyle name="Comma 4" xfId="40" xr:uid="{00000000-0005-0000-0000-000021000000}"/>
    <cellStyle name="Comma 5" xfId="41" xr:uid="{00000000-0005-0000-0000-000022000000}"/>
    <cellStyle name="Comma 6" xfId="42" xr:uid="{00000000-0005-0000-0000-000023000000}"/>
    <cellStyle name="Comma 7" xfId="43" xr:uid="{00000000-0005-0000-0000-000024000000}"/>
    <cellStyle name="Comma 8" xfId="44" xr:uid="{00000000-0005-0000-0000-000025000000}"/>
    <cellStyle name="Comma 9" xfId="155" xr:uid="{08CA5878-B762-4A7B-A495-887E5022390D}"/>
    <cellStyle name="Corner heading" xfId="45" xr:uid="{00000000-0005-0000-0000-000026000000}"/>
    <cellStyle name="Currency 2" xfId="46" xr:uid="{00000000-0005-0000-0000-000027000000}"/>
    <cellStyle name="Currency 3" xfId="47" xr:uid="{00000000-0005-0000-0000-000028000000}"/>
    <cellStyle name="Currency 3 2" xfId="48" xr:uid="{00000000-0005-0000-0000-000029000000}"/>
    <cellStyle name="Data" xfId="49" xr:uid="{00000000-0005-0000-0000-00002A000000}"/>
    <cellStyle name="Data 2" xfId="50" xr:uid="{00000000-0005-0000-0000-00002B000000}"/>
    <cellStyle name="Data no deci" xfId="51" xr:uid="{00000000-0005-0000-0000-00002C000000}"/>
    <cellStyle name="Data Superscript" xfId="52" xr:uid="{00000000-0005-0000-0000-00002D000000}"/>
    <cellStyle name="Data_1-1A-Regular" xfId="53" xr:uid="{00000000-0005-0000-0000-00002E000000}"/>
    <cellStyle name="Explanatory Text 2" xfId="54" xr:uid="{00000000-0005-0000-0000-00002F000000}"/>
    <cellStyle name="Font: Calibri, 9pt regular" xfId="6" xr:uid="{00000000-0005-0000-0000-000030000000}"/>
    <cellStyle name="Font: Calibri, 9pt regular 2" xfId="55" xr:uid="{00000000-0005-0000-0000-000031000000}"/>
    <cellStyle name="Footnotes: top row" xfId="2" xr:uid="{00000000-0005-0000-0000-000032000000}"/>
    <cellStyle name="Footnotes: top row 2" xfId="56" xr:uid="{00000000-0005-0000-0000-000033000000}"/>
    <cellStyle name="Good 2" xfId="57" xr:uid="{00000000-0005-0000-0000-000034000000}"/>
    <cellStyle name="Header: bottom row" xfId="5" xr:uid="{00000000-0005-0000-0000-000035000000}"/>
    <cellStyle name="Header: bottom row 2" xfId="58" xr:uid="{00000000-0005-0000-0000-000036000000}"/>
    <cellStyle name="Heading 1 2" xfId="59" xr:uid="{00000000-0005-0000-0000-000037000000}"/>
    <cellStyle name="Heading 2 2" xfId="60" xr:uid="{00000000-0005-0000-0000-000038000000}"/>
    <cellStyle name="Heading 3 2" xfId="61" xr:uid="{00000000-0005-0000-0000-000039000000}"/>
    <cellStyle name="Heading 4 2" xfId="62" xr:uid="{00000000-0005-0000-0000-00003A000000}"/>
    <cellStyle name="Hed Side" xfId="63" xr:uid="{00000000-0005-0000-0000-00003B000000}"/>
    <cellStyle name="Hed Side 2" xfId="64" xr:uid="{00000000-0005-0000-0000-00003C000000}"/>
    <cellStyle name="Hed Side bold" xfId="65" xr:uid="{00000000-0005-0000-0000-00003D000000}"/>
    <cellStyle name="Hed Side Indent" xfId="66" xr:uid="{00000000-0005-0000-0000-00003E000000}"/>
    <cellStyle name="Hed Side Regular" xfId="67" xr:uid="{00000000-0005-0000-0000-00003F000000}"/>
    <cellStyle name="Hed Side_1-1A-Regular" xfId="68" xr:uid="{00000000-0005-0000-0000-000040000000}"/>
    <cellStyle name="Hed Top" xfId="69" xr:uid="{00000000-0005-0000-0000-000041000000}"/>
    <cellStyle name="Hed Top - SECTION" xfId="70" xr:uid="{00000000-0005-0000-0000-000042000000}"/>
    <cellStyle name="Hed Top_3-new4" xfId="71" xr:uid="{00000000-0005-0000-0000-000043000000}"/>
    <cellStyle name="Hyperlink" xfId="156" builtinId="8"/>
    <cellStyle name="Hyperlink 2" xfId="72" xr:uid="{00000000-0005-0000-0000-000045000000}"/>
    <cellStyle name="Input 2" xfId="73" xr:uid="{00000000-0005-0000-0000-000046000000}"/>
    <cellStyle name="Linked Cell 2" xfId="74" xr:uid="{00000000-0005-0000-0000-000047000000}"/>
    <cellStyle name="Neutral 2" xfId="75" xr:uid="{00000000-0005-0000-0000-000048000000}"/>
    <cellStyle name="Normal" xfId="0" builtinId="0"/>
    <cellStyle name="Normal 10" xfId="76" xr:uid="{00000000-0005-0000-0000-00004A000000}"/>
    <cellStyle name="Normal 11" xfId="77" xr:uid="{00000000-0005-0000-0000-00004B000000}"/>
    <cellStyle name="Normal 2" xfId="1" xr:uid="{00000000-0005-0000-0000-00004C000000}"/>
    <cellStyle name="Normal 2 2" xfId="78" xr:uid="{00000000-0005-0000-0000-00004D000000}"/>
    <cellStyle name="Normal 2 3" xfId="79" xr:uid="{00000000-0005-0000-0000-00004E000000}"/>
    <cellStyle name="Normal 3" xfId="80" xr:uid="{00000000-0005-0000-0000-00004F000000}"/>
    <cellStyle name="Normal 3 2" xfId="81" xr:uid="{00000000-0005-0000-0000-000050000000}"/>
    <cellStyle name="Normal 3 2 2" xfId="82" xr:uid="{00000000-0005-0000-0000-000051000000}"/>
    <cellStyle name="Normal 3 2 2 2" xfId="83" xr:uid="{00000000-0005-0000-0000-000052000000}"/>
    <cellStyle name="Normal 3 2 3" xfId="84" xr:uid="{00000000-0005-0000-0000-000053000000}"/>
    <cellStyle name="Normal 3 3" xfId="85" xr:uid="{00000000-0005-0000-0000-000054000000}"/>
    <cellStyle name="Normal 3 3 2" xfId="86" xr:uid="{00000000-0005-0000-0000-000055000000}"/>
    <cellStyle name="Normal 3 3 2 2" xfId="87" xr:uid="{00000000-0005-0000-0000-000056000000}"/>
    <cellStyle name="Normal 3 3 3" xfId="88" xr:uid="{00000000-0005-0000-0000-000057000000}"/>
    <cellStyle name="Normal 3 4" xfId="89" xr:uid="{00000000-0005-0000-0000-000058000000}"/>
    <cellStyle name="Normal 3 4 2" xfId="90" xr:uid="{00000000-0005-0000-0000-000059000000}"/>
    <cellStyle name="Normal 3 5" xfId="91" xr:uid="{00000000-0005-0000-0000-00005A000000}"/>
    <cellStyle name="Normal 3 6" xfId="92" xr:uid="{00000000-0005-0000-0000-00005B000000}"/>
    <cellStyle name="Normal 3 7" xfId="93" xr:uid="{00000000-0005-0000-0000-00005C000000}"/>
    <cellStyle name="Normal 4" xfId="94" xr:uid="{00000000-0005-0000-0000-00005D000000}"/>
    <cellStyle name="Normal 4 2" xfId="95" xr:uid="{00000000-0005-0000-0000-00005E000000}"/>
    <cellStyle name="Normal 4 2 2" xfId="96" xr:uid="{00000000-0005-0000-0000-00005F000000}"/>
    <cellStyle name="Normal 4 2 2 2" xfId="97" xr:uid="{00000000-0005-0000-0000-000060000000}"/>
    <cellStyle name="Normal 4 2 3" xfId="98" xr:uid="{00000000-0005-0000-0000-000061000000}"/>
    <cellStyle name="Normal 4 3" xfId="99" xr:uid="{00000000-0005-0000-0000-000062000000}"/>
    <cellStyle name="Normal 4 3 2" xfId="100" xr:uid="{00000000-0005-0000-0000-000063000000}"/>
    <cellStyle name="Normal 4 3 2 2" xfId="101" xr:uid="{00000000-0005-0000-0000-000064000000}"/>
    <cellStyle name="Normal 4 3 3" xfId="102" xr:uid="{00000000-0005-0000-0000-000065000000}"/>
    <cellStyle name="Normal 4 4" xfId="103" xr:uid="{00000000-0005-0000-0000-000066000000}"/>
    <cellStyle name="Normal 4 4 2" xfId="104" xr:uid="{00000000-0005-0000-0000-000067000000}"/>
    <cellStyle name="Normal 4 5" xfId="105" xr:uid="{00000000-0005-0000-0000-000068000000}"/>
    <cellStyle name="Normal 4 6" xfId="106" xr:uid="{00000000-0005-0000-0000-000069000000}"/>
    <cellStyle name="Normal 4 7" xfId="107" xr:uid="{00000000-0005-0000-0000-00006A000000}"/>
    <cellStyle name="Normal 5" xfId="108" xr:uid="{00000000-0005-0000-0000-00006B000000}"/>
    <cellStyle name="Normal 5 2" xfId="109" xr:uid="{00000000-0005-0000-0000-00006C000000}"/>
    <cellStyle name="Normal 5 3" xfId="110" xr:uid="{00000000-0005-0000-0000-00006D000000}"/>
    <cellStyle name="Normal 6" xfId="111" xr:uid="{00000000-0005-0000-0000-00006E000000}"/>
    <cellStyle name="Normal 6 2" xfId="112" xr:uid="{00000000-0005-0000-0000-00006F000000}"/>
    <cellStyle name="Normal 7" xfId="113" xr:uid="{00000000-0005-0000-0000-000070000000}"/>
    <cellStyle name="Normal 7 2" xfId="114" xr:uid="{00000000-0005-0000-0000-000071000000}"/>
    <cellStyle name="Normal 8" xfId="115" xr:uid="{00000000-0005-0000-0000-000072000000}"/>
    <cellStyle name="Normal 9" xfId="116" xr:uid="{00000000-0005-0000-0000-000073000000}"/>
    <cellStyle name="Note 2" xfId="117" xr:uid="{00000000-0005-0000-0000-000074000000}"/>
    <cellStyle name="Note 2 2" xfId="118" xr:uid="{00000000-0005-0000-0000-000075000000}"/>
    <cellStyle name="Output 2" xfId="119" xr:uid="{00000000-0005-0000-0000-000076000000}"/>
    <cellStyle name="Parent row" xfId="3" xr:uid="{00000000-0005-0000-0000-000077000000}"/>
    <cellStyle name="Parent row 2" xfId="120" xr:uid="{00000000-0005-0000-0000-000078000000}"/>
    <cellStyle name="Percent 2" xfId="121" xr:uid="{00000000-0005-0000-0000-000079000000}"/>
    <cellStyle name="Percent 2 2" xfId="122" xr:uid="{00000000-0005-0000-0000-00007A000000}"/>
    <cellStyle name="Percent 3" xfId="123" xr:uid="{00000000-0005-0000-0000-00007B000000}"/>
    <cellStyle name="Percent 3 2" xfId="124" xr:uid="{00000000-0005-0000-0000-00007C000000}"/>
    <cellStyle name="Percent 4" xfId="125" xr:uid="{00000000-0005-0000-0000-00007D000000}"/>
    <cellStyle name="Reference" xfId="126" xr:uid="{00000000-0005-0000-0000-00007E000000}"/>
    <cellStyle name="Row heading" xfId="127" xr:uid="{00000000-0005-0000-0000-00007F000000}"/>
    <cellStyle name="Source Hed" xfId="128" xr:uid="{00000000-0005-0000-0000-000080000000}"/>
    <cellStyle name="Source Letter" xfId="129" xr:uid="{00000000-0005-0000-0000-000081000000}"/>
    <cellStyle name="Source Superscript" xfId="130" xr:uid="{00000000-0005-0000-0000-000082000000}"/>
    <cellStyle name="Source Superscript 2" xfId="131" xr:uid="{00000000-0005-0000-0000-000083000000}"/>
    <cellStyle name="Source Text" xfId="132" xr:uid="{00000000-0005-0000-0000-000084000000}"/>
    <cellStyle name="Source Text 2" xfId="133" xr:uid="{00000000-0005-0000-0000-000085000000}"/>
    <cellStyle name="State" xfId="134" xr:uid="{00000000-0005-0000-0000-000086000000}"/>
    <cellStyle name="Superscript" xfId="135" xr:uid="{00000000-0005-0000-0000-000087000000}"/>
    <cellStyle name="Table Data" xfId="136" xr:uid="{00000000-0005-0000-0000-000088000000}"/>
    <cellStyle name="Table Head Top" xfId="137" xr:uid="{00000000-0005-0000-0000-000089000000}"/>
    <cellStyle name="Table Hed Side" xfId="138" xr:uid="{00000000-0005-0000-0000-00008A000000}"/>
    <cellStyle name="Table title" xfId="7" xr:uid="{00000000-0005-0000-0000-00008B000000}"/>
    <cellStyle name="Table title 2" xfId="139" xr:uid="{00000000-0005-0000-0000-00008C000000}"/>
    <cellStyle name="Title 2" xfId="140" xr:uid="{00000000-0005-0000-0000-00008D000000}"/>
    <cellStyle name="Title Text" xfId="141" xr:uid="{00000000-0005-0000-0000-00008E000000}"/>
    <cellStyle name="Title Text 1" xfId="142" xr:uid="{00000000-0005-0000-0000-00008F000000}"/>
    <cellStyle name="Title Text 2" xfId="143" xr:uid="{00000000-0005-0000-0000-000090000000}"/>
    <cellStyle name="Title-1" xfId="144" xr:uid="{00000000-0005-0000-0000-000091000000}"/>
    <cellStyle name="Title-2" xfId="145" xr:uid="{00000000-0005-0000-0000-000092000000}"/>
    <cellStyle name="Title-3" xfId="146" xr:uid="{00000000-0005-0000-0000-000093000000}"/>
    <cellStyle name="Total 2" xfId="147" xr:uid="{00000000-0005-0000-0000-000094000000}"/>
    <cellStyle name="Warning Text 2" xfId="148" xr:uid="{00000000-0005-0000-0000-000095000000}"/>
    <cellStyle name="Wrap" xfId="149" xr:uid="{00000000-0005-0000-0000-000096000000}"/>
    <cellStyle name="Wrap Bold" xfId="150" xr:uid="{00000000-0005-0000-0000-000097000000}"/>
    <cellStyle name="Wrap Title" xfId="151" xr:uid="{00000000-0005-0000-0000-000098000000}"/>
    <cellStyle name="Wrap_NTS99-~11" xfId="152" xr:uid="{00000000-0005-0000-0000-00009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2.xml"/><Relationship Id="rId26" Type="http://schemas.openxmlformats.org/officeDocument/2006/relationships/externalLink" Target="externalLinks/externalLink10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5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5" Type="http://schemas.openxmlformats.org/officeDocument/2006/relationships/externalLink" Target="externalLinks/externalLink9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4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8.xml"/><Relationship Id="rId32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7.xml"/><Relationship Id="rId28" Type="http://schemas.openxmlformats.org/officeDocument/2006/relationships/externalLink" Target="externalLinks/externalLink12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3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6.xml"/><Relationship Id="rId27" Type="http://schemas.openxmlformats.org/officeDocument/2006/relationships/externalLink" Target="externalLinks/externalLink11.xml"/><Relationship Id="rId30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514350</xdr:colOff>
      <xdr:row>0</xdr:row>
      <xdr:rowOff>123825</xdr:rowOff>
    </xdr:from>
    <xdr:to>
      <xdr:col>22</xdr:col>
      <xdr:colOff>113217</xdr:colOff>
      <xdr:row>27</xdr:row>
      <xdr:rowOff>8815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2CA6271-2DFE-489D-9CB5-08578BE57F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38950" y="123825"/>
          <a:ext cx="8133267" cy="598099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eff-nonadmin/Dropbox%20(Energy%20InNovation)/Desktop/Indonesia%20Input%20Data%20Sources/Indonesia%20Calculator%20205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newri.sharepoint.com/Dropbox%20(Energy%20Innovation)/EI-PlcyMdl/eps-1.4.2-india-v2/InputData/fuels/PEI/Pollutant%20Emissions%20Intensitie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INDOWS\TEMP\USFreight97-93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newri.sharepoint.com/WINDOWS/TEMP/USFreight97-93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newri.sharepoint.com/Users/jeff-nonadmin/Dropbox%20(Energy%20Innovation)/EI-PlcyMdl/eps-1.5.0-us-wipE/InputData/web-app/BCF/BTU%20Conversion%20Factors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mahajan/AppData/Roaming/Microsoft/Excel/IESS_Version2%20(version%201).xlsb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obbie/Downloads/model%20(1)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newri.sharepoint.com/Chrome%20Downloads/Internship/IESS_Version2.2%20-%20low%20GDP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mahajan/Documents/eps-india/InputData/indst/BIFUbC/BAU%20Industrial%20Fuel%20Use%20before%20CCS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livia/Documents/EPS_Models%20by%20Region/RMI/Colorado/CO_Model/InputData/trans/SYFAFE/Start%20Year%20Fleet%20Avg%20Fuel%20Economy_v2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eghan/Dropbox%20(Energy%20Innovation)/EPS%20Documents/Regional%20Adaptation%20Work/India/IESSV2-Webtool-10.08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mahajan/Documents/eps-india/InputData/trans/BNVFE/BAU%20New%20Veh%20Fuel%20Econom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"/>
      <sheetName val="Output - Emissions"/>
      <sheetName val="XIV.c"/>
      <sheetName val="Intermediate output"/>
      <sheetName val="Electricity"/>
      <sheetName val="Energy"/>
      <sheetName val="GHG"/>
      <sheetName val="Perhitungan bioenergi"/>
      <sheetName val="Security"/>
      <sheetName val="Structure of the model"/>
      <sheetName val="Land"/>
      <sheetName val="Calculation for Flows"/>
      <sheetName val="Flows"/>
      <sheetName val="Air Quality"/>
      <sheetName val="Costs per capita"/>
      <sheetName val="Costs"/>
      <sheetName val="2050"/>
      <sheetName val="Conversions"/>
      <sheetName val="Global assumptions"/>
      <sheetName val="Constants"/>
      <sheetName val="Preferences"/>
      <sheetName val="I.a"/>
      <sheetName val="I.b"/>
      <sheetName val="I.c"/>
      <sheetName val="I.d"/>
      <sheetName val="II.a"/>
      <sheetName val="II.b"/>
      <sheetName val="II.c"/>
      <sheetName val="II.d"/>
      <sheetName val="II.e"/>
      <sheetName val="II.f"/>
      <sheetName val="III.a"/>
      <sheetName val="XII.a"/>
      <sheetName val="IV.a"/>
      <sheetName val="IV.b"/>
      <sheetName val="IV.c"/>
      <sheetName val="IV.d"/>
      <sheetName val="IV.e"/>
      <sheetName val="XIV.a"/>
      <sheetName val="XIV.b"/>
      <sheetName val="XIV.d"/>
      <sheetName val="XIV.e"/>
      <sheetName val="XIV.f"/>
      <sheetName val="V.a"/>
      <sheetName val="V.b"/>
      <sheetName val="V.c"/>
      <sheetName val="V.d"/>
      <sheetName val="VI.a"/>
      <sheetName val="VI.b"/>
      <sheetName val="VI.c"/>
      <sheetName val="VI.d"/>
      <sheetName val="VII.a"/>
      <sheetName val="VII.b"/>
      <sheetName val="VII.c"/>
      <sheetName val="VII.d"/>
      <sheetName val="VIII.a"/>
      <sheetName val="IX.a"/>
      <sheetName val="IX.b.1"/>
      <sheetName val="IX.b.2"/>
      <sheetName val="IX.c"/>
      <sheetName val="X.a"/>
      <sheetName val="XI.a"/>
      <sheetName val="XI.b"/>
      <sheetName val="XI.c"/>
      <sheetName val="XI.d"/>
      <sheetName val="XII.b"/>
      <sheetName val="XII.c"/>
      <sheetName val="XIII.a"/>
      <sheetName val="XIII.b"/>
      <sheetName val="2011"/>
      <sheetName val="2015"/>
      <sheetName val="2020"/>
      <sheetName val="2025"/>
      <sheetName val="2030"/>
      <sheetName val="2035"/>
      <sheetName val="2040"/>
      <sheetName val="2045"/>
    </sheetNames>
    <sheetDataSet>
      <sheetData sheetId="0">
        <row r="5">
          <cell r="E5">
            <v>4</v>
          </cell>
        </row>
        <row r="8">
          <cell r="E8">
            <v>4</v>
          </cell>
        </row>
        <row r="9">
          <cell r="E9">
            <v>4</v>
          </cell>
        </row>
        <row r="10">
          <cell r="E10">
            <v>4</v>
          </cell>
        </row>
        <row r="11">
          <cell r="E11">
            <v>4</v>
          </cell>
        </row>
        <row r="12">
          <cell r="E12">
            <v>4</v>
          </cell>
        </row>
        <row r="13">
          <cell r="E13">
            <v>4</v>
          </cell>
        </row>
        <row r="14">
          <cell r="E14">
            <v>4</v>
          </cell>
        </row>
        <row r="15">
          <cell r="E15">
            <v>4</v>
          </cell>
        </row>
        <row r="16">
          <cell r="E16">
            <v>4</v>
          </cell>
        </row>
        <row r="17">
          <cell r="E17">
            <v>4</v>
          </cell>
        </row>
        <row r="18">
          <cell r="E18">
            <v>4</v>
          </cell>
        </row>
        <row r="19">
          <cell r="E19">
            <v>4</v>
          </cell>
        </row>
        <row r="20">
          <cell r="E20">
            <v>1</v>
          </cell>
        </row>
        <row r="21">
          <cell r="E21">
            <v>4</v>
          </cell>
        </row>
        <row r="22">
          <cell r="E22">
            <v>4</v>
          </cell>
        </row>
        <row r="23">
          <cell r="E23">
            <v>4</v>
          </cell>
        </row>
        <row r="24">
          <cell r="E24">
            <v>4</v>
          </cell>
        </row>
        <row r="25">
          <cell r="E25">
            <v>4</v>
          </cell>
        </row>
        <row r="27">
          <cell r="E27">
            <v>1</v>
          </cell>
        </row>
        <row r="28">
          <cell r="E28">
            <v>1</v>
          </cell>
        </row>
        <row r="29">
          <cell r="E29">
            <v>1</v>
          </cell>
        </row>
        <row r="30">
          <cell r="E30">
            <v>1</v>
          </cell>
        </row>
        <row r="31">
          <cell r="E31">
            <v>1</v>
          </cell>
        </row>
        <row r="32">
          <cell r="E32">
            <v>1</v>
          </cell>
        </row>
        <row r="33">
          <cell r="E33">
            <v>1</v>
          </cell>
        </row>
        <row r="34">
          <cell r="E34">
            <v>1</v>
          </cell>
        </row>
        <row r="36">
          <cell r="E36">
            <v>1</v>
          </cell>
        </row>
        <row r="37">
          <cell r="E37">
            <v>1</v>
          </cell>
        </row>
        <row r="38">
          <cell r="E38">
            <v>1</v>
          </cell>
        </row>
        <row r="40">
          <cell r="E40">
            <v>1</v>
          </cell>
        </row>
        <row r="41">
          <cell r="E41">
            <v>1</v>
          </cell>
        </row>
        <row r="43">
          <cell r="E43">
            <v>1</v>
          </cell>
        </row>
        <row r="44">
          <cell r="E44">
            <v>1</v>
          </cell>
        </row>
        <row r="45">
          <cell r="E45">
            <v>1</v>
          </cell>
        </row>
        <row r="46">
          <cell r="E46">
            <v>1</v>
          </cell>
        </row>
        <row r="48">
          <cell r="E48">
            <v>1</v>
          </cell>
        </row>
        <row r="49">
          <cell r="E49">
            <v>1</v>
          </cell>
        </row>
        <row r="50">
          <cell r="E50">
            <v>1</v>
          </cell>
        </row>
        <row r="51">
          <cell r="E51">
            <v>1</v>
          </cell>
        </row>
        <row r="52">
          <cell r="E52">
            <v>1</v>
          </cell>
        </row>
        <row r="55">
          <cell r="E55">
            <v>4</v>
          </cell>
        </row>
        <row r="56">
          <cell r="E56">
            <v>1</v>
          </cell>
        </row>
        <row r="57">
          <cell r="E57">
            <v>4</v>
          </cell>
        </row>
        <row r="58">
          <cell r="E58">
            <v>1</v>
          </cell>
        </row>
        <row r="59">
          <cell r="E59">
            <v>4</v>
          </cell>
        </row>
        <row r="60">
          <cell r="E60">
            <v>1</v>
          </cell>
        </row>
        <row r="61">
          <cell r="E61">
            <v>4</v>
          </cell>
        </row>
        <row r="62">
          <cell r="E62">
            <v>4</v>
          </cell>
        </row>
        <row r="63">
          <cell r="E63">
            <v>1</v>
          </cell>
        </row>
        <row r="64">
          <cell r="E64">
            <v>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5">
          <cell r="B5" t="str">
            <v>PJ</v>
          </cell>
          <cell r="E5">
            <v>1000000000000000</v>
          </cell>
          <cell r="F5">
            <v>0.27777777777777779</v>
          </cell>
        </row>
        <row r="6">
          <cell r="B6" t="str">
            <v>TJ</v>
          </cell>
          <cell r="E6">
            <v>1000000000000</v>
          </cell>
        </row>
        <row r="7">
          <cell r="B7" t="str">
            <v>GJ</v>
          </cell>
          <cell r="E7">
            <v>1000000000</v>
          </cell>
          <cell r="F7">
            <v>2.7777777777777776E-7</v>
          </cell>
        </row>
        <row r="8">
          <cell r="B8" t="str">
            <v>J</v>
          </cell>
          <cell r="E8">
            <v>1</v>
          </cell>
          <cell r="F8">
            <v>2.777777777777778E-16</v>
          </cell>
        </row>
        <row r="9">
          <cell r="B9" t="str">
            <v>MJ</v>
          </cell>
          <cell r="E9">
            <v>1000000</v>
          </cell>
          <cell r="F9">
            <v>2.7777777777777777E-10</v>
          </cell>
        </row>
        <row r="10">
          <cell r="B10" t="str">
            <v>kWh</v>
          </cell>
          <cell r="E10">
            <v>3600000</v>
          </cell>
          <cell r="F10">
            <v>1.0000000000000001E-9</v>
          </cell>
        </row>
        <row r="11">
          <cell r="B11" t="str">
            <v>kWh/p/d (UK)</v>
          </cell>
          <cell r="E11">
            <v>7.8894E+16</v>
          </cell>
        </row>
        <row r="12">
          <cell r="B12" t="str">
            <v>TWh</v>
          </cell>
          <cell r="E12">
            <v>3600000000000000</v>
          </cell>
          <cell r="F12">
            <v>1</v>
          </cell>
        </row>
        <row r="13">
          <cell r="B13" t="str">
            <v>GWh</v>
          </cell>
          <cell r="E13">
            <v>3600000000000</v>
          </cell>
          <cell r="F13">
            <v>1E-3</v>
          </cell>
        </row>
        <row r="14">
          <cell r="B14" t="str">
            <v>MWh</v>
          </cell>
          <cell r="E14">
            <v>3600000000</v>
          </cell>
        </row>
        <row r="15">
          <cell r="B15" t="str">
            <v>boe</v>
          </cell>
          <cell r="E15">
            <v>5861520000</v>
          </cell>
        </row>
        <row r="16">
          <cell r="B16" t="str">
            <v>Mboe</v>
          </cell>
          <cell r="E16">
            <v>5861520000000000</v>
          </cell>
          <cell r="F16">
            <v>1.6282000000000001</v>
          </cell>
        </row>
        <row r="17">
          <cell r="B17" t="str">
            <v>toe</v>
          </cell>
          <cell r="E17">
            <v>41868000000</v>
          </cell>
        </row>
        <row r="18">
          <cell r="B18" t="str">
            <v>ktoe</v>
          </cell>
          <cell r="E18">
            <v>41868000000000</v>
          </cell>
        </row>
        <row r="19">
          <cell r="B19" t="str">
            <v>Mtoe</v>
          </cell>
          <cell r="E19">
            <v>4.1868E+16</v>
          </cell>
        </row>
        <row r="20">
          <cell r="B20" t="str">
            <v>therm</v>
          </cell>
          <cell r="E20">
            <v>105506136.12882091</v>
          </cell>
          <cell r="F20">
            <v>2.9307260035783588E-8</v>
          </cell>
        </row>
        <row r="21">
          <cell r="B21" t="str">
            <v>Btu</v>
          </cell>
          <cell r="E21">
            <v>1055.0613612882091</v>
          </cell>
        </row>
        <row r="22">
          <cell r="B22" t="str">
            <v>calorie</v>
          </cell>
          <cell r="E22">
            <v>4.1840000000000002</v>
          </cell>
        </row>
        <row r="23">
          <cell r="B23" t="str">
            <v>GW y</v>
          </cell>
          <cell r="E23">
            <v>3.1556879999999996E+16</v>
          </cell>
        </row>
        <row r="30">
          <cell r="B30" t="str">
            <v>GW</v>
          </cell>
          <cell r="E30">
            <v>1000000000</v>
          </cell>
          <cell r="F30">
            <v>1</v>
          </cell>
        </row>
        <row r="31">
          <cell r="B31" t="str">
            <v>MW</v>
          </cell>
          <cell r="E31">
            <v>1000000</v>
          </cell>
          <cell r="F31">
            <v>1E-3</v>
          </cell>
        </row>
        <row r="32">
          <cell r="B32" t="str">
            <v>kW</v>
          </cell>
          <cell r="E32">
            <v>1000</v>
          </cell>
        </row>
        <row r="33">
          <cell r="B33" t="str">
            <v>W</v>
          </cell>
          <cell r="E33">
            <v>1</v>
          </cell>
          <cell r="F33">
            <v>1.0000000000000001E-9</v>
          </cell>
        </row>
        <row r="34">
          <cell r="B34" t="str">
            <v>mcm/d</v>
          </cell>
          <cell r="E34">
            <v>335648148.14814812</v>
          </cell>
        </row>
        <row r="35">
          <cell r="B35" t="str">
            <v>Mtoe/y</v>
          </cell>
          <cell r="E35">
            <v>1326716860.597764</v>
          </cell>
        </row>
        <row r="40">
          <cell r="F40">
            <v>31557600</v>
          </cell>
        </row>
        <row r="41">
          <cell r="F41">
            <v>86400</v>
          </cell>
        </row>
        <row r="42">
          <cell r="F42">
            <v>3600</v>
          </cell>
        </row>
        <row r="43">
          <cell r="F43">
            <v>60</v>
          </cell>
        </row>
        <row r="48">
          <cell r="B48" t="str">
            <v>ha</v>
          </cell>
          <cell r="E48">
            <v>10000</v>
          </cell>
          <cell r="F48">
            <v>1</v>
          </cell>
        </row>
        <row r="49">
          <cell r="B49" t="str">
            <v>M ha</v>
          </cell>
          <cell r="E49">
            <v>10000000000</v>
          </cell>
        </row>
        <row r="50">
          <cell r="B50" t="str">
            <v>acres</v>
          </cell>
          <cell r="E50">
            <v>4046.8564224000002</v>
          </cell>
        </row>
        <row r="51">
          <cell r="B51" t="str">
            <v>km^2</v>
          </cell>
          <cell r="E51">
            <v>1000000</v>
          </cell>
        </row>
        <row r="52">
          <cell r="B52" t="str">
            <v>m^2</v>
          </cell>
          <cell r="E52">
            <v>1</v>
          </cell>
          <cell r="F52">
            <v>1E-4</v>
          </cell>
        </row>
        <row r="53">
          <cell r="B53" t="str">
            <v>Wales</v>
          </cell>
          <cell r="E53">
            <v>20700000000</v>
          </cell>
        </row>
        <row r="58">
          <cell r="E58">
            <v>0.1140771161305042</v>
          </cell>
        </row>
        <row r="59">
          <cell r="E59">
            <v>8.766</v>
          </cell>
        </row>
        <row r="71">
          <cell r="B71" t="str">
            <v>£trn</v>
          </cell>
          <cell r="F71">
            <v>1000000000000</v>
          </cell>
        </row>
        <row r="72">
          <cell r="B72" t="str">
            <v>£bn</v>
          </cell>
          <cell r="F72">
            <v>1000000000</v>
          </cell>
        </row>
        <row r="73">
          <cell r="B73" t="str">
            <v>£m</v>
          </cell>
          <cell r="E73">
            <v>20000</v>
          </cell>
          <cell r="F73">
            <v>1000000</v>
          </cell>
        </row>
        <row r="74">
          <cell r="B74" t="str">
            <v>£k</v>
          </cell>
          <cell r="F74">
            <v>1000</v>
          </cell>
        </row>
        <row r="75">
          <cell r="B75" t="str">
            <v>IDRtrn</v>
          </cell>
          <cell r="F75">
            <v>50000000</v>
          </cell>
        </row>
        <row r="76">
          <cell r="B76" t="str">
            <v>IDRbn</v>
          </cell>
          <cell r="E76">
            <v>1000</v>
          </cell>
          <cell r="F76">
            <v>50000</v>
          </cell>
        </row>
        <row r="77">
          <cell r="B77" t="str">
            <v>IDRm</v>
          </cell>
          <cell r="E77">
            <v>1</v>
          </cell>
          <cell r="F77">
            <v>50</v>
          </cell>
        </row>
        <row r="78">
          <cell r="B78" t="str">
            <v>IDRk</v>
          </cell>
          <cell r="F78">
            <v>0.05</v>
          </cell>
        </row>
        <row r="79">
          <cell r="B79" t="str">
            <v>IDR</v>
          </cell>
          <cell r="E79">
            <v>9.9999999999999995E-7</v>
          </cell>
          <cell r="F79">
            <v>5.0000000000000002E-5</v>
          </cell>
        </row>
        <row r="80">
          <cell r="B80" t="str">
            <v>kepeng</v>
          </cell>
          <cell r="F80">
            <v>1</v>
          </cell>
        </row>
        <row r="81">
          <cell r="B81" t="str">
            <v>Euro2002</v>
          </cell>
          <cell r="F81">
            <v>0.62893081761006286</v>
          </cell>
        </row>
        <row r="82">
          <cell r="B82" t="str">
            <v>$2009</v>
          </cell>
          <cell r="F82">
            <v>0.625</v>
          </cell>
        </row>
        <row r="83">
          <cell r="B83" t="str">
            <v>$2010</v>
          </cell>
          <cell r="F83">
            <v>0.64683053040103489</v>
          </cell>
        </row>
        <row r="84">
          <cell r="B84" t="str">
            <v>£</v>
          </cell>
          <cell r="E84">
            <v>0.02</v>
          </cell>
          <cell r="F84">
            <v>1</v>
          </cell>
        </row>
        <row r="105">
          <cell r="D105">
            <v>1.1409663985395631</v>
          </cell>
        </row>
      </sheetData>
      <sheetData sheetId="18">
        <row r="26">
          <cell r="C26">
            <v>3.5000000000000003E-2</v>
          </cell>
        </row>
        <row r="28">
          <cell r="H28">
            <v>0.42314698926998878</v>
          </cell>
          <cell r="I28">
            <v>0.35627841060230242</v>
          </cell>
          <cell r="J28">
            <v>0.30732888667197417</v>
          </cell>
          <cell r="K28">
            <v>0.26510459733825015</v>
          </cell>
        </row>
      </sheetData>
      <sheetData sheetId="19">
        <row r="8">
          <cell r="C8">
            <v>7.7990779999999993E-9</v>
          </cell>
          <cell r="F8">
            <v>0.30799999999999994</v>
          </cell>
          <cell r="G8">
            <v>9.0479269613658628E-4</v>
          </cell>
          <cell r="H8">
            <v>2.7284221385464481E-3</v>
          </cell>
        </row>
        <row r="9">
          <cell r="F9">
            <v>0.25</v>
          </cell>
          <cell r="G9">
            <v>3.1124901306220826E-4</v>
          </cell>
          <cell r="H9">
            <v>4.4980122726580142E-3</v>
          </cell>
          <cell r="K9">
            <v>21</v>
          </cell>
        </row>
        <row r="10">
          <cell r="F10">
            <v>0.18399999999999997</v>
          </cell>
          <cell r="G10">
            <v>3.6882537033173374E-4</v>
          </cell>
          <cell r="H10">
            <v>3.9668961680228111E-4</v>
          </cell>
          <cell r="K10">
            <v>310</v>
          </cell>
        </row>
        <row r="11">
          <cell r="F11">
            <v>0.78482259931212373</v>
          </cell>
        </row>
        <row r="21">
          <cell r="C21">
            <v>1.1022914E-8</v>
          </cell>
        </row>
      </sheetData>
      <sheetData sheetId="20">
        <row r="3">
          <cell r="C3" t="str">
            <v>TWh</v>
          </cell>
          <cell r="F3">
            <v>3599999999999999.5</v>
          </cell>
        </row>
        <row r="5">
          <cell r="C5" t="str">
            <v>GW</v>
          </cell>
          <cell r="F5">
            <v>999999999.99999988</v>
          </cell>
        </row>
        <row r="7">
          <cell r="C7" t="str">
            <v>ha</v>
          </cell>
        </row>
        <row r="9">
          <cell r="C9" t="str">
            <v>IDRm</v>
          </cell>
        </row>
      </sheetData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out"/>
      <sheetName val="Key to Data Locs"/>
      <sheetName val="GREET1 Results"/>
      <sheetName val="GREET1 EF"/>
      <sheetName val="GREET1 Electric"/>
      <sheetName val="GREET1 JetFuel_WTWa"/>
      <sheetName val="GREET1 Fuel_Specs"/>
      <sheetName val="eGrid Plant"/>
      <sheetName val="US Hard Coal and Lignite EFs"/>
      <sheetName val="GHG EFs"/>
      <sheetName val="Transport Non-GHG EFs"/>
      <sheetName val="Non-GHG EFs &amp; Calcs"/>
      <sheetName val="India Crop Residue Burning"/>
      <sheetName val="PEI-TFPEI-LDVs"/>
      <sheetName val="PEI-TFPEI-HDVs"/>
      <sheetName val="PEI-TFPEI-rail"/>
      <sheetName val="PEI-TFPEI-aircraft"/>
      <sheetName val="PEI-TFPEI-ships"/>
      <sheetName val="PEI-TFPEI-motorbikes"/>
      <sheetName val="PEI-EFPEI"/>
      <sheetName val="PEI-BFPEI"/>
      <sheetName val="PEI-IFPEI"/>
    </sheetNames>
    <sheetDataSet>
      <sheetData sheetId="0">
        <row r="84">
          <cell r="A84" t="b">
            <v>1</v>
          </cell>
        </row>
        <row r="161">
          <cell r="A161" t="b">
            <v>1</v>
          </cell>
        </row>
        <row r="164">
          <cell r="A164">
            <v>3412.1416300000001</v>
          </cell>
        </row>
        <row r="166">
          <cell r="A166">
            <v>947817120</v>
          </cell>
        </row>
        <row r="168">
          <cell r="A168">
            <v>1.0550558529687669E-3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out"/>
      <sheetName val="AEO Table 73"/>
      <sheetName val="GREET1 Fuel_Specs"/>
      <sheetName val="BCF-BpLFOU"/>
      <sheetName val="BCF-BpSFOU"/>
      <sheetName val="BCF-VFEUCF"/>
      <sheetName val="BCF-BpEIEOU"/>
    </sheetNames>
    <sheetDataSet>
      <sheetData sheetId="0">
        <row r="63">
          <cell r="A63">
            <v>42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SS V2 Main Sheet"/>
      <sheetName val="Preferences"/>
      <sheetName val="Structure of the model"/>
      <sheetName val="I.a"/>
      <sheetName val="I.b"/>
      <sheetName val="I.c"/>
      <sheetName val="I.d"/>
      <sheetName val="I.e"/>
      <sheetName val="II"/>
      <sheetName val="III"/>
      <sheetName val="IV.a"/>
      <sheetName val="IV.b"/>
      <sheetName val="IV.c.1"/>
      <sheetName val="IV.c.2"/>
      <sheetName val="IV.d"/>
      <sheetName val="IV.e"/>
      <sheetName val="IV.f"/>
      <sheetName val="V.a"/>
      <sheetName val="V.b"/>
      <sheetName val="V.c"/>
      <sheetName val="V.d"/>
      <sheetName val="V.e"/>
      <sheetName val="VI"/>
      <sheetName val="VII.a"/>
      <sheetName val="VII.b"/>
      <sheetName val="VII.C"/>
      <sheetName val="VIII"/>
      <sheetName val="GDP"/>
      <sheetName val="IX"/>
      <sheetName val="X.a"/>
      <sheetName val="X.b"/>
      <sheetName val="XI"/>
      <sheetName val="XII.a"/>
      <sheetName val="XII.b"/>
      <sheetName val="XIII.a"/>
      <sheetName val="XV.a"/>
      <sheetName val="XV.b"/>
      <sheetName val="XV.c"/>
      <sheetName val="XVI"/>
      <sheetName val="XVII.a"/>
      <sheetName val="XVII.b"/>
      <sheetName val="XIV"/>
      <sheetName val="Intermediate output"/>
      <sheetName val="Charts"/>
      <sheetName val="Control"/>
      <sheetName val="Global assumptions"/>
      <sheetName val="2012 Baseline"/>
      <sheetName val="Dispatch"/>
      <sheetName val="2012"/>
      <sheetName val="2017"/>
      <sheetName val="2022"/>
      <sheetName val="2027"/>
      <sheetName val="2032"/>
      <sheetName val="2037"/>
      <sheetName val="2042"/>
      <sheetName val="2047"/>
      <sheetName val="Conversions"/>
      <sheetName val="Constants"/>
      <sheetName val="Land Use"/>
      <sheetName val="CostAbsolute"/>
      <sheetName val="Flows"/>
    </sheetNames>
    <sheetDataSet>
      <sheetData sheetId="0"/>
      <sheetData sheetId="1">
        <row r="3">
          <cell r="C3" t="str">
            <v>TWh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"/>
      <sheetName val="Output - Emissions"/>
      <sheetName val="XIV.c"/>
      <sheetName val="Intermediate output"/>
      <sheetName val="Electricity"/>
      <sheetName val="Energy"/>
      <sheetName val="GHG"/>
      <sheetName val="Perhitungan bioenergi"/>
      <sheetName val="Security"/>
      <sheetName val="Structure of the model"/>
      <sheetName val="Land"/>
      <sheetName val="Calculation for Flows"/>
      <sheetName val="Flows"/>
      <sheetName val="Air Quality"/>
      <sheetName val="Costs per capita"/>
      <sheetName val="Costs"/>
      <sheetName val="2050"/>
      <sheetName val="Conversions"/>
      <sheetName val="Global assumptions"/>
      <sheetName val="Constants"/>
      <sheetName val="Preferences"/>
      <sheetName val="I.a"/>
      <sheetName val="I.b"/>
      <sheetName val="I.c"/>
      <sheetName val="I.d"/>
      <sheetName val="II.a"/>
      <sheetName val="II.b"/>
      <sheetName val="II.c"/>
      <sheetName val="II.d"/>
      <sheetName val="II.e"/>
      <sheetName val="II.f"/>
      <sheetName val="III.a"/>
      <sheetName val="XII.a"/>
      <sheetName val="IV.a"/>
      <sheetName val="IV.b"/>
      <sheetName val="IV.c"/>
      <sheetName val="IV.d"/>
      <sheetName val="IV.e"/>
      <sheetName val="XIV.a"/>
      <sheetName val="XIV.b"/>
      <sheetName val="XIV.d"/>
      <sheetName val="XIV.e"/>
      <sheetName val="XIV.f"/>
      <sheetName val="V.a"/>
      <sheetName val="V.b"/>
      <sheetName val="V.c"/>
      <sheetName val="V.d"/>
      <sheetName val="VI.a"/>
      <sheetName val="VI.b"/>
      <sheetName val="VI.c"/>
      <sheetName val="VI.d"/>
      <sheetName val="VII.a"/>
      <sheetName val="VII.b"/>
      <sheetName val="VII.c"/>
      <sheetName val="VII.d"/>
      <sheetName val="VIII.a"/>
      <sheetName val="IX.a"/>
      <sheetName val="IX.b.1"/>
      <sheetName val="IX.b.2"/>
      <sheetName val="IX.c"/>
      <sheetName val="X.a"/>
      <sheetName val="XI.a"/>
      <sheetName val="XI.b"/>
      <sheetName val="XI.c"/>
      <sheetName val="XI.d"/>
      <sheetName val="XII.b"/>
      <sheetName val="XII.c"/>
      <sheetName val="XIII.a"/>
      <sheetName val="XIII.b"/>
      <sheetName val="2011"/>
      <sheetName val="2015"/>
      <sheetName val="2020"/>
      <sheetName val="2025"/>
      <sheetName val="2030"/>
      <sheetName val="2035"/>
      <sheetName val="2040"/>
      <sheetName val="2045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>
        <row r="15">
          <cell r="F15">
            <v>1.6281999999999999E-6</v>
          </cell>
        </row>
      </sheetData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SS V2 Main Sheet"/>
      <sheetName val="Preferences"/>
      <sheetName val="Structure of the model"/>
      <sheetName val="I.a"/>
      <sheetName val="I.b"/>
      <sheetName val="I.c"/>
      <sheetName val="I.d"/>
      <sheetName val="I.e"/>
      <sheetName val="II"/>
      <sheetName val="III"/>
      <sheetName val="IV.a"/>
      <sheetName val="IV.b"/>
      <sheetName val="IV.c.1"/>
      <sheetName val="IV.c.2"/>
      <sheetName val="IV.d"/>
      <sheetName val="IV.e"/>
      <sheetName val="IV.f"/>
      <sheetName val="V.a"/>
      <sheetName val="V.b"/>
      <sheetName val="V.c"/>
      <sheetName val="V.d"/>
      <sheetName val="V.e"/>
      <sheetName val="VI"/>
      <sheetName val="VII.a"/>
      <sheetName val="VII.b"/>
      <sheetName val="VII.C"/>
      <sheetName val="VIII"/>
      <sheetName val="GDP"/>
      <sheetName val="IX"/>
      <sheetName val="X.a"/>
      <sheetName val="X.b"/>
      <sheetName val="XI"/>
      <sheetName val="XII.a"/>
      <sheetName val="XII.b"/>
      <sheetName val="XIII.a"/>
      <sheetName val="XV.a"/>
      <sheetName val="XV.b"/>
      <sheetName val="XV.c"/>
      <sheetName val="XVI"/>
      <sheetName val="XVII.a"/>
      <sheetName val="XVII.b"/>
      <sheetName val="XIV"/>
      <sheetName val="Intermediate output"/>
      <sheetName val="Charts"/>
      <sheetName val="Control"/>
      <sheetName val="Global assumptions"/>
      <sheetName val="2012 Baseline"/>
      <sheetName val="Dispatch"/>
      <sheetName val="2012"/>
      <sheetName val="2017"/>
      <sheetName val="2022"/>
      <sheetName val="2027"/>
      <sheetName val="2032"/>
      <sheetName val="2037"/>
      <sheetName val="2042"/>
      <sheetName val="2047"/>
      <sheetName val="Conversions"/>
      <sheetName val="Constants"/>
      <sheetName val="Land Use"/>
      <sheetName val="CostAbsolute"/>
      <sheetName val="Flow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>
        <row r="25">
          <cell r="F25">
            <v>4.6500000000000004</v>
          </cell>
        </row>
      </sheetData>
      <sheetData sheetId="57"/>
      <sheetData sheetId="58"/>
      <sheetData sheetId="59"/>
      <sheetData sheetId="6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out"/>
      <sheetName val="Unit Conversions"/>
      <sheetName val="Heat content of coal"/>
      <sheetName val="Elec Use"/>
      <sheetName val="Coal"/>
      <sheetName val="Min. of Petr. &amp; NG"/>
      <sheetName val="Crude Oil"/>
      <sheetName val="Annual Survey of Industries"/>
      <sheetName val="India Crop Residue Burning"/>
      <sheetName val="GREET1 Fuel_Specs"/>
      <sheetName val="Future Year Scaling"/>
      <sheetName val="Aggregate Calcs"/>
      <sheetName val="BIFUbC-electricity"/>
      <sheetName val="BIFUbC-coal"/>
      <sheetName val="BIFUbC-natural-gas"/>
      <sheetName val="BIFUbC-biomass"/>
      <sheetName val="BIFUbC-petroleum-diesel"/>
      <sheetName val="BIFUbC-heat"/>
      <sheetName val="BIFUbC-crude-oil"/>
      <sheetName val="BIFUbC-heavy-or-residual-oil"/>
      <sheetName val="BIFUbC-LPG-propane-or-butane"/>
      <sheetName val="BIFUbC-hydrogen"/>
    </sheetNames>
    <sheetDataSet>
      <sheetData sheetId="0"/>
      <sheetData sheetId="1">
        <row r="12">
          <cell r="B12">
            <v>1.04</v>
          </cell>
        </row>
      </sheetData>
      <sheetData sheetId="2">
        <row r="9">
          <cell r="B9">
            <v>3616.0720537220332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out"/>
      <sheetName val="AEO 7"/>
      <sheetName val="AEO 36"/>
      <sheetName val="AEO 44"/>
      <sheetName val="AEO 47"/>
      <sheetName val="AEO 50"/>
      <sheetName val="AEO 37"/>
      <sheetName val="AEO 48"/>
      <sheetName val="AEO 49"/>
      <sheetName val="NTS 1-40"/>
      <sheetName val="NRBS 40"/>
      <sheetName val="Calculations Etc"/>
      <sheetName val="Calibration Adjustments"/>
      <sheetName val="SYFAFE-psgr"/>
      <sheetName val="SYFAFE-frgt"/>
    </sheetNames>
    <sheetDataSet>
      <sheetData sheetId="0">
        <row r="109">
          <cell r="A109">
            <v>1000000000</v>
          </cell>
        </row>
        <row r="110">
          <cell r="A110">
            <v>1000000000000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SS V2 Main Sheet"/>
      <sheetName val="IESS V2 Results"/>
      <sheetName val="Intermediate output"/>
      <sheetName val="Charts"/>
      <sheetName val="Preferences"/>
      <sheetName val="Structure of the model"/>
      <sheetName val="I.a"/>
      <sheetName val="I.b"/>
      <sheetName val="I.c"/>
      <sheetName val="I.d"/>
      <sheetName val="I.e"/>
      <sheetName val="II"/>
      <sheetName val="III"/>
      <sheetName val="IV.a"/>
      <sheetName val="IV.b"/>
      <sheetName val="IV.c.1"/>
      <sheetName val="IV.c.2"/>
      <sheetName val="IV.d"/>
      <sheetName val="IV.e"/>
      <sheetName val="IV.f"/>
      <sheetName val="V.a"/>
      <sheetName val="V.b"/>
      <sheetName val="V.c"/>
      <sheetName val="V.d"/>
      <sheetName val="V.e"/>
      <sheetName val="VI"/>
      <sheetName val="VII.a"/>
      <sheetName val="VII.b"/>
      <sheetName val="VII.C"/>
      <sheetName val="VIII"/>
      <sheetName val="GDP"/>
      <sheetName val="IX"/>
      <sheetName val="X.a"/>
      <sheetName val="X.b"/>
      <sheetName val="XI"/>
      <sheetName val="XII.a"/>
      <sheetName val="XII.b"/>
      <sheetName val="XIII.a"/>
      <sheetName val="XIV"/>
      <sheetName val="XV.a"/>
      <sheetName val="XV.b"/>
      <sheetName val="XV.c"/>
      <sheetName val="XVI"/>
      <sheetName val="XVII.a"/>
      <sheetName val="XVII.b"/>
      <sheetName val="Control"/>
      <sheetName val="Global assumptions"/>
      <sheetName val="2012 Baseline"/>
      <sheetName val="Dispatch"/>
      <sheetName val="2012"/>
      <sheetName val="2017"/>
      <sheetName val="2022"/>
      <sheetName val="2027"/>
      <sheetName val="2032"/>
      <sheetName val="2037"/>
      <sheetName val="2042"/>
      <sheetName val="2047"/>
      <sheetName val="Conversions"/>
      <sheetName val="Constants"/>
      <sheetName val="Land Use"/>
      <sheetName val="CostAbsolute"/>
      <sheetName val="Flows"/>
    </sheetNames>
    <sheetDataSet>
      <sheetData sheetId="0"/>
      <sheetData sheetId="1"/>
      <sheetData sheetId="2"/>
      <sheetData sheetId="3"/>
      <sheetData sheetId="4">
        <row r="3">
          <cell r="C3" t="str">
            <v>TWh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out"/>
      <sheetName val="Data from India AVLo"/>
      <sheetName val="Conversion Factors"/>
      <sheetName val="India Data"/>
      <sheetName val="IESS passenger"/>
      <sheetName val="IESS freight"/>
      <sheetName val="US new to stock ratio"/>
      <sheetName val="ICCT emissions to fuel rates"/>
      <sheetName val="Multipliers by Technology"/>
      <sheetName val="AEO 7"/>
      <sheetName val="AEO 48"/>
      <sheetName val="AEO 49"/>
      <sheetName val="AEO 50"/>
      <sheetName val="NTS 1-40"/>
      <sheetName val="Rail Calcs"/>
      <sheetName val="U.S. Aircraft Calcs"/>
      <sheetName val="SYFAFE-psgr"/>
      <sheetName val="SYFAFE-frgt"/>
      <sheetName val="BNVFE-LDVs-psgr"/>
      <sheetName val="BNVFE-LDVs-frgt"/>
      <sheetName val="BNVFE-HDVs-psgr"/>
      <sheetName val="BNVFE-HDVs-frgt"/>
      <sheetName val="BNVFE-aircraft-psgr"/>
      <sheetName val="BNVFE-aircraft-frgt"/>
      <sheetName val="BNVFE-rail-psgr"/>
      <sheetName val="BNVFE-rail-frgt"/>
      <sheetName val="BNVFE-ships-psgr"/>
      <sheetName val="BNVFE-ships-frgt"/>
      <sheetName val="BNVFE-motorbikes-psgr"/>
      <sheetName val="BNVFE-motorbikes-frg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ea.org/reports/the-future-of-rail" TargetMode="External"/><Relationship Id="rId2" Type="http://schemas.openxmlformats.org/officeDocument/2006/relationships/hyperlink" Target="http://www.indianrailways.gov.in/railwayboard/uploads/directorate/stat_econ/IRSP_2016-17/Facts_Figure/Indian%20Railway%20Annual%20Statistical%20Statements%20Final.pdf" TargetMode="External"/><Relationship Id="rId1" Type="http://schemas.openxmlformats.org/officeDocument/2006/relationships/hyperlink" Target="https://mopng.gov.in/files/TableManagements/arep2020.pdf" TargetMode="External"/><Relationship Id="rId4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7"/>
  <sheetViews>
    <sheetView tabSelected="1" workbookViewId="0">
      <selection activeCell="B44" sqref="B44"/>
    </sheetView>
  </sheetViews>
  <sheetFormatPr defaultRowHeight="15"/>
  <cols>
    <col min="1" max="1" width="13.42578125" customWidth="1"/>
    <col min="2" max="2" width="107.42578125" customWidth="1"/>
  </cols>
  <sheetData>
    <row r="1" spans="1:2">
      <c r="A1" s="1" t="s">
        <v>15</v>
      </c>
    </row>
    <row r="3" spans="1:2">
      <c r="A3" s="1" t="s">
        <v>0</v>
      </c>
      <c r="B3" s="2" t="s">
        <v>334</v>
      </c>
    </row>
    <row r="4" spans="1:2">
      <c r="B4" s="91" t="s">
        <v>335</v>
      </c>
    </row>
    <row r="5" spans="1:2">
      <c r="B5" s="4" t="s">
        <v>192</v>
      </c>
    </row>
    <row r="6" spans="1:2">
      <c r="B6" s="91" t="s">
        <v>336</v>
      </c>
    </row>
    <row r="7" spans="1:2">
      <c r="B7" s="185" t="s">
        <v>337</v>
      </c>
    </row>
    <row r="8" spans="1:2">
      <c r="B8" s="91" t="s">
        <v>338</v>
      </c>
    </row>
    <row r="9" spans="1:2" s="91" customFormat="1"/>
    <row r="10" spans="1:2" s="91" customFormat="1">
      <c r="B10" s="2" t="s">
        <v>362</v>
      </c>
    </row>
    <row r="11" spans="1:2" s="91" customFormat="1">
      <c r="B11" t="s">
        <v>93</v>
      </c>
    </row>
    <row r="12" spans="1:2" s="91" customFormat="1">
      <c r="B12" s="4">
        <v>2015</v>
      </c>
    </row>
    <row r="13" spans="1:2" s="91" customFormat="1">
      <c r="B13" t="s">
        <v>94</v>
      </c>
    </row>
    <row r="14" spans="1:2" s="91" customFormat="1">
      <c r="B14" t="s">
        <v>95</v>
      </c>
    </row>
    <row r="15" spans="1:2" s="91" customFormat="1">
      <c r="B15" t="s">
        <v>96</v>
      </c>
    </row>
    <row r="16" spans="1:2" s="91" customFormat="1"/>
    <row r="17" spans="2:2">
      <c r="B17" s="2" t="s">
        <v>301</v>
      </c>
    </row>
    <row r="18" spans="2:2" s="187" customFormat="1">
      <c r="B18" s="91" t="s">
        <v>363</v>
      </c>
    </row>
    <row r="19" spans="2:2" s="187" customFormat="1">
      <c r="B19" s="4">
        <v>2017</v>
      </c>
    </row>
    <row r="20" spans="2:2" s="187" customFormat="1">
      <c r="B20" s="91" t="s">
        <v>364</v>
      </c>
    </row>
    <row r="21" spans="2:2" s="187" customFormat="1">
      <c r="B21" s="188" t="s">
        <v>365</v>
      </c>
    </row>
    <row r="22" spans="2:2" s="187" customFormat="1">
      <c r="B22" s="91" t="s">
        <v>366</v>
      </c>
    </row>
    <row r="23" spans="2:2" s="187" customFormat="1">
      <c r="B23" s="91"/>
    </row>
    <row r="24" spans="2:2" s="187" customFormat="1">
      <c r="B24" s="91" t="s">
        <v>271</v>
      </c>
    </row>
    <row r="25" spans="2:2" s="187" customFormat="1">
      <c r="B25" s="4">
        <v>2019</v>
      </c>
    </row>
    <row r="26" spans="2:2" s="187" customFormat="1">
      <c r="B26" s="91" t="s">
        <v>367</v>
      </c>
    </row>
    <row r="27" spans="2:2" s="187" customFormat="1">
      <c r="B27" s="188" t="s">
        <v>368</v>
      </c>
    </row>
    <row r="28" spans="2:2" s="187" customFormat="1">
      <c r="B28" s="91" t="s">
        <v>369</v>
      </c>
    </row>
    <row r="29" spans="2:2">
      <c r="B29" s="4"/>
    </row>
    <row r="30" spans="2:2">
      <c r="B30" s="2" t="s">
        <v>339</v>
      </c>
    </row>
    <row r="31" spans="2:2">
      <c r="B31" s="5" t="s">
        <v>340</v>
      </c>
    </row>
    <row r="33" spans="1:2">
      <c r="A33" s="1" t="s">
        <v>1</v>
      </c>
    </row>
    <row r="34" spans="1:2">
      <c r="A34" t="s">
        <v>2</v>
      </c>
    </row>
    <row r="36" spans="1:2" s="91" customFormat="1">
      <c r="A36" s="91" t="s">
        <v>330</v>
      </c>
    </row>
    <row r="37" spans="1:2" s="91" customFormat="1">
      <c r="A37" s="91" t="s">
        <v>331</v>
      </c>
    </row>
    <row r="38" spans="1:2" s="91" customFormat="1">
      <c r="A38" s="91" t="s">
        <v>332</v>
      </c>
    </row>
    <row r="39" spans="1:2" s="91" customFormat="1">
      <c r="A39" s="91" t="s">
        <v>333</v>
      </c>
    </row>
    <row r="40" spans="1:2" s="91" customFormat="1"/>
    <row r="41" spans="1:2">
      <c r="A41" t="s">
        <v>370</v>
      </c>
    </row>
    <row r="43" spans="1:2">
      <c r="A43" t="s">
        <v>42</v>
      </c>
    </row>
    <row r="44" spans="1:2">
      <c r="A44" t="s">
        <v>43</v>
      </c>
    </row>
    <row r="45" spans="1:2">
      <c r="A45" t="s">
        <v>44</v>
      </c>
    </row>
    <row r="47" spans="1:2">
      <c r="A47" s="9" t="s">
        <v>34</v>
      </c>
      <c r="B47" s="10"/>
    </row>
    <row r="48" spans="1:2">
      <c r="A48" t="s">
        <v>35</v>
      </c>
    </row>
    <row r="49" spans="1:2">
      <c r="A49" t="s">
        <v>36</v>
      </c>
    </row>
    <row r="50" spans="1:2">
      <c r="A50" t="s">
        <v>37</v>
      </c>
    </row>
    <row r="52" spans="1:2">
      <c r="A52" t="s">
        <v>62</v>
      </c>
      <c r="B52">
        <v>2018</v>
      </c>
    </row>
    <row r="54" spans="1:2">
      <c r="A54" t="s">
        <v>63</v>
      </c>
      <c r="B54" s="12">
        <v>3412000000000</v>
      </c>
    </row>
    <row r="55" spans="1:2">
      <c r="A55" t="s">
        <v>85</v>
      </c>
      <c r="B55">
        <v>0.62137100000000001</v>
      </c>
    </row>
    <row r="57" spans="1:2">
      <c r="A57" t="s">
        <v>98</v>
      </c>
    </row>
  </sheetData>
  <hyperlinks>
    <hyperlink ref="B7" r:id="rId1" xr:uid="{38DF9FDA-22F8-4CD7-B361-E1FAB4A4C08E}"/>
    <hyperlink ref="B21" r:id="rId2" xr:uid="{412DA032-463A-422D-B13B-AE0142D35C6B}"/>
    <hyperlink ref="B27" r:id="rId3" xr:uid="{E40235BC-7B7C-4217-A800-3A0FB72A193A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51BF1-7D81-4FC3-B755-F6354C9145E0}">
  <dimension ref="A1:I41"/>
  <sheetViews>
    <sheetView workbookViewId="0">
      <selection activeCell="I29" sqref="I29"/>
    </sheetView>
  </sheetViews>
  <sheetFormatPr defaultRowHeight="15"/>
  <cols>
    <col min="1" max="1" width="43.85546875" bestFit="1" customWidth="1"/>
    <col min="2" max="2" width="13.28515625" customWidth="1"/>
    <col min="3" max="3" width="10.5703125" bestFit="1" customWidth="1"/>
    <col min="6" max="6" width="59.7109375" bestFit="1" customWidth="1"/>
    <col min="7" max="7" width="19.28515625" bestFit="1" customWidth="1"/>
    <col min="8" max="8" width="36.85546875" customWidth="1"/>
    <col min="9" max="9" width="12" bestFit="1" customWidth="1"/>
  </cols>
  <sheetData>
    <row r="1" spans="1:8">
      <c r="A1" s="140" t="s">
        <v>221</v>
      </c>
      <c r="B1" s="141"/>
      <c r="C1" s="142"/>
      <c r="F1" s="143" t="s">
        <v>222</v>
      </c>
      <c r="G1" s="144"/>
    </row>
    <row r="2" spans="1:8">
      <c r="A2" s="93" t="s">
        <v>223</v>
      </c>
      <c r="B2" s="93" t="s">
        <v>224</v>
      </c>
      <c r="C2" s="93" t="s">
        <v>225</v>
      </c>
      <c r="F2" s="94" t="s">
        <v>226</v>
      </c>
      <c r="G2" s="94" t="s">
        <v>227</v>
      </c>
    </row>
    <row r="3" spans="1:8">
      <c r="A3" s="95" t="s">
        <v>228</v>
      </c>
      <c r="B3" s="96">
        <v>1.1499999999999999</v>
      </c>
      <c r="C3" s="96">
        <v>8</v>
      </c>
      <c r="F3" s="95" t="s">
        <v>229</v>
      </c>
      <c r="G3" s="95">
        <v>11300</v>
      </c>
    </row>
    <row r="4" spans="1:8">
      <c r="A4" s="97" t="s">
        <v>230</v>
      </c>
      <c r="B4" s="98">
        <v>1.1299999999999999</v>
      </c>
      <c r="C4" s="98">
        <v>16.850000000000001</v>
      </c>
      <c r="F4" s="97" t="s">
        <v>231</v>
      </c>
      <c r="G4" s="97">
        <v>10750</v>
      </c>
    </row>
    <row r="5" spans="1:8">
      <c r="A5" s="95" t="s">
        <v>229</v>
      </c>
      <c r="B5" s="96">
        <v>1.1299999999999999</v>
      </c>
      <c r="C5" s="96">
        <v>11.6</v>
      </c>
      <c r="F5" s="95" t="s">
        <v>232</v>
      </c>
      <c r="G5" s="95">
        <v>10450</v>
      </c>
    </row>
    <row r="6" spans="1:8">
      <c r="A6" s="97" t="s">
        <v>233</v>
      </c>
      <c r="B6" s="98">
        <v>1.07</v>
      </c>
      <c r="C6" s="98">
        <v>8.9</v>
      </c>
      <c r="F6" s="97" t="s">
        <v>234</v>
      </c>
      <c r="G6" s="97">
        <v>10650</v>
      </c>
    </row>
    <row r="7" spans="1:8">
      <c r="A7" s="95" t="s">
        <v>235</v>
      </c>
      <c r="B7" s="96">
        <v>1.07</v>
      </c>
      <c r="C7" s="96">
        <v>8.5299999999999994</v>
      </c>
      <c r="F7" s="95" t="s">
        <v>236</v>
      </c>
      <c r="G7" s="95">
        <v>9850</v>
      </c>
    </row>
    <row r="8" spans="1:8">
      <c r="A8" s="97" t="s">
        <v>237</v>
      </c>
      <c r="B8" s="98">
        <v>1.07</v>
      </c>
      <c r="C8" s="98">
        <v>7.93</v>
      </c>
      <c r="F8" s="97" t="s">
        <v>235</v>
      </c>
      <c r="G8" s="97">
        <v>10700</v>
      </c>
    </row>
    <row r="9" spans="1:8">
      <c r="A9" s="95" t="s">
        <v>238</v>
      </c>
      <c r="B9" s="96">
        <v>1.07</v>
      </c>
      <c r="C9" s="96">
        <v>7.93</v>
      </c>
      <c r="F9" s="95" t="s">
        <v>239</v>
      </c>
      <c r="G9" s="95">
        <v>10350</v>
      </c>
    </row>
    <row r="10" spans="1:8">
      <c r="A10" s="97" t="s">
        <v>240</v>
      </c>
      <c r="B10" s="98">
        <v>1.05</v>
      </c>
      <c r="C10" s="98">
        <v>7.74</v>
      </c>
      <c r="F10" s="99" t="s">
        <v>241</v>
      </c>
      <c r="G10" s="51"/>
    </row>
    <row r="11" spans="1:8">
      <c r="A11" s="95" t="s">
        <v>231</v>
      </c>
      <c r="B11" s="96">
        <v>1.08</v>
      </c>
      <c r="C11" s="96">
        <v>8.5</v>
      </c>
      <c r="F11" s="51" t="s">
        <v>242</v>
      </c>
      <c r="G11" s="51"/>
    </row>
    <row r="12" spans="1:8">
      <c r="A12" s="97" t="s">
        <v>243</v>
      </c>
      <c r="B12" s="98">
        <v>1.04</v>
      </c>
      <c r="C12" s="98">
        <v>7.46</v>
      </c>
    </row>
    <row r="13" spans="1:8">
      <c r="A13" s="95" t="s">
        <v>244</v>
      </c>
      <c r="B13" s="96">
        <v>0.96</v>
      </c>
      <c r="C13" s="96">
        <v>6.66</v>
      </c>
      <c r="F13" s="140" t="s">
        <v>245</v>
      </c>
      <c r="G13" s="141"/>
      <c r="H13" s="142"/>
    </row>
    <row r="14" spans="1:8">
      <c r="A14" s="97" t="s">
        <v>246</v>
      </c>
      <c r="B14" s="98">
        <v>0.74</v>
      </c>
      <c r="C14" s="98">
        <v>5.5</v>
      </c>
      <c r="F14" s="93" t="s">
        <v>247</v>
      </c>
      <c r="G14" s="145" t="s">
        <v>248</v>
      </c>
      <c r="H14" s="146"/>
    </row>
    <row r="15" spans="1:8">
      <c r="A15" s="95" t="s">
        <v>249</v>
      </c>
      <c r="B15" s="96">
        <v>0.96</v>
      </c>
      <c r="C15" s="96">
        <v>7</v>
      </c>
      <c r="F15" s="100" t="s">
        <v>250</v>
      </c>
      <c r="G15" s="101" t="s">
        <v>251</v>
      </c>
      <c r="H15" s="102" t="s">
        <v>252</v>
      </c>
    </row>
    <row r="16" spans="1:8">
      <c r="A16" s="97" t="s">
        <v>253</v>
      </c>
      <c r="B16" s="98">
        <v>0.96</v>
      </c>
      <c r="C16" s="98">
        <v>7.09</v>
      </c>
      <c r="F16" s="103"/>
      <c r="G16" s="104"/>
      <c r="H16" s="105" t="s">
        <v>254</v>
      </c>
    </row>
    <row r="17" spans="1:9">
      <c r="A17" s="95" t="s">
        <v>255</v>
      </c>
      <c r="B17" s="96">
        <v>0.96</v>
      </c>
      <c r="C17" s="96">
        <v>6.08</v>
      </c>
      <c r="F17" s="103"/>
      <c r="G17" s="101" t="s">
        <v>256</v>
      </c>
      <c r="H17" s="102" t="s">
        <v>257</v>
      </c>
    </row>
    <row r="18" spans="1:9">
      <c r="A18" s="97" t="s">
        <v>258</v>
      </c>
      <c r="B18" s="98">
        <v>0.96</v>
      </c>
      <c r="C18" s="98">
        <v>7</v>
      </c>
      <c r="F18" s="103"/>
      <c r="G18" s="104"/>
      <c r="H18" s="105" t="s">
        <v>259</v>
      </c>
    </row>
    <row r="19" spans="1:9">
      <c r="A19" s="95" t="s">
        <v>260</v>
      </c>
      <c r="B19" s="96">
        <v>0.96</v>
      </c>
      <c r="C19" s="96">
        <v>7</v>
      </c>
      <c r="F19" s="103"/>
      <c r="G19" s="104" t="s">
        <v>261</v>
      </c>
      <c r="H19" s="102" t="s">
        <v>262</v>
      </c>
    </row>
    <row r="20" spans="1:9">
      <c r="A20" s="99" t="s">
        <v>263</v>
      </c>
      <c r="B20" s="51"/>
      <c r="C20" s="51"/>
      <c r="F20" s="103"/>
      <c r="G20" s="104"/>
      <c r="H20" s="102" t="s">
        <v>264</v>
      </c>
    </row>
    <row r="21" spans="1:9">
      <c r="A21" s="51" t="s">
        <v>242</v>
      </c>
      <c r="B21" s="51"/>
      <c r="C21" s="51"/>
      <c r="F21" s="103"/>
      <c r="G21" s="101" t="s">
        <v>265</v>
      </c>
      <c r="H21" s="102" t="s">
        <v>266</v>
      </c>
    </row>
    <row r="22" spans="1:9">
      <c r="F22" s="103"/>
      <c r="G22" s="104"/>
      <c r="H22" s="102" t="s">
        <v>267</v>
      </c>
    </row>
    <row r="23" spans="1:9">
      <c r="F23" s="103"/>
      <c r="G23" s="104"/>
      <c r="H23" s="102" t="s">
        <v>268</v>
      </c>
    </row>
    <row r="24" spans="1:9">
      <c r="F24" s="106"/>
      <c r="G24" s="104"/>
      <c r="H24" s="102" t="s">
        <v>269</v>
      </c>
    </row>
    <row r="25" spans="1:9">
      <c r="A25" s="107">
        <v>39683207.200000003</v>
      </c>
      <c r="B25" t="s">
        <v>270</v>
      </c>
      <c r="C25" t="s">
        <v>271</v>
      </c>
      <c r="F25" s="108" t="s">
        <v>272</v>
      </c>
      <c r="G25" s="109" t="s">
        <v>273</v>
      </c>
      <c r="H25" s="110" t="s">
        <v>274</v>
      </c>
    </row>
    <row r="26" spans="1:9">
      <c r="A26">
        <v>3412141.63</v>
      </c>
      <c r="B26" t="s">
        <v>275</v>
      </c>
      <c r="C26" t="s">
        <v>271</v>
      </c>
      <c r="F26" s="111"/>
      <c r="G26" s="112"/>
      <c r="H26" s="110" t="s">
        <v>276</v>
      </c>
    </row>
    <row r="27" spans="1:9">
      <c r="A27">
        <v>27778245</v>
      </c>
      <c r="B27" t="s">
        <v>277</v>
      </c>
      <c r="C27" t="s">
        <v>271</v>
      </c>
      <c r="F27" s="111"/>
      <c r="G27" s="112"/>
      <c r="H27" s="110" t="s">
        <v>278</v>
      </c>
    </row>
    <row r="28" spans="1:9">
      <c r="A28">
        <v>947817120</v>
      </c>
      <c r="B28" t="s">
        <v>279</v>
      </c>
      <c r="C28" t="s">
        <v>271</v>
      </c>
      <c r="F28" s="111"/>
      <c r="G28" s="112"/>
      <c r="H28" s="110" t="s">
        <v>280</v>
      </c>
      <c r="I28">
        <f>36*1000000000000</f>
        <v>36000000000000</v>
      </c>
    </row>
    <row r="29" spans="1:9">
      <c r="A29">
        <v>3.9656699999999998</v>
      </c>
      <c r="B29" t="s">
        <v>281</v>
      </c>
      <c r="F29" s="113"/>
      <c r="G29" s="112"/>
      <c r="H29" s="110" t="s">
        <v>282</v>
      </c>
    </row>
    <row r="30" spans="1:9">
      <c r="F30" s="100" t="s">
        <v>283</v>
      </c>
      <c r="G30" s="101" t="s">
        <v>265</v>
      </c>
      <c r="H30" s="102" t="s">
        <v>284</v>
      </c>
    </row>
    <row r="31" spans="1:9">
      <c r="A31" s="2" t="s">
        <v>285</v>
      </c>
      <c r="B31" s="3"/>
      <c r="C31" s="3"/>
      <c r="F31" s="103"/>
      <c r="G31" s="104"/>
      <c r="H31" s="102" t="s">
        <v>286</v>
      </c>
    </row>
    <row r="32" spans="1:9">
      <c r="B32" s="114">
        <f>'[9]Heat content of coal'!B9</f>
        <v>3616.0720537220332</v>
      </c>
      <c r="C32" t="s">
        <v>287</v>
      </c>
      <c r="F32" s="103"/>
      <c r="G32" s="104"/>
      <c r="H32" s="102" t="s">
        <v>288</v>
      </c>
    </row>
    <row r="33" spans="2:8">
      <c r="B33">
        <f>B32*A29</f>
        <v>14340.148461283854</v>
      </c>
      <c r="C33" t="s">
        <v>289</v>
      </c>
      <c r="F33" s="103"/>
      <c r="G33" s="104"/>
      <c r="H33" s="102" t="s">
        <v>290</v>
      </c>
    </row>
    <row r="34" spans="2:8">
      <c r="B34">
        <f>B33*1000</f>
        <v>14340148.461283853</v>
      </c>
      <c r="C34" t="s">
        <v>291</v>
      </c>
      <c r="F34" s="106"/>
      <c r="G34" s="104"/>
      <c r="H34" s="102" t="s">
        <v>292</v>
      </c>
    </row>
    <row r="35" spans="2:8">
      <c r="F35" s="108" t="s">
        <v>293</v>
      </c>
      <c r="G35" s="109" t="s">
        <v>294</v>
      </c>
      <c r="H35" s="110" t="s">
        <v>295</v>
      </c>
    </row>
    <row r="36" spans="2:8">
      <c r="F36" s="111"/>
      <c r="G36" s="112"/>
      <c r="H36" s="110" t="s">
        <v>296</v>
      </c>
    </row>
    <row r="37" spans="2:8">
      <c r="F37" s="113"/>
      <c r="G37" s="112"/>
      <c r="H37" s="110" t="s">
        <v>297</v>
      </c>
    </row>
    <row r="38" spans="2:8">
      <c r="F38" s="99" t="s">
        <v>298</v>
      </c>
      <c r="G38" s="51"/>
      <c r="H38" s="51"/>
    </row>
    <row r="39" spans="2:8">
      <c r="F39" s="99" t="s">
        <v>299</v>
      </c>
      <c r="G39" s="51"/>
      <c r="H39" s="51"/>
    </row>
    <row r="40" spans="2:8">
      <c r="F40" s="51" t="s">
        <v>242</v>
      </c>
      <c r="G40" s="51"/>
      <c r="H40" s="51"/>
    </row>
    <row r="41" spans="2:8">
      <c r="F41" s="51"/>
      <c r="G41" s="51"/>
      <c r="H41" s="51"/>
    </row>
  </sheetData>
  <mergeCells count="4">
    <mergeCell ref="A1:C1"/>
    <mergeCell ref="F1:G1"/>
    <mergeCell ref="F13:H13"/>
    <mergeCell ref="G14:H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9"/>
  <sheetViews>
    <sheetView workbookViewId="0">
      <selection activeCell="A8" sqref="A8:B11"/>
    </sheetView>
  </sheetViews>
  <sheetFormatPr defaultRowHeight="15"/>
  <cols>
    <col min="1" max="1" width="50.42578125" customWidth="1"/>
    <col min="2" max="2" width="11.5703125" bestFit="1" customWidth="1"/>
  </cols>
  <sheetData>
    <row r="1" spans="1:11">
      <c r="A1" s="2" t="s">
        <v>10</v>
      </c>
      <c r="B1" s="3"/>
      <c r="D1" s="2" t="s">
        <v>14</v>
      </c>
      <c r="J1">
        <v>947817120000</v>
      </c>
      <c r="K1" t="s">
        <v>58</v>
      </c>
    </row>
    <row r="2" spans="1:11">
      <c r="A2" t="s">
        <v>13</v>
      </c>
      <c r="B2" s="6">
        <v>0.68595041322314043</v>
      </c>
      <c r="D2" s="5" t="s">
        <v>40</v>
      </c>
      <c r="J2">
        <v>0.62137100000000001</v>
      </c>
      <c r="K2" t="s">
        <v>59</v>
      </c>
    </row>
    <row r="3" spans="1:11">
      <c r="A3" t="s">
        <v>9</v>
      </c>
      <c r="B3" s="6">
        <v>0.68881036513545346</v>
      </c>
      <c r="J3" s="12">
        <v>3412000000000</v>
      </c>
      <c r="K3" t="s">
        <v>63</v>
      </c>
    </row>
    <row r="5" spans="1:11">
      <c r="A5" s="2" t="s">
        <v>11</v>
      </c>
      <c r="B5" s="3"/>
      <c r="D5" s="2" t="s">
        <v>14</v>
      </c>
    </row>
    <row r="6" spans="1:11">
      <c r="A6" t="s">
        <v>12</v>
      </c>
      <c r="B6">
        <v>0.55000000000000004</v>
      </c>
      <c r="D6" s="5" t="s">
        <v>41</v>
      </c>
    </row>
    <row r="8" spans="1:11">
      <c r="A8" s="2" t="s">
        <v>52</v>
      </c>
      <c r="B8" s="3"/>
    </row>
    <row r="9" spans="1:11">
      <c r="A9" t="s">
        <v>49</v>
      </c>
      <c r="B9">
        <v>0.2</v>
      </c>
    </row>
    <row r="10" spans="1:11">
      <c r="A10" t="s">
        <v>50</v>
      </c>
      <c r="B10">
        <v>0.5</v>
      </c>
    </row>
    <row r="11" spans="1:11">
      <c r="A11" t="s">
        <v>51</v>
      </c>
      <c r="B11">
        <f>B10/B9</f>
        <v>2.5</v>
      </c>
    </row>
    <row r="13" spans="1:11">
      <c r="A13" s="2" t="s">
        <v>54</v>
      </c>
      <c r="B13" s="2"/>
      <c r="C13" s="2"/>
      <c r="D13" s="2"/>
      <c r="E13" s="2"/>
      <c r="F13" s="2"/>
      <c r="G13" s="2"/>
      <c r="H13" s="2"/>
      <c r="I13" s="2"/>
    </row>
    <row r="14" spans="1:11">
      <c r="B14">
        <v>2015</v>
      </c>
      <c r="C14">
        <v>2020</v>
      </c>
      <c r="D14">
        <v>2025</v>
      </c>
      <c r="E14">
        <v>2030</v>
      </c>
      <c r="F14">
        <v>2035</v>
      </c>
      <c r="G14" s="12">
        <v>2040</v>
      </c>
      <c r="H14">
        <v>2045</v>
      </c>
      <c r="I14">
        <v>2050</v>
      </c>
    </row>
    <row r="15" spans="1:11">
      <c r="A15" t="s">
        <v>55</v>
      </c>
      <c r="B15" t="e">
        <f>SUMIFS(#REF!,#REF!,B14)</f>
        <v>#REF!</v>
      </c>
      <c r="C15" t="e">
        <f>SUMIFS(#REF!,#REF!,C14)</f>
        <v>#REF!</v>
      </c>
      <c r="D15" t="e">
        <f>SUMIFS(#REF!,#REF!,D14)</f>
        <v>#REF!</v>
      </c>
      <c r="E15" t="e">
        <f>SUMIFS(#REF!,#REF!,E14)</f>
        <v>#REF!</v>
      </c>
      <c r="F15" t="e">
        <f>SUMIFS(#REF!,#REF!,F14)</f>
        <v>#REF!</v>
      </c>
      <c r="G15" t="e">
        <f>SUMIFS(#REF!,#REF!,G14)</f>
        <v>#REF!</v>
      </c>
      <c r="H15" t="e">
        <f>SUMIFS(#REF!,#REF!,H14)</f>
        <v>#REF!</v>
      </c>
      <c r="I15" t="e">
        <f>SUMIFS(#REF!,#REF!,I14)</f>
        <v>#REF!</v>
      </c>
    </row>
    <row r="16" spans="1:11">
      <c r="A16" t="s">
        <v>56</v>
      </c>
      <c r="B16" t="e">
        <f>B15*$J$1</f>
        <v>#REF!</v>
      </c>
      <c r="C16" t="e">
        <f>C15*$J$1</f>
        <v>#REF!</v>
      </c>
      <c r="D16" t="e">
        <f t="shared" ref="D16:I16" si="0">D15*$J$1</f>
        <v>#REF!</v>
      </c>
      <c r="E16" t="e">
        <f t="shared" si="0"/>
        <v>#REF!</v>
      </c>
      <c r="F16" t="e">
        <f t="shared" si="0"/>
        <v>#REF!</v>
      </c>
      <c r="G16" t="e">
        <f t="shared" si="0"/>
        <v>#REF!</v>
      </c>
      <c r="H16" t="e">
        <f t="shared" si="0"/>
        <v>#REF!</v>
      </c>
      <c r="I16" t="e">
        <f t="shared" si="0"/>
        <v>#REF!</v>
      </c>
    </row>
    <row r="17" spans="1:9">
      <c r="A17" t="s">
        <v>61</v>
      </c>
      <c r="B17" t="e">
        <f>SUMIFS(#REF!,#REF!,B14)</f>
        <v>#REF!</v>
      </c>
      <c r="C17" t="e">
        <f>SUMIFS(#REF!,#REF!,C14)</f>
        <v>#REF!</v>
      </c>
      <c r="D17" t="e">
        <f>SUMIFS(#REF!,#REF!,D14)</f>
        <v>#REF!</v>
      </c>
      <c r="E17" t="e">
        <f>SUMIFS(#REF!,#REF!,E14)</f>
        <v>#REF!</v>
      </c>
      <c r="F17" t="e">
        <f>SUMIFS(#REF!,#REF!,F14)</f>
        <v>#REF!</v>
      </c>
      <c r="G17" t="e">
        <f>SUMIFS(#REF!,#REF!,G14)</f>
        <v>#REF!</v>
      </c>
      <c r="H17" t="e">
        <f>SUMIFS(#REF!,#REF!,H14)</f>
        <v>#REF!</v>
      </c>
      <c r="I17" t="e">
        <f>SUMIFS(#REF!,#REF!,I14)</f>
        <v>#REF!</v>
      </c>
    </row>
    <row r="18" spans="1:9">
      <c r="A18" t="s">
        <v>57</v>
      </c>
      <c r="B18" t="e">
        <f>B17*$J$2*10^9</f>
        <v>#REF!</v>
      </c>
      <c r="C18" t="e">
        <f>C17*$J$2*10^9</f>
        <v>#REF!</v>
      </c>
      <c r="D18" t="e">
        <f t="shared" ref="D18:I18" si="1">D17*$J$2*10^9</f>
        <v>#REF!</v>
      </c>
      <c r="E18" t="e">
        <f t="shared" si="1"/>
        <v>#REF!</v>
      </c>
      <c r="F18" t="e">
        <f t="shared" si="1"/>
        <v>#REF!</v>
      </c>
      <c r="G18" t="e">
        <f t="shared" si="1"/>
        <v>#REF!</v>
      </c>
      <c r="H18" t="e">
        <f t="shared" si="1"/>
        <v>#REF!</v>
      </c>
      <c r="I18" t="e">
        <f t="shared" si="1"/>
        <v>#REF!</v>
      </c>
    </row>
    <row r="19" spans="1:9">
      <c r="A19" t="s">
        <v>60</v>
      </c>
      <c r="B19" t="e">
        <f>B18/B16</f>
        <v>#REF!</v>
      </c>
      <c r="C19" t="e">
        <f>C18/C16</f>
        <v>#REF!</v>
      </c>
      <c r="D19" t="e">
        <f t="shared" ref="D19:I19" si="2">D18/D16</f>
        <v>#REF!</v>
      </c>
      <c r="E19" t="e">
        <f t="shared" si="2"/>
        <v>#REF!</v>
      </c>
      <c r="F19" t="e">
        <f t="shared" si="2"/>
        <v>#REF!</v>
      </c>
      <c r="G19" t="e">
        <f t="shared" si="2"/>
        <v>#REF!</v>
      </c>
      <c r="H19" t="e">
        <f t="shared" si="2"/>
        <v>#REF!</v>
      </c>
      <c r="I19" t="e">
        <f t="shared" si="2"/>
        <v>#REF!</v>
      </c>
    </row>
    <row r="29" spans="1:9">
      <c r="B29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60F26-CBEF-4E25-97CF-4DDEE880996E}">
  <dimension ref="A1:AH17"/>
  <sheetViews>
    <sheetView workbookViewId="0">
      <selection activeCell="D24" sqref="D24"/>
    </sheetView>
  </sheetViews>
  <sheetFormatPr defaultRowHeight="15"/>
  <sheetData>
    <row r="1" spans="1:34">
      <c r="A1" s="1" t="s">
        <v>103</v>
      </c>
    </row>
    <row r="2" spans="1:34">
      <c r="A2" t="s">
        <v>99</v>
      </c>
      <c r="B2">
        <v>2018</v>
      </c>
      <c r="C2">
        <v>2019</v>
      </c>
      <c r="D2">
        <v>2020</v>
      </c>
      <c r="E2">
        <v>2021</v>
      </c>
      <c r="F2">
        <v>2022</v>
      </c>
      <c r="G2">
        <v>2023</v>
      </c>
      <c r="H2">
        <v>2024</v>
      </c>
      <c r="I2">
        <v>2025</v>
      </c>
      <c r="J2">
        <v>2026</v>
      </c>
      <c r="K2">
        <v>2027</v>
      </c>
      <c r="L2">
        <v>2028</v>
      </c>
      <c r="M2">
        <v>2029</v>
      </c>
      <c r="N2">
        <v>2030</v>
      </c>
      <c r="O2">
        <v>2031</v>
      </c>
      <c r="P2">
        <v>2032</v>
      </c>
      <c r="Q2">
        <v>2033</v>
      </c>
      <c r="R2">
        <v>2034</v>
      </c>
      <c r="S2">
        <v>2035</v>
      </c>
      <c r="T2">
        <v>2036</v>
      </c>
      <c r="U2">
        <v>2037</v>
      </c>
      <c r="V2">
        <v>2038</v>
      </c>
      <c r="W2">
        <v>2039</v>
      </c>
      <c r="X2">
        <v>2040</v>
      </c>
      <c r="Y2">
        <v>2041</v>
      </c>
      <c r="Z2">
        <v>2042</v>
      </c>
      <c r="AA2">
        <v>2043</v>
      </c>
      <c r="AB2">
        <v>2044</v>
      </c>
      <c r="AC2">
        <v>2045</v>
      </c>
      <c r="AD2">
        <v>2046</v>
      </c>
      <c r="AE2">
        <v>2047</v>
      </c>
      <c r="AF2">
        <v>2048</v>
      </c>
      <c r="AG2">
        <v>2049</v>
      </c>
      <c r="AH2">
        <v>2050</v>
      </c>
    </row>
    <row r="3" spans="1:34">
      <c r="A3" t="s">
        <v>16</v>
      </c>
      <c r="B3">
        <v>4</v>
      </c>
      <c r="C3">
        <v>4</v>
      </c>
      <c r="D3">
        <v>4</v>
      </c>
      <c r="E3">
        <v>4</v>
      </c>
      <c r="F3">
        <v>4</v>
      </c>
      <c r="G3">
        <v>4</v>
      </c>
      <c r="H3">
        <v>4</v>
      </c>
      <c r="I3">
        <v>4</v>
      </c>
      <c r="J3">
        <v>4</v>
      </c>
      <c r="K3">
        <v>4</v>
      </c>
      <c r="L3">
        <v>4</v>
      </c>
      <c r="M3">
        <v>4</v>
      </c>
      <c r="N3">
        <v>4</v>
      </c>
      <c r="O3">
        <v>4</v>
      </c>
      <c r="P3">
        <v>4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  <c r="W3">
        <v>4</v>
      </c>
      <c r="X3">
        <v>4</v>
      </c>
      <c r="Y3">
        <v>4</v>
      </c>
      <c r="Z3">
        <v>4</v>
      </c>
      <c r="AA3">
        <v>4</v>
      </c>
      <c r="AB3">
        <v>4</v>
      </c>
      <c r="AC3">
        <v>4</v>
      </c>
      <c r="AD3">
        <v>4</v>
      </c>
      <c r="AE3">
        <v>4</v>
      </c>
      <c r="AF3">
        <v>4</v>
      </c>
      <c r="AG3">
        <v>4</v>
      </c>
      <c r="AH3">
        <v>4</v>
      </c>
    </row>
    <row r="4" spans="1:34">
      <c r="A4" t="s">
        <v>9</v>
      </c>
      <c r="B4">
        <v>45</v>
      </c>
      <c r="C4">
        <v>45</v>
      </c>
      <c r="D4">
        <v>45</v>
      </c>
      <c r="E4">
        <v>45</v>
      </c>
      <c r="F4">
        <v>45</v>
      </c>
      <c r="G4">
        <v>45</v>
      </c>
      <c r="H4">
        <v>45</v>
      </c>
      <c r="I4">
        <v>45</v>
      </c>
      <c r="J4">
        <v>45</v>
      </c>
      <c r="K4">
        <v>45</v>
      </c>
      <c r="L4">
        <v>45</v>
      </c>
      <c r="M4">
        <v>45</v>
      </c>
      <c r="N4">
        <v>45</v>
      </c>
      <c r="O4">
        <v>45</v>
      </c>
      <c r="P4">
        <v>45</v>
      </c>
      <c r="Q4">
        <v>45</v>
      </c>
      <c r="R4">
        <v>45</v>
      </c>
      <c r="S4">
        <v>45</v>
      </c>
      <c r="T4">
        <v>45</v>
      </c>
      <c r="U4">
        <v>45</v>
      </c>
      <c r="V4">
        <v>45</v>
      </c>
      <c r="W4">
        <v>45</v>
      </c>
      <c r="X4">
        <v>45</v>
      </c>
      <c r="Y4">
        <v>45</v>
      </c>
      <c r="Z4">
        <v>45</v>
      </c>
      <c r="AA4">
        <v>45</v>
      </c>
      <c r="AB4">
        <v>45</v>
      </c>
      <c r="AC4">
        <v>45</v>
      </c>
      <c r="AD4">
        <v>45</v>
      </c>
      <c r="AE4">
        <v>45</v>
      </c>
      <c r="AF4">
        <v>45</v>
      </c>
      <c r="AG4">
        <v>45</v>
      </c>
      <c r="AH4">
        <v>45</v>
      </c>
    </row>
    <row r="5" spans="1:34">
      <c r="A5" t="s">
        <v>8</v>
      </c>
      <c r="B5">
        <v>180</v>
      </c>
      <c r="C5">
        <v>180</v>
      </c>
      <c r="D5">
        <v>180</v>
      </c>
      <c r="E5">
        <v>180</v>
      </c>
      <c r="F5">
        <v>180</v>
      </c>
      <c r="G5">
        <v>180</v>
      </c>
      <c r="H5">
        <v>180</v>
      </c>
      <c r="I5">
        <v>180</v>
      </c>
      <c r="J5">
        <v>180</v>
      </c>
      <c r="K5">
        <v>180</v>
      </c>
      <c r="L5">
        <v>180</v>
      </c>
      <c r="M5">
        <v>180</v>
      </c>
      <c r="N5">
        <v>180</v>
      </c>
      <c r="O5">
        <v>180</v>
      </c>
      <c r="P5">
        <v>180</v>
      </c>
      <c r="Q5">
        <v>180</v>
      </c>
      <c r="R5">
        <v>180</v>
      </c>
      <c r="S5">
        <v>180</v>
      </c>
      <c r="T5">
        <v>180</v>
      </c>
      <c r="U5">
        <v>180</v>
      </c>
      <c r="V5">
        <v>180</v>
      </c>
      <c r="W5">
        <v>180</v>
      </c>
      <c r="X5">
        <v>180</v>
      </c>
      <c r="Y5">
        <v>180</v>
      </c>
      <c r="Z5">
        <v>180</v>
      </c>
      <c r="AA5">
        <v>180</v>
      </c>
      <c r="AB5">
        <v>180</v>
      </c>
      <c r="AC5">
        <v>180</v>
      </c>
      <c r="AD5">
        <v>180</v>
      </c>
      <c r="AE5">
        <v>180</v>
      </c>
      <c r="AF5">
        <v>180</v>
      </c>
      <c r="AG5">
        <v>180</v>
      </c>
      <c r="AH5">
        <v>180</v>
      </c>
    </row>
    <row r="6" spans="1:34">
      <c r="A6" t="s">
        <v>17</v>
      </c>
      <c r="B6">
        <v>1000</v>
      </c>
      <c r="C6">
        <v>1000</v>
      </c>
      <c r="D6">
        <v>1000</v>
      </c>
      <c r="E6">
        <v>1000</v>
      </c>
      <c r="F6">
        <v>1000</v>
      </c>
      <c r="G6">
        <v>1000</v>
      </c>
      <c r="H6">
        <v>1000</v>
      </c>
      <c r="I6">
        <v>1000</v>
      </c>
      <c r="J6">
        <v>1000</v>
      </c>
      <c r="K6">
        <v>1000</v>
      </c>
      <c r="L6">
        <v>1000</v>
      </c>
      <c r="M6">
        <v>1000</v>
      </c>
      <c r="N6">
        <v>1000</v>
      </c>
      <c r="O6">
        <v>1000</v>
      </c>
      <c r="P6">
        <v>1000</v>
      </c>
      <c r="Q6">
        <v>1000</v>
      </c>
      <c r="R6">
        <v>1000</v>
      </c>
      <c r="S6">
        <v>1000</v>
      </c>
      <c r="T6">
        <v>1000</v>
      </c>
      <c r="U6">
        <v>1000</v>
      </c>
      <c r="V6">
        <v>1000</v>
      </c>
      <c r="W6">
        <v>1000</v>
      </c>
      <c r="X6">
        <v>1000</v>
      </c>
      <c r="Y6">
        <v>1000</v>
      </c>
      <c r="Z6">
        <v>1000</v>
      </c>
      <c r="AA6">
        <v>1000</v>
      </c>
      <c r="AB6">
        <v>1000</v>
      </c>
      <c r="AC6">
        <v>1000</v>
      </c>
      <c r="AD6">
        <v>1000</v>
      </c>
      <c r="AE6">
        <v>1000</v>
      </c>
      <c r="AF6">
        <v>1000</v>
      </c>
      <c r="AG6">
        <v>1000</v>
      </c>
      <c r="AH6">
        <v>1000</v>
      </c>
    </row>
    <row r="7" spans="1:34">
      <c r="A7" t="s">
        <v>18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3</v>
      </c>
      <c r="AE7">
        <v>3</v>
      </c>
      <c r="AF7">
        <v>3</v>
      </c>
      <c r="AG7">
        <v>3</v>
      </c>
      <c r="AH7">
        <v>3</v>
      </c>
    </row>
    <row r="8" spans="1:34">
      <c r="A8" t="s">
        <v>19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  <c r="P8">
        <v>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  <c r="W8">
        <v>2</v>
      </c>
      <c r="X8">
        <v>2</v>
      </c>
      <c r="Y8">
        <v>2</v>
      </c>
      <c r="Z8">
        <v>2</v>
      </c>
      <c r="AA8">
        <v>2</v>
      </c>
      <c r="AB8">
        <v>2</v>
      </c>
      <c r="AC8">
        <v>2</v>
      </c>
      <c r="AD8">
        <v>2</v>
      </c>
      <c r="AE8">
        <v>2</v>
      </c>
      <c r="AF8">
        <v>2</v>
      </c>
      <c r="AG8">
        <v>2</v>
      </c>
      <c r="AH8">
        <v>2</v>
      </c>
    </row>
    <row r="10" spans="1:34">
      <c r="A10" s="1" t="s">
        <v>104</v>
      </c>
    </row>
    <row r="11" spans="1:34">
      <c r="A11" t="s">
        <v>100</v>
      </c>
      <c r="B11">
        <v>2018</v>
      </c>
      <c r="C11">
        <v>2019</v>
      </c>
      <c r="D11">
        <v>2020</v>
      </c>
      <c r="E11">
        <v>2021</v>
      </c>
      <c r="F11">
        <v>2022</v>
      </c>
      <c r="G11">
        <v>2023</v>
      </c>
      <c r="H11">
        <v>2024</v>
      </c>
      <c r="I11">
        <v>2025</v>
      </c>
      <c r="J11">
        <v>2026</v>
      </c>
      <c r="K11">
        <v>2027</v>
      </c>
      <c r="L11">
        <v>2028</v>
      </c>
      <c r="M11">
        <v>2029</v>
      </c>
      <c r="N11">
        <v>2030</v>
      </c>
      <c r="O11">
        <v>2031</v>
      </c>
      <c r="P11">
        <v>2032</v>
      </c>
      <c r="Q11">
        <v>2033</v>
      </c>
      <c r="R11">
        <v>2034</v>
      </c>
      <c r="S11">
        <v>2035</v>
      </c>
      <c r="T11">
        <v>2036</v>
      </c>
      <c r="U11">
        <v>2037</v>
      </c>
      <c r="V11">
        <v>2038</v>
      </c>
      <c r="W11">
        <v>2039</v>
      </c>
      <c r="X11">
        <v>2040</v>
      </c>
      <c r="Y11">
        <v>2041</v>
      </c>
      <c r="Z11">
        <v>2042</v>
      </c>
      <c r="AA11">
        <v>2043</v>
      </c>
      <c r="AB11">
        <v>2044</v>
      </c>
      <c r="AC11">
        <v>2045</v>
      </c>
      <c r="AD11">
        <v>2046</v>
      </c>
      <c r="AE11">
        <v>2047</v>
      </c>
      <c r="AF11">
        <v>2048</v>
      </c>
      <c r="AG11">
        <v>2049</v>
      </c>
      <c r="AH11">
        <v>2050</v>
      </c>
    </row>
    <row r="12" spans="1:34">
      <c r="A12" t="s">
        <v>16</v>
      </c>
      <c r="B12">
        <v>1.7</v>
      </c>
      <c r="C12">
        <v>1.7</v>
      </c>
      <c r="D12">
        <v>1.7</v>
      </c>
      <c r="E12">
        <v>1.7</v>
      </c>
      <c r="F12">
        <v>1.7</v>
      </c>
      <c r="G12">
        <v>1.7</v>
      </c>
      <c r="H12">
        <v>1.7</v>
      </c>
      <c r="I12">
        <v>1.7</v>
      </c>
      <c r="J12">
        <v>1.7</v>
      </c>
      <c r="K12">
        <v>1.7</v>
      </c>
      <c r="L12">
        <v>1.7</v>
      </c>
      <c r="M12">
        <v>1.7</v>
      </c>
      <c r="N12">
        <v>1.7</v>
      </c>
      <c r="O12">
        <v>1.7</v>
      </c>
      <c r="P12">
        <v>1.7</v>
      </c>
      <c r="Q12">
        <v>1.7</v>
      </c>
      <c r="R12">
        <v>1.7</v>
      </c>
      <c r="S12">
        <v>1.7</v>
      </c>
      <c r="T12">
        <v>1.7</v>
      </c>
      <c r="U12">
        <v>1.7</v>
      </c>
      <c r="V12">
        <v>1.7</v>
      </c>
      <c r="W12">
        <v>1.7</v>
      </c>
      <c r="X12">
        <v>1.7</v>
      </c>
      <c r="Y12">
        <v>1.7</v>
      </c>
      <c r="Z12">
        <v>1.7</v>
      </c>
      <c r="AA12">
        <v>1.7</v>
      </c>
      <c r="AB12">
        <v>1.7</v>
      </c>
      <c r="AC12">
        <v>1.7</v>
      </c>
      <c r="AD12">
        <v>1.7</v>
      </c>
      <c r="AE12">
        <v>1.7</v>
      </c>
      <c r="AF12">
        <v>1.7</v>
      </c>
      <c r="AG12">
        <v>1.7</v>
      </c>
      <c r="AH12">
        <v>1.7</v>
      </c>
    </row>
    <row r="13" spans="1:34">
      <c r="A13" t="s">
        <v>9</v>
      </c>
      <c r="B13">
        <v>6.0999999999999979</v>
      </c>
      <c r="C13">
        <v>6.0999999999999979</v>
      </c>
      <c r="D13">
        <v>6.0999999999999979</v>
      </c>
      <c r="E13">
        <v>6.0999999999999979</v>
      </c>
      <c r="F13">
        <v>6.0999999999999979</v>
      </c>
      <c r="G13">
        <v>6.0999999999999979</v>
      </c>
      <c r="H13">
        <v>6.0999999999999979</v>
      </c>
      <c r="I13">
        <v>6.0999999999999979</v>
      </c>
      <c r="J13">
        <v>6.0999999999999979</v>
      </c>
      <c r="K13">
        <v>6.0999999999999979</v>
      </c>
      <c r="L13">
        <v>6.0999999999999979</v>
      </c>
      <c r="M13">
        <v>6.0999999999999979</v>
      </c>
      <c r="N13">
        <v>6.0999999999999979</v>
      </c>
      <c r="O13">
        <v>6.0999999999999979</v>
      </c>
      <c r="P13">
        <v>6.0999999999999979</v>
      </c>
      <c r="Q13">
        <v>6.0999999999999979</v>
      </c>
      <c r="R13">
        <v>6.0999999999999979</v>
      </c>
      <c r="S13">
        <v>6.0999999999999979</v>
      </c>
      <c r="T13">
        <v>6.0999999999999979</v>
      </c>
      <c r="U13">
        <v>6.0999999999999979</v>
      </c>
      <c r="V13">
        <v>6.0999999999999979</v>
      </c>
      <c r="W13">
        <v>6.0999999999999979</v>
      </c>
      <c r="X13">
        <v>6.0999999999999979</v>
      </c>
      <c r="Y13">
        <v>6.0999999999999979</v>
      </c>
      <c r="Z13">
        <v>6.0999999999999979</v>
      </c>
      <c r="AA13">
        <v>6.0999999999999979</v>
      </c>
      <c r="AB13">
        <v>6.0999999999999979</v>
      </c>
      <c r="AC13">
        <v>6.0999999999999979</v>
      </c>
      <c r="AD13">
        <v>6.0999999999999979</v>
      </c>
      <c r="AE13">
        <v>6.0999999999999979</v>
      </c>
      <c r="AF13">
        <v>6.0999999999999979</v>
      </c>
      <c r="AG13">
        <v>6.0999999999999979</v>
      </c>
      <c r="AH13">
        <v>6.0999999999999979</v>
      </c>
    </row>
    <row r="14" spans="1:34">
      <c r="A14" t="s">
        <v>8</v>
      </c>
      <c r="B14">
        <v>17.34</v>
      </c>
      <c r="C14">
        <v>17.34</v>
      </c>
      <c r="D14">
        <v>17.34</v>
      </c>
      <c r="E14">
        <v>17.34</v>
      </c>
      <c r="F14">
        <v>17.34</v>
      </c>
      <c r="G14">
        <v>17.34</v>
      </c>
      <c r="H14">
        <v>17.34</v>
      </c>
      <c r="I14">
        <v>17.34</v>
      </c>
      <c r="J14">
        <v>17.34</v>
      </c>
      <c r="K14">
        <v>17.34</v>
      </c>
      <c r="L14">
        <v>17.34</v>
      </c>
      <c r="M14">
        <v>17.34</v>
      </c>
      <c r="N14">
        <v>17.34</v>
      </c>
      <c r="O14">
        <v>17.34</v>
      </c>
      <c r="P14">
        <v>17.34</v>
      </c>
      <c r="Q14">
        <v>17.34</v>
      </c>
      <c r="R14">
        <v>17.34</v>
      </c>
      <c r="S14">
        <v>17.34</v>
      </c>
      <c r="T14">
        <v>17.34</v>
      </c>
      <c r="U14">
        <v>17.34</v>
      </c>
      <c r="V14">
        <v>17.34</v>
      </c>
      <c r="W14">
        <v>17.34</v>
      </c>
      <c r="X14">
        <v>17.34</v>
      </c>
      <c r="Y14">
        <v>17.34</v>
      </c>
      <c r="Z14">
        <v>17.34</v>
      </c>
      <c r="AA14">
        <v>17.34</v>
      </c>
      <c r="AB14">
        <v>17.34</v>
      </c>
      <c r="AC14">
        <v>17.34</v>
      </c>
      <c r="AD14">
        <v>17.34</v>
      </c>
      <c r="AE14">
        <v>17.34</v>
      </c>
      <c r="AF14">
        <v>17.34</v>
      </c>
      <c r="AG14">
        <v>17.34</v>
      </c>
      <c r="AH14">
        <v>17.34</v>
      </c>
    </row>
    <row r="15" spans="1:34">
      <c r="A15" t="s">
        <v>17</v>
      </c>
      <c r="B15">
        <v>2830</v>
      </c>
      <c r="C15">
        <v>2830</v>
      </c>
      <c r="D15">
        <v>2830</v>
      </c>
      <c r="E15">
        <v>2830</v>
      </c>
      <c r="F15">
        <v>2830</v>
      </c>
      <c r="G15">
        <v>2830</v>
      </c>
      <c r="H15">
        <v>2830</v>
      </c>
      <c r="I15">
        <v>2830</v>
      </c>
      <c r="J15">
        <v>2830</v>
      </c>
      <c r="K15">
        <v>2830</v>
      </c>
      <c r="L15">
        <v>2830</v>
      </c>
      <c r="M15">
        <v>2830</v>
      </c>
      <c r="N15">
        <v>2830</v>
      </c>
      <c r="O15">
        <v>2830</v>
      </c>
      <c r="P15">
        <v>2830</v>
      </c>
      <c r="Q15">
        <v>2830</v>
      </c>
      <c r="R15">
        <v>2830</v>
      </c>
      <c r="S15">
        <v>2830</v>
      </c>
      <c r="T15">
        <v>2830</v>
      </c>
      <c r="U15">
        <v>2830</v>
      </c>
      <c r="V15">
        <v>2830</v>
      </c>
      <c r="W15">
        <v>2830</v>
      </c>
      <c r="X15">
        <v>2830</v>
      </c>
      <c r="Y15">
        <v>2830</v>
      </c>
      <c r="Z15">
        <v>2830</v>
      </c>
      <c r="AA15">
        <v>2830</v>
      </c>
      <c r="AB15">
        <v>2830</v>
      </c>
      <c r="AC15">
        <v>2830</v>
      </c>
      <c r="AD15">
        <v>2830</v>
      </c>
      <c r="AE15">
        <v>2830</v>
      </c>
      <c r="AF15">
        <v>2830</v>
      </c>
      <c r="AG15">
        <v>2830</v>
      </c>
      <c r="AH15">
        <v>2830</v>
      </c>
    </row>
    <row r="16" spans="1:34">
      <c r="A16" t="s">
        <v>18</v>
      </c>
      <c r="B16">
        <v>1974.4736422180429</v>
      </c>
      <c r="C16">
        <v>1974.4736422180429</v>
      </c>
      <c r="D16">
        <v>1974.4736422180429</v>
      </c>
      <c r="E16">
        <v>1974.4736422180429</v>
      </c>
      <c r="F16">
        <v>1974.4736422180429</v>
      </c>
      <c r="G16">
        <v>1974.4736422180429</v>
      </c>
      <c r="H16">
        <v>1974.4736422180429</v>
      </c>
      <c r="I16">
        <v>1974.4736422180429</v>
      </c>
      <c r="J16">
        <v>1974.4736422180429</v>
      </c>
      <c r="K16">
        <v>1974.4736422180429</v>
      </c>
      <c r="L16">
        <v>1974.4736422180429</v>
      </c>
      <c r="M16">
        <v>1974.4736422180429</v>
      </c>
      <c r="N16">
        <v>1974.4736422180429</v>
      </c>
      <c r="O16">
        <v>1974.4736422180429</v>
      </c>
      <c r="P16">
        <v>1974.4736422180429</v>
      </c>
      <c r="Q16">
        <v>1974.4736422180429</v>
      </c>
      <c r="R16">
        <v>1974.4736422180429</v>
      </c>
      <c r="S16">
        <v>1974.4736422180429</v>
      </c>
      <c r="T16">
        <v>1974.4736422180429</v>
      </c>
      <c r="U16">
        <v>1974.4736422180429</v>
      </c>
      <c r="V16">
        <v>1974.4736422180429</v>
      </c>
      <c r="W16">
        <v>1974.4736422180429</v>
      </c>
      <c r="X16">
        <v>1974.4736422180429</v>
      </c>
      <c r="Y16">
        <v>1974.4736422180429</v>
      </c>
      <c r="Z16">
        <v>1974.4736422180429</v>
      </c>
      <c r="AA16">
        <v>1974.4736422180429</v>
      </c>
      <c r="AB16">
        <v>1974.4736422180429</v>
      </c>
      <c r="AC16">
        <v>1974.4736422180429</v>
      </c>
      <c r="AD16">
        <v>1974.4736422180429</v>
      </c>
      <c r="AE16">
        <v>1974.4736422180429</v>
      </c>
      <c r="AF16">
        <v>1974.4736422180429</v>
      </c>
      <c r="AG16">
        <v>1974.4736422180429</v>
      </c>
      <c r="AH16">
        <v>1974.4736422180429</v>
      </c>
    </row>
    <row r="17" spans="1:34">
      <c r="A17" t="s">
        <v>19</v>
      </c>
      <c r="B17">
        <v>2</v>
      </c>
      <c r="C17">
        <v>2</v>
      </c>
      <c r="D17">
        <v>2</v>
      </c>
      <c r="E17">
        <v>2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  <c r="P17">
        <v>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  <c r="W17">
        <v>2</v>
      </c>
      <c r="X17">
        <v>2</v>
      </c>
      <c r="Y17">
        <v>2</v>
      </c>
      <c r="Z17">
        <v>2</v>
      </c>
      <c r="AA17">
        <v>2</v>
      </c>
      <c r="AB17">
        <v>2</v>
      </c>
      <c r="AC17">
        <v>2</v>
      </c>
      <c r="AD17">
        <v>2</v>
      </c>
      <c r="AE17">
        <v>2</v>
      </c>
      <c r="AF17">
        <v>2</v>
      </c>
      <c r="AG17">
        <v>2</v>
      </c>
      <c r="AH1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D5B7F-4885-4734-91C4-03080DF039AC}">
  <dimension ref="A1:H17"/>
  <sheetViews>
    <sheetView workbookViewId="0">
      <selection activeCell="A11" sqref="A11:XFD17"/>
    </sheetView>
  </sheetViews>
  <sheetFormatPr defaultRowHeight="15"/>
  <sheetData>
    <row r="1" spans="1:8">
      <c r="A1" s="17" t="s">
        <v>103</v>
      </c>
    </row>
    <row r="2" spans="1:8">
      <c r="A2" t="s">
        <v>102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46</v>
      </c>
      <c r="H2" t="s">
        <v>47</v>
      </c>
    </row>
    <row r="3" spans="1:8">
      <c r="A3" t="s">
        <v>16</v>
      </c>
      <c r="B3">
        <v>564265.78084453323</v>
      </c>
      <c r="C3">
        <v>778616.81094992685</v>
      </c>
      <c r="D3">
        <v>21025879.982784294</v>
      </c>
      <c r="E3">
        <v>6612253.5329901455</v>
      </c>
      <c r="F3">
        <v>0</v>
      </c>
      <c r="G3">
        <v>778616.81094992685</v>
      </c>
      <c r="H3">
        <v>0</v>
      </c>
    </row>
    <row r="4" spans="1:8">
      <c r="A4" t="s">
        <v>9</v>
      </c>
      <c r="B4">
        <v>8406.8117715651679</v>
      </c>
      <c r="C4">
        <v>26670.91749354481</v>
      </c>
      <c r="D4">
        <v>0</v>
      </c>
      <c r="E4">
        <v>1928772.027221299</v>
      </c>
      <c r="F4">
        <v>0</v>
      </c>
      <c r="G4">
        <v>0</v>
      </c>
      <c r="H4">
        <v>0</v>
      </c>
    </row>
    <row r="5" spans="1:8">
      <c r="A5" t="s">
        <v>8</v>
      </c>
      <c r="B5">
        <v>0</v>
      </c>
      <c r="C5">
        <v>0</v>
      </c>
      <c r="D5">
        <v>0</v>
      </c>
      <c r="E5">
        <v>551.23453630236327</v>
      </c>
      <c r="F5">
        <v>0</v>
      </c>
      <c r="G5">
        <v>0</v>
      </c>
      <c r="H5">
        <v>0</v>
      </c>
    </row>
    <row r="6" spans="1:8">
      <c r="A6" t="s">
        <v>17</v>
      </c>
      <c r="B6">
        <v>3240.4386067881537</v>
      </c>
      <c r="C6">
        <v>0</v>
      </c>
      <c r="D6">
        <v>0</v>
      </c>
      <c r="E6">
        <v>3100.928529783575</v>
      </c>
      <c r="F6">
        <v>0</v>
      </c>
      <c r="G6">
        <v>0</v>
      </c>
      <c r="H6">
        <v>0</v>
      </c>
    </row>
    <row r="7" spans="1:8">
      <c r="A7" t="s">
        <v>18</v>
      </c>
      <c r="B7">
        <v>85015.007340487005</v>
      </c>
      <c r="C7">
        <v>75680.605569225139</v>
      </c>
      <c r="D7">
        <v>0</v>
      </c>
      <c r="E7">
        <v>2559784.6219858723</v>
      </c>
      <c r="F7">
        <v>0</v>
      </c>
      <c r="G7">
        <v>0</v>
      </c>
      <c r="H7">
        <v>0</v>
      </c>
    </row>
    <row r="8" spans="1:8">
      <c r="A8" t="s">
        <v>19</v>
      </c>
      <c r="B8">
        <v>7487182.6612117011</v>
      </c>
      <c r="C8">
        <v>0</v>
      </c>
      <c r="D8">
        <v>181871805.17837322</v>
      </c>
      <c r="E8">
        <v>0</v>
      </c>
      <c r="F8">
        <v>0</v>
      </c>
      <c r="G8">
        <v>0</v>
      </c>
      <c r="H8">
        <v>0</v>
      </c>
    </row>
    <row r="10" spans="1:8">
      <c r="A10" s="17" t="s">
        <v>104</v>
      </c>
    </row>
    <row r="11" spans="1:8" s="20" customFormat="1" ht="45">
      <c r="A11" s="18" t="s">
        <v>102</v>
      </c>
      <c r="B11" s="19" t="s">
        <v>3</v>
      </c>
      <c r="C11" s="19" t="s">
        <v>4</v>
      </c>
      <c r="D11" s="19" t="s">
        <v>5</v>
      </c>
      <c r="E11" s="19" t="s">
        <v>6</v>
      </c>
      <c r="F11" s="19" t="s">
        <v>7</v>
      </c>
      <c r="G11" s="19" t="s">
        <v>46</v>
      </c>
      <c r="H11" s="19" t="s">
        <v>47</v>
      </c>
    </row>
    <row r="12" spans="1:8" s="20" customFormat="1">
      <c r="A12" s="20" t="s">
        <v>16</v>
      </c>
      <c r="B12" s="20">
        <v>0</v>
      </c>
      <c r="C12" s="20">
        <v>0</v>
      </c>
      <c r="D12" s="20">
        <v>0</v>
      </c>
      <c r="E12" s="20">
        <v>3091878.5080698477</v>
      </c>
      <c r="F12" s="20">
        <v>0</v>
      </c>
      <c r="G12" s="20">
        <v>0</v>
      </c>
      <c r="H12" s="20">
        <v>0</v>
      </c>
    </row>
    <row r="13" spans="1:8" s="20" customFormat="1">
      <c r="A13" s="20" t="s">
        <v>9</v>
      </c>
      <c r="B13" s="20">
        <v>0</v>
      </c>
      <c r="C13" s="20">
        <v>0</v>
      </c>
      <c r="D13" s="20">
        <v>0</v>
      </c>
      <c r="E13" s="20">
        <v>6177534.8826565482</v>
      </c>
      <c r="F13" s="20">
        <v>0</v>
      </c>
      <c r="G13" s="20">
        <v>0</v>
      </c>
      <c r="H13" s="20">
        <v>0</v>
      </c>
    </row>
    <row r="14" spans="1:8" s="20" customFormat="1">
      <c r="A14" s="20" t="s">
        <v>8</v>
      </c>
      <c r="B14" s="20">
        <v>0</v>
      </c>
      <c r="C14" s="20">
        <v>0</v>
      </c>
      <c r="D14" s="20">
        <v>0</v>
      </c>
      <c r="E14" s="21">
        <v>68.765463697636719</v>
      </c>
      <c r="F14" s="20">
        <v>0</v>
      </c>
      <c r="G14" s="22">
        <v>0</v>
      </c>
      <c r="H14" s="20">
        <v>0</v>
      </c>
    </row>
    <row r="15" spans="1:8" s="20" customFormat="1">
      <c r="A15" s="20" t="s">
        <v>17</v>
      </c>
      <c r="B15" s="21">
        <v>3629.5489299213236</v>
      </c>
      <c r="C15" s="20">
        <v>0</v>
      </c>
      <c r="D15" s="20">
        <v>0</v>
      </c>
      <c r="E15" s="21">
        <v>1793.083933506947</v>
      </c>
      <c r="F15" s="20">
        <v>0</v>
      </c>
      <c r="G15" s="21">
        <v>0</v>
      </c>
      <c r="H15" s="20">
        <v>0</v>
      </c>
    </row>
    <row r="16" spans="1:8" s="20" customFormat="1">
      <c r="A16" s="20" t="s">
        <v>18</v>
      </c>
      <c r="B16" s="20">
        <v>0</v>
      </c>
      <c r="C16" s="20">
        <v>0</v>
      </c>
      <c r="D16" s="20">
        <v>0</v>
      </c>
      <c r="E16" s="21">
        <v>1200</v>
      </c>
      <c r="F16" s="20">
        <v>0</v>
      </c>
      <c r="G16" s="21">
        <v>0</v>
      </c>
      <c r="H16" s="20">
        <v>0</v>
      </c>
    </row>
    <row r="17" spans="1:8" s="20" customFormat="1">
      <c r="A17" s="20" t="s">
        <v>19</v>
      </c>
      <c r="B17" s="21">
        <v>293883.8740396616</v>
      </c>
      <c r="C17" s="21">
        <v>984569.0752262657</v>
      </c>
      <c r="D17" s="21">
        <v>3483068.1367663592</v>
      </c>
      <c r="E17" s="21">
        <v>3191643.3756608581</v>
      </c>
      <c r="F17" s="21">
        <v>0</v>
      </c>
      <c r="G17" s="21">
        <v>754505.88022275467</v>
      </c>
      <c r="H17" s="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46FD9-A7F0-4310-A3C5-F91181AB85EB}">
  <dimension ref="A1:AJ17"/>
  <sheetViews>
    <sheetView workbookViewId="0">
      <selection sqref="A1:XFD17"/>
    </sheetView>
  </sheetViews>
  <sheetFormatPr defaultRowHeight="15"/>
  <sheetData>
    <row r="1" spans="1:36">
      <c r="A1" s="17" t="s">
        <v>103</v>
      </c>
    </row>
    <row r="2" spans="1:36">
      <c r="A2" t="s">
        <v>101</v>
      </c>
      <c r="B2">
        <v>2016</v>
      </c>
      <c r="C2">
        <v>2017</v>
      </c>
      <c r="D2">
        <v>2018</v>
      </c>
      <c r="E2">
        <v>2019</v>
      </c>
      <c r="F2">
        <v>2020</v>
      </c>
      <c r="G2">
        <v>2021</v>
      </c>
      <c r="H2">
        <v>2022</v>
      </c>
      <c r="I2">
        <v>2023</v>
      </c>
      <c r="J2">
        <v>2024</v>
      </c>
      <c r="K2">
        <v>2025</v>
      </c>
      <c r="L2">
        <v>2026</v>
      </c>
      <c r="M2">
        <v>2027</v>
      </c>
      <c r="N2">
        <v>2028</v>
      </c>
      <c r="O2">
        <v>2029</v>
      </c>
      <c r="P2">
        <v>2030</v>
      </c>
      <c r="Q2">
        <v>2031</v>
      </c>
      <c r="R2">
        <v>2032</v>
      </c>
      <c r="S2">
        <v>2033</v>
      </c>
      <c r="T2">
        <v>2034</v>
      </c>
      <c r="U2">
        <v>2035</v>
      </c>
      <c r="V2">
        <v>2036</v>
      </c>
      <c r="W2">
        <v>2037</v>
      </c>
      <c r="X2">
        <v>2038</v>
      </c>
      <c r="Y2">
        <v>2039</v>
      </c>
      <c r="Z2">
        <v>2040</v>
      </c>
      <c r="AA2">
        <v>2041</v>
      </c>
      <c r="AB2">
        <v>2042</v>
      </c>
      <c r="AC2">
        <v>2043</v>
      </c>
      <c r="AD2">
        <v>2044</v>
      </c>
      <c r="AE2">
        <v>2045</v>
      </c>
      <c r="AF2">
        <v>2046</v>
      </c>
      <c r="AG2">
        <v>2047</v>
      </c>
      <c r="AH2">
        <v>2048</v>
      </c>
      <c r="AI2">
        <v>2049</v>
      </c>
      <c r="AJ2">
        <v>2050</v>
      </c>
    </row>
    <row r="3" spans="1:36">
      <c r="A3" t="s">
        <v>16</v>
      </c>
      <c r="B3">
        <v>3909.8878615055551</v>
      </c>
      <c r="C3">
        <v>3909.8878615055551</v>
      </c>
      <c r="D3">
        <v>3909.8878615055551</v>
      </c>
      <c r="E3">
        <v>3909.8878615055551</v>
      </c>
      <c r="F3">
        <v>3909.8878615055551</v>
      </c>
      <c r="G3">
        <v>3909.8878615055551</v>
      </c>
      <c r="H3">
        <v>3909.8878615055551</v>
      </c>
      <c r="I3">
        <v>3909.8878615055551</v>
      </c>
      <c r="J3">
        <v>3909.8878615055551</v>
      </c>
      <c r="K3">
        <v>3909.8878615055551</v>
      </c>
      <c r="L3">
        <v>3909.8878615055551</v>
      </c>
      <c r="M3">
        <v>3909.8878615055551</v>
      </c>
      <c r="N3">
        <v>3909.8878615055551</v>
      </c>
      <c r="O3">
        <v>3909.8878615055551</v>
      </c>
      <c r="P3">
        <v>3909.8878615055551</v>
      </c>
      <c r="Q3">
        <v>3909.8878615055551</v>
      </c>
      <c r="R3">
        <v>3909.8878615055551</v>
      </c>
      <c r="S3">
        <v>3909.8878615055551</v>
      </c>
      <c r="T3">
        <v>3909.8878615055551</v>
      </c>
      <c r="U3">
        <v>3909.8878615055551</v>
      </c>
      <c r="V3">
        <v>3909.8878615055551</v>
      </c>
      <c r="W3">
        <v>3909.8878615055551</v>
      </c>
      <c r="X3">
        <v>3909.8878615055551</v>
      </c>
      <c r="Y3">
        <v>3909.8878615055551</v>
      </c>
      <c r="Z3">
        <v>3909.8878615055551</v>
      </c>
      <c r="AA3">
        <v>3909.8878615055551</v>
      </c>
      <c r="AB3">
        <v>3909.8878615055551</v>
      </c>
      <c r="AC3">
        <v>3909.8878615055551</v>
      </c>
      <c r="AD3">
        <v>3909.8878615055551</v>
      </c>
      <c r="AE3">
        <v>3909.8878615055551</v>
      </c>
      <c r="AF3">
        <v>3909.8878615055551</v>
      </c>
      <c r="AG3">
        <v>3909.8878615055551</v>
      </c>
      <c r="AH3">
        <v>3909.8878615055551</v>
      </c>
      <c r="AI3">
        <v>3909.8878615055551</v>
      </c>
      <c r="AJ3">
        <v>3909.8878615055551</v>
      </c>
    </row>
    <row r="4" spans="1:36">
      <c r="A4" t="s">
        <v>9</v>
      </c>
      <c r="B4">
        <v>41397.728942624504</v>
      </c>
      <c r="C4">
        <v>41397.728942624504</v>
      </c>
      <c r="D4">
        <v>41397.728942624504</v>
      </c>
      <c r="E4">
        <v>41397.728942624504</v>
      </c>
      <c r="F4">
        <v>41397.728942624504</v>
      </c>
      <c r="G4">
        <v>41397.728942624504</v>
      </c>
      <c r="H4">
        <v>41397.728942624504</v>
      </c>
      <c r="I4">
        <v>41397.728942624504</v>
      </c>
      <c r="J4">
        <v>41397.728942624504</v>
      </c>
      <c r="K4">
        <v>41397.728942624504</v>
      </c>
      <c r="L4">
        <v>41397.728942624504</v>
      </c>
      <c r="M4">
        <v>41397.728942624504</v>
      </c>
      <c r="N4">
        <v>41397.728942624504</v>
      </c>
      <c r="O4">
        <v>41397.728942624504</v>
      </c>
      <c r="P4">
        <v>41397.728942624504</v>
      </c>
      <c r="Q4">
        <v>41397.728942624504</v>
      </c>
      <c r="R4">
        <v>41397.728942624504</v>
      </c>
      <c r="S4">
        <v>41397.728942624504</v>
      </c>
      <c r="T4">
        <v>41397.728942624504</v>
      </c>
      <c r="U4">
        <v>41397.728942624504</v>
      </c>
      <c r="V4">
        <v>41397.728942624504</v>
      </c>
      <c r="W4">
        <v>41397.728942624504</v>
      </c>
      <c r="X4">
        <v>41397.728942624504</v>
      </c>
      <c r="Y4">
        <v>41397.728942624504</v>
      </c>
      <c r="Z4">
        <v>41397.728942624504</v>
      </c>
      <c r="AA4">
        <v>41397.728942624504</v>
      </c>
      <c r="AB4">
        <v>41397.728942624504</v>
      </c>
      <c r="AC4">
        <v>41397.728942624504</v>
      </c>
      <c r="AD4">
        <v>41397.728942624504</v>
      </c>
      <c r="AE4">
        <v>41397.728942624504</v>
      </c>
      <c r="AF4">
        <v>41397.728942624504</v>
      </c>
      <c r="AG4">
        <v>41397.728942624504</v>
      </c>
      <c r="AH4">
        <v>41397.728942624504</v>
      </c>
      <c r="AI4">
        <v>41397.728942624504</v>
      </c>
      <c r="AJ4">
        <v>41397.728942624504</v>
      </c>
    </row>
    <row r="5" spans="1:36">
      <c r="A5" t="s">
        <v>8</v>
      </c>
      <c r="B5">
        <v>623403.62485696457</v>
      </c>
      <c r="C5">
        <v>623403.62485696457</v>
      </c>
      <c r="D5">
        <v>623403.62485696457</v>
      </c>
      <c r="E5">
        <v>623403.62485696457</v>
      </c>
      <c r="F5">
        <v>623403.62485696457</v>
      </c>
      <c r="G5">
        <v>623403.62485696457</v>
      </c>
      <c r="H5">
        <v>623403.62485696457</v>
      </c>
      <c r="I5">
        <v>623403.62485696457</v>
      </c>
      <c r="J5">
        <v>623403.62485696457</v>
      </c>
      <c r="K5">
        <v>623403.62485696457</v>
      </c>
      <c r="L5">
        <v>623403.62485696457</v>
      </c>
      <c r="M5">
        <v>623403.62485696457</v>
      </c>
      <c r="N5">
        <v>623403.62485696457</v>
      </c>
      <c r="O5">
        <v>623403.62485696457</v>
      </c>
      <c r="P5">
        <v>623403.62485696457</v>
      </c>
      <c r="Q5">
        <v>623403.62485696457</v>
      </c>
      <c r="R5">
        <v>623403.62485696457</v>
      </c>
      <c r="S5">
        <v>623403.62485696457</v>
      </c>
      <c r="T5">
        <v>623403.62485696457</v>
      </c>
      <c r="U5">
        <v>623403.62485696457</v>
      </c>
      <c r="V5">
        <v>623403.62485696457</v>
      </c>
      <c r="W5">
        <v>623403.62485696457</v>
      </c>
      <c r="X5">
        <v>623403.62485696457</v>
      </c>
      <c r="Y5">
        <v>623403.62485696457</v>
      </c>
      <c r="Z5">
        <v>623403.62485696457</v>
      </c>
      <c r="AA5">
        <v>623403.62485696457</v>
      </c>
      <c r="AB5">
        <v>623403.62485696457</v>
      </c>
      <c r="AC5">
        <v>623403.62485696457</v>
      </c>
      <c r="AD5">
        <v>623403.62485696457</v>
      </c>
      <c r="AE5">
        <v>623403.62485696457</v>
      </c>
      <c r="AF5">
        <v>623403.62485696457</v>
      </c>
      <c r="AG5">
        <v>623403.62485696457</v>
      </c>
      <c r="AH5">
        <v>623403.62485696457</v>
      </c>
      <c r="AI5">
        <v>623403.62485696457</v>
      </c>
      <c r="AJ5">
        <v>623403.62485696457</v>
      </c>
    </row>
    <row r="6" spans="1:36">
      <c r="A6" t="s">
        <v>17</v>
      </c>
      <c r="B6">
        <v>138612.97072030773</v>
      </c>
      <c r="C6">
        <v>138612.97072030773</v>
      </c>
      <c r="D6">
        <v>138612.97072030773</v>
      </c>
      <c r="E6">
        <v>138612.97072030773</v>
      </c>
      <c r="F6">
        <v>138612.97072030773</v>
      </c>
      <c r="G6">
        <v>138612.97072030773</v>
      </c>
      <c r="H6">
        <v>138612.97072030773</v>
      </c>
      <c r="I6">
        <v>138612.97072030773</v>
      </c>
      <c r="J6">
        <v>138612.97072030773</v>
      </c>
      <c r="K6">
        <v>138612.97072030773</v>
      </c>
      <c r="L6">
        <v>138612.97072030773</v>
      </c>
      <c r="M6">
        <v>138612.97072030773</v>
      </c>
      <c r="N6">
        <v>138612.97072030773</v>
      </c>
      <c r="O6">
        <v>138612.97072030773</v>
      </c>
      <c r="P6">
        <v>138612.97072030773</v>
      </c>
      <c r="Q6">
        <v>138612.97072030773</v>
      </c>
      <c r="R6">
        <v>138612.97072030773</v>
      </c>
      <c r="S6">
        <v>138612.97072030773</v>
      </c>
      <c r="T6">
        <v>138612.97072030773</v>
      </c>
      <c r="U6">
        <v>138612.97072030773</v>
      </c>
      <c r="V6">
        <v>138612.97072030773</v>
      </c>
      <c r="W6">
        <v>138612.97072030773</v>
      </c>
      <c r="X6">
        <v>138612.97072030773</v>
      </c>
      <c r="Y6">
        <v>138612.97072030773</v>
      </c>
      <c r="Z6">
        <v>138612.97072030773</v>
      </c>
      <c r="AA6">
        <v>138612.97072030773</v>
      </c>
      <c r="AB6">
        <v>138612.97072030773</v>
      </c>
      <c r="AC6">
        <v>138612.97072030773</v>
      </c>
      <c r="AD6">
        <v>138612.97072030773</v>
      </c>
      <c r="AE6">
        <v>138612.97072030773</v>
      </c>
      <c r="AF6">
        <v>138612.97072030773</v>
      </c>
      <c r="AG6">
        <v>138612.97072030773</v>
      </c>
      <c r="AH6">
        <v>138612.97072030773</v>
      </c>
      <c r="AI6">
        <v>138612.97072030773</v>
      </c>
      <c r="AJ6">
        <v>138612.97072030773</v>
      </c>
    </row>
    <row r="7" spans="1:36">
      <c r="A7" t="s">
        <v>18</v>
      </c>
      <c r="B7">
        <v>14938.61425454353</v>
      </c>
      <c r="C7">
        <v>14938.61425454353</v>
      </c>
      <c r="D7">
        <v>14938.61425454353</v>
      </c>
      <c r="E7">
        <v>14938.61425454353</v>
      </c>
      <c r="F7">
        <v>14938.61425454353</v>
      </c>
      <c r="G7">
        <v>14938.61425454353</v>
      </c>
      <c r="H7">
        <v>14938.61425454353</v>
      </c>
      <c r="I7">
        <v>14938.61425454353</v>
      </c>
      <c r="J7">
        <v>14938.61425454353</v>
      </c>
      <c r="K7">
        <v>14938.61425454353</v>
      </c>
      <c r="L7">
        <v>14938.61425454353</v>
      </c>
      <c r="M7">
        <v>14938.61425454353</v>
      </c>
      <c r="N7">
        <v>14938.61425454353</v>
      </c>
      <c r="O7">
        <v>14938.61425454353</v>
      </c>
      <c r="P7">
        <v>14938.61425454353</v>
      </c>
      <c r="Q7">
        <v>14938.61425454353</v>
      </c>
      <c r="R7">
        <v>14938.61425454353</v>
      </c>
      <c r="S7">
        <v>14938.61425454353</v>
      </c>
      <c r="T7">
        <v>14938.61425454353</v>
      </c>
      <c r="U7">
        <v>14938.61425454353</v>
      </c>
      <c r="V7">
        <v>14938.61425454353</v>
      </c>
      <c r="W7">
        <v>14938.61425454353</v>
      </c>
      <c r="X7">
        <v>14938.61425454353</v>
      </c>
      <c r="Y7">
        <v>14938.61425454353</v>
      </c>
      <c r="Z7">
        <v>14938.61425454353</v>
      </c>
      <c r="AA7">
        <v>14938.61425454353</v>
      </c>
      <c r="AB7">
        <v>14938.61425454353</v>
      </c>
      <c r="AC7">
        <v>14938.61425454353</v>
      </c>
      <c r="AD7">
        <v>14938.61425454353</v>
      </c>
      <c r="AE7">
        <v>14938.61425454353</v>
      </c>
      <c r="AF7">
        <v>14938.61425454353</v>
      </c>
      <c r="AG7">
        <v>14938.61425454353</v>
      </c>
      <c r="AH7">
        <v>14938.61425454353</v>
      </c>
      <c r="AI7">
        <v>14938.61425454353</v>
      </c>
      <c r="AJ7">
        <v>14938.61425454353</v>
      </c>
    </row>
    <row r="8" spans="1:36">
      <c r="A8" t="s">
        <v>19</v>
      </c>
      <c r="B8">
        <v>1758.9661292484725</v>
      </c>
      <c r="C8">
        <v>1758.9661292484725</v>
      </c>
      <c r="D8">
        <v>1758.9661292484725</v>
      </c>
      <c r="E8">
        <v>1758.9661292484725</v>
      </c>
      <c r="F8">
        <v>1758.9661292484725</v>
      </c>
      <c r="G8">
        <v>1758.9661292484725</v>
      </c>
      <c r="H8">
        <v>1758.9661292484725</v>
      </c>
      <c r="I8">
        <v>1758.9661292484725</v>
      </c>
      <c r="J8">
        <v>1758.9661292484725</v>
      </c>
      <c r="K8">
        <v>1758.9661292484725</v>
      </c>
      <c r="L8">
        <v>1758.9661292484725</v>
      </c>
      <c r="M8">
        <v>1758.9661292484725</v>
      </c>
      <c r="N8">
        <v>1758.9661292484725</v>
      </c>
      <c r="O8">
        <v>1758.9661292484725</v>
      </c>
      <c r="P8">
        <v>1758.9661292484725</v>
      </c>
      <c r="Q8">
        <v>1758.9661292484725</v>
      </c>
      <c r="R8">
        <v>1758.9661292484725</v>
      </c>
      <c r="S8">
        <v>1758.9661292484725</v>
      </c>
      <c r="T8">
        <v>1758.9661292484725</v>
      </c>
      <c r="U8">
        <v>1758.9661292484725</v>
      </c>
      <c r="V8">
        <v>1758.9661292484725</v>
      </c>
      <c r="W8">
        <v>1758.9661292484725</v>
      </c>
      <c r="X8">
        <v>1758.9661292484725</v>
      </c>
      <c r="Y8">
        <v>1758.9661292484725</v>
      </c>
      <c r="Z8">
        <v>1758.9661292484725</v>
      </c>
      <c r="AA8">
        <v>1758.9661292484725</v>
      </c>
      <c r="AB8">
        <v>1758.9661292484725</v>
      </c>
      <c r="AC8">
        <v>1758.9661292484725</v>
      </c>
      <c r="AD8">
        <v>1758.9661292484725</v>
      </c>
      <c r="AE8">
        <v>1758.9661292484725</v>
      </c>
      <c r="AF8">
        <v>1758.9661292484725</v>
      </c>
      <c r="AG8">
        <v>1758.9661292484725</v>
      </c>
      <c r="AH8">
        <v>1758.9661292484725</v>
      </c>
      <c r="AI8">
        <v>1758.9661292484725</v>
      </c>
      <c r="AJ8">
        <v>1758.9661292484725</v>
      </c>
    </row>
    <row r="10" spans="1:36">
      <c r="A10" s="17" t="s">
        <v>104</v>
      </c>
    </row>
    <row r="11" spans="1:36">
      <c r="A11" t="s">
        <v>101</v>
      </c>
      <c r="B11">
        <v>2016</v>
      </c>
      <c r="C11">
        <v>2017</v>
      </c>
      <c r="D11">
        <v>2018</v>
      </c>
      <c r="E11">
        <v>2019</v>
      </c>
      <c r="F11">
        <v>2020</v>
      </c>
      <c r="G11">
        <v>2021</v>
      </c>
      <c r="H11">
        <v>2022</v>
      </c>
      <c r="I11">
        <v>2023</v>
      </c>
      <c r="J11">
        <v>2024</v>
      </c>
      <c r="K11">
        <v>2025</v>
      </c>
      <c r="L11">
        <v>2026</v>
      </c>
      <c r="M11">
        <v>2027</v>
      </c>
      <c r="N11">
        <v>2028</v>
      </c>
      <c r="O11">
        <v>2029</v>
      </c>
      <c r="P11">
        <v>2030</v>
      </c>
      <c r="Q11">
        <v>2031</v>
      </c>
      <c r="R11">
        <v>2032</v>
      </c>
      <c r="S11">
        <v>2033</v>
      </c>
      <c r="T11">
        <v>2034</v>
      </c>
      <c r="U11">
        <v>2035</v>
      </c>
      <c r="V11">
        <v>2036</v>
      </c>
      <c r="W11">
        <v>2037</v>
      </c>
      <c r="X11">
        <v>2038</v>
      </c>
      <c r="Y11">
        <v>2039</v>
      </c>
      <c r="Z11">
        <v>2040</v>
      </c>
      <c r="AA11">
        <v>2041</v>
      </c>
      <c r="AB11">
        <v>2042</v>
      </c>
      <c r="AC11">
        <v>2043</v>
      </c>
      <c r="AD11">
        <v>2044</v>
      </c>
      <c r="AE11">
        <v>2045</v>
      </c>
      <c r="AF11">
        <v>2046</v>
      </c>
      <c r="AG11">
        <v>2047</v>
      </c>
      <c r="AH11">
        <v>2048</v>
      </c>
      <c r="AI11">
        <v>2049</v>
      </c>
      <c r="AJ11">
        <v>2050</v>
      </c>
    </row>
    <row r="12" spans="1:36">
      <c r="A12" t="s">
        <v>16</v>
      </c>
      <c r="B12">
        <v>14380.338384661289</v>
      </c>
      <c r="C12">
        <v>14380.338384661289</v>
      </c>
      <c r="D12">
        <v>14380.338384661289</v>
      </c>
      <c r="E12">
        <v>14380.338384661289</v>
      </c>
      <c r="F12">
        <v>14380.338384661289</v>
      </c>
      <c r="G12">
        <v>14380.338384661289</v>
      </c>
      <c r="H12">
        <v>14380.338384661289</v>
      </c>
      <c r="I12">
        <v>14380.338384661289</v>
      </c>
      <c r="J12">
        <v>14380.338384661289</v>
      </c>
      <c r="K12">
        <v>14380.338384661289</v>
      </c>
      <c r="L12">
        <v>14380.338384661289</v>
      </c>
      <c r="M12">
        <v>14380.338384661289</v>
      </c>
      <c r="N12">
        <v>14380.338384661289</v>
      </c>
      <c r="O12">
        <v>14380.338384661289</v>
      </c>
      <c r="P12">
        <v>14380.338384661289</v>
      </c>
      <c r="Q12">
        <v>14380.338384661289</v>
      </c>
      <c r="R12">
        <v>14380.338384661289</v>
      </c>
      <c r="S12">
        <v>14380.338384661289</v>
      </c>
      <c r="T12">
        <v>14380.338384661289</v>
      </c>
      <c r="U12">
        <v>14380.338384661289</v>
      </c>
      <c r="V12">
        <v>14380.338384661289</v>
      </c>
      <c r="W12">
        <v>14380.338384661289</v>
      </c>
      <c r="X12">
        <v>14380.338384661289</v>
      </c>
      <c r="Y12">
        <v>14380.338384661289</v>
      </c>
      <c r="Z12">
        <v>14380.338384661289</v>
      </c>
      <c r="AA12">
        <v>14380.338384661289</v>
      </c>
      <c r="AB12">
        <v>14380.338384661289</v>
      </c>
      <c r="AC12">
        <v>14380.338384661289</v>
      </c>
      <c r="AD12">
        <v>14380.338384661289</v>
      </c>
      <c r="AE12">
        <v>14380.338384661289</v>
      </c>
      <c r="AF12">
        <v>14380.338384661289</v>
      </c>
      <c r="AG12">
        <v>14380.338384661289</v>
      </c>
      <c r="AH12">
        <v>14380.338384661289</v>
      </c>
      <c r="AI12">
        <v>14380.338384661289</v>
      </c>
      <c r="AJ12">
        <v>14380.338384661289</v>
      </c>
    </row>
    <row r="13" spans="1:36">
      <c r="A13" t="s">
        <v>9</v>
      </c>
      <c r="B13">
        <v>21078.965382465663</v>
      </c>
      <c r="C13">
        <v>21078.965382465663</v>
      </c>
      <c r="D13">
        <v>21078.965382465663</v>
      </c>
      <c r="E13">
        <v>21078.965382465663</v>
      </c>
      <c r="F13">
        <v>21078.965382465663</v>
      </c>
      <c r="G13">
        <v>21078.965382465663</v>
      </c>
      <c r="H13">
        <v>21078.965382465663</v>
      </c>
      <c r="I13">
        <v>21078.965382465663</v>
      </c>
      <c r="J13">
        <v>21078.965382465663</v>
      </c>
      <c r="K13">
        <v>21078.965382465663</v>
      </c>
      <c r="L13">
        <v>21078.965382465663</v>
      </c>
      <c r="M13">
        <v>21078.965382465663</v>
      </c>
      <c r="N13">
        <v>21078.965382465663</v>
      </c>
      <c r="O13">
        <v>21078.965382465663</v>
      </c>
      <c r="P13">
        <v>21078.965382465663</v>
      </c>
      <c r="Q13">
        <v>21078.965382465663</v>
      </c>
      <c r="R13">
        <v>21078.965382465663</v>
      </c>
      <c r="S13">
        <v>21078.965382465663</v>
      </c>
      <c r="T13">
        <v>21078.965382465663</v>
      </c>
      <c r="U13">
        <v>21078.965382465663</v>
      </c>
      <c r="V13">
        <v>21078.965382465663</v>
      </c>
      <c r="W13">
        <v>21078.965382465663</v>
      </c>
      <c r="X13">
        <v>21078.965382465663</v>
      </c>
      <c r="Y13">
        <v>21078.965382465663</v>
      </c>
      <c r="Z13">
        <v>21078.965382465663</v>
      </c>
      <c r="AA13">
        <v>21078.965382465663</v>
      </c>
      <c r="AB13">
        <v>21078.965382465663</v>
      </c>
      <c r="AC13">
        <v>21078.965382465663</v>
      </c>
      <c r="AD13">
        <v>21078.965382465663</v>
      </c>
      <c r="AE13">
        <v>21078.965382465663</v>
      </c>
      <c r="AF13">
        <v>21078.965382465663</v>
      </c>
      <c r="AG13">
        <v>21078.965382465663</v>
      </c>
      <c r="AH13">
        <v>21078.965382465663</v>
      </c>
      <c r="AI13">
        <v>21078.965382465663</v>
      </c>
      <c r="AJ13">
        <v>21078.965382465663</v>
      </c>
    </row>
    <row r="14" spans="1:36">
      <c r="A14" t="s">
        <v>8</v>
      </c>
      <c r="B14">
        <v>304562.90657629393</v>
      </c>
      <c r="C14">
        <v>304562.90657629393</v>
      </c>
      <c r="D14">
        <v>304562.90657629393</v>
      </c>
      <c r="E14">
        <v>304562.90657629393</v>
      </c>
      <c r="F14">
        <v>304562.90657629393</v>
      </c>
      <c r="G14">
        <v>304562.90657629393</v>
      </c>
      <c r="H14">
        <v>304562.90657629393</v>
      </c>
      <c r="I14">
        <v>304562.90657629393</v>
      </c>
      <c r="J14">
        <v>304562.90657629393</v>
      </c>
      <c r="K14">
        <v>304562.90657629393</v>
      </c>
      <c r="L14">
        <v>304562.90657629393</v>
      </c>
      <c r="M14">
        <v>304562.90657629393</v>
      </c>
      <c r="N14">
        <v>304562.90657629393</v>
      </c>
      <c r="O14">
        <v>304562.90657629393</v>
      </c>
      <c r="P14">
        <v>304562.90657629393</v>
      </c>
      <c r="Q14">
        <v>304562.90657629393</v>
      </c>
      <c r="R14">
        <v>304562.90657629393</v>
      </c>
      <c r="S14">
        <v>304562.90657629393</v>
      </c>
      <c r="T14">
        <v>304562.90657629393</v>
      </c>
      <c r="U14">
        <v>304562.90657629393</v>
      </c>
      <c r="V14">
        <v>304562.90657629393</v>
      </c>
      <c r="W14">
        <v>304562.90657629393</v>
      </c>
      <c r="X14">
        <v>304562.90657629393</v>
      </c>
      <c r="Y14">
        <v>304562.90657629393</v>
      </c>
      <c r="Z14">
        <v>304562.90657629393</v>
      </c>
      <c r="AA14">
        <v>304562.90657629393</v>
      </c>
      <c r="AB14">
        <v>304562.90657629393</v>
      </c>
      <c r="AC14">
        <v>304562.90657629393</v>
      </c>
      <c r="AD14">
        <v>304562.90657629393</v>
      </c>
      <c r="AE14">
        <v>304562.90657629393</v>
      </c>
      <c r="AF14">
        <v>304562.90657629393</v>
      </c>
      <c r="AG14">
        <v>304562.90657629393</v>
      </c>
      <c r="AH14">
        <v>304562.90657629393</v>
      </c>
      <c r="AI14">
        <v>304562.90657629393</v>
      </c>
      <c r="AJ14">
        <v>304562.90657629393</v>
      </c>
    </row>
    <row r="15" spans="1:36">
      <c r="A15" t="s">
        <v>17</v>
      </c>
      <c r="B15">
        <v>37062.414205375033</v>
      </c>
      <c r="C15">
        <v>37062.414205375033</v>
      </c>
      <c r="D15">
        <v>37062.414205375033</v>
      </c>
      <c r="E15">
        <v>37062.414205375033</v>
      </c>
      <c r="F15">
        <v>37062.414205375033</v>
      </c>
      <c r="G15">
        <v>37062.414205375033</v>
      </c>
      <c r="H15">
        <v>37062.414205375033</v>
      </c>
      <c r="I15">
        <v>37062.414205375033</v>
      </c>
      <c r="J15">
        <v>37062.414205375033</v>
      </c>
      <c r="K15">
        <v>37062.414205375033</v>
      </c>
      <c r="L15">
        <v>37062.414205375033</v>
      </c>
      <c r="M15">
        <v>37062.414205375033</v>
      </c>
      <c r="N15">
        <v>37062.414205375033</v>
      </c>
      <c r="O15">
        <v>37062.414205375033</v>
      </c>
      <c r="P15">
        <v>37062.414205375033</v>
      </c>
      <c r="Q15">
        <v>37062.414205375033</v>
      </c>
      <c r="R15">
        <v>37062.414205375033</v>
      </c>
      <c r="S15">
        <v>37062.414205375033</v>
      </c>
      <c r="T15">
        <v>37062.414205375033</v>
      </c>
      <c r="U15">
        <v>37062.414205375033</v>
      </c>
      <c r="V15">
        <v>37062.414205375033</v>
      </c>
      <c r="W15">
        <v>37062.414205375033</v>
      </c>
      <c r="X15">
        <v>37062.414205375033</v>
      </c>
      <c r="Y15">
        <v>37062.414205375033</v>
      </c>
      <c r="Z15">
        <v>37062.414205375033</v>
      </c>
      <c r="AA15">
        <v>37062.414205375033</v>
      </c>
      <c r="AB15">
        <v>37062.414205375033</v>
      </c>
      <c r="AC15">
        <v>37062.414205375033</v>
      </c>
      <c r="AD15">
        <v>37062.414205375033</v>
      </c>
      <c r="AE15">
        <v>37062.414205375033</v>
      </c>
      <c r="AF15">
        <v>37062.414205375033</v>
      </c>
      <c r="AG15">
        <v>37062.414205375033</v>
      </c>
      <c r="AH15">
        <v>37062.414205375033</v>
      </c>
      <c r="AI15">
        <v>37062.414205375033</v>
      </c>
      <c r="AJ15">
        <v>37062.414205375033</v>
      </c>
    </row>
    <row r="16" spans="1:36">
      <c r="A16" t="s">
        <v>18</v>
      </c>
      <c r="B16">
        <v>249210.460885123</v>
      </c>
      <c r="C16">
        <v>249210.460885123</v>
      </c>
      <c r="D16">
        <v>249210.460885123</v>
      </c>
      <c r="E16">
        <v>249210.460885123</v>
      </c>
      <c r="F16">
        <v>249210.460885123</v>
      </c>
      <c r="G16">
        <v>249210.460885123</v>
      </c>
      <c r="H16">
        <v>249210.460885123</v>
      </c>
      <c r="I16">
        <v>249210.460885123</v>
      </c>
      <c r="J16">
        <v>249210.460885123</v>
      </c>
      <c r="K16">
        <v>249210.460885123</v>
      </c>
      <c r="L16">
        <v>249210.460885123</v>
      </c>
      <c r="M16">
        <v>249210.460885123</v>
      </c>
      <c r="N16">
        <v>249210.460885123</v>
      </c>
      <c r="O16">
        <v>249210.460885123</v>
      </c>
      <c r="P16">
        <v>249210.460885123</v>
      </c>
      <c r="Q16">
        <v>249210.460885123</v>
      </c>
      <c r="R16">
        <v>249210.460885123</v>
      </c>
      <c r="S16">
        <v>249210.460885123</v>
      </c>
      <c r="T16">
        <v>249210.460885123</v>
      </c>
      <c r="U16">
        <v>249210.460885123</v>
      </c>
      <c r="V16">
        <v>249210.460885123</v>
      </c>
      <c r="W16">
        <v>249210.460885123</v>
      </c>
      <c r="X16">
        <v>249210.460885123</v>
      </c>
      <c r="Y16">
        <v>249210.460885123</v>
      </c>
      <c r="Z16">
        <v>249210.460885123</v>
      </c>
      <c r="AA16">
        <v>249210.460885123</v>
      </c>
      <c r="AB16">
        <v>249210.460885123</v>
      </c>
      <c r="AC16">
        <v>249210.460885123</v>
      </c>
      <c r="AD16">
        <v>249210.460885123</v>
      </c>
      <c r="AE16">
        <v>249210.460885123</v>
      </c>
      <c r="AF16">
        <v>249210.460885123</v>
      </c>
      <c r="AG16">
        <v>249210.460885123</v>
      </c>
      <c r="AH16">
        <v>249210.460885123</v>
      </c>
      <c r="AI16">
        <v>249210.460885123</v>
      </c>
      <c r="AJ16">
        <v>249210.460885123</v>
      </c>
    </row>
    <row r="17" spans="1:36">
      <c r="A17" t="s">
        <v>19</v>
      </c>
      <c r="B17">
        <v>11767.744396952199</v>
      </c>
      <c r="C17">
        <v>11767.744396952199</v>
      </c>
      <c r="D17">
        <v>11767.744396952199</v>
      </c>
      <c r="E17">
        <v>11767.744396952199</v>
      </c>
      <c r="F17">
        <v>11767.744396952199</v>
      </c>
      <c r="G17">
        <v>11767.744396952199</v>
      </c>
      <c r="H17">
        <v>11767.744396952199</v>
      </c>
      <c r="I17">
        <v>11767.744396952199</v>
      </c>
      <c r="J17">
        <v>11767.744396952199</v>
      </c>
      <c r="K17">
        <v>11767.744396952199</v>
      </c>
      <c r="L17">
        <v>11767.744396952199</v>
      </c>
      <c r="M17">
        <v>11767.744396952199</v>
      </c>
      <c r="N17">
        <v>11767.744396952199</v>
      </c>
      <c r="O17">
        <v>11767.744396952199</v>
      </c>
      <c r="P17">
        <v>11767.744396952199</v>
      </c>
      <c r="Q17">
        <v>11767.744396952199</v>
      </c>
      <c r="R17">
        <v>11767.744396952199</v>
      </c>
      <c r="S17">
        <v>11767.744396952199</v>
      </c>
      <c r="T17">
        <v>11767.744396952199</v>
      </c>
      <c r="U17">
        <v>11767.744396952199</v>
      </c>
      <c r="V17">
        <v>11767.744396952199</v>
      </c>
      <c r="W17">
        <v>11767.744396952199</v>
      </c>
      <c r="X17">
        <v>11767.744396952199</v>
      </c>
      <c r="Y17">
        <v>11767.744396952199</v>
      </c>
      <c r="Z17">
        <v>11767.744396952199</v>
      </c>
      <c r="AA17">
        <v>11767.744396952199</v>
      </c>
      <c r="AB17">
        <v>11767.744396952199</v>
      </c>
      <c r="AC17">
        <v>11767.744396952199</v>
      </c>
      <c r="AD17">
        <v>11767.744396952199</v>
      </c>
      <c r="AE17">
        <v>11767.744396952199</v>
      </c>
      <c r="AF17">
        <v>11767.744396952199</v>
      </c>
      <c r="AG17">
        <v>11767.744396952199</v>
      </c>
      <c r="AH17">
        <v>11767.744396952199</v>
      </c>
      <c r="AI17">
        <v>11767.744396952199</v>
      </c>
      <c r="AJ17">
        <v>11767.744396952199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FD291-D3A6-4EF8-A705-286E7AA12AD7}">
  <dimension ref="A1:H17"/>
  <sheetViews>
    <sheetView workbookViewId="0">
      <selection activeCell="B1" sqref="B1:H1048576"/>
    </sheetView>
  </sheetViews>
  <sheetFormatPr defaultRowHeight="15"/>
  <cols>
    <col min="1" max="1" width="16.28515625" style="15" customWidth="1"/>
    <col min="2" max="8" width="9.5703125" style="15" bestFit="1" customWidth="1"/>
    <col min="9" max="16384" width="9.140625" style="15"/>
  </cols>
  <sheetData>
    <row r="1" spans="1:8">
      <c r="A1" s="137" t="s">
        <v>103</v>
      </c>
    </row>
    <row r="2" spans="1:8" ht="45">
      <c r="A2" s="13" t="s">
        <v>101</v>
      </c>
      <c r="B2" s="134" t="s">
        <v>3</v>
      </c>
      <c r="C2" s="134" t="s">
        <v>4</v>
      </c>
      <c r="D2" s="134" t="s">
        <v>5</v>
      </c>
      <c r="E2" s="134" t="s">
        <v>6</v>
      </c>
      <c r="F2" s="134" t="s">
        <v>7</v>
      </c>
      <c r="G2" s="134" t="s">
        <v>46</v>
      </c>
      <c r="H2" s="134" t="s">
        <v>47</v>
      </c>
    </row>
    <row r="3" spans="1:8">
      <c r="A3" s="15" t="s">
        <v>16</v>
      </c>
      <c r="B3" s="135">
        <f>AVLo!$B3*BAADTbVT!$B3*SYVbT!B3</f>
        <v>8824863708.7479763</v>
      </c>
      <c r="C3" s="135">
        <f>AVLo!$B3*BAADTbVT!$B3*SYVbT!C3</f>
        <v>12177217671.589138</v>
      </c>
      <c r="D3" s="135">
        <f>AVLo!$B3*BAADTbVT!$B3*SYVbT!D3</f>
        <v>328835331688.64374</v>
      </c>
      <c r="E3" s="135">
        <f>AVLo!$B3*BAADTbVT!$B3*SYVbT!E3</f>
        <v>103412679303.34157</v>
      </c>
      <c r="F3" s="135">
        <f>AVLo!$B3*BAADTbVT!$B3*SYVbT!F3</f>
        <v>0</v>
      </c>
      <c r="G3" s="135">
        <f>AVLo!$B3*BAADTbVT!$B3*SYVbT!G3</f>
        <v>12177217671.589138</v>
      </c>
      <c r="H3" s="135">
        <f>AVLo!$B3*BAADTbVT!$B3*SYVbT!H3</f>
        <v>0</v>
      </c>
    </row>
    <row r="4" spans="1:8">
      <c r="A4" s="15" t="s">
        <v>9</v>
      </c>
      <c r="B4" s="135">
        <f>AVLo!$B4*BAADTbVT!$B4*SYVbT!B4</f>
        <v>15661031174.591389</v>
      </c>
      <c r="C4" s="135">
        <f>AVLo!$B4*BAADTbVT!$B4*SYVbT!C4</f>
        <v>49685193587.199158</v>
      </c>
      <c r="D4" s="135">
        <f>AVLo!$B4*BAADTbVT!$B4*SYVbT!D4</f>
        <v>0</v>
      </c>
      <c r="E4" s="135">
        <f>AVLo!$B4*BAADTbVT!$B4*SYVbT!E4</f>
        <v>3593105170876.0669</v>
      </c>
      <c r="F4" s="135">
        <f>AVLo!$B4*BAADTbVT!$B4*SYVbT!F4</f>
        <v>0</v>
      </c>
      <c r="G4" s="135">
        <f>AVLo!$B4*BAADTbVT!$B4*SYVbT!G4</f>
        <v>0</v>
      </c>
      <c r="H4" s="135">
        <f>AVLo!$B4*BAADTbVT!$B4*SYVbT!H4</f>
        <v>0</v>
      </c>
    </row>
    <row r="5" spans="1:8">
      <c r="A5" s="15" t="s">
        <v>8</v>
      </c>
      <c r="B5" s="135">
        <f>AVLo!$B5*BAADTbVT!$B5*SYVbT!B5</f>
        <v>0</v>
      </c>
      <c r="C5" s="135">
        <f>AVLo!$B5*BAADTbVT!$B5*SYVbT!C5</f>
        <v>0</v>
      </c>
      <c r="D5" s="135">
        <f>AVLo!$B5*BAADTbVT!$B5*SYVbT!D5</f>
        <v>0</v>
      </c>
      <c r="E5" s="135">
        <f>AVLo!$B5*BAADTbVT!$B5*SYVbT!E5</f>
        <v>61855489453.903435</v>
      </c>
      <c r="F5" s="135">
        <f>AVLo!$B5*BAADTbVT!$B5*SYVbT!F5</f>
        <v>0</v>
      </c>
      <c r="G5" s="135">
        <f>AVLo!$B5*BAADTbVT!$B5*SYVbT!G5</f>
        <v>0</v>
      </c>
      <c r="H5" s="135">
        <f>AVLo!$B5*BAADTbVT!$B5*SYVbT!H5</f>
        <v>0</v>
      </c>
    </row>
    <row r="6" spans="1:8">
      <c r="A6" s="15" t="s">
        <v>17</v>
      </c>
      <c r="B6" s="135">
        <f>AVLo!$B6*BAADTbVT!$B6*SYVbT!B6</f>
        <v>449166821723.68115</v>
      </c>
      <c r="C6" s="135">
        <f>AVLo!$B6*BAADTbVT!$B6*SYVbT!C6</f>
        <v>0</v>
      </c>
      <c r="D6" s="135">
        <f>AVLo!$B6*BAADTbVT!$B6*SYVbT!D6</f>
        <v>0</v>
      </c>
      <c r="E6" s="135">
        <f>AVLo!$B6*BAADTbVT!$B6*SYVbT!E6</f>
        <v>429828915504.65759</v>
      </c>
      <c r="F6" s="135">
        <f>AVLo!$B6*BAADTbVT!$B6*SYVbT!F6</f>
        <v>0</v>
      </c>
      <c r="G6" s="135">
        <f>AVLo!$B6*BAADTbVT!$B6*SYVbT!G6</f>
        <v>0</v>
      </c>
      <c r="H6" s="135">
        <f>AVLo!$B6*BAADTbVT!$B6*SYVbT!H6</f>
        <v>0</v>
      </c>
    </row>
    <row r="7" spans="1:8">
      <c r="A7" s="15" t="s">
        <v>18</v>
      </c>
      <c r="B7" s="135">
        <f>AVLo!$B7*BAADTbVT!$B7*SYVbT!B7</f>
        <v>3810019201.5201664</v>
      </c>
      <c r="C7" s="135">
        <f>AVLo!$B7*BAADTbVT!$B7*SYVbT!C7</f>
        <v>3391690119.4467397</v>
      </c>
      <c r="D7" s="135">
        <f>AVLo!$B7*BAADTbVT!$B7*SYVbT!D7</f>
        <v>0</v>
      </c>
      <c r="E7" s="135">
        <f>AVLo!$B7*BAADTbVT!$B7*SYVbT!E7</f>
        <v>114718905127.67842</v>
      </c>
      <c r="F7" s="135">
        <f>AVLo!$B7*BAADTbVT!$B7*SYVbT!F7</f>
        <v>0</v>
      </c>
      <c r="G7" s="135">
        <f>AVLo!$B7*BAADTbVT!$B7*SYVbT!G7</f>
        <v>0</v>
      </c>
      <c r="H7" s="135">
        <f>AVLo!$B7*BAADTbVT!$B7*SYVbT!H7</f>
        <v>0</v>
      </c>
    </row>
    <row r="8" spans="1:8">
      <c r="A8" s="15" t="s">
        <v>19</v>
      </c>
      <c r="B8" s="135">
        <f>AVLo!$B8*BAADTbVT!$B8*SYVbT!B8</f>
        <v>26339401409.135647</v>
      </c>
      <c r="C8" s="135">
        <f>AVLo!$B8*BAADTbVT!$B8*SYVbT!C8</f>
        <v>0</v>
      </c>
      <c r="D8" s="135">
        <f>AVLo!$B8*BAADTbVT!$B8*SYVbT!D8</f>
        <v>639812690348.07092</v>
      </c>
      <c r="E8" s="135">
        <f>AVLo!$B8*BAADTbVT!$B8*SYVbT!E8</f>
        <v>0</v>
      </c>
      <c r="F8" s="135">
        <f>AVLo!$B8*BAADTbVT!$B8*SYVbT!F8</f>
        <v>0</v>
      </c>
      <c r="G8" s="135">
        <f>AVLo!$B8*BAADTbVT!$B8*SYVbT!G8</f>
        <v>0</v>
      </c>
      <c r="H8" s="135">
        <f>AVLo!$B8*BAADTbVT!$B8*SYVbT!H8</f>
        <v>0</v>
      </c>
    </row>
    <row r="10" spans="1:8">
      <c r="A10" s="137" t="s">
        <v>104</v>
      </c>
    </row>
    <row r="11" spans="1:8" ht="45">
      <c r="A11" s="13" t="s">
        <v>101</v>
      </c>
      <c r="B11" s="134" t="s">
        <v>3</v>
      </c>
      <c r="C11" s="134" t="s">
        <v>4</v>
      </c>
      <c r="D11" s="134" t="s">
        <v>5</v>
      </c>
      <c r="E11" s="134" t="s">
        <v>6</v>
      </c>
      <c r="F11" s="134" t="s">
        <v>7</v>
      </c>
      <c r="G11" s="134" t="s">
        <v>46</v>
      </c>
      <c r="H11" s="134" t="s">
        <v>47</v>
      </c>
    </row>
    <row r="12" spans="1:8">
      <c r="A12" s="15" t="s">
        <v>16</v>
      </c>
      <c r="B12" s="135">
        <f>AVLo!$B12*BAADTbVT!$B12*SYVbT!B12</f>
        <v>0</v>
      </c>
      <c r="C12" s="135">
        <f>AVLo!$B12*BAADTbVT!$B12*SYVbT!C12</f>
        <v>0</v>
      </c>
      <c r="D12" s="135">
        <f>AVLo!$B12*BAADTbVT!$B12*SYVbT!D12</f>
        <v>0</v>
      </c>
      <c r="E12" s="135">
        <f>AVLo!$B12*BAADTbVT!$B12*SYVbT!E12</f>
        <v>75585840623.520386</v>
      </c>
      <c r="F12" s="135">
        <f>AVLo!$B12*BAADTbVT!$B12*SYVbT!F12</f>
        <v>0</v>
      </c>
      <c r="G12" s="135">
        <f>AVLo!$B12*BAADTbVT!$B12*SYVbT!G12</f>
        <v>0</v>
      </c>
      <c r="H12" s="135">
        <f>AVLo!$B12*BAADTbVT!$B12*SYVbT!H12</f>
        <v>0</v>
      </c>
    </row>
    <row r="13" spans="1:8">
      <c r="A13" s="15" t="s">
        <v>9</v>
      </c>
      <c r="B13" s="135">
        <f>AVLo!$B13*BAADTbVT!$B13*SYVbT!B13</f>
        <v>0</v>
      </c>
      <c r="C13" s="135">
        <f>AVLo!$B13*BAADTbVT!$B13*SYVbT!C13</f>
        <v>0</v>
      </c>
      <c r="D13" s="135">
        <f>AVLo!$B13*BAADTbVT!$B13*SYVbT!D13</f>
        <v>0</v>
      </c>
      <c r="E13" s="135">
        <f>AVLo!$B13*BAADTbVT!$B13*SYVbT!E13</f>
        <v>794317868036.99768</v>
      </c>
      <c r="F13" s="135">
        <f>AVLo!$B13*BAADTbVT!$B13*SYVbT!F13</f>
        <v>0</v>
      </c>
      <c r="G13" s="135">
        <f>AVLo!$B13*BAADTbVT!$B13*SYVbT!G13</f>
        <v>0</v>
      </c>
      <c r="H13" s="135">
        <f>AVLo!$B13*BAADTbVT!$B13*SYVbT!H13</f>
        <v>0</v>
      </c>
    </row>
    <row r="14" spans="1:8">
      <c r="A14" s="15" t="s">
        <v>8</v>
      </c>
      <c r="B14" s="135">
        <f>AVLo!$B14*BAADTbVT!$B14*SYVbT!B14</f>
        <v>0</v>
      </c>
      <c r="C14" s="135">
        <f>AVLo!$B14*BAADTbVT!$B14*SYVbT!C14</f>
        <v>0</v>
      </c>
      <c r="D14" s="135">
        <f>AVLo!$B14*BAADTbVT!$B14*SYVbT!D14</f>
        <v>0</v>
      </c>
      <c r="E14" s="135">
        <f>AVLo!$B14*BAADTbVT!$B14*SYVbT!E14</f>
        <v>363158720.65749913</v>
      </c>
      <c r="F14" s="135">
        <f>AVLo!$B14*BAADTbVT!$B14*SYVbT!F14</f>
        <v>0</v>
      </c>
      <c r="G14" s="135">
        <f>AVLo!$B14*BAADTbVT!$B14*SYVbT!G14</f>
        <v>0</v>
      </c>
      <c r="H14" s="135">
        <f>AVLo!$B14*BAADTbVT!$B14*SYVbT!H14</f>
        <v>0</v>
      </c>
    </row>
    <row r="15" spans="1:8">
      <c r="A15" s="15" t="s">
        <v>17</v>
      </c>
      <c r="B15" s="135">
        <f>AVLo!$B15*BAADTbVT!$B15*SYVbT!B15</f>
        <v>380691163668.95807</v>
      </c>
      <c r="C15" s="135">
        <f>AVLo!$B15*BAADTbVT!$B15*SYVbT!C15</f>
        <v>0</v>
      </c>
      <c r="D15" s="135">
        <f>AVLo!$B15*BAADTbVT!$B15*SYVbT!D15</f>
        <v>0</v>
      </c>
      <c r="E15" s="135">
        <f>AVLo!$B15*BAADTbVT!$B15*SYVbT!E15</f>
        <v>188070535039.64447</v>
      </c>
      <c r="F15" s="135">
        <f>AVLo!$B15*BAADTbVT!$B15*SYVbT!F15</f>
        <v>0</v>
      </c>
      <c r="G15" s="135">
        <f>AVLo!$B15*BAADTbVT!$B15*SYVbT!G15</f>
        <v>0</v>
      </c>
      <c r="H15" s="135">
        <f>AVLo!$B15*BAADTbVT!$B15*SYVbT!H15</f>
        <v>0</v>
      </c>
    </row>
    <row r="16" spans="1:8">
      <c r="A16" s="15" t="s">
        <v>18</v>
      </c>
      <c r="B16" s="135">
        <f>AVLo!$B16*BAADTbVT!$B16*SYVbT!B16</f>
        <v>0</v>
      </c>
      <c r="C16" s="135">
        <f>AVLo!$B16*BAADTbVT!$B16*SYVbT!C16</f>
        <v>0</v>
      </c>
      <c r="D16" s="135">
        <f>AVLo!$B16*BAADTbVT!$B16*SYVbT!D16</f>
        <v>0</v>
      </c>
      <c r="E16" s="135">
        <f>AVLo!$B16*BAADTbVT!$B16*SYVbT!E16</f>
        <v>590471383659.22302</v>
      </c>
      <c r="F16" s="135">
        <f>AVLo!$B16*BAADTbVT!$B16*SYVbT!F16</f>
        <v>0</v>
      </c>
      <c r="G16" s="135">
        <f>AVLo!$B16*BAADTbVT!$B16*SYVbT!G16</f>
        <v>0</v>
      </c>
      <c r="H16" s="135">
        <f>AVLo!$B16*BAADTbVT!$B16*SYVbT!H16</f>
        <v>0</v>
      </c>
    </row>
    <row r="17" spans="1:8">
      <c r="A17" s="15" t="s">
        <v>19</v>
      </c>
      <c r="B17" s="135">
        <f>AVLo!$B17*BAADTbVT!$B17*SYVbT!B17</f>
        <v>6916700624.1696672</v>
      </c>
      <c r="C17" s="135">
        <f>AVLo!$B17*BAADTbVT!$B17*SYVbT!C17</f>
        <v>23172314436.812592</v>
      </c>
      <c r="D17" s="135">
        <f>AVLo!$B17*BAADTbVT!$B17*SYVbT!D17</f>
        <v>81975711101.270126</v>
      </c>
      <c r="E17" s="135">
        <f>AVLo!$B17*BAADTbVT!$B17*SYVbT!E17</f>
        <v>75116886902.005325</v>
      </c>
      <c r="F17" s="135">
        <f>AVLo!$B17*BAADTbVT!$B17*SYVbT!F17</f>
        <v>0</v>
      </c>
      <c r="G17" s="135">
        <f>AVLo!$B17*BAADTbVT!$B17*SYVbT!G17</f>
        <v>17757664688.917618</v>
      </c>
      <c r="H17" s="135">
        <f>AVLo!$B17*BAADTbVT!$B17*SYVbT!H17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F34DD-7F78-4D46-ABC0-1D5C048859AF}">
  <dimension ref="A1:Y215"/>
  <sheetViews>
    <sheetView topLeftCell="A33" workbookViewId="0">
      <selection activeCell="W30" sqref="W30"/>
    </sheetView>
  </sheetViews>
  <sheetFormatPr defaultRowHeight="15"/>
  <cols>
    <col min="2" max="3" width="12" bestFit="1" customWidth="1"/>
    <col min="5" max="6" width="12" bestFit="1" customWidth="1"/>
    <col min="13" max="13" width="32.28515625" style="15" customWidth="1"/>
    <col min="14" max="14" width="16.140625" bestFit="1" customWidth="1"/>
  </cols>
  <sheetData>
    <row r="1" spans="1:25" ht="15.75">
      <c r="A1" s="153" t="s">
        <v>105</v>
      </c>
      <c r="B1" s="154"/>
      <c r="C1" s="154"/>
      <c r="D1" s="154"/>
      <c r="E1" s="154"/>
      <c r="F1" s="154"/>
      <c r="G1" s="154"/>
      <c r="H1" s="154"/>
      <c r="I1" s="155"/>
      <c r="L1" s="153" t="s">
        <v>106</v>
      </c>
      <c r="M1" s="154"/>
      <c r="N1" s="154"/>
      <c r="O1" s="154"/>
      <c r="P1" s="154"/>
      <c r="Q1" s="154"/>
      <c r="R1" s="154"/>
      <c r="S1" s="153"/>
      <c r="T1" s="154"/>
      <c r="V1" s="23" t="s">
        <v>107</v>
      </c>
    </row>
    <row r="2" spans="1:25">
      <c r="A2" s="156" t="s">
        <v>108</v>
      </c>
      <c r="B2" s="157"/>
      <c r="C2" s="157"/>
      <c r="D2" s="157"/>
      <c r="E2" s="157"/>
      <c r="F2" s="157"/>
      <c r="G2" s="157"/>
      <c r="H2" s="157"/>
      <c r="I2" s="158"/>
      <c r="L2" s="159" t="s">
        <v>109</v>
      </c>
      <c r="M2" s="157"/>
      <c r="N2" s="157"/>
      <c r="O2" s="157"/>
      <c r="P2" s="157"/>
      <c r="Q2" s="157"/>
      <c r="R2" s="157"/>
      <c r="S2" s="157"/>
      <c r="T2" s="158"/>
    </row>
    <row r="3" spans="1:25">
      <c r="A3" s="147" t="s">
        <v>110</v>
      </c>
      <c r="B3" s="148"/>
      <c r="C3" s="24" t="s">
        <v>111</v>
      </c>
      <c r="D3" s="24" t="s">
        <v>112</v>
      </c>
      <c r="E3" s="24" t="s">
        <v>113</v>
      </c>
      <c r="F3" s="24" t="s">
        <v>114</v>
      </c>
      <c r="G3" s="25" t="s">
        <v>115</v>
      </c>
      <c r="H3" s="25" t="s">
        <v>116</v>
      </c>
      <c r="I3" s="25" t="s">
        <v>117</v>
      </c>
      <c r="L3" s="147" t="s">
        <v>110</v>
      </c>
      <c r="M3" s="148"/>
      <c r="N3" s="24" t="s">
        <v>111</v>
      </c>
      <c r="O3" s="24" t="s">
        <v>112</v>
      </c>
      <c r="P3" s="24" t="s">
        <v>113</v>
      </c>
      <c r="Q3" s="24" t="s">
        <v>114</v>
      </c>
      <c r="R3" s="25" t="s">
        <v>115</v>
      </c>
      <c r="S3" s="25" t="s">
        <v>118</v>
      </c>
      <c r="T3" s="25" t="s">
        <v>117</v>
      </c>
    </row>
    <row r="4" spans="1:25">
      <c r="A4" s="149">
        <v>-1</v>
      </c>
      <c r="B4" s="150"/>
      <c r="C4" s="26">
        <v>-2</v>
      </c>
      <c r="D4" s="26">
        <v>-3</v>
      </c>
      <c r="E4" s="26">
        <v>-4</v>
      </c>
      <c r="F4" s="26">
        <v>-5</v>
      </c>
      <c r="G4" s="26">
        <v>-6</v>
      </c>
      <c r="H4" s="26">
        <v>-7</v>
      </c>
      <c r="I4" s="26">
        <v>-8</v>
      </c>
      <c r="L4" s="149">
        <v>-1</v>
      </c>
      <c r="M4" s="150"/>
      <c r="N4" s="26">
        <v>-2</v>
      </c>
      <c r="O4" s="26">
        <v>-3</v>
      </c>
      <c r="P4" s="26">
        <v>-4</v>
      </c>
      <c r="Q4" s="26">
        <v>-5</v>
      </c>
      <c r="R4" s="26">
        <v>-6</v>
      </c>
      <c r="S4" s="26">
        <v>-7</v>
      </c>
      <c r="T4" s="26">
        <v>-8</v>
      </c>
    </row>
    <row r="5" spans="1:25">
      <c r="A5" s="27">
        <v>1</v>
      </c>
      <c r="B5" s="28" t="s">
        <v>119</v>
      </c>
      <c r="C5" s="29">
        <v>13568.03</v>
      </c>
      <c r="D5" s="29">
        <v>14411.6</v>
      </c>
      <c r="E5" s="29">
        <v>16040.39</v>
      </c>
      <c r="F5" s="29">
        <v>17181.72</v>
      </c>
      <c r="G5" s="30">
        <v>18871.36</v>
      </c>
      <c r="H5" s="31">
        <v>20351.8</v>
      </c>
      <c r="I5" s="31">
        <v>21728</v>
      </c>
      <c r="L5" s="27">
        <v>1</v>
      </c>
      <c r="M5" s="115" t="s">
        <v>119</v>
      </c>
      <c r="N5" s="32">
        <f>C5*'Unit Conversions'!$B$5*BTU_per_TOE*1000</f>
        <v>608417928737972</v>
      </c>
      <c r="O5" s="32">
        <f>D5*'Unit Conversions'!$B$5*BTU_per_TOE*1000</f>
        <v>646245315038377.63</v>
      </c>
      <c r="P5" s="32">
        <f>E5*'Unit Conversions'!$B$5*BTU_per_TOE*1000</f>
        <v>719283555530852.88</v>
      </c>
      <c r="Q5" s="32">
        <f>F5*'Unit Conversions'!$B$5*BTU_per_TOE*1000</f>
        <v>770463102937994</v>
      </c>
      <c r="R5" s="32">
        <f>G5*'Unit Conversions'!$B$5*BTU_per_TOE*1000</f>
        <v>846229980599145</v>
      </c>
      <c r="S5" s="32">
        <f>H5*'Unit Conversions'!$B$5*BTU_per_TOE*1000</f>
        <v>912615906811044.63</v>
      </c>
      <c r="T5" s="32">
        <f>I5*'Unit Conversions'!$B$5*BTU_per_TOE*1000</f>
        <v>974327500427008</v>
      </c>
    </row>
    <row r="6" spans="1:25">
      <c r="A6" s="33">
        <v>2</v>
      </c>
      <c r="B6" s="34" t="s">
        <v>120</v>
      </c>
      <c r="C6" s="35">
        <v>1167.58</v>
      </c>
      <c r="D6" s="35">
        <v>1073.5999999999999</v>
      </c>
      <c r="E6" s="35">
        <v>1050.98</v>
      </c>
      <c r="F6" s="35">
        <v>1464.37</v>
      </c>
      <c r="G6" s="36">
        <v>1775.9</v>
      </c>
      <c r="H6" s="37">
        <v>2085.8000000000002</v>
      </c>
      <c r="I6" s="37">
        <v>2364.4</v>
      </c>
      <c r="L6" s="33">
        <v>2</v>
      </c>
      <c r="M6" s="116" t="s">
        <v>120</v>
      </c>
      <c r="N6" s="32">
        <f>C6*'Unit Conversions'!$B$5*BTU_per_TOE*1000</f>
        <v>52356650540710.867</v>
      </c>
      <c r="O6" s="32">
        <f>D6*'Unit Conversions'!$B$5*BTU_per_TOE*1000</f>
        <v>48142397112409.602</v>
      </c>
      <c r="P6" s="32">
        <f>E6*'Unit Conversions'!$B$5*BTU_per_TOE*1000</f>
        <v>47128070526453.281</v>
      </c>
      <c r="Q6" s="32">
        <f>F6*'Unit Conversions'!$B$5*BTU_per_TOE*1000</f>
        <v>65665314884034.32</v>
      </c>
      <c r="R6" s="32">
        <f>G6*'Unit Conversions'!$B$5*BTU_per_TOE*1000</f>
        <v>79634950663122.406</v>
      </c>
      <c r="S6" s="32">
        <f>H6*'Unit Conversions'!$B$5*BTU_per_TOE*1000</f>
        <v>93531493942868.813</v>
      </c>
      <c r="T6" s="32">
        <f>I6*'Unit Conversions'!$B$5*BTU_per_TOE*1000</f>
        <v>106024481867158.41</v>
      </c>
    </row>
    <row r="7" spans="1:25">
      <c r="A7" s="33">
        <v>3</v>
      </c>
      <c r="B7" s="34" t="s">
        <v>121</v>
      </c>
      <c r="C7" s="35">
        <v>214.78</v>
      </c>
      <c r="D7" s="35">
        <v>194.97</v>
      </c>
      <c r="E7" s="35">
        <v>164.59</v>
      </c>
      <c r="F7" s="35">
        <v>171.83</v>
      </c>
      <c r="G7" s="36">
        <v>168.07</v>
      </c>
      <c r="H7" s="37">
        <v>185.1</v>
      </c>
      <c r="I7" s="37">
        <v>181.1</v>
      </c>
      <c r="L7" s="33">
        <v>3</v>
      </c>
      <c r="M7" s="116" t="s">
        <v>121</v>
      </c>
      <c r="N7" s="32">
        <f>C7*'Unit Conversions'!$B$5*BTU_per_TOE*1000</f>
        <v>9631169943930.0801</v>
      </c>
      <c r="O7" s="32">
        <f>D7*'Unit Conversions'!$B$5*BTU_per_TOE*1000</f>
        <v>8742849445795.9189</v>
      </c>
      <c r="P7" s="32">
        <f>E7*'Unit Conversions'!$B$5*BTU_per_TOE*1000</f>
        <v>7380548752544.2402</v>
      </c>
      <c r="Q7" s="32">
        <f>F7*'Unit Conversions'!$B$5*BTU_per_TOE*1000</f>
        <v>7705205007288.8799</v>
      </c>
      <c r="R7" s="32">
        <f>G7*'Unit Conversions'!$B$5*BTU_per_TOE*1000</f>
        <v>7536598996537.5205</v>
      </c>
      <c r="S7" s="32">
        <f>H7*'Unit Conversions'!$B$5*BTU_per_TOE*1000</f>
        <v>8300258667573.5996</v>
      </c>
      <c r="T7" s="32">
        <f>I7*'Unit Conversions'!$B$5*BTU_per_TOE*1000</f>
        <v>8120890571029.5996</v>
      </c>
    </row>
    <row r="8" spans="1:25">
      <c r="A8" s="34" t="s">
        <v>122</v>
      </c>
      <c r="B8" s="34" t="s">
        <v>123</v>
      </c>
      <c r="C8" s="35">
        <v>214</v>
      </c>
      <c r="D8" s="35">
        <v>194.27</v>
      </c>
      <c r="E8" s="35">
        <v>163.83000000000001</v>
      </c>
      <c r="F8" s="35">
        <v>170.91</v>
      </c>
      <c r="G8" s="36">
        <v>167.28</v>
      </c>
      <c r="H8" s="37">
        <v>184.4</v>
      </c>
      <c r="I8" s="37">
        <v>180.3</v>
      </c>
      <c r="L8" s="34" t="s">
        <v>122</v>
      </c>
      <c r="M8" s="116" t="s">
        <v>123</v>
      </c>
      <c r="N8" s="32">
        <f>C8*'Unit Conversions'!$B$5*BTU_per_TOE*1000</f>
        <v>9596193165104</v>
      </c>
      <c r="O8" s="32">
        <f>D8*'Unit Conversions'!$B$5*BTU_per_TOE*1000</f>
        <v>8711460028900.7207</v>
      </c>
      <c r="P8" s="32">
        <f>E8*'Unit Conversions'!$B$5*BTU_per_TOE*1000</f>
        <v>7346468814200.8799</v>
      </c>
      <c r="Q8" s="32">
        <f>F8*'Unit Conversions'!$B$5*BTU_per_TOE*1000</f>
        <v>7663950345083.7598</v>
      </c>
      <c r="R8" s="32">
        <f>G8*'Unit Conversions'!$B$5*BTU_per_TOE*1000</f>
        <v>7501173797470.0801</v>
      </c>
      <c r="S8" s="32">
        <f>H8*'Unit Conversions'!$B$5*BTU_per_TOE*1000</f>
        <v>8268869250678.4004</v>
      </c>
      <c r="T8" s="32">
        <f>I8*'Unit Conversions'!$B$5*BTU_per_TOE*1000</f>
        <v>8085016951720.8008</v>
      </c>
      <c r="V8" t="s">
        <v>300</v>
      </c>
    </row>
    <row r="9" spans="1:25">
      <c r="A9" s="34" t="s">
        <v>124</v>
      </c>
      <c r="B9" s="34" t="s">
        <v>125</v>
      </c>
      <c r="C9" s="35">
        <v>0.78</v>
      </c>
      <c r="D9" s="35">
        <v>0.7</v>
      </c>
      <c r="E9" s="35">
        <v>0.76</v>
      </c>
      <c r="F9" s="35">
        <v>0.92</v>
      </c>
      <c r="G9" s="36">
        <v>0.8</v>
      </c>
      <c r="H9" s="37">
        <v>0.7</v>
      </c>
      <c r="I9" s="37">
        <v>0.8</v>
      </c>
      <c r="L9" s="34" t="s">
        <v>124</v>
      </c>
      <c r="M9" s="116" t="s">
        <v>125</v>
      </c>
      <c r="N9" s="32">
        <f>C9*'Unit Conversions'!$B$5*BTU_per_TOE*1000</f>
        <v>34976778826.080002</v>
      </c>
      <c r="O9" s="32">
        <f>D9*'Unit Conversions'!$B$5*BTU_per_TOE*1000</f>
        <v>31389416895.200001</v>
      </c>
      <c r="P9" s="32">
        <f>E9*'Unit Conversions'!$B$5*BTU_per_TOE*1000</f>
        <v>34079938343.360001</v>
      </c>
      <c r="Q9" s="32">
        <f>F9*'Unit Conversions'!$B$5*BTU_per_TOE*1000</f>
        <v>41254662205.119995</v>
      </c>
      <c r="R9" s="32">
        <f>G9*'Unit Conversions'!$B$5*BTU_per_TOE*1000</f>
        <v>35873619308.799995</v>
      </c>
      <c r="S9" s="32">
        <f>H9*'Unit Conversions'!$B$5*BTU_per_TOE*1000</f>
        <v>31389416895.200001</v>
      </c>
      <c r="T9" s="32">
        <f>I9*'Unit Conversions'!$B$5*BTU_per_TOE*1000</f>
        <v>35873619308.799995</v>
      </c>
      <c r="V9" t="s">
        <v>301</v>
      </c>
    </row>
    <row r="10" spans="1:25">
      <c r="A10" s="33">
        <v>4</v>
      </c>
      <c r="B10" s="34" t="s">
        <v>126</v>
      </c>
      <c r="C10" s="35">
        <v>0</v>
      </c>
      <c r="D10" s="35">
        <v>2.57</v>
      </c>
      <c r="E10" s="35">
        <v>3.08</v>
      </c>
      <c r="F10" s="35">
        <v>2.68</v>
      </c>
      <c r="G10" s="36">
        <v>2.2000000000000002</v>
      </c>
      <c r="H10" s="37">
        <v>1.3</v>
      </c>
      <c r="I10" s="37">
        <v>1.8</v>
      </c>
      <c r="L10" s="33">
        <v>4</v>
      </c>
      <c r="M10" s="116" t="s">
        <v>126</v>
      </c>
      <c r="N10" s="32">
        <f>C10*'Unit Conversions'!$B$5*BTU_per_TOE*1000</f>
        <v>0</v>
      </c>
      <c r="O10" s="32">
        <f>D10*'Unit Conversions'!$B$5*BTU_per_TOE*1000</f>
        <v>115244002029.51999</v>
      </c>
      <c r="P10" s="32">
        <f>E10*'Unit Conversions'!$B$5*BTU_per_TOE*1000</f>
        <v>138113434338.88</v>
      </c>
      <c r="Q10" s="32">
        <f>F10*'Unit Conversions'!$B$5*BTU_per_TOE*1000</f>
        <v>120176624684.48001</v>
      </c>
      <c r="R10" s="32">
        <f>G10*'Unit Conversions'!$B$5*BTU_per_TOE*1000</f>
        <v>98652453099.199997</v>
      </c>
      <c r="S10" s="32">
        <f>H10*'Unit Conversions'!$B$5*BTU_per_TOE*1000</f>
        <v>58294631376.800003</v>
      </c>
      <c r="T10" s="32">
        <f>I10*'Unit Conversions'!$B$5*BTU_per_TOE*1000</f>
        <v>80715643444.800003</v>
      </c>
      <c r="Y10" s="12"/>
    </row>
    <row r="11" spans="1:25">
      <c r="A11" s="33">
        <v>5</v>
      </c>
      <c r="B11" s="34" t="s">
        <v>127</v>
      </c>
      <c r="C11" s="35">
        <v>3.73</v>
      </c>
      <c r="D11" s="35">
        <v>3.95</v>
      </c>
      <c r="E11" s="35">
        <v>6.09</v>
      </c>
      <c r="F11" s="35">
        <v>7.13</v>
      </c>
      <c r="G11" s="36">
        <v>7.8</v>
      </c>
      <c r="H11" s="37">
        <v>7.5</v>
      </c>
      <c r="I11" s="37">
        <v>22</v>
      </c>
      <c r="L11" s="33">
        <v>5</v>
      </c>
      <c r="M11" s="116" t="s">
        <v>127</v>
      </c>
      <c r="N11" s="32">
        <f>C11*'Unit Conversions'!$B$5*BTU_per_TOE*1000</f>
        <v>167260750027.27997</v>
      </c>
      <c r="O11" s="32">
        <f>D11*'Unit Conversions'!$B$5*BTU_per_TOE*1000</f>
        <v>177125995337.20001</v>
      </c>
      <c r="P11" s="32">
        <f>E11*'Unit Conversions'!$B$5*BTU_per_TOE*1000</f>
        <v>273087926988.23999</v>
      </c>
      <c r="Q11" s="32">
        <f>F11*'Unit Conversions'!$B$5*BTU_per_TOE*1000</f>
        <v>319723632089.67993</v>
      </c>
      <c r="R11" s="32">
        <f>G11*'Unit Conversions'!$B$5*BTU_per_TOE*1000</f>
        <v>349767788260.79993</v>
      </c>
      <c r="S11" s="32">
        <f>H11*'Unit Conversions'!$B$5*BTU_per_TOE*1000</f>
        <v>336315181020.00006</v>
      </c>
      <c r="T11" s="32">
        <f>I11*'Unit Conversions'!$B$5*BTU_per_TOE*1000</f>
        <v>986524530992.00012</v>
      </c>
    </row>
    <row r="12" spans="1:25">
      <c r="A12" s="33">
        <v>6</v>
      </c>
      <c r="B12" s="34" t="s">
        <v>128</v>
      </c>
      <c r="C12" s="35">
        <v>0</v>
      </c>
      <c r="D12" s="35">
        <v>0</v>
      </c>
      <c r="E12" s="35">
        <v>0</v>
      </c>
      <c r="F12" s="35">
        <v>0</v>
      </c>
      <c r="G12" s="36">
        <v>0</v>
      </c>
      <c r="H12" s="37">
        <v>0</v>
      </c>
      <c r="I12" s="37">
        <v>0.3</v>
      </c>
      <c r="L12" s="33">
        <v>6</v>
      </c>
      <c r="M12" s="116" t="s">
        <v>128</v>
      </c>
      <c r="N12" s="32">
        <f>C12*'Unit Conversions'!$B$5*BTU_per_TOE*1000</f>
        <v>0</v>
      </c>
      <c r="O12" s="32">
        <f>D12*'Unit Conversions'!$B$5*BTU_per_TOE*1000</f>
        <v>0</v>
      </c>
      <c r="P12" s="32">
        <f>E12*'Unit Conversions'!$B$5*BTU_per_TOE*1000</f>
        <v>0</v>
      </c>
      <c r="Q12" s="32">
        <f>F12*'Unit Conversions'!$B$5*BTU_per_TOE*1000</f>
        <v>0</v>
      </c>
      <c r="R12" s="32">
        <f>G12*'Unit Conversions'!$B$5*BTU_per_TOE*1000</f>
        <v>0</v>
      </c>
      <c r="S12" s="32">
        <f>H12*'Unit Conversions'!$B$5*BTU_per_TOE*1000</f>
        <v>0</v>
      </c>
      <c r="T12" s="32">
        <f>I12*'Unit Conversions'!$B$5*BTU_per_TOE*1000</f>
        <v>13452607240.799999</v>
      </c>
    </row>
    <row r="13" spans="1:25">
      <c r="A13" s="33">
        <v>7</v>
      </c>
      <c r="B13" s="34" t="s">
        <v>129</v>
      </c>
      <c r="C13" s="35">
        <v>144.78</v>
      </c>
      <c r="D13" s="35">
        <v>134.75</v>
      </c>
      <c r="E13" s="35">
        <v>207.92</v>
      </c>
      <c r="F13" s="35">
        <v>201.66</v>
      </c>
      <c r="G13" s="36">
        <v>220</v>
      </c>
      <c r="H13" s="37">
        <v>204.6</v>
      </c>
      <c r="I13" s="37">
        <v>204.2</v>
      </c>
      <c r="L13" s="33">
        <v>7</v>
      </c>
      <c r="M13" s="116" t="s">
        <v>129</v>
      </c>
      <c r="N13" s="32">
        <f>C13*'Unit Conversions'!$B$5*BTU_per_TOE*1000</f>
        <v>6492228254410.0801</v>
      </c>
      <c r="O13" s="32">
        <f>D13*'Unit Conversions'!$B$5*BTU_per_TOE*1000</f>
        <v>6042462752326</v>
      </c>
      <c r="P13" s="32">
        <f>E13*'Unit Conversions'!$B$5*BTU_per_TOE*1000</f>
        <v>9323553658357.1211</v>
      </c>
      <c r="Q13" s="32">
        <f>F13*'Unit Conversions'!$B$5*BTU_per_TOE*1000</f>
        <v>9042842587265.7598</v>
      </c>
      <c r="R13" s="32">
        <f>G13*'Unit Conversions'!$B$5*BTU_per_TOE*1000</f>
        <v>9865245309920</v>
      </c>
      <c r="S13" s="32">
        <f>H13*'Unit Conversions'!$B$5*BTU_per_TOE*1000</f>
        <v>9174678138225.5996</v>
      </c>
      <c r="T13" s="32">
        <f>I13*'Unit Conversions'!$B$5*BTU_per_TOE*1000</f>
        <v>9156741328571.1992</v>
      </c>
    </row>
    <row r="14" spans="1:25">
      <c r="A14" s="34" t="s">
        <v>122</v>
      </c>
      <c r="B14" s="34" t="s">
        <v>130</v>
      </c>
      <c r="C14" s="35">
        <v>11.32</v>
      </c>
      <c r="D14" s="35">
        <v>5.42</v>
      </c>
      <c r="E14" s="35">
        <v>35.03</v>
      </c>
      <c r="F14" s="35">
        <v>5.21</v>
      </c>
      <c r="G14" s="36">
        <v>12.4</v>
      </c>
      <c r="H14" s="37">
        <v>6</v>
      </c>
      <c r="I14" s="37">
        <v>24.2</v>
      </c>
      <c r="L14" s="34" t="s">
        <v>122</v>
      </c>
      <c r="M14" s="116" t="s">
        <v>130</v>
      </c>
      <c r="N14" s="32">
        <f>C14*'Unit Conversions'!$B$5*BTU_per_TOE*1000</f>
        <v>507611713219.51996</v>
      </c>
      <c r="O14" s="32">
        <f>D14*'Unit Conversions'!$B$5*BTU_per_TOE*1000</f>
        <v>243043770817.12</v>
      </c>
      <c r="P14" s="32">
        <f>E14*'Unit Conversions'!$B$5*BTU_per_TOE*1000</f>
        <v>1570816105484.0801</v>
      </c>
      <c r="Q14" s="32">
        <f>F14*'Unit Conversions'!$B$5*BTU_per_TOE*1000</f>
        <v>233626945748.56</v>
      </c>
      <c r="R14" s="32">
        <f>G14*'Unit Conversions'!$B$5*BTU_per_TOE*1000</f>
        <v>556041099286.3999</v>
      </c>
      <c r="S14" s="32">
        <f>H14*'Unit Conversions'!$B$5*BTU_per_TOE*1000</f>
        <v>269052144816</v>
      </c>
      <c r="T14" s="32">
        <f>I14*'Unit Conversions'!$B$5*BTU_per_TOE*1000</f>
        <v>1085176984091.1998</v>
      </c>
    </row>
    <row r="15" spans="1:25">
      <c r="A15" s="34" t="s">
        <v>124</v>
      </c>
      <c r="B15" s="34" t="s">
        <v>131</v>
      </c>
      <c r="C15" s="35">
        <v>1.95</v>
      </c>
      <c r="D15" s="35">
        <v>1.52</v>
      </c>
      <c r="E15" s="35">
        <v>1.8</v>
      </c>
      <c r="F15" s="35">
        <v>2.13</v>
      </c>
      <c r="G15" s="36">
        <v>2.5</v>
      </c>
      <c r="H15" s="37">
        <v>2.6</v>
      </c>
      <c r="I15" s="37">
        <v>3</v>
      </c>
      <c r="L15" s="34" t="s">
        <v>124</v>
      </c>
      <c r="M15" s="116" t="s">
        <v>131</v>
      </c>
      <c r="N15" s="32">
        <f>C15*'Unit Conversions'!$B$5*BTU_per_TOE*1000</f>
        <v>87441947065.199982</v>
      </c>
      <c r="O15" s="32">
        <f>D15*'Unit Conversions'!$B$5*BTU_per_TOE*1000</f>
        <v>68159876686.720001</v>
      </c>
      <c r="P15" s="32">
        <f>E15*'Unit Conversions'!$B$5*BTU_per_TOE*1000</f>
        <v>80715643444.800003</v>
      </c>
      <c r="Q15" s="32">
        <f>F15*'Unit Conversions'!$B$5*BTU_per_TOE*1000</f>
        <v>95513511409.679993</v>
      </c>
      <c r="R15" s="32">
        <f>G15*'Unit Conversions'!$B$5*BTU_per_TOE*1000</f>
        <v>112105060340</v>
      </c>
      <c r="S15" s="32">
        <f>H15*'Unit Conversions'!$B$5*BTU_per_TOE*1000</f>
        <v>116589262753.60001</v>
      </c>
      <c r="T15" s="32">
        <f>I15*'Unit Conversions'!$B$5*BTU_per_TOE*1000</f>
        <v>134526072408</v>
      </c>
    </row>
    <row r="16" spans="1:25">
      <c r="A16" s="34" t="s">
        <v>132</v>
      </c>
      <c r="B16" s="34" t="s">
        <v>133</v>
      </c>
      <c r="C16" s="35">
        <v>10.36</v>
      </c>
      <c r="D16" s="35">
        <v>7.09</v>
      </c>
      <c r="E16" s="35">
        <v>4.8499999999999996</v>
      </c>
      <c r="F16" s="35">
        <v>3.86</v>
      </c>
      <c r="G16" s="36">
        <v>4.5</v>
      </c>
      <c r="H16" s="37">
        <v>3.9</v>
      </c>
      <c r="I16" s="37">
        <v>5.5</v>
      </c>
      <c r="L16" s="34" t="s">
        <v>132</v>
      </c>
      <c r="M16" s="116" t="s">
        <v>133</v>
      </c>
      <c r="N16" s="32">
        <f>C16*'Unit Conversions'!$B$5*BTU_per_TOE*1000</f>
        <v>464563370048.95996</v>
      </c>
      <c r="O16" s="32">
        <f>D16*'Unit Conversions'!$B$5*BTU_per_TOE*1000</f>
        <v>317929951124.23999</v>
      </c>
      <c r="P16" s="32">
        <f>E16*'Unit Conversions'!$B$5*BTU_per_TOE*1000</f>
        <v>217483817059.60001</v>
      </c>
      <c r="Q16" s="32">
        <f>F16*'Unit Conversions'!$B$5*BTU_per_TOE*1000</f>
        <v>173090213164.95999</v>
      </c>
      <c r="R16" s="32">
        <f>G16*'Unit Conversions'!$B$5*BTU_per_TOE*1000</f>
        <v>201789108612</v>
      </c>
      <c r="S16" s="32">
        <f>H16*'Unit Conversions'!$B$5*BTU_per_TOE*1000</f>
        <v>174883894130.39996</v>
      </c>
      <c r="T16" s="32">
        <f>I16*'Unit Conversions'!$B$5*BTU_per_TOE*1000</f>
        <v>246631132748.00003</v>
      </c>
    </row>
    <row r="17" spans="1:20">
      <c r="A17" s="34" t="s">
        <v>134</v>
      </c>
      <c r="B17" s="34" t="s">
        <v>135</v>
      </c>
      <c r="C17" s="35">
        <v>18.57</v>
      </c>
      <c r="D17" s="35">
        <v>14.86</v>
      </c>
      <c r="E17" s="35">
        <v>13.9</v>
      </c>
      <c r="F17" s="35">
        <v>12.38</v>
      </c>
      <c r="G17" s="36">
        <v>13.2</v>
      </c>
      <c r="H17" s="37">
        <v>13.9</v>
      </c>
      <c r="I17" s="37">
        <v>18.600000000000001</v>
      </c>
      <c r="L17" s="34" t="s">
        <v>134</v>
      </c>
      <c r="M17" s="116" t="s">
        <v>135</v>
      </c>
      <c r="N17" s="32">
        <f>C17*'Unit Conversions'!$B$5*BTU_per_TOE*1000</f>
        <v>832716388205.52002</v>
      </c>
      <c r="O17" s="32">
        <f>D17*'Unit Conversions'!$B$5*BTU_per_TOE*1000</f>
        <v>666352478660.95996</v>
      </c>
      <c r="P17" s="32">
        <f>E17*'Unit Conversions'!$B$5*BTU_per_TOE*1000</f>
        <v>623304135490.3999</v>
      </c>
      <c r="Q17" s="32">
        <f>F17*'Unit Conversions'!$B$5*BTU_per_TOE*1000</f>
        <v>555144258803.68005</v>
      </c>
      <c r="R17" s="32">
        <f>G17*'Unit Conversions'!$B$5*BTU_per_TOE*1000</f>
        <v>591914718595.19995</v>
      </c>
      <c r="S17" s="32">
        <f>H17*'Unit Conversions'!$B$5*BTU_per_TOE*1000</f>
        <v>623304135490.3999</v>
      </c>
      <c r="T17" s="32">
        <f>I17*'Unit Conversions'!$B$5*BTU_per_TOE*1000</f>
        <v>834061648929.6001</v>
      </c>
    </row>
    <row r="18" spans="1:20">
      <c r="A18" s="34" t="s">
        <v>136</v>
      </c>
      <c r="B18" s="34" t="s">
        <v>137</v>
      </c>
      <c r="C18" s="35">
        <v>77.95</v>
      </c>
      <c r="D18" s="35">
        <v>84.5</v>
      </c>
      <c r="E18" s="35">
        <v>125.29</v>
      </c>
      <c r="F18" s="35">
        <v>134.09</v>
      </c>
      <c r="G18" s="36">
        <v>138.9</v>
      </c>
      <c r="H18" s="37">
        <v>131.6</v>
      </c>
      <c r="I18" s="37">
        <v>94</v>
      </c>
      <c r="L18" s="34" t="s">
        <v>136</v>
      </c>
      <c r="M18" s="116" t="s">
        <v>137</v>
      </c>
      <c r="N18" s="32">
        <f>C18*'Unit Conversions'!$B$5*BTU_per_TOE*1000</f>
        <v>3495435781401.2002</v>
      </c>
      <c r="O18" s="32">
        <f>D18*'Unit Conversions'!$B$5*BTU_per_TOE*1000</f>
        <v>3789151039491.9995</v>
      </c>
      <c r="P18" s="32">
        <f>E18*'Unit Conversions'!$B$5*BTU_per_TOE*1000</f>
        <v>5618257203999.4404</v>
      </c>
      <c r="Q18" s="32">
        <f>F18*'Unit Conversions'!$B$5*BTU_per_TOE*1000</f>
        <v>6012867016396.2393</v>
      </c>
      <c r="R18" s="32">
        <f>G18*'Unit Conversions'!$B$5*BTU_per_TOE*1000</f>
        <v>6228557152490.4004</v>
      </c>
      <c r="S18" s="32">
        <f>H18*'Unit Conversions'!$B$5*BTU_per_TOE*1000</f>
        <v>5901210376297.5986</v>
      </c>
      <c r="T18" s="32">
        <f>I18*'Unit Conversions'!$B$5*BTU_per_TOE*1000</f>
        <v>4215150268784</v>
      </c>
    </row>
    <row r="19" spans="1:20">
      <c r="A19" s="34" t="s">
        <v>138</v>
      </c>
      <c r="B19" s="34" t="s">
        <v>139</v>
      </c>
      <c r="C19" s="35">
        <v>2.12</v>
      </c>
      <c r="D19" s="35">
        <v>2.87</v>
      </c>
      <c r="E19" s="35">
        <v>2.21</v>
      </c>
      <c r="F19" s="35">
        <v>2.4700000000000002</v>
      </c>
      <c r="G19" s="36">
        <v>2.2999999999999998</v>
      </c>
      <c r="H19" s="37">
        <v>2.1</v>
      </c>
      <c r="I19" s="37">
        <v>2.2999999999999998</v>
      </c>
      <c r="L19" s="34" t="s">
        <v>138</v>
      </c>
      <c r="M19" s="116" t="s">
        <v>139</v>
      </c>
      <c r="N19" s="32">
        <f>C19*'Unit Conversions'!$B$5*BTU_per_TOE*1000</f>
        <v>95065091168.320007</v>
      </c>
      <c r="O19" s="32">
        <f>D19*'Unit Conversions'!$B$5*BTU_per_TOE*1000</f>
        <v>128696609270.31999</v>
      </c>
      <c r="P19" s="32">
        <f>E19*'Unit Conversions'!$B$5*BTU_per_TOE*1000</f>
        <v>99100873340.559982</v>
      </c>
      <c r="Q19" s="32">
        <f>F19*'Unit Conversions'!$B$5*BTU_per_TOE*1000</f>
        <v>110759799615.92001</v>
      </c>
      <c r="R19" s="32">
        <f>G19*'Unit Conversions'!$B$5*BTU_per_TOE*1000</f>
        <v>103136655512.79999</v>
      </c>
      <c r="S19" s="32">
        <f>H19*'Unit Conversions'!$B$5*BTU_per_TOE*1000</f>
        <v>94168250685.599991</v>
      </c>
      <c r="T19" s="32">
        <f>I19*'Unit Conversions'!$B$5*BTU_per_TOE*1000</f>
        <v>103136655512.79999</v>
      </c>
    </row>
    <row r="20" spans="1:20">
      <c r="A20" s="34" t="s">
        <v>140</v>
      </c>
      <c r="B20" s="34" t="s">
        <v>141</v>
      </c>
      <c r="C20" s="35">
        <v>22.51</v>
      </c>
      <c r="D20" s="35">
        <v>18.489999999999998</v>
      </c>
      <c r="E20" s="35">
        <v>24.84</v>
      </c>
      <c r="F20" s="35">
        <v>41.51</v>
      </c>
      <c r="G20" s="36">
        <v>46.3</v>
      </c>
      <c r="H20" s="37">
        <v>44.4</v>
      </c>
      <c r="I20" s="37">
        <v>56.7</v>
      </c>
      <c r="L20" s="34" t="s">
        <v>140</v>
      </c>
      <c r="M20" s="116" t="s">
        <v>141</v>
      </c>
      <c r="N20" s="32">
        <f>C20*'Unit Conversions'!$B$5*BTU_per_TOE*1000</f>
        <v>1009393963301.36</v>
      </c>
      <c r="O20" s="32">
        <f>D20*'Unit Conversions'!$B$5*BTU_per_TOE*1000</f>
        <v>829129026274.63989</v>
      </c>
      <c r="P20" s="32">
        <f>E20*'Unit Conversions'!$B$5*BTU_per_TOE*1000</f>
        <v>1113875879538.24</v>
      </c>
      <c r="Q20" s="32">
        <f>F20*'Unit Conversions'!$B$5*BTU_per_TOE*1000</f>
        <v>1861392421885.3601</v>
      </c>
      <c r="R20" s="32">
        <f>G20*'Unit Conversions'!$B$5*BTU_per_TOE*1000</f>
        <v>2076185717496.7998</v>
      </c>
      <c r="S20" s="32">
        <f>H20*'Unit Conversions'!$B$5*BTU_per_TOE*1000</f>
        <v>1990985871638.4001</v>
      </c>
      <c r="T20" s="32">
        <f>I20*'Unit Conversions'!$B$5*BTU_per_TOE*1000</f>
        <v>2542542768511.2002</v>
      </c>
    </row>
    <row r="21" spans="1:20">
      <c r="A21" s="33">
        <v>8</v>
      </c>
      <c r="B21" s="34" t="s">
        <v>142</v>
      </c>
      <c r="C21" s="35">
        <v>58.58</v>
      </c>
      <c r="D21" s="35">
        <v>57.77</v>
      </c>
      <c r="E21" s="35">
        <v>45.19</v>
      </c>
      <c r="F21" s="35">
        <v>44.92</v>
      </c>
      <c r="G21" s="36">
        <v>67</v>
      </c>
      <c r="H21" s="37">
        <v>74.3</v>
      </c>
      <c r="I21" s="37">
        <v>0</v>
      </c>
      <c r="L21" s="33">
        <v>8</v>
      </c>
      <c r="M21" s="116" t="s">
        <v>142</v>
      </c>
      <c r="N21" s="32">
        <f>C21*'Unit Conversions'!$B$5*BTU_per_TOE*1000</f>
        <v>2626845773886.8799</v>
      </c>
      <c r="O21" s="32">
        <f>D21*'Unit Conversions'!$B$5*BTU_per_TOE*1000</f>
        <v>2590523734336.7207</v>
      </c>
      <c r="P21" s="32">
        <f>E21*'Unit Conversions'!$B$5*BTU_per_TOE*1000</f>
        <v>2026411070705.8398</v>
      </c>
      <c r="Q21" s="32">
        <f>F21*'Unit Conversions'!$B$5*BTU_per_TOE*1000</f>
        <v>2014303724189.1201</v>
      </c>
      <c r="R21" s="32">
        <f>G21*'Unit Conversions'!$B$5*BTU_per_TOE*1000</f>
        <v>3004415617112</v>
      </c>
      <c r="S21" s="32">
        <f>H21*'Unit Conversions'!$B$5*BTU_per_TOE*1000</f>
        <v>3331762393304.7998</v>
      </c>
      <c r="T21" s="32">
        <f>I21*'Unit Conversions'!$B$5*BTU_per_TOE*1000</f>
        <v>0</v>
      </c>
    </row>
    <row r="22" spans="1:20">
      <c r="A22" s="33">
        <v>9</v>
      </c>
      <c r="B22" s="34" t="s">
        <v>143</v>
      </c>
      <c r="C22" s="35">
        <v>44.75</v>
      </c>
      <c r="D22" s="35">
        <v>45.95</v>
      </c>
      <c r="E22" s="35">
        <v>52.68</v>
      </c>
      <c r="F22" s="35">
        <v>59.87</v>
      </c>
      <c r="G22" s="36">
        <v>66.599999999999994</v>
      </c>
      <c r="H22" s="37">
        <v>67.099999999999994</v>
      </c>
      <c r="I22" s="37">
        <v>88.9</v>
      </c>
      <c r="L22" s="33">
        <v>9</v>
      </c>
      <c r="M22" s="116" t="s">
        <v>143</v>
      </c>
      <c r="N22" s="32">
        <f>C22*'Unit Conversions'!$B$5*BTU_per_TOE*1000</f>
        <v>2006680580086</v>
      </c>
      <c r="O22" s="32">
        <f>D22*'Unit Conversions'!$B$5*BTU_per_TOE*1000</f>
        <v>2060491009049.2</v>
      </c>
      <c r="P22" s="32">
        <f>E22*'Unit Conversions'!$B$5*BTU_per_TOE*1000</f>
        <v>2362277831484.48</v>
      </c>
      <c r="Q22" s="32">
        <f>F22*'Unit Conversions'!$B$5*BTU_per_TOE*1000</f>
        <v>2684691985022.3198</v>
      </c>
      <c r="R22" s="32">
        <f>G22*'Unit Conversions'!$B$5*BTU_per_TOE*1000</f>
        <v>2986478807457.5996</v>
      </c>
      <c r="S22" s="32">
        <f>H22*'Unit Conversions'!$B$5*BTU_per_TOE*1000</f>
        <v>3008899819525.6001</v>
      </c>
      <c r="T22" s="32">
        <f>I22*'Unit Conversions'!$B$5*BTU_per_TOE*1000</f>
        <v>3986455945690.3999</v>
      </c>
    </row>
    <row r="23" spans="1:20">
      <c r="A23" s="38"/>
      <c r="B23" s="39" t="s">
        <v>144</v>
      </c>
      <c r="C23" s="40">
        <v>15143.65</v>
      </c>
      <c r="D23" s="40">
        <v>15867.38</v>
      </c>
      <c r="E23" s="40">
        <v>17525.740000000002</v>
      </c>
      <c r="F23" s="40">
        <v>19089.259999999998</v>
      </c>
      <c r="G23" s="41">
        <v>21179</v>
      </c>
      <c r="H23" s="42">
        <v>22977.4</v>
      </c>
      <c r="I23" s="42">
        <v>24590.799999999999</v>
      </c>
      <c r="J23" s="43"/>
      <c r="L23" s="38"/>
      <c r="M23" s="117" t="s">
        <v>144</v>
      </c>
      <c r="N23" s="32">
        <f>C23*'Unit Conversions'!$B$5*BTU_per_TOE*1000</f>
        <v>679071918807136.38</v>
      </c>
      <c r="O23" s="32">
        <f>D23*'Unit Conversions'!$B$5*BTU_per_TOE*1000</f>
        <v>711525436935083.63</v>
      </c>
      <c r="P23" s="32">
        <f>E23*'Unit Conversions'!$B$5*BTU_per_TOE*1000</f>
        <v>785889656081260.75</v>
      </c>
      <c r="Q23" s="32">
        <f>F23*'Unit Conversions'!$B$5*BTU_per_TOE*1000</f>
        <v>856001057658379.25</v>
      </c>
      <c r="R23" s="32">
        <f>G23*'Unit Conversions'!$B$5*BTU_per_TOE*1000</f>
        <v>949709229176344</v>
      </c>
      <c r="S23" s="32">
        <f>H23*'Unit Conversions'!$B$5*BTU_per_TOE*1000</f>
        <v>1030353125382526.5</v>
      </c>
      <c r="T23" s="32">
        <f>I23*'Unit Conversions'!$B$5*BTU_per_TOE*1000</f>
        <v>1102701247123548.9</v>
      </c>
    </row>
    <row r="24" spans="1:20">
      <c r="A24" s="44">
        <v>10</v>
      </c>
      <c r="B24" s="45" t="s">
        <v>145</v>
      </c>
      <c r="C24" s="46">
        <v>398.47</v>
      </c>
      <c r="D24" s="46">
        <v>368.5</v>
      </c>
      <c r="E24" s="46">
        <v>429.17</v>
      </c>
      <c r="F24" s="46">
        <v>489.05</v>
      </c>
      <c r="G24" s="47">
        <v>429.31</v>
      </c>
      <c r="H24" s="37">
        <v>364.5</v>
      </c>
      <c r="I24" s="37">
        <v>316</v>
      </c>
      <c r="L24" s="44">
        <v>10</v>
      </c>
      <c r="M24" s="118" t="s">
        <v>145</v>
      </c>
      <c r="N24" s="32">
        <f>C24*'Unit Conversions'!$B$5*BTU_per_TOE*1000</f>
        <v>17868201357471.922</v>
      </c>
      <c r="O24" s="32">
        <f>D24*'Unit Conversions'!$B$5*BTU_per_TOE*1000</f>
        <v>16524285894116</v>
      </c>
      <c r="P24" s="32">
        <f>E24*'Unit Conversions'!$B$5*BTU_per_TOE*1000</f>
        <v>19244851498447.121</v>
      </c>
      <c r="Q24" s="32">
        <f>F24*'Unit Conversions'!$B$5*BTU_per_TOE*1000</f>
        <v>21929991903710.801</v>
      </c>
      <c r="R24" s="32">
        <f>G24*'Unit Conversions'!$B$5*BTU_per_TOE*1000</f>
        <v>19251129381826.16</v>
      </c>
      <c r="S24" s="32">
        <f>H24*'Unit Conversions'!$B$5*BTU_per_TOE*1000</f>
        <v>16344917797571.998</v>
      </c>
      <c r="T24" s="32">
        <f>I24*'Unit Conversions'!$B$5*BTU_per_TOE*1000</f>
        <v>14170079626976</v>
      </c>
    </row>
    <row r="25" spans="1:20">
      <c r="A25" s="183" t="s">
        <v>146</v>
      </c>
      <c r="B25" s="152"/>
      <c r="C25" s="48">
        <v>15600.7</v>
      </c>
      <c r="D25" s="48">
        <v>16293.65</v>
      </c>
      <c r="E25" s="48">
        <v>18000.099999999999</v>
      </c>
      <c r="F25" s="48">
        <v>19623.21</v>
      </c>
      <c r="G25" s="49">
        <v>21608.21</v>
      </c>
      <c r="H25" s="49">
        <v>23341.8</v>
      </c>
      <c r="I25" s="49">
        <v>24906.799999999999</v>
      </c>
      <c r="L25" s="183" t="s">
        <v>146</v>
      </c>
      <c r="M25" s="152"/>
      <c r="N25" s="32">
        <f>C25*'Unit Conversions'!$B$5*BTU_per_TOE*1000</f>
        <v>699566965938495.13</v>
      </c>
      <c r="O25" s="32">
        <f>D25*'Unit Conversions'!$B$5*BTU_per_TOE*1000</f>
        <v>730640246563536.38</v>
      </c>
      <c r="P25" s="32">
        <f>E25*'Unit Conversions'!$B$5*BTU_per_TOE*1000</f>
        <v>807160918650413.63</v>
      </c>
      <c r="Q25" s="32">
        <f>F25*'Unit Conversions'!$B$5*BTU_per_TOE*1000</f>
        <v>879944456445796.63</v>
      </c>
      <c r="R25" s="32">
        <f>G25*'Unit Conversions'!$B$5*BTU_per_TOE*1000</f>
        <v>968955874355756.63</v>
      </c>
      <c r="S25" s="32">
        <f>H25*'Unit Conversions'!$B$5*BTU_per_TOE*1000</f>
        <v>1046693558977684.8</v>
      </c>
      <c r="T25" s="32">
        <f>I25*'Unit Conversions'!$B$5*BTU_per_TOE*1000</f>
        <v>1116871326750524.9</v>
      </c>
    </row>
    <row r="26" spans="1:20">
      <c r="A26" s="50" t="s">
        <v>147</v>
      </c>
      <c r="B26" s="51"/>
      <c r="C26" s="51"/>
      <c r="D26" s="51"/>
      <c r="E26" s="51"/>
      <c r="F26" s="51"/>
      <c r="G26" s="51"/>
      <c r="H26" s="51"/>
      <c r="I26" s="51"/>
      <c r="L26" s="50" t="s">
        <v>147</v>
      </c>
      <c r="M26" s="119"/>
      <c r="N26" s="51"/>
      <c r="O26" s="51"/>
      <c r="P26" s="51"/>
      <c r="Q26" s="51"/>
      <c r="R26" s="51"/>
      <c r="S26" s="51"/>
      <c r="T26" s="51"/>
    </row>
    <row r="27" spans="1:20">
      <c r="A27" s="50" t="s">
        <v>148</v>
      </c>
      <c r="B27" s="51"/>
      <c r="C27" s="52"/>
      <c r="D27" s="52"/>
      <c r="E27" s="52"/>
      <c r="F27" s="52"/>
      <c r="G27" s="52"/>
      <c r="H27" s="52"/>
      <c r="I27" s="52"/>
      <c r="L27" s="50" t="s">
        <v>148</v>
      </c>
      <c r="M27" s="119"/>
      <c r="N27" s="51"/>
      <c r="O27" s="51"/>
      <c r="P27" s="51"/>
      <c r="Q27" s="51"/>
      <c r="R27" s="51"/>
      <c r="S27" s="51"/>
      <c r="T27" s="51"/>
    </row>
    <row r="28" spans="1:20">
      <c r="C28" s="53"/>
      <c r="D28" s="53"/>
      <c r="E28" s="53"/>
      <c r="F28" s="53"/>
      <c r="G28" s="53"/>
      <c r="H28" s="53"/>
      <c r="I28" s="53"/>
    </row>
    <row r="29" spans="1:20" ht="15.75">
      <c r="A29" s="153" t="s">
        <v>149</v>
      </c>
      <c r="B29" s="154"/>
      <c r="C29" s="154"/>
      <c r="D29" s="154"/>
      <c r="E29" s="154"/>
      <c r="F29" s="154"/>
      <c r="G29" s="154"/>
      <c r="H29" s="154"/>
      <c r="I29" s="155"/>
      <c r="L29" s="153" t="s">
        <v>149</v>
      </c>
      <c r="M29" s="154"/>
      <c r="N29" s="154"/>
      <c r="O29" s="154"/>
      <c r="P29" s="154"/>
      <c r="Q29" s="154"/>
      <c r="R29" s="154"/>
      <c r="S29" s="153"/>
      <c r="T29" s="154"/>
    </row>
    <row r="30" spans="1:20">
      <c r="A30" s="156" t="s">
        <v>108</v>
      </c>
      <c r="B30" s="157"/>
      <c r="C30" s="157"/>
      <c r="D30" s="157"/>
      <c r="E30" s="157"/>
      <c r="F30" s="157"/>
      <c r="G30" s="157"/>
      <c r="H30" s="157"/>
      <c r="I30" s="158"/>
      <c r="L30" s="159" t="s">
        <v>109</v>
      </c>
      <c r="M30" s="157"/>
      <c r="N30" s="157"/>
      <c r="O30" s="157"/>
      <c r="P30" s="157"/>
      <c r="Q30" s="157"/>
      <c r="R30" s="157"/>
      <c r="S30" s="157"/>
      <c r="T30" s="158"/>
    </row>
    <row r="31" spans="1:20">
      <c r="A31" s="147" t="s">
        <v>110</v>
      </c>
      <c r="B31" s="148"/>
      <c r="C31" s="24" t="s">
        <v>111</v>
      </c>
      <c r="D31" s="24" t="s">
        <v>112</v>
      </c>
      <c r="E31" s="24" t="s">
        <v>113</v>
      </c>
      <c r="F31" s="24" t="s">
        <v>114</v>
      </c>
      <c r="G31" s="25" t="s">
        <v>115</v>
      </c>
      <c r="H31" s="25" t="s">
        <v>118</v>
      </c>
      <c r="I31" s="25" t="s">
        <v>117</v>
      </c>
      <c r="L31" s="147" t="s">
        <v>110</v>
      </c>
      <c r="M31" s="148"/>
      <c r="N31" s="24" t="s">
        <v>111</v>
      </c>
      <c r="O31" s="24" t="s">
        <v>112</v>
      </c>
      <c r="P31" s="24" t="s">
        <v>113</v>
      </c>
      <c r="Q31" s="24" t="s">
        <v>114</v>
      </c>
      <c r="R31" s="25" t="s">
        <v>115</v>
      </c>
      <c r="S31" s="25" t="s">
        <v>118</v>
      </c>
      <c r="T31" s="25" t="s">
        <v>117</v>
      </c>
    </row>
    <row r="32" spans="1:20">
      <c r="A32" s="149">
        <v>-1</v>
      </c>
      <c r="B32" s="150"/>
      <c r="C32" s="26">
        <v>-2</v>
      </c>
      <c r="D32" s="26">
        <v>-3</v>
      </c>
      <c r="E32" s="26">
        <v>-4</v>
      </c>
      <c r="F32" s="26">
        <v>-5</v>
      </c>
      <c r="G32" s="26">
        <v>-6</v>
      </c>
      <c r="H32" s="26">
        <v>-7</v>
      </c>
      <c r="I32" s="26">
        <v>-8</v>
      </c>
      <c r="L32" s="149">
        <v>-1</v>
      </c>
      <c r="M32" s="150"/>
      <c r="N32" s="26">
        <v>-2</v>
      </c>
      <c r="O32" s="26">
        <v>-3</v>
      </c>
      <c r="P32" s="26">
        <v>-4</v>
      </c>
      <c r="Q32" s="26">
        <v>-5</v>
      </c>
      <c r="R32" s="26">
        <v>-6</v>
      </c>
      <c r="S32" s="26">
        <v>-7</v>
      </c>
      <c r="T32" s="26">
        <v>-8</v>
      </c>
    </row>
    <row r="33" spans="1:22">
      <c r="A33" s="54">
        <v>1</v>
      </c>
      <c r="B33" s="28" t="s">
        <v>150</v>
      </c>
      <c r="C33" s="29">
        <v>897.96</v>
      </c>
      <c r="D33" s="29">
        <v>515.9</v>
      </c>
      <c r="E33" s="29">
        <v>301.49</v>
      </c>
      <c r="F33" s="29">
        <v>315.89</v>
      </c>
      <c r="G33" s="29">
        <v>349.3</v>
      </c>
      <c r="H33" s="29">
        <v>367.7</v>
      </c>
      <c r="I33" s="35">
        <v>351.6</v>
      </c>
      <c r="L33" s="54">
        <v>1</v>
      </c>
      <c r="M33" s="115" t="s">
        <v>150</v>
      </c>
      <c r="N33" s="32">
        <f>C33*'Unit Conversions'!$B$11*BTU_per_TOE*10^3</f>
        <v>38484647356296.969</v>
      </c>
      <c r="O33" s="32">
        <f>D33*'Unit Conversions'!$B$11*BTU_per_TOE*10^3</f>
        <v>22110371922038.402</v>
      </c>
      <c r="P33" s="32">
        <f>E33*'Unit Conversions'!$B$11*BTU_per_TOE*10^3</f>
        <v>12921217349826.242</v>
      </c>
      <c r="Q33" s="32">
        <f>F33*'Unit Conversions'!$B$11*BTU_per_TOE*10^3</f>
        <v>13538370588200.643</v>
      </c>
      <c r="R33" s="32">
        <f>G33*'Unit Conversions'!$B$11*BTU_per_TOE*10^3</f>
        <v>14970251816956.803</v>
      </c>
      <c r="S33" s="32">
        <f>H33*'Unit Conversions'!$B$11*BTU_per_TOE*10^3</f>
        <v>15758836510435.199</v>
      </c>
      <c r="T33" s="32">
        <f>I33*'Unit Conversions'!$B$11*BTU_per_TOE*10^3</f>
        <v>15068824903641.604</v>
      </c>
    </row>
    <row r="34" spans="1:22">
      <c r="A34" s="55">
        <v>2</v>
      </c>
      <c r="B34" s="34" t="s">
        <v>151</v>
      </c>
      <c r="C34" s="35">
        <v>9412.2099999999991</v>
      </c>
      <c r="D34" s="35">
        <v>9463.94</v>
      </c>
      <c r="E34" s="35">
        <v>9530.06</v>
      </c>
      <c r="F34" s="35">
        <v>10350.23</v>
      </c>
      <c r="G34" s="35">
        <v>10350.9</v>
      </c>
      <c r="H34" s="35">
        <v>10010.9</v>
      </c>
      <c r="I34" s="35">
        <v>10601.6</v>
      </c>
      <c r="L34" s="55">
        <v>2</v>
      </c>
      <c r="M34" s="116" t="s">
        <v>151</v>
      </c>
      <c r="N34" s="32">
        <f>C34*'Unit Conversions'!$B$11*BTU_per_TOE*10^3</f>
        <v>403387214011105</v>
      </c>
      <c r="O34" s="32">
        <f>D34*'Unit Conversions'!$B$11*BTU_per_TOE*10^3</f>
        <v>405604251304237.5</v>
      </c>
      <c r="P34" s="32">
        <f>E34*'Unit Conversions'!$B$11*BTU_per_TOE*10^3</f>
        <v>408438013257106.56</v>
      </c>
      <c r="Q34" s="32">
        <f>F34*'Unit Conversions'!$B$11*BTU_per_TOE*10^3</f>
        <v>443588747390268.56</v>
      </c>
      <c r="R34" s="32">
        <f>G34*'Unit Conversions'!$B$11*BTU_per_TOE*10^3</f>
        <v>443617462158998.44</v>
      </c>
      <c r="S34" s="32">
        <f>H34*'Unit Conversions'!$B$11*BTU_per_TOE*10^3</f>
        <v>429045788475158.44</v>
      </c>
      <c r="T34" s="32">
        <f>I34*'Unit Conversions'!$B$11*BTU_per_TOE*10^3</f>
        <v>454361928607641.69</v>
      </c>
    </row>
    <row r="35" spans="1:22">
      <c r="A35" s="55">
        <v>3</v>
      </c>
      <c r="B35" s="34" t="s">
        <v>152</v>
      </c>
      <c r="C35" s="35">
        <v>342.01</v>
      </c>
      <c r="D35" s="35">
        <v>215.11</v>
      </c>
      <c r="E35" s="35">
        <v>199.24</v>
      </c>
      <c r="F35" s="35">
        <v>50.3</v>
      </c>
      <c r="G35" s="35">
        <v>60.2</v>
      </c>
      <c r="H35" s="35">
        <v>66.5</v>
      </c>
      <c r="I35" s="35">
        <v>5.3</v>
      </c>
      <c r="L35" s="55">
        <v>3</v>
      </c>
      <c r="M35" s="116" t="s">
        <v>152</v>
      </c>
      <c r="N35" s="32">
        <f>C35*'Unit Conversions'!$B$11*BTU_per_TOE*10^3</f>
        <v>14657817990029.762</v>
      </c>
      <c r="O35" s="32">
        <f>D35*'Unit Conversions'!$B$11*BTU_per_TOE*10^3</f>
        <v>9219155076855.3613</v>
      </c>
      <c r="P35" s="32">
        <f>E35*'Unit Conversions'!$B$11*BTU_per_TOE*10^3</f>
        <v>8539000778730.2422</v>
      </c>
      <c r="Q35" s="32">
        <f>F35*'Unit Conversions'!$B$11*BTU_per_TOE*10^3</f>
        <v>2155750547932.8003</v>
      </c>
      <c r="R35" s="32">
        <f>G35*'Unit Conversions'!$B$11*BTU_per_TOE*10^3</f>
        <v>2580043399315.2002</v>
      </c>
      <c r="S35" s="32">
        <f>H35*'Unit Conversions'!$B$11*BTU_per_TOE*10^3</f>
        <v>2850047941104.0005</v>
      </c>
      <c r="T35" s="32">
        <f>I35*'Unit Conversions'!$B$11*BTU_per_TOE*10^3</f>
        <v>227146678012.80005</v>
      </c>
    </row>
    <row r="36" spans="1:22">
      <c r="A36" s="55">
        <v>4</v>
      </c>
      <c r="B36" s="34" t="s">
        <v>153</v>
      </c>
      <c r="C36" s="35">
        <v>0</v>
      </c>
      <c r="D36" s="35">
        <v>0</v>
      </c>
      <c r="E36" s="35">
        <v>0</v>
      </c>
      <c r="F36" s="35">
        <v>0</v>
      </c>
      <c r="G36" s="35">
        <v>0</v>
      </c>
      <c r="H36" s="35">
        <v>0</v>
      </c>
      <c r="I36" s="35">
        <v>0</v>
      </c>
      <c r="L36" s="55">
        <v>4</v>
      </c>
      <c r="M36" s="116" t="s">
        <v>153</v>
      </c>
      <c r="N36" s="32">
        <f>C36*'Unit Conversions'!$B$11*BTU_per_TOE*10^3</f>
        <v>0</v>
      </c>
      <c r="O36" s="32">
        <f>D36*'Unit Conversions'!$B$11*BTU_per_TOE*10^3</f>
        <v>0</v>
      </c>
      <c r="P36" s="32">
        <f>E36*'Unit Conversions'!$B$11*BTU_per_TOE*10^3</f>
        <v>0</v>
      </c>
      <c r="Q36" s="32">
        <f>F36*'Unit Conversions'!$B$11*BTU_per_TOE*10^3</f>
        <v>0</v>
      </c>
      <c r="R36" s="32">
        <f>G36*'Unit Conversions'!$B$11*BTU_per_TOE*10^3</f>
        <v>0</v>
      </c>
      <c r="S36" s="32">
        <f>H36*'Unit Conversions'!$B$11*BTU_per_TOE*10^3</f>
        <v>0</v>
      </c>
      <c r="T36" s="32">
        <f>I36*'Unit Conversions'!$B$11*BTU_per_TOE*10^3</f>
        <v>0</v>
      </c>
    </row>
    <row r="37" spans="1:22">
      <c r="A37" s="55">
        <v>5</v>
      </c>
      <c r="B37" s="34" t="s">
        <v>154</v>
      </c>
      <c r="C37" s="35">
        <v>203.07</v>
      </c>
      <c r="D37" s="35">
        <v>240.27</v>
      </c>
      <c r="E37" s="35">
        <v>207.53</v>
      </c>
      <c r="F37" s="35">
        <v>37.07</v>
      </c>
      <c r="G37" s="35">
        <v>57.6</v>
      </c>
      <c r="H37" s="35">
        <v>404.9</v>
      </c>
      <c r="I37" s="35">
        <v>1445.3</v>
      </c>
      <c r="L37" s="55">
        <v>5</v>
      </c>
      <c r="M37" s="116" t="s">
        <v>154</v>
      </c>
      <c r="N37" s="32">
        <f>C37*'Unit Conversions'!$B$11*BTU_per_TOE*10^3</f>
        <v>8703146396992.3213</v>
      </c>
      <c r="O37" s="32">
        <f>D37*'Unit Conversions'!$B$11*BTU_per_TOE*10^3</f>
        <v>10297458929459.52</v>
      </c>
      <c r="P37" s="32">
        <f>E37*'Unit Conversions'!$B$11*BTU_per_TOE*10^3</f>
        <v>8894292469433.2813</v>
      </c>
      <c r="Q37" s="32">
        <f>F37*'Unit Conversions'!$B$11*BTU_per_TOE*10^3</f>
        <v>1588741010176.3203</v>
      </c>
      <c r="R37" s="32">
        <f>G37*'Unit Conversions'!$B$11*BTU_per_TOE*10^3</f>
        <v>2468612953497.6006</v>
      </c>
      <c r="S37" s="32">
        <f>H37*'Unit Conversions'!$B$11*BTU_per_TOE*10^3</f>
        <v>17353149042902.4</v>
      </c>
      <c r="T37" s="32">
        <f>I37*'Unit Conversions'!$B$11*BTU_per_TOE*10^3</f>
        <v>61942470515452.805</v>
      </c>
    </row>
    <row r="38" spans="1:22">
      <c r="A38" s="38"/>
      <c r="B38" s="39" t="s">
        <v>144</v>
      </c>
      <c r="C38" s="40">
        <v>10855.24</v>
      </c>
      <c r="D38" s="40">
        <v>10435.219999999999</v>
      </c>
      <c r="E38" s="40">
        <v>10238.32</v>
      </c>
      <c r="F38" s="40">
        <v>10753.48</v>
      </c>
      <c r="G38" s="40">
        <v>10818</v>
      </c>
      <c r="H38" s="40">
        <v>10850.1</v>
      </c>
      <c r="I38" s="40">
        <v>12403.8</v>
      </c>
      <c r="L38" s="38"/>
      <c r="M38" s="117" t="s">
        <v>144</v>
      </c>
      <c r="N38" s="32">
        <f>C38*'Unit Conversions'!$B$11*BTU_per_TOE*10^3</f>
        <v>465232397175786.25</v>
      </c>
      <c r="O38" s="32">
        <f>D38*'Unit Conversions'!$B$11*BTU_per_TOE*10^3</f>
        <v>447231237232590.75</v>
      </c>
      <c r="P38" s="32">
        <f>E38*'Unit Conversions'!$B$11*BTU_per_TOE*10^3</f>
        <v>438792523855096.31</v>
      </c>
      <c r="Q38" s="32">
        <f>F38*'Unit Conversions'!$B$11*BTU_per_TOE*10^3</f>
        <v>460871180957940.56</v>
      </c>
      <c r="R38" s="32">
        <f>G38*'Unit Conversions'!$B$11*BTU_per_TOE*10^3</f>
        <v>463636370328768.06</v>
      </c>
      <c r="S38" s="32">
        <f>H38*'Unit Conversions'!$B$11*BTU_per_TOE*10^3</f>
        <v>465012107755977.75</v>
      </c>
      <c r="T38" s="32">
        <f>I38*'Unit Conversions'!$B$11*BTU_per_TOE*10^3</f>
        <v>531600370704748.81</v>
      </c>
    </row>
    <row r="39" spans="1:22">
      <c r="A39" s="44">
        <v>6</v>
      </c>
      <c r="B39" s="45" t="s">
        <v>145</v>
      </c>
      <c r="C39" s="46">
        <v>1434.16</v>
      </c>
      <c r="D39" s="46">
        <v>869.98</v>
      </c>
      <c r="E39" s="46">
        <v>843.71</v>
      </c>
      <c r="F39" s="46">
        <v>2517.36</v>
      </c>
      <c r="G39" s="46">
        <v>2422.8000000000002</v>
      </c>
      <c r="H39" s="46">
        <v>2038.5</v>
      </c>
      <c r="I39" s="35">
        <v>1727.5</v>
      </c>
      <c r="L39" s="44">
        <v>6</v>
      </c>
      <c r="M39" s="118" t="s">
        <v>145</v>
      </c>
      <c r="N39" s="32">
        <f>C39*'Unit Conversions'!$B$11*BTU_per_TOE*10^3</f>
        <v>61465033912988.164</v>
      </c>
      <c r="O39" s="32">
        <f>D39*'Unit Conversions'!$B$11*BTU_per_TOE*10^3</f>
        <v>37285484327844.492</v>
      </c>
      <c r="P39" s="32">
        <f>E39*'Unit Conversions'!$B$11*BTU_per_TOE*10^3</f>
        <v>36159608246448.969</v>
      </c>
      <c r="Q39" s="32">
        <f>F39*'Unit Conversions'!$B$11*BTU_per_TOE*10^3</f>
        <v>107888671955151.38</v>
      </c>
      <c r="R39" s="32">
        <f>G39*'Unit Conversions'!$B$11*BTU_per_TOE*10^3</f>
        <v>103836032356492.81</v>
      </c>
      <c r="S39" s="32">
        <f>H39*'Unit Conversions'!$B$11*BTU_per_TOE*10^3</f>
        <v>87365755307376</v>
      </c>
      <c r="T39" s="32">
        <f>I39*'Unit Conversions'!$B$11*BTU_per_TOE*10^3</f>
        <v>74036959673040.016</v>
      </c>
    </row>
    <row r="40" spans="1:22">
      <c r="A40" s="183" t="s">
        <v>146</v>
      </c>
      <c r="B40" s="152"/>
      <c r="C40" s="48">
        <v>12289.4</v>
      </c>
      <c r="D40" s="48">
        <v>11305.2</v>
      </c>
      <c r="E40" s="48">
        <v>11082.03</v>
      </c>
      <c r="F40" s="49">
        <v>13270.84</v>
      </c>
      <c r="G40" s="49">
        <v>13240.8</v>
      </c>
      <c r="H40" s="56">
        <v>12888.6</v>
      </c>
      <c r="I40" s="48">
        <v>14131.2</v>
      </c>
      <c r="L40" s="183" t="s">
        <v>146</v>
      </c>
      <c r="M40" s="184"/>
      <c r="N40" s="32">
        <f>C40*'Unit Conversions'!$B$11*BTU_per_TOE*10^3</f>
        <v>526697431088774.44</v>
      </c>
      <c r="O40" s="32">
        <f>D40*'Unit Conversions'!$B$11*BTU_per_TOE*10^3</f>
        <v>484516721560435.31</v>
      </c>
      <c r="P40" s="32">
        <f>E40*'Unit Conversions'!$B$11*BTU_per_TOE*10^3</f>
        <v>474952132101545.38</v>
      </c>
      <c r="Q40" s="32">
        <f>F40*'Unit Conversions'!$B$11*BTU_per_TOE*10^3</f>
        <v>568759852913091.88</v>
      </c>
      <c r="R40" s="32">
        <f>G40*'Unit Conversions'!$B$11*BTU_per_TOE*10^3</f>
        <v>567472402685260.88</v>
      </c>
      <c r="S40" s="32">
        <f>H40*'Unit Conversions'!$B$11*BTU_per_TOE*10^3</f>
        <v>552377863063353.75</v>
      </c>
      <c r="T40" s="32">
        <f>I40*'Unit Conversions'!$B$11*BTU_per_TOE*10^3</f>
        <v>605633044591411.25</v>
      </c>
    </row>
    <row r="41" spans="1:22">
      <c r="A41" s="50" t="s">
        <v>155</v>
      </c>
      <c r="B41" s="51"/>
      <c r="C41" s="51"/>
      <c r="D41" s="51"/>
      <c r="E41" s="51"/>
      <c r="F41" s="51"/>
      <c r="G41" s="51"/>
      <c r="H41" s="51"/>
      <c r="I41" s="51"/>
      <c r="L41" s="50" t="s">
        <v>155</v>
      </c>
      <c r="M41" s="119"/>
      <c r="N41" s="51"/>
      <c r="O41" s="51"/>
      <c r="P41" s="51"/>
      <c r="Q41" s="51"/>
      <c r="R41" s="51"/>
      <c r="S41" s="51"/>
      <c r="T41" s="51"/>
    </row>
    <row r="42" spans="1:22">
      <c r="A42" s="50" t="s">
        <v>148</v>
      </c>
      <c r="B42" s="51"/>
      <c r="C42" s="51"/>
      <c r="D42" s="51"/>
      <c r="E42" s="51"/>
      <c r="F42" s="51"/>
      <c r="G42" s="51"/>
      <c r="H42" s="51"/>
      <c r="I42" s="51"/>
      <c r="L42" s="50" t="s">
        <v>148</v>
      </c>
      <c r="M42" s="119"/>
      <c r="N42" s="51"/>
      <c r="O42" s="51"/>
      <c r="P42" s="51"/>
      <c r="Q42" s="51"/>
      <c r="R42" s="51"/>
      <c r="S42" s="51"/>
      <c r="T42" s="51"/>
    </row>
    <row r="43" spans="1:22">
      <c r="A43" s="50"/>
      <c r="B43" s="51"/>
      <c r="C43" s="51"/>
      <c r="D43" s="51"/>
      <c r="E43" s="51"/>
      <c r="F43" s="51"/>
      <c r="G43" s="51"/>
      <c r="H43" s="51"/>
      <c r="I43" s="51"/>
      <c r="L43" s="50"/>
      <c r="M43" s="119"/>
      <c r="N43" s="51"/>
      <c r="O43" s="51"/>
      <c r="P43" s="51"/>
      <c r="Q43" s="51"/>
      <c r="R43" s="51"/>
      <c r="S43" s="51"/>
      <c r="T43" s="51"/>
    </row>
    <row r="44" spans="1:22" ht="15.75">
      <c r="A44" s="153" t="s">
        <v>307</v>
      </c>
      <c r="B44" s="154"/>
      <c r="C44" s="154"/>
      <c r="D44" s="154"/>
      <c r="E44" s="154"/>
      <c r="F44" s="154"/>
      <c r="G44" s="154"/>
      <c r="H44" s="154"/>
      <c r="I44" s="155"/>
      <c r="L44" s="153" t="s">
        <v>307</v>
      </c>
      <c r="M44" s="154"/>
      <c r="N44" s="154"/>
      <c r="O44" s="154"/>
      <c r="P44" s="154"/>
      <c r="Q44" s="154"/>
      <c r="R44" s="154"/>
      <c r="S44" s="153"/>
      <c r="T44" s="154"/>
    </row>
    <row r="45" spans="1:22">
      <c r="A45" s="156" t="s">
        <v>108</v>
      </c>
      <c r="B45" s="157"/>
      <c r="C45" s="157"/>
      <c r="D45" s="157"/>
      <c r="E45" s="157"/>
      <c r="F45" s="157"/>
      <c r="G45" s="157"/>
      <c r="H45" s="157"/>
      <c r="I45" s="158"/>
      <c r="L45" s="159" t="s">
        <v>109</v>
      </c>
      <c r="M45" s="157"/>
      <c r="N45" s="157"/>
      <c r="O45" s="157"/>
      <c r="P45" s="157"/>
      <c r="Q45" s="157"/>
      <c r="R45" s="157"/>
      <c r="S45" s="157"/>
      <c r="T45" s="158"/>
    </row>
    <row r="46" spans="1:22">
      <c r="A46" s="147" t="s">
        <v>110</v>
      </c>
      <c r="B46" s="148"/>
      <c r="C46" s="24" t="s">
        <v>111</v>
      </c>
      <c r="D46" s="24" t="s">
        <v>112</v>
      </c>
      <c r="E46" s="24" t="s">
        <v>113</v>
      </c>
      <c r="F46" s="24" t="s">
        <v>114</v>
      </c>
      <c r="G46" s="25" t="s">
        <v>115</v>
      </c>
      <c r="H46" s="25" t="s">
        <v>118</v>
      </c>
      <c r="I46" s="25" t="s">
        <v>117</v>
      </c>
      <c r="L46" s="147" t="s">
        <v>110</v>
      </c>
      <c r="M46" s="148"/>
      <c r="N46" s="24" t="s">
        <v>111</v>
      </c>
      <c r="O46" s="24" t="s">
        <v>112</v>
      </c>
      <c r="P46" s="24" t="s">
        <v>113</v>
      </c>
      <c r="Q46" s="24" t="s">
        <v>114</v>
      </c>
      <c r="R46" s="25" t="s">
        <v>115</v>
      </c>
      <c r="S46" s="25" t="s">
        <v>118</v>
      </c>
      <c r="T46" s="25" t="s">
        <v>117</v>
      </c>
    </row>
    <row r="47" spans="1:22">
      <c r="A47" s="149">
        <v>-1</v>
      </c>
      <c r="B47" s="150"/>
      <c r="C47" s="26">
        <v>-2</v>
      </c>
      <c r="D47" s="26">
        <v>-3</v>
      </c>
      <c r="E47" s="26">
        <v>-4</v>
      </c>
      <c r="F47" s="26">
        <v>-5</v>
      </c>
      <c r="G47" s="26">
        <v>-6</v>
      </c>
      <c r="H47" s="26">
        <v>-7</v>
      </c>
      <c r="I47" s="26">
        <v>-8</v>
      </c>
      <c r="L47" s="149">
        <v>-1</v>
      </c>
      <c r="M47" s="150"/>
      <c r="N47" s="26">
        <v>-2</v>
      </c>
      <c r="O47" s="26">
        <v>-3</v>
      </c>
      <c r="P47" s="26">
        <v>-4</v>
      </c>
      <c r="Q47" s="26">
        <v>-5</v>
      </c>
      <c r="R47" s="26">
        <v>-6</v>
      </c>
      <c r="S47" s="26">
        <v>-7</v>
      </c>
      <c r="T47" s="26">
        <v>-8</v>
      </c>
    </row>
    <row r="48" spans="1:22">
      <c r="A48" s="54">
        <v>1</v>
      </c>
      <c r="B48" s="128" t="s">
        <v>305</v>
      </c>
      <c r="C48" s="29">
        <v>15619.3</v>
      </c>
      <c r="D48" s="29">
        <v>17016.8</v>
      </c>
      <c r="E48" s="29">
        <v>18960.599999999999</v>
      </c>
      <c r="F48" s="29">
        <v>21727.5</v>
      </c>
      <c r="G48" s="29">
        <v>23642</v>
      </c>
      <c r="H48" s="29">
        <v>26050.2</v>
      </c>
      <c r="I48" s="29">
        <v>28156.2</v>
      </c>
      <c r="L48" s="54">
        <v>1</v>
      </c>
      <c r="M48" s="128" t="s">
        <v>305</v>
      </c>
      <c r="N48" s="130">
        <f>C48*1000*'Unit Conversions'!$B$7*BTU_per_TOE</f>
        <v>663211592494287.38</v>
      </c>
      <c r="O48" s="130">
        <f>D48*1000*'Unit Conversions'!$B$7*BTU_per_TOE</f>
        <v>722550884300627.25</v>
      </c>
      <c r="P48" s="130">
        <f>E48*1000*'Unit Conversions'!$B$7*BTU_per_TOE</f>
        <v>805086637726862.5</v>
      </c>
      <c r="Q48" s="130">
        <f>F48*1000*'Unit Conversions'!$B$7*BTU_per_TOE</f>
        <v>922572066348660.13</v>
      </c>
      <c r="R48" s="130">
        <f>G48*1000*'Unit Conversions'!$B$7*BTU_per_TOE</f>
        <v>1003863711545968.1</v>
      </c>
      <c r="S48" s="130">
        <f>H48*1000*'Unit Conversions'!$B$7*BTU_per_TOE</f>
        <v>1106118368095540.9</v>
      </c>
      <c r="T48" s="130">
        <f>I48*1000*'Unit Conversions'!$B$7*BTU_per_TOE</f>
        <v>1195541300864165</v>
      </c>
      <c r="V48" t="s">
        <v>300</v>
      </c>
    </row>
    <row r="49" spans="1:22">
      <c r="A49" s="55">
        <v>2</v>
      </c>
      <c r="B49" s="129" t="s">
        <v>306</v>
      </c>
      <c r="C49" s="35">
        <v>124.6</v>
      </c>
      <c r="D49" s="35">
        <v>111.5</v>
      </c>
      <c r="E49" s="35">
        <v>114.8</v>
      </c>
      <c r="F49" s="35">
        <v>119.1</v>
      </c>
      <c r="G49" s="35">
        <v>123</v>
      </c>
      <c r="H49" s="35">
        <v>124.2</v>
      </c>
      <c r="I49" s="35">
        <v>128.19999999999999</v>
      </c>
      <c r="L49" s="55">
        <v>2</v>
      </c>
      <c r="M49" s="129" t="s">
        <v>306</v>
      </c>
      <c r="N49" s="130">
        <f>C49*1000*'Unit Conversions'!$B$7*BTU_per_TOE</f>
        <v>5290644550318.4004</v>
      </c>
      <c r="O49" s="130">
        <f>D49*1000*'Unit Conversions'!$B$7*BTU_per_TOE</f>
        <v>4734405034996</v>
      </c>
      <c r="P49" s="130">
        <f>E49*1000*'Unit Conversions'!$B$7*BTU_per_TOE</f>
        <v>4874526439619.2002</v>
      </c>
      <c r="Q49" s="130">
        <f>F49*1000*'Unit Conversions'!$B$7*BTU_per_TOE</f>
        <v>5057108875946.4014</v>
      </c>
      <c r="R49" s="130">
        <f>G49*1000*'Unit Conversions'!$B$7*BTU_per_TOE</f>
        <v>5222706899592</v>
      </c>
      <c r="S49" s="130">
        <f>H49*1000*'Unit Conversions'!$B$7*BTU_per_TOE</f>
        <v>5273660137636.8008</v>
      </c>
      <c r="T49" s="130">
        <f>I49*1000*'Unit Conversions'!$B$7*BTU_per_TOE</f>
        <v>5443504264452.8008</v>
      </c>
      <c r="V49" t="s">
        <v>300</v>
      </c>
    </row>
    <row r="50" spans="1:22">
      <c r="A50" s="151" t="s">
        <v>304</v>
      </c>
      <c r="B50" s="152"/>
      <c r="C50" s="48">
        <f>SUM(C48:C49)</f>
        <v>15743.9</v>
      </c>
      <c r="D50" s="48">
        <f t="shared" ref="D50:I50" si="0">SUM(D48:D49)</f>
        <v>17128.3</v>
      </c>
      <c r="E50" s="48">
        <f t="shared" si="0"/>
        <v>19075.399999999998</v>
      </c>
      <c r="F50" s="48">
        <f t="shared" si="0"/>
        <v>21846.6</v>
      </c>
      <c r="G50" s="48">
        <f t="shared" si="0"/>
        <v>23765</v>
      </c>
      <c r="H50" s="48">
        <f t="shared" si="0"/>
        <v>26174.400000000001</v>
      </c>
      <c r="I50" s="48">
        <f t="shared" si="0"/>
        <v>28284.400000000001</v>
      </c>
      <c r="L50" s="151" t="s">
        <v>304</v>
      </c>
      <c r="M50" s="152"/>
      <c r="N50" s="131">
        <f>SUM(N48:N49)</f>
        <v>668502237044605.75</v>
      </c>
      <c r="O50" s="131">
        <f t="shared" ref="O50" si="1">SUM(O48:O49)</f>
        <v>727285289335623.25</v>
      </c>
      <c r="P50" s="131">
        <f t="shared" ref="P50" si="2">SUM(P48:P49)</f>
        <v>809961164166481.75</v>
      </c>
      <c r="Q50" s="131">
        <f t="shared" ref="Q50" si="3">SUM(Q48:Q49)</f>
        <v>927629175224606.5</v>
      </c>
      <c r="R50" s="131">
        <f t="shared" ref="R50" si="4">SUM(R48:R49)</f>
        <v>1009086418445560.1</v>
      </c>
      <c r="S50" s="131">
        <f t="shared" ref="S50" si="5">SUM(S48:S49)</f>
        <v>1111392028233177.6</v>
      </c>
      <c r="T50" s="131">
        <f t="shared" ref="T50" si="6">SUM(T48:T49)</f>
        <v>1200984805128617.8</v>
      </c>
    </row>
    <row r="52" spans="1:22" ht="15.75">
      <c r="A52" s="153" t="s">
        <v>308</v>
      </c>
      <c r="B52" s="154"/>
      <c r="C52" s="154"/>
      <c r="D52" s="154"/>
      <c r="E52" s="154"/>
      <c r="F52" s="154"/>
      <c r="G52" s="154"/>
      <c r="H52" s="154"/>
      <c r="I52" s="155"/>
      <c r="L52" s="153" t="s">
        <v>308</v>
      </c>
      <c r="M52" s="154"/>
      <c r="N52" s="154"/>
      <c r="O52" s="154"/>
      <c r="P52" s="154"/>
      <c r="Q52" s="154"/>
      <c r="R52" s="154"/>
      <c r="S52" s="154"/>
      <c r="T52" s="155"/>
    </row>
    <row r="53" spans="1:22">
      <c r="A53" s="156" t="s">
        <v>108</v>
      </c>
      <c r="B53" s="157"/>
      <c r="C53" s="157"/>
      <c r="D53" s="157"/>
      <c r="E53" s="157"/>
      <c r="F53" s="157"/>
      <c r="G53" s="157"/>
      <c r="H53" s="157"/>
      <c r="I53" s="158"/>
      <c r="L53" s="156" t="s">
        <v>108</v>
      </c>
      <c r="M53" s="157"/>
      <c r="N53" s="157"/>
      <c r="O53" s="157"/>
      <c r="P53" s="157"/>
      <c r="Q53" s="157"/>
      <c r="R53" s="157"/>
      <c r="S53" s="157"/>
      <c r="T53" s="158"/>
    </row>
    <row r="54" spans="1:22">
      <c r="A54" s="147" t="s">
        <v>110</v>
      </c>
      <c r="B54" s="148"/>
      <c r="C54" s="24" t="s">
        <v>111</v>
      </c>
      <c r="D54" s="24" t="s">
        <v>112</v>
      </c>
      <c r="E54" s="24" t="s">
        <v>113</v>
      </c>
      <c r="F54" s="24" t="s">
        <v>114</v>
      </c>
      <c r="G54" s="25" t="s">
        <v>115</v>
      </c>
      <c r="H54" s="25" t="s">
        <v>118</v>
      </c>
      <c r="I54" s="25" t="s">
        <v>117</v>
      </c>
      <c r="L54" s="147" t="s">
        <v>110</v>
      </c>
      <c r="M54" s="148"/>
      <c r="N54" s="24" t="s">
        <v>111</v>
      </c>
      <c r="O54" s="24" t="s">
        <v>112</v>
      </c>
      <c r="P54" s="24" t="s">
        <v>113</v>
      </c>
      <c r="Q54" s="24" t="s">
        <v>114</v>
      </c>
      <c r="R54" s="25" t="s">
        <v>115</v>
      </c>
      <c r="S54" s="25" t="s">
        <v>118</v>
      </c>
      <c r="T54" s="25" t="s">
        <v>117</v>
      </c>
    </row>
    <row r="55" spans="1:22">
      <c r="A55" s="149">
        <v>-1</v>
      </c>
      <c r="B55" s="150"/>
      <c r="C55" s="26">
        <v>-2</v>
      </c>
      <c r="D55" s="26">
        <v>-3</v>
      </c>
      <c r="E55" s="26">
        <v>-4</v>
      </c>
      <c r="F55" s="26">
        <v>-5</v>
      </c>
      <c r="G55" s="26">
        <v>-6</v>
      </c>
      <c r="H55" s="26">
        <v>-7</v>
      </c>
      <c r="I55" s="26">
        <v>-8</v>
      </c>
      <c r="L55" s="149">
        <v>-1</v>
      </c>
      <c r="M55" s="150"/>
      <c r="N55" s="26">
        <v>-2</v>
      </c>
      <c r="O55" s="26">
        <v>-3</v>
      </c>
      <c r="P55" s="26">
        <v>-4</v>
      </c>
      <c r="Q55" s="26">
        <v>-5</v>
      </c>
      <c r="R55" s="26">
        <v>-6</v>
      </c>
      <c r="S55" s="26">
        <v>-7</v>
      </c>
      <c r="T55" s="26">
        <v>-8</v>
      </c>
    </row>
    <row r="56" spans="1:22">
      <c r="A56" s="54">
        <v>1</v>
      </c>
      <c r="B56" s="128" t="s">
        <v>310</v>
      </c>
      <c r="C56" s="29">
        <v>1201</v>
      </c>
      <c r="D56" s="29">
        <v>1168.2</v>
      </c>
      <c r="E56" s="29">
        <v>1167.4000000000001</v>
      </c>
      <c r="F56" s="29">
        <v>1211.0999999999999</v>
      </c>
      <c r="G56" s="29">
        <v>1433.5</v>
      </c>
      <c r="H56" s="29">
        <v>1524.5</v>
      </c>
      <c r="I56" s="29">
        <v>1815.8</v>
      </c>
      <c r="L56" s="54">
        <v>1</v>
      </c>
      <c r="M56" s="128" t="s">
        <v>310</v>
      </c>
      <c r="N56" s="130">
        <f>C56*1000*'Unit Conversions'!$B$6*BTU_per_TOE</f>
        <v>50995699076504</v>
      </c>
      <c r="O56" s="130">
        <f>D56*1000*'Unit Conversions'!$B$6*BTU_per_TOE</f>
        <v>49602977236612.805</v>
      </c>
      <c r="P56" s="130">
        <f>E56*1000*'Unit Conversions'!$B$6*BTU_per_TOE</f>
        <v>49569008411249.602</v>
      </c>
      <c r="Q56" s="130">
        <f>F56*1000*'Unit Conversions'!$B$6*BTU_per_TOE</f>
        <v>51424555496714.406</v>
      </c>
      <c r="R56" s="130">
        <f>G56*1000*'Unit Conversions'!$B$6*BTU_per_TOE</f>
        <v>60867888947684.008</v>
      </c>
      <c r="S56" s="130">
        <f>H56*1000*'Unit Conversions'!$B$6*BTU_per_TOE</f>
        <v>64731842832748.008</v>
      </c>
      <c r="T56" s="130">
        <f>I56*1000*'Unit Conversions'!$B$6*BTU_per_TOE</f>
        <v>77100741368123.203</v>
      </c>
    </row>
    <row r="57" spans="1:22">
      <c r="A57" s="55">
        <v>2</v>
      </c>
      <c r="B57" s="129" t="s">
        <v>311</v>
      </c>
      <c r="C57" s="35">
        <v>3445.9</v>
      </c>
      <c r="D57" s="35">
        <v>3513.9</v>
      </c>
      <c r="E57" s="35">
        <v>3658.6</v>
      </c>
      <c r="F57" s="35">
        <v>3988.8</v>
      </c>
      <c r="G57" s="35">
        <v>4158</v>
      </c>
      <c r="H57" s="35">
        <v>4528.2</v>
      </c>
      <c r="I57" s="35">
        <v>6214.2</v>
      </c>
      <c r="L57" s="55">
        <v>2</v>
      </c>
      <c r="M57" s="129" t="s">
        <v>311</v>
      </c>
      <c r="N57" s="130">
        <f>C57*1000*'Unit Conversions'!$B$6*BTU_per_TOE</f>
        <v>146316469148813.63</v>
      </c>
      <c r="O57" s="130">
        <f>D57*1000*'Unit Conversions'!$B$6*BTU_per_TOE</f>
        <v>149203819304685.63</v>
      </c>
      <c r="P57" s="130">
        <f>E57*1000*'Unit Conversions'!$B$6*BTU_per_TOE</f>
        <v>155347930592254.41</v>
      </c>
      <c r="Q57" s="130">
        <f>F57*1000*'Unit Conversions'!$B$6*BTU_per_TOE</f>
        <v>169368563260915.22</v>
      </c>
      <c r="R57" s="130">
        <f>G57*1000*'Unit Conversions'!$B$6*BTU_per_TOE</f>
        <v>176552969825232</v>
      </c>
      <c r="S57" s="130">
        <f>H57*1000*'Unit Conversions'!$B$6*BTU_per_TOE</f>
        <v>192272043762052.81</v>
      </c>
      <c r="T57" s="130">
        <f>I57*1000*'Unit Conversions'!$B$6*BTU_per_TOE</f>
        <v>263861343214996.81</v>
      </c>
    </row>
    <row r="58" spans="1:22">
      <c r="A58" s="55">
        <v>3</v>
      </c>
      <c r="B58" s="129" t="s">
        <v>306</v>
      </c>
      <c r="C58" s="35">
        <v>623.5</v>
      </c>
      <c r="D58" s="35">
        <v>822.5</v>
      </c>
      <c r="E58" s="35">
        <v>757.2</v>
      </c>
      <c r="F58" s="35">
        <v>787.1</v>
      </c>
      <c r="G58" s="35">
        <v>1068.5</v>
      </c>
      <c r="H58" s="35">
        <v>1279.9000000000001</v>
      </c>
      <c r="I58" s="35">
        <v>11.3</v>
      </c>
      <c r="L58" s="55">
        <v>3</v>
      </c>
      <c r="M58" s="129" t="s">
        <v>306</v>
      </c>
      <c r="N58" s="130">
        <f>C58*1000*'Unit Conversions'!$B$6*BTU_per_TOE</f>
        <v>26474453267444.004</v>
      </c>
      <c r="O58" s="130">
        <f>D58*1000*'Unit Conversions'!$B$6*BTU_per_TOE</f>
        <v>34924198576540.004</v>
      </c>
      <c r="P58" s="130">
        <f>E58*1000*'Unit Conversions'!$B$6*BTU_per_TOE</f>
        <v>32151493206268.801</v>
      </c>
      <c r="Q58" s="130">
        <f>F58*1000*'Unit Conversions'!$B$6*BTU_per_TOE</f>
        <v>33421078054218.402</v>
      </c>
      <c r="R58" s="130">
        <f>G58*1000*'Unit Conversions'!$B$6*BTU_per_TOE</f>
        <v>45369612375724</v>
      </c>
      <c r="S58" s="130">
        <f>H58*1000*'Unit Conversions'!$B$6*BTU_per_TOE</f>
        <v>54345874477949.602</v>
      </c>
      <c r="T58" s="130">
        <f>I58*1000*'Unit Conversions'!$B$6*BTU_per_TOE</f>
        <v>479809658255.20001</v>
      </c>
    </row>
    <row r="59" spans="1:22">
      <c r="A59" s="55"/>
      <c r="B59" s="129" t="s">
        <v>312</v>
      </c>
      <c r="C59" s="35">
        <f>SUM(C56:C58)</f>
        <v>5270.4</v>
      </c>
      <c r="D59" s="35">
        <f t="shared" ref="D59:I59" si="7">SUM(D56:D58)</f>
        <v>5504.6</v>
      </c>
      <c r="E59" s="35">
        <f t="shared" si="7"/>
        <v>5583.2</v>
      </c>
      <c r="F59" s="35">
        <f t="shared" si="7"/>
        <v>5987</v>
      </c>
      <c r="G59" s="35">
        <f t="shared" si="7"/>
        <v>6660</v>
      </c>
      <c r="H59" s="35">
        <f t="shared" si="7"/>
        <v>7332.6</v>
      </c>
      <c r="I59" s="35">
        <f t="shared" si="7"/>
        <v>8041.3</v>
      </c>
      <c r="L59" s="55"/>
      <c r="M59" s="129" t="s">
        <v>312</v>
      </c>
      <c r="N59" s="132">
        <f>SUM(N56:N58)</f>
        <v>223786621492761.63</v>
      </c>
      <c r="O59" s="132">
        <f t="shared" ref="O59" si="8">SUM(O56:O58)</f>
        <v>233730995117838.44</v>
      </c>
      <c r="P59" s="132">
        <f t="shared" ref="P59" si="9">SUM(P56:P58)</f>
        <v>237068432209772.81</v>
      </c>
      <c r="Q59" s="132">
        <f t="shared" ref="Q59" si="10">SUM(Q56:Q58)</f>
        <v>254214196811848.03</v>
      </c>
      <c r="R59" s="132">
        <f t="shared" ref="R59" si="11">SUM(R56:R58)</f>
        <v>282790471148640</v>
      </c>
      <c r="S59" s="132">
        <f t="shared" ref="S59" si="12">SUM(S56:S58)</f>
        <v>311349761072750.44</v>
      </c>
      <c r="T59" s="132">
        <f t="shared" ref="T59" si="13">SUM(T56:T58)</f>
        <v>341441894241375.19</v>
      </c>
      <c r="V59" t="s">
        <v>302</v>
      </c>
    </row>
    <row r="60" spans="1:22">
      <c r="A60" s="55">
        <v>4</v>
      </c>
      <c r="B60" s="129" t="s">
        <v>313</v>
      </c>
      <c r="C60" s="35">
        <v>0</v>
      </c>
      <c r="D60" s="35">
        <v>0</v>
      </c>
      <c r="E60" s="35">
        <v>139.6</v>
      </c>
      <c r="F60" s="35">
        <v>274.7</v>
      </c>
      <c r="G60" s="35">
        <v>337.5</v>
      </c>
      <c r="H60" s="35">
        <v>300.10000000000002</v>
      </c>
      <c r="I60" s="35">
        <v>258.8</v>
      </c>
      <c r="L60" s="55">
        <v>4</v>
      </c>
      <c r="M60" s="129" t="s">
        <v>313</v>
      </c>
      <c r="N60" s="130">
        <f>C60*1000*'Unit Conversions'!$B$6*BTU_per_TOE</f>
        <v>0</v>
      </c>
      <c r="O60" s="130">
        <f>D60*1000*'Unit Conversions'!$B$6*BTU_per_TOE</f>
        <v>0</v>
      </c>
      <c r="P60" s="130">
        <f>E60*1000*'Unit Conversions'!$B$6*BTU_per_TOE</f>
        <v>5927560025878.4004</v>
      </c>
      <c r="Q60" s="130">
        <f>F60*1000*'Unit Conversions'!$B$6*BTU_per_TOE</f>
        <v>11664045409088.801</v>
      </c>
      <c r="R60" s="130">
        <f>G60*1000*'Unit Conversions'!$B$6*BTU_per_TOE</f>
        <v>14330598200100.002</v>
      </c>
      <c r="S60" s="130">
        <f>H60*1000*'Unit Conversions'!$B$6*BTU_per_TOE</f>
        <v>12742555614370.4</v>
      </c>
      <c r="T60" s="130">
        <f>I60*1000*'Unit Conversions'!$B$6*BTU_per_TOE</f>
        <v>10988915004995.201</v>
      </c>
    </row>
    <row r="61" spans="1:22">
      <c r="A61" s="151" t="s">
        <v>309</v>
      </c>
      <c r="B61" s="152"/>
      <c r="C61" s="48">
        <f>SUM(C59:C60)</f>
        <v>5270.4</v>
      </c>
      <c r="D61" s="48">
        <f t="shared" ref="D61:I61" si="14">SUM(D59:D60)</f>
        <v>5504.6</v>
      </c>
      <c r="E61" s="48">
        <f t="shared" si="14"/>
        <v>5722.8</v>
      </c>
      <c r="F61" s="48">
        <f t="shared" si="14"/>
        <v>6261.7</v>
      </c>
      <c r="G61" s="48">
        <f t="shared" si="14"/>
        <v>6997.5</v>
      </c>
      <c r="H61" s="48">
        <f t="shared" si="14"/>
        <v>7632.7000000000007</v>
      </c>
      <c r="I61" s="48">
        <f t="shared" si="14"/>
        <v>8300.1</v>
      </c>
      <c r="L61" s="151" t="s">
        <v>309</v>
      </c>
      <c r="M61" s="152"/>
      <c r="N61" s="131">
        <f>SUM(N59:N60)</f>
        <v>223786621492761.63</v>
      </c>
      <c r="O61" s="131">
        <f t="shared" ref="O61" si="15">SUM(O59:O60)</f>
        <v>233730995117838.44</v>
      </c>
      <c r="P61" s="131">
        <f t="shared" ref="P61" si="16">SUM(P59:P60)</f>
        <v>242995992235651.22</v>
      </c>
      <c r="Q61" s="131">
        <f t="shared" ref="Q61" si="17">SUM(Q59:Q60)</f>
        <v>265878242220936.84</v>
      </c>
      <c r="R61" s="131">
        <f t="shared" ref="R61" si="18">SUM(R59:R60)</f>
        <v>297121069348740</v>
      </c>
      <c r="S61" s="131">
        <f t="shared" ref="S61" si="19">SUM(S59:S60)</f>
        <v>324092316687120.81</v>
      </c>
      <c r="T61" s="131">
        <f t="shared" ref="T61" si="20">SUM(T59:T60)</f>
        <v>352430809246370.38</v>
      </c>
    </row>
    <row r="63" spans="1:22" ht="15.75">
      <c r="A63" s="153" t="s">
        <v>156</v>
      </c>
      <c r="B63" s="154"/>
      <c r="C63" s="154"/>
      <c r="D63" s="154"/>
      <c r="E63" s="154"/>
      <c r="F63" s="154"/>
      <c r="G63" s="154"/>
      <c r="H63" s="154"/>
      <c r="I63" s="155"/>
      <c r="L63" s="153" t="s">
        <v>156</v>
      </c>
      <c r="M63" s="154"/>
      <c r="N63" s="154"/>
      <c r="O63" s="154"/>
      <c r="P63" s="154"/>
      <c r="Q63" s="154"/>
      <c r="R63" s="154"/>
      <c r="S63" s="153"/>
      <c r="T63" s="154"/>
    </row>
    <row r="64" spans="1:22">
      <c r="A64" s="156" t="s">
        <v>108</v>
      </c>
      <c r="B64" s="157"/>
      <c r="C64" s="157"/>
      <c r="D64" s="157"/>
      <c r="E64" s="157"/>
      <c r="F64" s="157"/>
      <c r="G64" s="157"/>
      <c r="H64" s="157"/>
      <c r="I64" s="158"/>
      <c r="L64" s="159" t="s">
        <v>109</v>
      </c>
      <c r="M64" s="157"/>
      <c r="N64" s="157"/>
      <c r="O64" s="157"/>
      <c r="P64" s="157"/>
      <c r="Q64" s="157"/>
      <c r="R64" s="157"/>
      <c r="S64" s="157"/>
      <c r="T64" s="158"/>
    </row>
    <row r="65" spans="1:22">
      <c r="A65" s="147" t="s">
        <v>110</v>
      </c>
      <c r="B65" s="148"/>
      <c r="C65" s="24" t="s">
        <v>111</v>
      </c>
      <c r="D65" s="24" t="s">
        <v>112</v>
      </c>
      <c r="E65" s="24" t="s">
        <v>113</v>
      </c>
      <c r="F65" s="24" t="s">
        <v>114</v>
      </c>
      <c r="G65" s="25" t="s">
        <v>115</v>
      </c>
      <c r="H65" s="25" t="s">
        <v>116</v>
      </c>
      <c r="I65" s="25" t="s">
        <v>117</v>
      </c>
      <c r="L65" s="147" t="s">
        <v>110</v>
      </c>
      <c r="M65" s="148"/>
      <c r="N65" s="24" t="s">
        <v>111</v>
      </c>
      <c r="O65" s="24" t="s">
        <v>112</v>
      </c>
      <c r="P65" s="24" t="s">
        <v>113</v>
      </c>
      <c r="Q65" s="24" t="s">
        <v>114</v>
      </c>
      <c r="R65" s="25" t="s">
        <v>115</v>
      </c>
      <c r="S65" s="25" t="s">
        <v>118</v>
      </c>
      <c r="T65" s="25" t="s">
        <v>117</v>
      </c>
    </row>
    <row r="66" spans="1:22">
      <c r="A66" s="149">
        <v>-1</v>
      </c>
      <c r="B66" s="150"/>
      <c r="C66" s="26">
        <v>-2</v>
      </c>
      <c r="D66" s="26">
        <v>-3</v>
      </c>
      <c r="E66" s="26">
        <v>-4</v>
      </c>
      <c r="F66" s="26">
        <v>-5</v>
      </c>
      <c r="G66" s="26">
        <v>-6</v>
      </c>
      <c r="H66" s="26">
        <v>-7</v>
      </c>
      <c r="I66" s="26">
        <v>-8</v>
      </c>
      <c r="L66" s="149">
        <v>-1</v>
      </c>
      <c r="M66" s="150"/>
      <c r="N66" s="26">
        <v>-2</v>
      </c>
      <c r="O66" s="26">
        <v>-3</v>
      </c>
      <c r="P66" s="26">
        <v>-4</v>
      </c>
      <c r="Q66" s="26">
        <v>-5</v>
      </c>
      <c r="R66" s="26">
        <v>-6</v>
      </c>
      <c r="S66" s="26">
        <v>-7</v>
      </c>
      <c r="T66" s="26">
        <v>-8</v>
      </c>
    </row>
    <row r="67" spans="1:22">
      <c r="A67" s="27">
        <v>1</v>
      </c>
      <c r="B67" s="28" t="s">
        <v>121</v>
      </c>
      <c r="C67" s="57">
        <v>5159.93</v>
      </c>
      <c r="D67" s="57">
        <v>3203.1</v>
      </c>
      <c r="E67" s="57">
        <v>4617.3900000000003</v>
      </c>
      <c r="F67" s="57">
        <v>5764.59</v>
      </c>
      <c r="G67" s="57">
        <v>5657.64</v>
      </c>
      <c r="H67" s="57">
        <v>5999.1</v>
      </c>
      <c r="I67" s="58">
        <v>6209.5</v>
      </c>
      <c r="J67">
        <f>SUM(I67,I87)*'[9]Unit Conversions'!B12*1000*BTU_per_TOE</f>
        <v>3215251227102970</v>
      </c>
      <c r="L67" s="27">
        <v>1</v>
      </c>
      <c r="M67" s="115" t="s">
        <v>121</v>
      </c>
      <c r="N67" s="32">
        <f>C67*'Unit Conversions'!$B$7*'Unit Conversions'!$G$9/'Unit Conversions'!$G$8*BTU_per_TOE*10^3</f>
        <v>211929261323958.41</v>
      </c>
      <c r="O67" s="32">
        <f>D67*'Unit Conversions'!$B$7*'Unit Conversions'!$G$9/'Unit Conversions'!$G$8*BTU_per_TOE*10^3</f>
        <v>131558105816701.22</v>
      </c>
      <c r="P67" s="32">
        <f>E67*'Unit Conversions'!$B$7*'Unit Conversions'!$G$9/'Unit Conversions'!$G$8*BTU_per_TOE*10^3</f>
        <v>189645993636470.31</v>
      </c>
      <c r="Q67" s="32">
        <f>F67*'Unit Conversions'!$B$7*'Unit Conversions'!$G$9/'Unit Conversions'!$G$8*BTU_per_TOE*10^3</f>
        <v>236763929071804.72</v>
      </c>
      <c r="R67" s="32">
        <f>G67*'Unit Conversions'!$B$7*'Unit Conversions'!$G$9/'Unit Conversions'!$G$8*BTU_per_TOE*10^3</f>
        <v>232371265896413.34</v>
      </c>
      <c r="S67" s="32">
        <f>H67*'Unit Conversions'!$B$7*'Unit Conversions'!$G$9/'Unit Conversions'!$G$8*BTU_per_TOE*10^3</f>
        <v>246395751804493.25</v>
      </c>
      <c r="T67" s="32">
        <f>I67*'Unit Conversions'!$B$7*'Unit Conversions'!$G$9/'Unit Conversions'!$G$8*BTU_per_TOE*10^3</f>
        <v>255037325737194.03</v>
      </c>
    </row>
    <row r="68" spans="1:22">
      <c r="A68" s="59" t="s">
        <v>122</v>
      </c>
      <c r="B68" s="34" t="s">
        <v>157</v>
      </c>
      <c r="C68" s="58">
        <v>2207.17</v>
      </c>
      <c r="D68" s="58">
        <v>205.85</v>
      </c>
      <c r="E68" s="58">
        <v>1579.96</v>
      </c>
      <c r="F68" s="58">
        <v>2671.28</v>
      </c>
      <c r="G68" s="58">
        <v>2708.98</v>
      </c>
      <c r="H68" s="58">
        <v>2731.1</v>
      </c>
      <c r="I68" s="58">
        <v>2727.4</v>
      </c>
      <c r="L68" s="59" t="s">
        <v>122</v>
      </c>
      <c r="M68" s="116" t="s">
        <v>157</v>
      </c>
      <c r="N68" s="32">
        <f>C68*'Unit Conversions'!$B$7*'Unit Conversions'!$G$9/'Unit Conversions'!$G$8*BTU_per_TOE*10^3</f>
        <v>90653149890870.844</v>
      </c>
      <c r="O68" s="32">
        <f>D68*'Unit Conversions'!$B$7*'Unit Conversions'!$G$9/'Unit Conversions'!$G$8*BTU_per_TOE*10^3</f>
        <v>8454695789194.2012</v>
      </c>
      <c r="P68" s="32">
        <f>E68*'Unit Conversions'!$B$7*'Unit Conversions'!$G$9/'Unit Conversions'!$G$8*BTU_per_TOE*10^3</f>
        <v>64892305849381.938</v>
      </c>
      <c r="Q68" s="32">
        <f>F68*'Unit Conversions'!$B$7*'Unit Conversions'!$G$9/'Unit Conversions'!$G$8*BTU_per_TOE*10^3</f>
        <v>109715131249738.59</v>
      </c>
      <c r="R68" s="32">
        <f>G68*'Unit Conversions'!$B$7*'Unit Conversions'!$G$9/'Unit Conversions'!$G$8*BTU_per_TOE*10^3</f>
        <v>111263550153078.97</v>
      </c>
      <c r="S68" s="32">
        <f>H68*'Unit Conversions'!$B$7*'Unit Conversions'!$G$9/'Unit Conversions'!$G$8*BTU_per_TOE*10^3</f>
        <v>112172065435357.19</v>
      </c>
      <c r="T68" s="32">
        <f>I68*'Unit Conversions'!$B$7*'Unit Conversions'!$G$9/'Unit Conversions'!$G$8*BTU_per_TOE*10^3</f>
        <v>112020098593384.81</v>
      </c>
      <c r="V68" t="s">
        <v>300</v>
      </c>
    </row>
    <row r="69" spans="1:22">
      <c r="A69" s="34" t="s">
        <v>124</v>
      </c>
      <c r="B69" s="34" t="s">
        <v>158</v>
      </c>
      <c r="C69" s="58">
        <v>1.36</v>
      </c>
      <c r="D69" s="58">
        <v>1.23</v>
      </c>
      <c r="E69" s="58">
        <v>1.23</v>
      </c>
      <c r="F69" s="58">
        <v>1.26</v>
      </c>
      <c r="G69" s="58">
        <v>2.2000000000000002</v>
      </c>
      <c r="H69" s="58">
        <v>2.9</v>
      </c>
      <c r="I69" s="58">
        <v>3.2</v>
      </c>
      <c r="L69" s="34" t="s">
        <v>124</v>
      </c>
      <c r="M69" s="116" t="s">
        <v>158</v>
      </c>
      <c r="N69" s="32">
        <f>C69*'Unit Conversions'!$B$7*'Unit Conversions'!$G$9/'Unit Conversions'!$G$8*BTU_per_TOE*10^3</f>
        <v>55858082454.720016</v>
      </c>
      <c r="O69" s="32">
        <f>D69*'Unit Conversions'!$B$7*'Unit Conversions'!$G$9/'Unit Conversions'!$G$8*BTU_per_TOE*10^3</f>
        <v>50518706925.960007</v>
      </c>
      <c r="P69" s="32">
        <f>E69*'Unit Conversions'!$B$7*'Unit Conversions'!$G$9/'Unit Conversions'!$G$8*BTU_per_TOE*10^3</f>
        <v>50518706925.960007</v>
      </c>
      <c r="Q69" s="32">
        <f>F69*'Unit Conversions'!$B$7*'Unit Conversions'!$G$9/'Unit Conversions'!$G$8*BTU_per_TOE*10^3</f>
        <v>51750870509.520004</v>
      </c>
      <c r="R69" s="32">
        <f>G69*'Unit Conversions'!$B$7*'Unit Conversions'!$G$9/'Unit Conversions'!$G$8*BTU_per_TOE*10^3</f>
        <v>90358662794.40004</v>
      </c>
      <c r="S69" s="32">
        <f>H69*'Unit Conversions'!$B$7*'Unit Conversions'!$G$9/'Unit Conversions'!$G$8*BTU_per_TOE*10^3</f>
        <v>119109146410.8</v>
      </c>
      <c r="T69" s="32">
        <f>I69*'Unit Conversions'!$B$7*'Unit Conversions'!$G$9/'Unit Conversions'!$G$8*BTU_per_TOE*10^3</f>
        <v>131430782246.40001</v>
      </c>
      <c r="V69" t="s">
        <v>302</v>
      </c>
    </row>
    <row r="70" spans="1:22">
      <c r="A70" s="34" t="s">
        <v>132</v>
      </c>
      <c r="B70" s="34" t="s">
        <v>159</v>
      </c>
      <c r="C70" s="58">
        <v>413.09</v>
      </c>
      <c r="D70" s="58">
        <v>365.21</v>
      </c>
      <c r="E70" s="58">
        <v>343.5</v>
      </c>
      <c r="F70" s="58">
        <v>366.19</v>
      </c>
      <c r="G70" s="58">
        <v>295.82</v>
      </c>
      <c r="H70" s="58">
        <v>629.4</v>
      </c>
      <c r="I70" s="58">
        <v>763.3</v>
      </c>
      <c r="L70" s="34" t="s">
        <v>132</v>
      </c>
      <c r="M70" s="116" t="s">
        <v>159</v>
      </c>
      <c r="N70" s="32">
        <f>C70*'Unit Conversions'!$B$7*'Unit Conversions'!$G$9/'Unit Conversions'!$G$8*BTU_per_TOE*10^3</f>
        <v>16966481824426.682</v>
      </c>
      <c r="O70" s="32">
        <f>D70*'Unit Conversions'!$B$7*'Unit Conversions'!$G$9/'Unit Conversions'!$G$8*BTU_per_TOE*10^3</f>
        <v>14999948745064.92</v>
      </c>
      <c r="P70" s="32">
        <f>E70*'Unit Conversions'!$B$7*'Unit Conversions'!$G$9/'Unit Conversions'!$G$8*BTU_per_TOE*10^3</f>
        <v>14108273031762.002</v>
      </c>
      <c r="Q70" s="32">
        <f>F70*'Unit Conversions'!$B$7*'Unit Conversions'!$G$9/'Unit Conversions'!$G$8*BTU_per_TOE*10^3</f>
        <v>15040199422127.883</v>
      </c>
      <c r="R70" s="32">
        <f>G70*'Unit Conversions'!$B$7*'Unit Conversions'!$G$9/'Unit Conversions'!$G$8*BTU_per_TOE*10^3</f>
        <v>12149954376290.641</v>
      </c>
      <c r="S70" s="32">
        <f>H70*'Unit Conversions'!$B$7*'Unit Conversions'!$G$9/'Unit Conversions'!$G$8*BTU_per_TOE*10^3</f>
        <v>25850791983088.801</v>
      </c>
      <c r="T70" s="32">
        <f>I70*'Unit Conversions'!$B$7*'Unit Conversions'!$G$9/'Unit Conversions'!$G$8*BTU_per_TOE*10^3</f>
        <v>31350348777711.602</v>
      </c>
      <c r="V70" t="s">
        <v>303</v>
      </c>
    </row>
    <row r="71" spans="1:22">
      <c r="A71" s="34" t="s">
        <v>134</v>
      </c>
      <c r="B71" s="34" t="s">
        <v>125</v>
      </c>
      <c r="C71" s="58">
        <v>2538.31</v>
      </c>
      <c r="D71" s="58">
        <v>2630.8</v>
      </c>
      <c r="E71" s="58">
        <v>2692.69</v>
      </c>
      <c r="F71" s="58">
        <v>2725.85</v>
      </c>
      <c r="G71" s="58">
        <v>2650.65</v>
      </c>
      <c r="H71" s="58">
        <v>2635.7</v>
      </c>
      <c r="I71" s="58">
        <v>2715.6</v>
      </c>
      <c r="L71" s="34" t="s">
        <v>134</v>
      </c>
      <c r="M71" s="116" t="s">
        <v>125</v>
      </c>
      <c r="N71" s="32">
        <f>C71*'Unit Conversions'!$B$7*'Unit Conversions'!$G$9/'Unit Conversions'!$G$8*BTU_per_TOE*10^3</f>
        <v>104253771526206.13</v>
      </c>
      <c r="O71" s="32">
        <f>D71*'Unit Conversions'!$B$7*'Unit Conversions'!$G$9/'Unit Conversions'!$G$8*BTU_per_TOE*10^3</f>
        <v>108052531854321.61</v>
      </c>
      <c r="P71" s="32">
        <f>E71*'Unit Conversions'!$B$7*'Unit Conversions'!$G$9/'Unit Conversions'!$G$8*BTU_per_TOE*10^3</f>
        <v>110594485327205.89</v>
      </c>
      <c r="Q71" s="32">
        <f>F71*'Unit Conversions'!$B$7*'Unit Conversions'!$G$9/'Unit Conversions'!$G$8*BTU_per_TOE*10^3</f>
        <v>111956436808234.2</v>
      </c>
      <c r="R71" s="32">
        <f>G71*'Unit Conversions'!$B$7*'Unit Conversions'!$G$9/'Unit Conversions'!$G$8*BTU_per_TOE*10^3</f>
        <v>108867813425443.83</v>
      </c>
      <c r="S71" s="32">
        <f>H71*'Unit Conversions'!$B$7*'Unit Conversions'!$G$9/'Unit Conversions'!$G$8*BTU_per_TOE*10^3</f>
        <v>108253785239636.41</v>
      </c>
      <c r="T71" s="32">
        <f>I71*'Unit Conversions'!$B$7*'Unit Conversions'!$G$9/'Unit Conversions'!$G$8*BTU_per_TOE*10^3</f>
        <v>111535447583851.2</v>
      </c>
      <c r="V71" t="s">
        <v>301</v>
      </c>
    </row>
    <row r="72" spans="1:22">
      <c r="A72" s="33">
        <v>2</v>
      </c>
      <c r="B72" s="34" t="s">
        <v>160</v>
      </c>
      <c r="C72" s="58">
        <v>617.30999999999995</v>
      </c>
      <c r="D72" s="58">
        <v>429.24</v>
      </c>
      <c r="E72" s="58">
        <v>574.92999999999995</v>
      </c>
      <c r="F72" s="58">
        <v>629.84</v>
      </c>
      <c r="G72" s="58">
        <v>607.09</v>
      </c>
      <c r="H72" s="58">
        <v>618</v>
      </c>
      <c r="I72" s="58">
        <v>638.70000000000005</v>
      </c>
      <c r="L72" s="33">
        <v>2</v>
      </c>
      <c r="M72" s="116" t="s">
        <v>160</v>
      </c>
      <c r="N72" s="32">
        <f>C72*'Unit Conversions'!$B$7*'Unit Conversions'!$G$9/'Unit Conversions'!$G$8*BTU_per_TOE*10^3</f>
        <v>25354230058914.121</v>
      </c>
      <c r="O72" s="32">
        <f>D72*'Unit Conversions'!$B$7*'Unit Conversions'!$G$9/'Unit Conversions'!$G$8*BTU_per_TOE*10^3</f>
        <v>17629796553576.48</v>
      </c>
      <c r="P72" s="32">
        <f>E72*'Unit Conversions'!$B$7*'Unit Conversions'!$G$9/'Unit Conversions'!$G$8*BTU_per_TOE*10^3</f>
        <v>23613593636538.355</v>
      </c>
      <c r="Q72" s="32">
        <f>F72*'Unit Conversions'!$B$7*'Unit Conversions'!$G$9/'Unit Conversions'!$G$8*BTU_per_TOE*10^3</f>
        <v>25868863715647.684</v>
      </c>
      <c r="R72" s="32">
        <f>G72*'Unit Conversions'!$B$7*'Unit Conversions'!$G$9/'Unit Conversions'!$G$8*BTU_per_TOE*10^3</f>
        <v>24934472998114.684</v>
      </c>
      <c r="S72" s="32">
        <f>H72*'Unit Conversions'!$B$7*'Unit Conversions'!$G$9/'Unit Conversions'!$G$8*BTU_per_TOE*10^3</f>
        <v>25382569821336.004</v>
      </c>
      <c r="T72" s="32">
        <f>I72*'Unit Conversions'!$B$7*'Unit Conversions'!$G$9/'Unit Conversions'!$G$8*BTU_per_TOE*10^3</f>
        <v>26232762693992.406</v>
      </c>
    </row>
    <row r="73" spans="1:22">
      <c r="A73" s="33">
        <v>3</v>
      </c>
      <c r="B73" s="34" t="s">
        <v>126</v>
      </c>
      <c r="C73" s="58">
        <v>214.34</v>
      </c>
      <c r="D73" s="58">
        <v>204.42</v>
      </c>
      <c r="E73" s="58">
        <v>197.23</v>
      </c>
      <c r="F73" s="58">
        <v>223.94</v>
      </c>
      <c r="G73" s="58">
        <v>208.25</v>
      </c>
      <c r="H73" s="58">
        <v>222.8</v>
      </c>
      <c r="I73" s="58">
        <v>222.4</v>
      </c>
      <c r="L73" s="33">
        <v>3</v>
      </c>
      <c r="M73" s="116" t="s">
        <v>126</v>
      </c>
      <c r="N73" s="32">
        <f>C73*'Unit Conversions'!$B$7*'Unit Conversions'!$G$9/'Unit Conversions'!$G$8*BTU_per_TOE*10^3</f>
        <v>8803398083341.6797</v>
      </c>
      <c r="O73" s="32">
        <f>D73*'Unit Conversions'!$B$7*'Unit Conversions'!$G$9/'Unit Conversions'!$G$8*BTU_per_TOE*10^3</f>
        <v>8395962658377.8408</v>
      </c>
      <c r="P73" s="32">
        <f>E73*'Unit Conversions'!$B$7*'Unit Conversions'!$G$9/'Unit Conversions'!$G$8*BTU_per_TOE*10^3</f>
        <v>8100654119517.9619</v>
      </c>
      <c r="Q73" s="32">
        <f>F73*'Unit Conversions'!$B$7*'Unit Conversions'!$G$9/'Unit Conversions'!$G$8*BTU_per_TOE*10^3</f>
        <v>9197690430080.8809</v>
      </c>
      <c r="R73" s="32">
        <f>G73*'Unit Conversions'!$B$7*'Unit Conversions'!$G$9/'Unit Conversions'!$G$8*BTU_per_TOE*10^3</f>
        <v>8553268875879.001</v>
      </c>
      <c r="S73" s="32">
        <f>H73*'Unit Conversions'!$B$7*'Unit Conversions'!$G$9/'Unit Conversions'!$G$8*BTU_per_TOE*10^3</f>
        <v>9150868213905.6016</v>
      </c>
      <c r="T73" s="32">
        <f>I73*'Unit Conversions'!$B$7*'Unit Conversions'!$G$9/'Unit Conversions'!$G$8*BTU_per_TOE*10^3</f>
        <v>9134439366124.8008</v>
      </c>
    </row>
    <row r="74" spans="1:22">
      <c r="A74" s="33">
        <v>4</v>
      </c>
      <c r="B74" s="34" t="s">
        <v>161</v>
      </c>
      <c r="C74" s="58">
        <v>1073.28</v>
      </c>
      <c r="D74" s="58">
        <v>873.12</v>
      </c>
      <c r="E74" s="58">
        <v>998.18</v>
      </c>
      <c r="F74" s="58">
        <v>1183.75</v>
      </c>
      <c r="G74" s="58">
        <v>1223.98</v>
      </c>
      <c r="H74" s="58">
        <v>1255.0999999999999</v>
      </c>
      <c r="I74" s="58">
        <v>1465</v>
      </c>
      <c r="L74" s="33">
        <v>4</v>
      </c>
      <c r="M74" s="116" t="s">
        <v>161</v>
      </c>
      <c r="N74" s="32">
        <f>C74*'Unit Conversions'!$B$7*'Unit Conversions'!$G$9/'Unit Conversions'!$G$8*BTU_per_TOE*10^3</f>
        <v>44081884365442.555</v>
      </c>
      <c r="O74" s="32">
        <f>D74*'Unit Conversions'!$B$7*'Unit Conversions'!$G$9/'Unit Conversions'!$G$8*BTU_per_TOE*10^3</f>
        <v>35860888935930.25</v>
      </c>
      <c r="P74" s="32">
        <f>E74*'Unit Conversions'!$B$7*'Unit Conversions'!$G$9/'Unit Conversions'!$G$8*BTU_per_TOE*10^3</f>
        <v>40997368194597.359</v>
      </c>
      <c r="Q74" s="32">
        <f>F74*'Unit Conversions'!$B$7*'Unit Conversions'!$G$9/'Unit Conversions'!$G$8*BTU_per_TOE*10^3</f>
        <v>48619121401305.008</v>
      </c>
      <c r="R74" s="32">
        <f>G74*'Unit Conversions'!$B$7*'Unit Conversions'!$G$9/'Unit Conversions'!$G$8*BTU_per_TOE*10^3</f>
        <v>50271452766858.969</v>
      </c>
      <c r="S74" s="32">
        <f>H74*'Unit Conversions'!$B$7*'Unit Conversions'!$G$9/'Unit Conversions'!$G$8*BTU_per_TOE*10^3</f>
        <v>51549617124205.203</v>
      </c>
      <c r="T74" s="32">
        <f>I74*'Unit Conversions'!$B$7*'Unit Conversions'!$G$9/'Unit Conversions'!$G$8*BTU_per_TOE*10^3</f>
        <v>60170654997180.008</v>
      </c>
    </row>
    <row r="75" spans="1:22">
      <c r="A75" s="33">
        <v>5</v>
      </c>
      <c r="B75" s="34" t="s">
        <v>162</v>
      </c>
      <c r="C75" s="58">
        <v>1627.59</v>
      </c>
      <c r="D75" s="58">
        <v>686.93</v>
      </c>
      <c r="E75" s="58">
        <v>793.77</v>
      </c>
      <c r="F75" s="58">
        <v>1095.58</v>
      </c>
      <c r="G75" s="58">
        <v>1032.69</v>
      </c>
      <c r="H75" s="58">
        <v>1154.8</v>
      </c>
      <c r="I75" s="58">
        <v>1263.7</v>
      </c>
      <c r="L75" s="33">
        <v>5</v>
      </c>
      <c r="M75" s="116" t="s">
        <v>162</v>
      </c>
      <c r="N75" s="32">
        <f>C75*'Unit Conversions'!$B$7*'Unit Conversions'!$G$9/'Unit Conversions'!$G$8*BTU_per_TOE*10^3</f>
        <v>66848570898880.695</v>
      </c>
      <c r="O75" s="32">
        <f>D75*'Unit Conversions'!$B$7*'Unit Conversions'!$G$9/'Unit Conversions'!$G$8*BTU_per_TOE*10^3</f>
        <v>28213671015162.359</v>
      </c>
      <c r="P75" s="32">
        <f>E75*'Unit Conversions'!$B$7*'Unit Conversions'!$G$9/'Unit Conversions'!$G$8*BTU_per_TOE*10^3</f>
        <v>32601816257414.043</v>
      </c>
      <c r="Q75" s="32">
        <f>F75*'Unit Conversions'!$B$7*'Unit Conversions'!$G$9/'Unit Conversions'!$G$8*BTU_per_TOE*10^3</f>
        <v>44997792629222.172</v>
      </c>
      <c r="R75" s="32">
        <f>G75*'Unit Conversions'!$B$7*'Unit Conversions'!$G$9/'Unit Conversions'!$G$8*BTU_per_TOE*10^3</f>
        <v>42414767036885.898</v>
      </c>
      <c r="S75" s="32">
        <f>H75*'Unit Conversions'!$B$7*'Unit Conversions'!$G$9/'Unit Conversions'!$G$8*BTU_per_TOE*10^3</f>
        <v>47430083543169.609</v>
      </c>
      <c r="T75" s="32">
        <f>I75*'Unit Conversions'!$B$7*'Unit Conversions'!$G$9/'Unit Conversions'!$G$8*BTU_per_TOE*10^3</f>
        <v>51902837351492.398</v>
      </c>
    </row>
    <row r="76" spans="1:22">
      <c r="A76" s="59" t="s">
        <v>122</v>
      </c>
      <c r="B76" s="34" t="s">
        <v>163</v>
      </c>
      <c r="C76" s="58">
        <v>263.02999999999997</v>
      </c>
      <c r="D76" s="58">
        <v>153.83000000000001</v>
      </c>
      <c r="E76" s="58">
        <v>162.06</v>
      </c>
      <c r="F76" s="58">
        <v>170.44</v>
      </c>
      <c r="G76" s="58">
        <v>159.03</v>
      </c>
      <c r="H76" s="58">
        <v>152.9</v>
      </c>
      <c r="I76" s="58">
        <v>148.19999999999999</v>
      </c>
      <c r="L76" s="59" t="s">
        <v>122</v>
      </c>
      <c r="M76" s="116" t="s">
        <v>163</v>
      </c>
      <c r="N76" s="32">
        <f>C76*'Unit Conversions'!$B$7*'Unit Conversions'!$G$9/'Unit Conversions'!$G$8*BTU_per_TOE*10^3</f>
        <v>10803199579459.561</v>
      </c>
      <c r="O76" s="32">
        <f>D76*'Unit Conversions'!$B$7*'Unit Conversions'!$G$9/'Unit Conversions'!$G$8*BTU_per_TOE*10^3</f>
        <v>6318124135301.1611</v>
      </c>
      <c r="P76" s="32">
        <f>E76*'Unit Conversions'!$B$7*'Unit Conversions'!$G$9/'Unit Conversions'!$G$8*BTU_per_TOE*10^3</f>
        <v>6656147678391.1211</v>
      </c>
      <c r="Q76" s="32">
        <f>F76*'Unit Conversions'!$B$7*'Unit Conversions'!$G$9/'Unit Conversions'!$G$8*BTU_per_TOE*10^3</f>
        <v>7000332039398.8809</v>
      </c>
      <c r="R76" s="32">
        <f>G76*'Unit Conversions'!$B$7*'Unit Conversions'!$G$9/'Unit Conversions'!$G$8*BTU_per_TOE*10^3</f>
        <v>6531699156451.5605</v>
      </c>
      <c r="S76" s="32">
        <f>H76*'Unit Conversions'!$B$7*'Unit Conversions'!$G$9/'Unit Conversions'!$G$8*BTU_per_TOE*10^3</f>
        <v>6279927064210.7998</v>
      </c>
      <c r="T76" s="32">
        <f>I76*'Unit Conversions'!$B$7*'Unit Conversions'!$G$9/'Unit Conversions'!$G$8*BTU_per_TOE*10^3</f>
        <v>6086888102786.4004</v>
      </c>
    </row>
    <row r="77" spans="1:22">
      <c r="A77" s="34" t="s">
        <v>124</v>
      </c>
      <c r="B77" s="34" t="s">
        <v>164</v>
      </c>
      <c r="C77" s="58">
        <v>241.77</v>
      </c>
      <c r="D77" s="58">
        <v>46.33</v>
      </c>
      <c r="E77" s="58">
        <v>58.78</v>
      </c>
      <c r="F77" s="58">
        <v>46.02</v>
      </c>
      <c r="G77" s="58">
        <v>35.31</v>
      </c>
      <c r="H77" s="58">
        <v>31.6</v>
      </c>
      <c r="I77" s="58">
        <v>25.2</v>
      </c>
      <c r="L77" s="34" t="s">
        <v>124</v>
      </c>
      <c r="M77" s="116" t="s">
        <v>164</v>
      </c>
      <c r="N77" s="32">
        <f>C77*'Unit Conversions'!$B$7*'Unit Conversions'!$G$9/'Unit Conversions'!$G$8*BTU_per_TOE*10^3</f>
        <v>9930006319910.041</v>
      </c>
      <c r="O77" s="32">
        <f>D77*'Unit Conversions'!$B$7*'Unit Conversions'!$G$9/'Unit Conversions'!$G$8*BTU_per_TOE*10^3</f>
        <v>1902871294211.1604</v>
      </c>
      <c r="P77" s="32">
        <f>E77*'Unit Conversions'!$B$7*'Unit Conversions'!$G$9/'Unit Conversions'!$G$8*BTU_per_TOE*10^3</f>
        <v>2414219181388.5601</v>
      </c>
      <c r="Q77" s="32">
        <f>F77*'Unit Conversions'!$B$7*'Unit Conversions'!$G$9/'Unit Conversions'!$G$8*BTU_per_TOE*10^3</f>
        <v>1890138937181.0403</v>
      </c>
      <c r="R77" s="32">
        <f>G77*'Unit Conversions'!$B$7*'Unit Conversions'!$G$9/'Unit Conversions'!$G$8*BTU_per_TOE*10^3</f>
        <v>1450256537850.1206</v>
      </c>
      <c r="S77" s="32">
        <f>H77*'Unit Conversions'!$B$7*'Unit Conversions'!$G$9/'Unit Conversions'!$G$8*BTU_per_TOE*10^3</f>
        <v>1297878974683.2002</v>
      </c>
      <c r="T77" s="32">
        <f>I77*'Unit Conversions'!$B$7*'Unit Conversions'!$G$9/'Unit Conversions'!$G$8*BTU_per_TOE*10^3</f>
        <v>1035017410190.4001</v>
      </c>
    </row>
    <row r="78" spans="1:22">
      <c r="A78" s="34" t="s">
        <v>132</v>
      </c>
      <c r="B78" s="34" t="s">
        <v>165</v>
      </c>
      <c r="C78" s="58">
        <v>213.02</v>
      </c>
      <c r="D78" s="58">
        <v>124.68</v>
      </c>
      <c r="E78" s="58">
        <v>148.69</v>
      </c>
      <c r="F78" s="58">
        <v>203.58</v>
      </c>
      <c r="G78" s="58">
        <v>158.74</v>
      </c>
      <c r="H78" s="58">
        <v>185.4</v>
      </c>
      <c r="I78" s="58">
        <v>254.8</v>
      </c>
      <c r="L78" s="34" t="s">
        <v>132</v>
      </c>
      <c r="M78" s="116" t="s">
        <v>165</v>
      </c>
      <c r="N78" s="32">
        <f>C78*'Unit Conversions'!$B$7*'Unit Conversions'!$G$9/'Unit Conversions'!$G$8*BTU_per_TOE*10^3</f>
        <v>8749182885665.041</v>
      </c>
      <c r="O78" s="32">
        <f>D78*'Unit Conversions'!$B$7*'Unit Conversions'!$G$9/'Unit Conversions'!$G$8*BTU_per_TOE*10^3</f>
        <v>5120871853275.3604</v>
      </c>
      <c r="P78" s="32">
        <f>E78*'Unit Conversions'!$B$7*'Unit Conversions'!$G$9/'Unit Conversions'!$G$8*BTU_per_TOE*10^3</f>
        <v>6107013441317.8809</v>
      </c>
      <c r="Q78" s="32">
        <f>F78*'Unit Conversions'!$B$7*'Unit Conversions'!$G$9/'Unit Conversions'!$G$8*BTU_per_TOE*10^3</f>
        <v>8361462078038.1621</v>
      </c>
      <c r="R78" s="32">
        <f>G78*'Unit Conversions'!$B$7*'Unit Conversions'!$G$9/'Unit Conversions'!$G$8*BTU_per_TOE*10^3</f>
        <v>6519788241810.4824</v>
      </c>
      <c r="S78" s="32">
        <f>H78*'Unit Conversions'!$B$7*'Unit Conversions'!$G$9/'Unit Conversions'!$G$8*BTU_per_TOE*10^3</f>
        <v>7614770946400.8008</v>
      </c>
      <c r="T78" s="32">
        <f>I78*'Unit Conversions'!$B$7*'Unit Conversions'!$G$9/'Unit Conversions'!$G$8*BTU_per_TOE*10^3</f>
        <v>10465176036369.602</v>
      </c>
    </row>
    <row r="79" spans="1:22">
      <c r="A79" s="34" t="s">
        <v>134</v>
      </c>
      <c r="B79" s="34" t="s">
        <v>166</v>
      </c>
      <c r="C79" s="58">
        <v>62.09</v>
      </c>
      <c r="D79" s="58">
        <v>5.5</v>
      </c>
      <c r="E79" s="58">
        <v>8.1199999999999992</v>
      </c>
      <c r="F79" s="58">
        <v>8.48</v>
      </c>
      <c r="G79" s="58">
        <v>7.67</v>
      </c>
      <c r="H79" s="58">
        <v>7.7</v>
      </c>
      <c r="I79" s="58">
        <v>7.7</v>
      </c>
      <c r="L79" s="34" t="s">
        <v>134</v>
      </c>
      <c r="M79" s="116" t="s">
        <v>166</v>
      </c>
      <c r="N79" s="32">
        <f>C79*'Unit Conversions'!$B$7*'Unit Conversions'!$G$9/'Unit Conversions'!$G$8*BTU_per_TOE*10^3</f>
        <v>2550167896774.6807</v>
      </c>
      <c r="O79" s="32">
        <f>D79*'Unit Conversions'!$B$7*'Unit Conversions'!$G$9/'Unit Conversions'!$G$8*BTU_per_TOE*10^3</f>
        <v>225896656986.00006</v>
      </c>
      <c r="P79" s="32">
        <f>E79*'Unit Conversions'!$B$7*'Unit Conversions'!$G$9/'Unit Conversions'!$G$8*BTU_per_TOE*10^3</f>
        <v>333505609950.23999</v>
      </c>
      <c r="Q79" s="32">
        <f>F79*'Unit Conversions'!$B$7*'Unit Conversions'!$G$9/'Unit Conversions'!$G$8*BTU_per_TOE*10^3</f>
        <v>348291572952.96008</v>
      </c>
      <c r="R79" s="32">
        <f>G79*'Unit Conversions'!$B$7*'Unit Conversions'!$G$9/'Unit Conversions'!$G$8*BTU_per_TOE*10^3</f>
        <v>315023156196.84003</v>
      </c>
      <c r="S79" s="32">
        <f>H79*'Unit Conversions'!$B$7*'Unit Conversions'!$G$9/'Unit Conversions'!$G$8*BTU_per_TOE*10^3</f>
        <v>316255319780.40002</v>
      </c>
      <c r="T79" s="32">
        <f>I79*'Unit Conversions'!$B$7*'Unit Conversions'!$G$9/'Unit Conversions'!$G$8*BTU_per_TOE*10^3</f>
        <v>316255319780.40002</v>
      </c>
    </row>
    <row r="80" spans="1:22">
      <c r="A80" s="34" t="s">
        <v>136</v>
      </c>
      <c r="B80" s="34" t="s">
        <v>167</v>
      </c>
      <c r="C80" s="58">
        <v>183.2</v>
      </c>
      <c r="D80" s="58">
        <v>103.38</v>
      </c>
      <c r="E80" s="58">
        <v>103.27</v>
      </c>
      <c r="F80" s="58">
        <v>109.5</v>
      </c>
      <c r="G80" s="58">
        <v>110.17</v>
      </c>
      <c r="H80" s="58">
        <v>122.4</v>
      </c>
      <c r="I80" s="58">
        <v>119.5</v>
      </c>
      <c r="L80" s="34" t="s">
        <v>136</v>
      </c>
      <c r="M80" s="116" t="s">
        <v>167</v>
      </c>
      <c r="N80" s="32">
        <f>C80*'Unit Conversions'!$B$7*'Unit Conversions'!$G$9/'Unit Conversions'!$G$8*BTU_per_TOE*10^3</f>
        <v>7524412283606.4004</v>
      </c>
      <c r="O80" s="32">
        <f>D80*'Unit Conversions'!$B$7*'Unit Conversions'!$G$9/'Unit Conversions'!$G$8*BTU_per_TOE*10^3</f>
        <v>4246035708947.7603</v>
      </c>
      <c r="P80" s="32">
        <f>E80*'Unit Conversions'!$B$7*'Unit Conversions'!$G$9/'Unit Conversions'!$G$8*BTU_per_TOE*10^3</f>
        <v>4241517775808.04</v>
      </c>
      <c r="Q80" s="32">
        <f>F80*'Unit Conversions'!$B$7*'Unit Conversions'!$G$9/'Unit Conversions'!$G$8*BTU_per_TOE*10^3</f>
        <v>4497397079994</v>
      </c>
      <c r="R80" s="32">
        <f>G80*'Unit Conversions'!$B$7*'Unit Conversions'!$G$9/'Unit Conversions'!$G$8*BTU_per_TOE*10^3</f>
        <v>4524915400026.8408</v>
      </c>
      <c r="S80" s="32">
        <f>H80*'Unit Conversions'!$B$7*'Unit Conversions'!$G$9/'Unit Conversions'!$G$8*BTU_per_TOE*10^3</f>
        <v>5027227420924.8018</v>
      </c>
      <c r="T80" s="32">
        <f>I80*'Unit Conversions'!$B$7*'Unit Conversions'!$G$9/'Unit Conversions'!$G$8*BTU_per_TOE*10^3</f>
        <v>4908118274514.001</v>
      </c>
    </row>
    <row r="81" spans="1:22">
      <c r="A81" s="34" t="s">
        <v>138</v>
      </c>
      <c r="B81" s="34" t="s">
        <v>168</v>
      </c>
      <c r="C81" s="58">
        <v>26.37</v>
      </c>
      <c r="D81" s="58">
        <v>28.19</v>
      </c>
      <c r="E81" s="58">
        <v>19.190000000000001</v>
      </c>
      <c r="F81" s="58">
        <v>17.760000000000002</v>
      </c>
      <c r="G81" s="58">
        <v>24.33</v>
      </c>
      <c r="H81" s="58">
        <v>16.5</v>
      </c>
      <c r="I81" s="58">
        <v>15.5</v>
      </c>
      <c r="L81" s="34" t="s">
        <v>138</v>
      </c>
      <c r="M81" s="116" t="s">
        <v>168</v>
      </c>
      <c r="N81" s="32">
        <f>C81*'Unit Conversions'!$B$7*'Unit Conversions'!$G$9/'Unit Conversions'!$G$8*BTU_per_TOE*10^3</f>
        <v>1083071789949.2402</v>
      </c>
      <c r="O81" s="32">
        <f>D81*'Unit Conversions'!$B$7*'Unit Conversions'!$G$9/'Unit Conversions'!$G$8*BTU_per_TOE*10^3</f>
        <v>1157823047351.8801</v>
      </c>
      <c r="P81" s="32">
        <f>E81*'Unit Conversions'!$B$7*'Unit Conversions'!$G$9/'Unit Conversions'!$G$8*BTU_per_TOE*10^3</f>
        <v>788173972283.88013</v>
      </c>
      <c r="Q81" s="32">
        <f>F81*'Unit Conversions'!$B$7*'Unit Conversions'!$G$9/'Unit Conversions'!$G$8*BTU_per_TOE*10^3</f>
        <v>729440841467.52014</v>
      </c>
      <c r="R81" s="32">
        <f>G81*'Unit Conversions'!$B$7*'Unit Conversions'!$G$9/'Unit Conversions'!$G$8*BTU_per_TOE*10^3</f>
        <v>999284666267.16016</v>
      </c>
      <c r="S81" s="32">
        <f>H81*'Unit Conversions'!$B$7*'Unit Conversions'!$G$9/'Unit Conversions'!$G$8*BTU_per_TOE*10^3</f>
        <v>677689970958.00012</v>
      </c>
      <c r="T81" s="32">
        <f>I81*'Unit Conversions'!$B$7*'Unit Conversions'!$G$9/'Unit Conversions'!$G$8*BTU_per_TOE*10^3</f>
        <v>636617851506</v>
      </c>
    </row>
    <row r="82" spans="1:22">
      <c r="A82" s="34" t="s">
        <v>140</v>
      </c>
      <c r="B82" s="34" t="s">
        <v>169</v>
      </c>
      <c r="C82" s="58">
        <v>316.08</v>
      </c>
      <c r="D82" s="58">
        <v>68.319999999999993</v>
      </c>
      <c r="E82" s="58">
        <v>135.63</v>
      </c>
      <c r="F82" s="58">
        <v>298.62</v>
      </c>
      <c r="G82" s="58">
        <v>317.14999999999998</v>
      </c>
      <c r="H82" s="58">
        <v>416.3</v>
      </c>
      <c r="I82" s="58">
        <v>480.4</v>
      </c>
      <c r="L82" s="34" t="s">
        <v>140</v>
      </c>
      <c r="M82" s="116" t="s">
        <v>169</v>
      </c>
      <c r="N82" s="32">
        <f>C82*'Unit Conversions'!$B$7*'Unit Conversions'!$G$9/'Unit Conversions'!$G$8*BTU_per_TOE*10^3</f>
        <v>12982075516388.162</v>
      </c>
      <c r="O82" s="32">
        <f>D82*'Unit Conversions'!$B$7*'Unit Conversions'!$G$9/'Unit Conversions'!$G$8*BTU_per_TOE*10^3</f>
        <v>2806047200960.6406</v>
      </c>
      <c r="P82" s="32">
        <f>E82*'Unit Conversions'!$B$7*'Unit Conversions'!$G$9/'Unit Conversions'!$G$8*BTU_per_TOE*10^3</f>
        <v>5570611561274.7598</v>
      </c>
      <c r="Q82" s="32">
        <f>F82*'Unit Conversions'!$B$7*'Unit Conversions'!$G$9/'Unit Conversions'!$G$8*BTU_per_TOE*10^3</f>
        <v>12264956310756.24</v>
      </c>
      <c r="R82" s="32">
        <f>G82*'Unit Conversions'!$B$7*'Unit Conversions'!$G$9/'Unit Conversions'!$G$8*BTU_per_TOE*10^3</f>
        <v>13026022684201.803</v>
      </c>
      <c r="S82" s="32">
        <f>H82*'Unit Conversions'!$B$7*'Unit Conversions'!$G$9/'Unit Conversions'!$G$8*BTU_per_TOE*10^3</f>
        <v>17098323327867.604</v>
      </c>
      <c r="T82" s="32">
        <f>I82*'Unit Conversions'!$B$7*'Unit Conversions'!$G$9/'Unit Conversions'!$G$8*BTU_per_TOE*10^3</f>
        <v>19731046184740.805</v>
      </c>
    </row>
    <row r="83" spans="1:22">
      <c r="A83" s="34" t="s">
        <v>170</v>
      </c>
      <c r="B83" s="34" t="s">
        <v>171</v>
      </c>
      <c r="C83" s="58">
        <v>54.17</v>
      </c>
      <c r="D83" s="58">
        <v>26.48</v>
      </c>
      <c r="E83" s="58">
        <v>18.38</v>
      </c>
      <c r="F83" s="58">
        <v>24.08</v>
      </c>
      <c r="G83" s="58">
        <v>14.9</v>
      </c>
      <c r="H83" s="58">
        <v>13.4</v>
      </c>
      <c r="I83" s="58">
        <v>15</v>
      </c>
      <c r="L83" s="34" t="s">
        <v>170</v>
      </c>
      <c r="M83" s="116" t="s">
        <v>171</v>
      </c>
      <c r="N83" s="32">
        <f>C83*'Unit Conversions'!$B$7*'Unit Conversions'!$G$9/'Unit Conversions'!$G$8*BTU_per_TOE*10^3</f>
        <v>2224876710714.8403</v>
      </c>
      <c r="O83" s="32">
        <f>D83*'Unit Conversions'!$B$7*'Unit Conversions'!$G$9/'Unit Conversions'!$G$8*BTU_per_TOE*10^3</f>
        <v>1087589723088.9602</v>
      </c>
      <c r="P83" s="32">
        <f>E83*'Unit Conversions'!$B$7*'Unit Conversions'!$G$9/'Unit Conversions'!$G$8*BTU_per_TOE*10^3</f>
        <v>754905555527.76001</v>
      </c>
      <c r="Q83" s="32">
        <f>F83*'Unit Conversions'!$B$7*'Unit Conversions'!$G$9/'Unit Conversions'!$G$8*BTU_per_TOE*10^3</f>
        <v>989016636404.15991</v>
      </c>
      <c r="R83" s="32">
        <f>G83*'Unit Conversions'!$B$7*'Unit Conversions'!$G$9/'Unit Conversions'!$G$8*BTU_per_TOE*10^3</f>
        <v>611974579834.80017</v>
      </c>
      <c r="S83" s="32">
        <f>H83*'Unit Conversions'!$B$7*'Unit Conversions'!$G$9/'Unit Conversions'!$G$8*BTU_per_TOE*10^3</f>
        <v>550366400656.80017</v>
      </c>
      <c r="T83" s="32">
        <f>I83*'Unit Conversions'!$B$7*'Unit Conversions'!$G$9/'Unit Conversions'!$G$8*BTU_per_TOE*10^3</f>
        <v>616081791780.00012</v>
      </c>
    </row>
    <row r="84" spans="1:22">
      <c r="A84" s="34" t="s">
        <v>172</v>
      </c>
      <c r="B84" s="34" t="s">
        <v>135</v>
      </c>
      <c r="C84" s="58">
        <v>137.56</v>
      </c>
      <c r="D84" s="58">
        <v>70.08</v>
      </c>
      <c r="E84" s="58">
        <v>77.91</v>
      </c>
      <c r="F84" s="58">
        <v>137.44999999999999</v>
      </c>
      <c r="G84" s="58">
        <v>143.68</v>
      </c>
      <c r="H84" s="58">
        <v>138.19999999999999</v>
      </c>
      <c r="I84" s="58">
        <v>135</v>
      </c>
      <c r="L84" s="34" t="s">
        <v>172</v>
      </c>
      <c r="M84" s="116" t="s">
        <v>135</v>
      </c>
      <c r="N84" s="32">
        <f>C84*'Unit Conversions'!$B$7*'Unit Conversions'!$G$9/'Unit Conversions'!$G$8*BTU_per_TOE*10^3</f>
        <v>5649880751817.1191</v>
      </c>
      <c r="O84" s="32">
        <f>D84*'Unit Conversions'!$B$7*'Unit Conversions'!$G$9/'Unit Conversions'!$G$8*BTU_per_TOE*10^3</f>
        <v>2878334131196.1606</v>
      </c>
      <c r="P84" s="32">
        <f>E84*'Unit Conversions'!$B$7*'Unit Conversions'!$G$9/'Unit Conversions'!$G$8*BTU_per_TOE*10^3</f>
        <v>3199928826505.3203</v>
      </c>
      <c r="Q84" s="32">
        <f>F84*'Unit Conversions'!$B$7*'Unit Conversions'!$G$9/'Unit Conversions'!$G$8*BTU_per_TOE*10^3</f>
        <v>5645362818677.4004</v>
      </c>
      <c r="R84" s="32">
        <f>G84*'Unit Conversions'!$B$7*'Unit Conversions'!$G$9/'Unit Conversions'!$G$8*BTU_per_TOE*10^3</f>
        <v>5901242122863.3613</v>
      </c>
      <c r="S84" s="32">
        <f>H84*'Unit Conversions'!$B$7*'Unit Conversions'!$G$9/'Unit Conversions'!$G$8*BTU_per_TOE*10^3</f>
        <v>5676166908266.3994</v>
      </c>
      <c r="T84" s="32">
        <f>I84*'Unit Conversions'!$B$7*'Unit Conversions'!$G$9/'Unit Conversions'!$G$8*BTU_per_TOE*10^3</f>
        <v>5544736126020.001</v>
      </c>
    </row>
    <row r="85" spans="1:22">
      <c r="A85" s="34" t="s">
        <v>173</v>
      </c>
      <c r="B85" s="34" t="s">
        <v>174</v>
      </c>
      <c r="C85" s="58">
        <v>8.6199999999999992</v>
      </c>
      <c r="D85" s="58">
        <v>14.83</v>
      </c>
      <c r="E85" s="58">
        <v>5.95</v>
      </c>
      <c r="F85" s="58">
        <v>6.62</v>
      </c>
      <c r="G85" s="58">
        <v>5.61</v>
      </c>
      <c r="H85" s="58">
        <v>5.0999999999999996</v>
      </c>
      <c r="I85" s="58">
        <v>5.2</v>
      </c>
      <c r="L85" s="34" t="s">
        <v>173</v>
      </c>
      <c r="M85" s="116" t="s">
        <v>174</v>
      </c>
      <c r="N85" s="32">
        <f>C85*'Unit Conversions'!$B$7*'Unit Conversions'!$G$9/'Unit Conversions'!$G$8*BTU_per_TOE*10^3</f>
        <v>354041669676.24005</v>
      </c>
      <c r="O85" s="32">
        <f>D85*'Unit Conversions'!$B$7*'Unit Conversions'!$G$9/'Unit Conversions'!$G$8*BTU_per_TOE*10^3</f>
        <v>609099531473.16016</v>
      </c>
      <c r="P85" s="32">
        <f>E85*'Unit Conversions'!$B$7*'Unit Conversions'!$G$9/'Unit Conversions'!$G$8*BTU_per_TOE*10^3</f>
        <v>244379110739.40005</v>
      </c>
      <c r="Q85" s="32">
        <f>F85*'Unit Conversions'!$B$7*'Unit Conversions'!$G$9/'Unit Conversions'!$G$8*BTU_per_TOE*10^3</f>
        <v>271897430772.24005</v>
      </c>
      <c r="R85" s="32">
        <f>G85*'Unit Conversions'!$B$7*'Unit Conversions'!$G$9/'Unit Conversions'!$G$8*BTU_per_TOE*10^3</f>
        <v>230414590125.72006</v>
      </c>
      <c r="S85" s="32">
        <f>H85*'Unit Conversions'!$B$7*'Unit Conversions'!$G$9/'Unit Conversions'!$G$8*BTU_per_TOE*10^3</f>
        <v>209467809205.19998</v>
      </c>
      <c r="T85" s="32">
        <f>I85*'Unit Conversions'!$B$7*'Unit Conversions'!$G$9/'Unit Conversions'!$G$8*BTU_per_TOE*10^3</f>
        <v>213575021150.40005</v>
      </c>
    </row>
    <row r="86" spans="1:22">
      <c r="A86" s="34" t="s">
        <v>175</v>
      </c>
      <c r="B86" s="34" t="s">
        <v>141</v>
      </c>
      <c r="C86" s="58">
        <v>121.67</v>
      </c>
      <c r="D86" s="58">
        <v>45.3</v>
      </c>
      <c r="E86" s="58">
        <v>55.81</v>
      </c>
      <c r="F86" s="58">
        <v>73.02</v>
      </c>
      <c r="G86" s="58">
        <v>56.1</v>
      </c>
      <c r="H86" s="58">
        <v>65.2</v>
      </c>
      <c r="I86" s="58">
        <v>57.2</v>
      </c>
      <c r="L86" s="34" t="s">
        <v>175</v>
      </c>
      <c r="M86" s="116" t="s">
        <v>141</v>
      </c>
      <c r="N86" s="32">
        <f>C86*'Unit Conversions'!$B$7*'Unit Conversions'!$G$9/'Unit Conversions'!$G$8*BTU_per_TOE*10^3</f>
        <v>4997244773724.8398</v>
      </c>
      <c r="O86" s="32">
        <f>D86*'Unit Conversions'!$B$7*'Unit Conversions'!$G$9/'Unit Conversions'!$G$8*BTU_per_TOE*10^3</f>
        <v>1860567011175.6001</v>
      </c>
      <c r="P86" s="32">
        <f>E86*'Unit Conversions'!$B$7*'Unit Conversions'!$G$9/'Unit Conversions'!$G$8*BTU_per_TOE*10^3</f>
        <v>2292234986616.1201</v>
      </c>
      <c r="Q86" s="32">
        <f>F86*'Unit Conversions'!$B$7*'Unit Conversions'!$G$9/'Unit Conversions'!$G$8*BTU_per_TOE*10^3</f>
        <v>2999086162385.04</v>
      </c>
      <c r="R86" s="32">
        <f>G86*'Unit Conversions'!$B$7*'Unit Conversions'!$G$9/'Unit Conversions'!$G$8*BTU_per_TOE*10^3</f>
        <v>2304145901257.2002</v>
      </c>
      <c r="S86" s="32">
        <f>H86*'Unit Conversions'!$B$7*'Unit Conversions'!$G$9/'Unit Conversions'!$G$8*BTU_per_TOE*10^3</f>
        <v>2677902188270.4004</v>
      </c>
      <c r="T86" s="32">
        <f>I86*'Unit Conversions'!$B$7*'Unit Conversions'!$G$9/'Unit Conversions'!$G$8*BTU_per_TOE*10^3</f>
        <v>2349325232654.4004</v>
      </c>
    </row>
    <row r="87" spans="1:22">
      <c r="A87" s="33">
        <v>6</v>
      </c>
      <c r="B87" s="34" t="s">
        <v>142</v>
      </c>
      <c r="C87" s="58">
        <v>58021.31</v>
      </c>
      <c r="D87" s="58">
        <v>61464.81</v>
      </c>
      <c r="E87" s="58">
        <v>60402.94</v>
      </c>
      <c r="F87" s="58">
        <v>63771.88</v>
      </c>
      <c r="G87" s="58">
        <v>65089.36</v>
      </c>
      <c r="H87" s="58">
        <v>69846.399999999994</v>
      </c>
      <c r="I87" s="58">
        <v>71697.2</v>
      </c>
      <c r="L87" s="33">
        <v>6</v>
      </c>
      <c r="M87" s="116" t="s">
        <v>142</v>
      </c>
      <c r="N87" s="32">
        <f>C87*'Unit Conversions'!$B$7*'Unit Conversions'!$G$9/'Unit Conversions'!$G$8*BTU_per_TOE*10^3</f>
        <v>2383058175081522.5</v>
      </c>
      <c r="O87" s="32">
        <f>D87*'Unit Conversions'!$B$7*'Unit Conversions'!$G$9/'Unit Conversions'!$G$8*BTU_per_TOE*10^3</f>
        <v>2524490018414484</v>
      </c>
      <c r="P87" s="32">
        <f>E87*'Unit Conversions'!$B$7*'Unit Conversions'!$G$9/'Unit Conversions'!$G$8*BTU_per_TOE*10^3</f>
        <v>2480876766931989.5</v>
      </c>
      <c r="Q87" s="32">
        <f>F87*'Unit Conversions'!$B$7*'Unit Conversions'!$G$9/'Unit Conversions'!$G$8*BTU_per_TOE*10^3</f>
        <v>2619246273038610.5</v>
      </c>
      <c r="R87" s="32">
        <f>G87*'Unit Conversions'!$B$7*'Unit Conversions'!$G$9/'Unit Conversions'!$G$8*BTU_per_TOE*10^3</f>
        <v>2673357968974231.5</v>
      </c>
      <c r="S87" s="32">
        <f>H87*'Unit Conversions'!$B$7*'Unit Conversions'!$G$9/'Unit Conversions'!$G$8*BTU_per_TOE*10^3</f>
        <v>2868739684092173</v>
      </c>
      <c r="T87" s="32">
        <f>I87*'Unit Conversions'!$B$7*'Unit Conversions'!$G$9/'Unit Conversions'!$G$8*BTU_per_TOE*10^3</f>
        <v>2944755962773934.5</v>
      </c>
      <c r="V87" t="s">
        <v>300</v>
      </c>
    </row>
    <row r="88" spans="1:22">
      <c r="A88" s="33">
        <v>7</v>
      </c>
      <c r="B88" s="34" t="s">
        <v>176</v>
      </c>
      <c r="C88" s="58">
        <v>2319.63</v>
      </c>
      <c r="D88" s="58">
        <v>1425.67</v>
      </c>
      <c r="E88" s="58">
        <v>1748.39</v>
      </c>
      <c r="F88" s="58">
        <v>1922.1</v>
      </c>
      <c r="G88" s="58">
        <v>2161.29</v>
      </c>
      <c r="H88" s="58">
        <v>1887</v>
      </c>
      <c r="I88" s="58">
        <v>1938.2</v>
      </c>
      <c r="L88" s="33">
        <v>7</v>
      </c>
      <c r="M88" s="116" t="s">
        <v>176</v>
      </c>
      <c r="N88" s="32">
        <f>C88*'Unit Conversions'!$B$7*'Unit Conversions'!$G$9/'Unit Conversions'!$G$8*BTU_per_TOE*10^3</f>
        <v>95272120444442.766</v>
      </c>
      <c r="O88" s="32">
        <f>D88*'Unit Conversions'!$B$7*'Unit Conversions'!$G$9/'Unit Conversions'!$G$8*BTU_per_TOE*10^3</f>
        <v>58555288539132.844</v>
      </c>
      <c r="P88" s="32">
        <f>E88*'Unit Conversions'!$B$7*'Unit Conversions'!$G$9/'Unit Conversions'!$G$8*BTU_per_TOE*10^3</f>
        <v>71810082928682.297</v>
      </c>
      <c r="Q88" s="32">
        <f>F88*'Unit Conversions'!$B$7*'Unit Conversions'!$G$9/'Unit Conversions'!$G$8*BTU_per_TOE*10^3</f>
        <v>78944720798689.203</v>
      </c>
      <c r="R88" s="32">
        <f>G88*'Unit Conversions'!$B$7*'Unit Conversions'!$G$9/'Unit Conversions'!$G$8*BTU_per_TOE*10^3</f>
        <v>88768761050413.094</v>
      </c>
      <c r="S88" s="32">
        <f>H88*'Unit Conversions'!$B$7*'Unit Conversions'!$G$9/'Unit Conversions'!$G$8*BTU_per_TOE*10^3</f>
        <v>77503089405924.016</v>
      </c>
      <c r="T88" s="32">
        <f>I88*'Unit Conversions'!$B$7*'Unit Conversions'!$G$9/'Unit Conversions'!$G$8*BTU_per_TOE*10^3</f>
        <v>79605981921866.406</v>
      </c>
    </row>
    <row r="89" spans="1:22">
      <c r="A89" s="38"/>
      <c r="B89" s="39" t="s">
        <v>177</v>
      </c>
      <c r="C89" s="60">
        <v>69033.39</v>
      </c>
      <c r="D89" s="60">
        <v>68287.28</v>
      </c>
      <c r="E89" s="60">
        <v>69332.820000000007</v>
      </c>
      <c r="F89" s="60">
        <v>74591.679999999993</v>
      </c>
      <c r="G89" s="60">
        <v>75980.31</v>
      </c>
      <c r="H89" s="60">
        <v>80983.199999999997</v>
      </c>
      <c r="I89" s="60">
        <v>83434.7</v>
      </c>
      <c r="L89" s="38"/>
      <c r="M89" s="117" t="s">
        <v>177</v>
      </c>
      <c r="N89" s="32">
        <f>C89*'Unit Conversions'!$B$7*'Unit Conversions'!$G$9/'Unit Conversions'!$G$8*BTU_per_TOE*10^3</f>
        <v>2835347640256502</v>
      </c>
      <c r="O89" s="32">
        <f>D89*'Unit Conversions'!$B$7*'Unit Conversions'!$G$9/'Unit Conversions'!$G$8*BTU_per_TOE*10^3</f>
        <v>2804703321212171.5</v>
      </c>
      <c r="P89" s="32">
        <f>E89*'Unit Conversions'!$B$7*'Unit Conversions'!$G$9/'Unit Conversions'!$G$8*BTU_per_TOE*10^3</f>
        <v>2847645864984015</v>
      </c>
      <c r="Q89" s="32">
        <f>F89*'Unit Conversions'!$B$7*'Unit Conversions'!$G$9/'Unit Conversions'!$G$8*BTU_per_TOE*10^3</f>
        <v>3063638391085359.5</v>
      </c>
      <c r="R89" s="32">
        <f>G89*'Unit Conversions'!$B$7*'Unit Conversions'!$G$9/'Unit Conversions'!$G$8*BTU_per_TOE*10^3</f>
        <v>3120672368319990.5</v>
      </c>
      <c r="S89" s="32">
        <f>H89*'Unit Conversions'!$B$7*'Unit Conversions'!$G$9/'Unit Conversions'!$G$8*BTU_per_TOE*10^3</f>
        <v>3326151664005207</v>
      </c>
      <c r="T89" s="32">
        <f>I89*'Unit Conversions'!$B$7*'Unit Conversions'!$G$9/'Unit Conversions'!$G$8*BTU_per_TOE*10^3</f>
        <v>3426839964841784.5</v>
      </c>
    </row>
    <row r="90" spans="1:22">
      <c r="A90" s="175">
        <v>8</v>
      </c>
      <c r="B90" s="45" t="s">
        <v>145</v>
      </c>
      <c r="C90" s="61">
        <v>46.66</v>
      </c>
      <c r="D90" s="61">
        <v>76.650000000000006</v>
      </c>
      <c r="E90" s="61">
        <v>83.4</v>
      </c>
      <c r="F90" s="61">
        <v>55.4</v>
      </c>
      <c r="G90" s="61">
        <v>46.26</v>
      </c>
      <c r="H90" s="61">
        <v>90.2</v>
      </c>
      <c r="I90" s="58">
        <v>93.5</v>
      </c>
      <c r="L90" s="175">
        <v>8</v>
      </c>
      <c r="M90" s="118" t="s">
        <v>145</v>
      </c>
      <c r="N90" s="32">
        <f>C90*'Unit Conversions'!$B$7*'Unit Conversions'!$G$9/'Unit Conversions'!$G$8*BTU_per_TOE*10^3</f>
        <v>1916425093630.3203</v>
      </c>
      <c r="O90" s="32">
        <f>D90*'Unit Conversions'!$B$7*'Unit Conversions'!$G$9/'Unit Conversions'!$G$8*BTU_per_TOE*10^3</f>
        <v>3148177955995.8008</v>
      </c>
      <c r="P90" s="32">
        <f>E90*'Unit Conversions'!$B$7*'Unit Conversions'!$G$9/'Unit Conversions'!$G$8*BTU_per_TOE*10^3</f>
        <v>3425414762296.8013</v>
      </c>
      <c r="Q90" s="32">
        <f>F90*'Unit Conversions'!$B$7*'Unit Conversions'!$G$9/'Unit Conversions'!$G$8*BTU_per_TOE*10^3</f>
        <v>2275395417640.7998</v>
      </c>
      <c r="R90" s="32">
        <f>G90*'Unit Conversions'!$B$7*'Unit Conversions'!$G$9/'Unit Conversions'!$G$8*BTU_per_TOE*10^3</f>
        <v>1899996245849.5205</v>
      </c>
      <c r="S90" s="32">
        <f>H90*'Unit Conversions'!$B$7*'Unit Conversions'!$G$9/'Unit Conversions'!$G$8*BTU_per_TOE*10^3</f>
        <v>3704705174570.4009</v>
      </c>
      <c r="T90" s="32">
        <f>I90*'Unit Conversions'!$B$7*'Unit Conversions'!$G$9/'Unit Conversions'!$G$8*BTU_per_TOE*10^3</f>
        <v>3840243168762</v>
      </c>
    </row>
    <row r="91" spans="1:22">
      <c r="A91" s="176"/>
      <c r="B91" s="62" t="s">
        <v>146</v>
      </c>
      <c r="C91" s="63">
        <v>69080.05</v>
      </c>
      <c r="D91" s="63">
        <v>68363.92</v>
      </c>
      <c r="E91" s="63">
        <v>69416.22</v>
      </c>
      <c r="F91" s="63">
        <v>74647.070000000007</v>
      </c>
      <c r="G91" s="63">
        <v>76026.570000000007</v>
      </c>
      <c r="H91" s="63">
        <v>81073.399999999994</v>
      </c>
      <c r="I91" s="63">
        <v>83528.100000000006</v>
      </c>
      <c r="L91" s="176"/>
      <c r="M91" s="120" t="s">
        <v>146</v>
      </c>
      <c r="N91" s="32">
        <f>C91*'Unit Conversions'!$B$7*'Unit Conversions'!$G$9/'Unit Conversions'!$G$8*BTU_per_TOE*10^3</f>
        <v>2837264065350133</v>
      </c>
      <c r="O91" s="32">
        <f>D91*'Unit Conversions'!$B$7*'Unit Conversions'!$G$9/'Unit Conversions'!$G$8*BTU_per_TOE*10^3</f>
        <v>2807851088446972</v>
      </c>
      <c r="P91" s="32">
        <f>E91*'Unit Conversions'!$B$7*'Unit Conversions'!$G$9/'Unit Conversions'!$G$8*BTU_per_TOE*10^3</f>
        <v>2851071279746311.5</v>
      </c>
      <c r="Q91" s="32">
        <f>F91*'Unit Conversions'!$B$7*'Unit Conversions'!$G$9/'Unit Conversions'!$G$8*BTU_per_TOE*10^3</f>
        <v>3065913375781806</v>
      </c>
      <c r="R91" s="32">
        <f>G91*'Unit Conversions'!$B$7*'Unit Conversions'!$G$9/'Unit Conversions'!$G$8*BTU_per_TOE*10^3</f>
        <v>3122572364565840.5</v>
      </c>
      <c r="S91" s="32">
        <f>H91*'Unit Conversions'!$B$7*'Unit Conversions'!$G$9/'Unit Conversions'!$G$8*BTU_per_TOE*10^3</f>
        <v>3329856369179777</v>
      </c>
      <c r="T91" s="32">
        <f>I91*'Unit Conversions'!$B$7*'Unit Conversions'!$G$9/'Unit Conversions'!$G$8*BTU_per_TOE*10^3</f>
        <v>3430676100798601.5</v>
      </c>
    </row>
    <row r="92" spans="1:22">
      <c r="A92" s="50" t="s">
        <v>155</v>
      </c>
      <c r="B92" s="51"/>
      <c r="C92" s="51"/>
      <c r="D92" s="51"/>
      <c r="E92" s="51"/>
      <c r="F92" s="51"/>
      <c r="G92" s="51"/>
      <c r="H92" s="51"/>
      <c r="I92" s="51"/>
      <c r="L92" s="50" t="s">
        <v>155</v>
      </c>
      <c r="M92" s="119"/>
      <c r="N92" s="51"/>
      <c r="O92" s="51"/>
      <c r="P92" s="51"/>
      <c r="Q92" s="51"/>
      <c r="R92" s="51"/>
      <c r="S92" s="51"/>
      <c r="T92" s="51"/>
    </row>
    <row r="93" spans="1:22">
      <c r="A93" s="50" t="s">
        <v>148</v>
      </c>
      <c r="B93" s="51"/>
      <c r="C93" s="51"/>
      <c r="D93" s="51"/>
      <c r="E93" s="51"/>
      <c r="F93" s="51"/>
      <c r="G93" s="51"/>
      <c r="H93" s="51"/>
      <c r="I93" s="51"/>
      <c r="L93" s="50" t="s">
        <v>148</v>
      </c>
      <c r="M93" s="119"/>
      <c r="N93" s="51"/>
      <c r="O93" s="51"/>
      <c r="P93" s="51"/>
      <c r="Q93" s="51"/>
      <c r="R93" s="51"/>
      <c r="S93" s="51"/>
      <c r="T93" s="51"/>
    </row>
    <row r="95" spans="1:22" ht="15.75">
      <c r="A95" s="153" t="s">
        <v>178</v>
      </c>
      <c r="B95" s="154"/>
      <c r="C95" s="154"/>
      <c r="D95" s="154"/>
      <c r="E95" s="154"/>
      <c r="F95" s="154"/>
      <c r="G95" s="154"/>
      <c r="H95" s="154"/>
      <c r="I95" s="155"/>
      <c r="L95" s="153" t="s">
        <v>178</v>
      </c>
      <c r="M95" s="154"/>
      <c r="N95" s="154"/>
      <c r="O95" s="154"/>
      <c r="P95" s="154"/>
      <c r="Q95" s="154"/>
      <c r="R95" s="154"/>
      <c r="S95" s="153"/>
      <c r="T95" s="154"/>
    </row>
    <row r="96" spans="1:22">
      <c r="A96" s="156" t="s">
        <v>108</v>
      </c>
      <c r="B96" s="157"/>
      <c r="C96" s="157"/>
      <c r="D96" s="157"/>
      <c r="E96" s="157"/>
      <c r="F96" s="157"/>
      <c r="G96" s="157"/>
      <c r="H96" s="157"/>
      <c r="I96" s="158"/>
      <c r="L96" s="159" t="s">
        <v>109</v>
      </c>
      <c r="M96" s="157"/>
      <c r="N96" s="157"/>
      <c r="O96" s="157"/>
      <c r="P96" s="157"/>
      <c r="Q96" s="157"/>
      <c r="R96" s="157"/>
      <c r="S96" s="157"/>
      <c r="T96" s="158"/>
    </row>
    <row r="97" spans="1:22">
      <c r="A97" s="147" t="s">
        <v>110</v>
      </c>
      <c r="B97" s="148"/>
      <c r="C97" s="24" t="s">
        <v>111</v>
      </c>
      <c r="D97" s="24" t="s">
        <v>112</v>
      </c>
      <c r="E97" s="24" t="s">
        <v>113</v>
      </c>
      <c r="F97" s="24" t="s">
        <v>114</v>
      </c>
      <c r="G97" s="25" t="s">
        <v>115</v>
      </c>
      <c r="H97" s="25" t="s">
        <v>116</v>
      </c>
      <c r="I97" s="25" t="s">
        <v>117</v>
      </c>
      <c r="L97" s="147" t="s">
        <v>110</v>
      </c>
      <c r="M97" s="148"/>
      <c r="N97" s="24" t="s">
        <v>111</v>
      </c>
      <c r="O97" s="24" t="s">
        <v>112</v>
      </c>
      <c r="P97" s="24" t="s">
        <v>113</v>
      </c>
      <c r="Q97" s="24" t="s">
        <v>114</v>
      </c>
      <c r="R97" s="25" t="s">
        <v>115</v>
      </c>
      <c r="S97" s="25" t="s">
        <v>118</v>
      </c>
      <c r="T97" s="25" t="s">
        <v>117</v>
      </c>
    </row>
    <row r="98" spans="1:22">
      <c r="A98" s="149">
        <v>-1</v>
      </c>
      <c r="B98" s="150"/>
      <c r="C98" s="26">
        <v>-2</v>
      </c>
      <c r="D98" s="26">
        <v>-3</v>
      </c>
      <c r="E98" s="26">
        <v>-4</v>
      </c>
      <c r="F98" s="26">
        <v>-5</v>
      </c>
      <c r="G98" s="26">
        <v>-6</v>
      </c>
      <c r="H98" s="26">
        <v>-7</v>
      </c>
      <c r="I98" s="26">
        <v>-8</v>
      </c>
      <c r="L98" s="149">
        <v>-1</v>
      </c>
      <c r="M98" s="150"/>
      <c r="N98" s="26">
        <v>-2</v>
      </c>
      <c r="O98" s="26">
        <v>-3</v>
      </c>
      <c r="P98" s="26">
        <v>-4</v>
      </c>
      <c r="Q98" s="26">
        <v>-5</v>
      </c>
      <c r="R98" s="26">
        <v>-6</v>
      </c>
      <c r="S98" s="26">
        <v>-7</v>
      </c>
      <c r="T98" s="26">
        <v>-8</v>
      </c>
    </row>
    <row r="99" spans="1:22">
      <c r="A99" s="177" t="s">
        <v>179</v>
      </c>
      <c r="B99" s="178"/>
      <c r="C99" s="178"/>
      <c r="D99" s="178"/>
      <c r="E99" s="178"/>
      <c r="F99" s="178"/>
      <c r="G99" s="178"/>
      <c r="H99" s="178"/>
      <c r="I99" s="179"/>
      <c r="L99" s="180" t="s">
        <v>179</v>
      </c>
      <c r="M99" s="181"/>
      <c r="N99" s="181"/>
      <c r="O99" s="181"/>
      <c r="P99" s="181"/>
      <c r="Q99" s="181"/>
      <c r="R99" s="181"/>
      <c r="S99" s="181"/>
      <c r="T99" s="182"/>
    </row>
    <row r="100" spans="1:22">
      <c r="A100" s="27">
        <v>1</v>
      </c>
      <c r="B100" s="28" t="s">
        <v>121</v>
      </c>
      <c r="C100" s="57">
        <v>3.08</v>
      </c>
      <c r="D100" s="57">
        <v>3.85</v>
      </c>
      <c r="E100" s="57">
        <v>4.95</v>
      </c>
      <c r="F100" s="57">
        <v>3.74</v>
      </c>
      <c r="G100" s="57">
        <v>7.23</v>
      </c>
      <c r="H100" s="57">
        <v>7.2</v>
      </c>
      <c r="I100" s="58">
        <v>10</v>
      </c>
      <c r="L100" s="27">
        <v>1</v>
      </c>
      <c r="M100" s="115" t="s">
        <v>121</v>
      </c>
      <c r="N100" s="32">
        <f>C100*'Unit Conversions'!$B$12*BTU_per_TOE*10^3</f>
        <v>127113249303.04002</v>
      </c>
      <c r="O100" s="32">
        <f>D100*'Unit Conversions'!$B$12*BTU_per_TOE*10^3</f>
        <v>158891561628.80005</v>
      </c>
      <c r="P100" s="32">
        <f>E100*'Unit Conversions'!$B$12*BTU_per_TOE*10^3</f>
        <v>204289150665.60004</v>
      </c>
      <c r="Q100" s="32">
        <f>F100*'Unit Conversions'!$B$12*BTU_per_TOE*10^3</f>
        <v>154351802725.12</v>
      </c>
      <c r="R100" s="32">
        <f>G100*'Unit Conversions'!$B$12*BTU_per_TOE*10^3</f>
        <v>298385971578.24005</v>
      </c>
      <c r="S100" s="32">
        <f>H100*'Unit Conversions'!$B$12*BTU_per_TOE*10^3</f>
        <v>297147855513.60004</v>
      </c>
      <c r="T100" s="32">
        <f>I100*'Unit Conversions'!$B$12*BTU_per_TOE*10^3</f>
        <v>412705354880.00006</v>
      </c>
    </row>
    <row r="101" spans="1:22">
      <c r="A101" s="59" t="s">
        <v>122</v>
      </c>
      <c r="B101" s="34" t="s">
        <v>157</v>
      </c>
      <c r="C101" s="58">
        <v>0.02</v>
      </c>
      <c r="D101" s="58">
        <v>0.65</v>
      </c>
      <c r="E101" s="58">
        <v>2.21</v>
      </c>
      <c r="F101" s="58">
        <v>0.21</v>
      </c>
      <c r="G101" s="58">
        <v>0</v>
      </c>
      <c r="H101" s="58">
        <v>2.6</v>
      </c>
      <c r="I101" s="58">
        <v>4.5</v>
      </c>
      <c r="L101" s="59" t="s">
        <v>122</v>
      </c>
      <c r="M101" s="116" t="s">
        <v>157</v>
      </c>
      <c r="N101" s="32">
        <f>C101*'Unit Conversions'!$B$12*BTU_per_TOE*10^3</f>
        <v>825410709.76000011</v>
      </c>
      <c r="O101" s="32">
        <f>D101*'Unit Conversions'!$B$12*BTU_per_TOE*10^3</f>
        <v>26825848067.200005</v>
      </c>
      <c r="P101" s="32">
        <f>E101*'Unit Conversions'!$B$12*BTU_per_TOE*10^3</f>
        <v>91207883428.480011</v>
      </c>
      <c r="Q101" s="32">
        <f>F101*'Unit Conversions'!$B$12*BTU_per_TOE*10^3</f>
        <v>8666812452.4800014</v>
      </c>
      <c r="R101" s="32">
        <f>G101*'Unit Conversions'!$B$12*BTU_per_TOE*10^3</f>
        <v>0</v>
      </c>
      <c r="S101" s="32">
        <f>H101*'Unit Conversions'!$B$12*BTU_per_TOE*10^3</f>
        <v>107303392268.80002</v>
      </c>
      <c r="T101" s="32">
        <f>I101*'Unit Conversions'!$B$12*BTU_per_TOE*10^3</f>
        <v>185717409696</v>
      </c>
      <c r="V101" t="s">
        <v>300</v>
      </c>
    </row>
    <row r="102" spans="1:22">
      <c r="A102" s="34" t="s">
        <v>124</v>
      </c>
      <c r="B102" s="34" t="s">
        <v>159</v>
      </c>
      <c r="C102" s="58">
        <v>2.15</v>
      </c>
      <c r="D102" s="58">
        <v>2.4300000000000002</v>
      </c>
      <c r="E102" s="58">
        <v>2.09</v>
      </c>
      <c r="F102" s="58">
        <v>2.94</v>
      </c>
      <c r="G102" s="58">
        <v>6.67</v>
      </c>
      <c r="H102" s="58">
        <v>4.0999999999999996</v>
      </c>
      <c r="I102" s="58">
        <v>5</v>
      </c>
      <c r="L102" s="34" t="s">
        <v>124</v>
      </c>
      <c r="M102" s="116" t="s">
        <v>159</v>
      </c>
      <c r="N102" s="32">
        <f>C102*'Unit Conversions'!$B$12*BTU_per_TOE*10^3</f>
        <v>88731651299.199997</v>
      </c>
      <c r="O102" s="32">
        <f>D102*'Unit Conversions'!$B$12*BTU_per_TOE*10^3</f>
        <v>100287401235.84001</v>
      </c>
      <c r="P102" s="32">
        <f>E102*'Unit Conversions'!$B$12*BTU_per_TOE*10^3</f>
        <v>86255419169.920013</v>
      </c>
      <c r="Q102" s="32">
        <f>F102*'Unit Conversions'!$B$12*BTU_per_TOE*10^3</f>
        <v>121335374334.72</v>
      </c>
      <c r="R102" s="32">
        <f>G102*'Unit Conversions'!$B$12*BTU_per_TOE*10^3</f>
        <v>275274471704.95996</v>
      </c>
      <c r="S102" s="32">
        <f>H102*'Unit Conversions'!$B$12*BTU_per_TOE*10^3</f>
        <v>169209195500.79999</v>
      </c>
      <c r="T102" s="32">
        <f>I102*'Unit Conversions'!$B$12*BTU_per_TOE*10^3</f>
        <v>206352677440.00003</v>
      </c>
      <c r="V102" t="s">
        <v>303</v>
      </c>
    </row>
    <row r="103" spans="1:22">
      <c r="A103" s="34" t="s">
        <v>132</v>
      </c>
      <c r="B103" s="34" t="s">
        <v>125</v>
      </c>
      <c r="C103" s="58">
        <v>0.9</v>
      </c>
      <c r="D103" s="58">
        <v>0.76</v>
      </c>
      <c r="E103" s="58">
        <v>0.65</v>
      </c>
      <c r="F103" s="58">
        <v>0.59</v>
      </c>
      <c r="G103" s="58">
        <v>0.56000000000000005</v>
      </c>
      <c r="H103" s="58">
        <v>0.5</v>
      </c>
      <c r="I103" s="58">
        <v>0.5</v>
      </c>
      <c r="L103" s="34" t="s">
        <v>132</v>
      </c>
      <c r="M103" s="116" t="s">
        <v>125</v>
      </c>
      <c r="N103" s="32">
        <f>C103*'Unit Conversions'!$B$12*BTU_per_TOE*10^3</f>
        <v>37143481939.200005</v>
      </c>
      <c r="O103" s="32">
        <f>D103*'Unit Conversions'!$B$12*BTU_per_TOE*10^3</f>
        <v>31365606970.880001</v>
      </c>
      <c r="P103" s="32">
        <f>E103*'Unit Conversions'!$B$12*BTU_per_TOE*10^3</f>
        <v>26825848067.200005</v>
      </c>
      <c r="Q103" s="32">
        <f>F103*'Unit Conversions'!$B$12*BTU_per_TOE*10^3</f>
        <v>24349615937.920006</v>
      </c>
      <c r="R103" s="32">
        <f>G103*'Unit Conversions'!$B$12*BTU_per_TOE*10^3</f>
        <v>23111499873.280003</v>
      </c>
      <c r="S103" s="32">
        <f>H103*'Unit Conversions'!$B$12*BTU_per_TOE*10^3</f>
        <v>20635267744.000004</v>
      </c>
      <c r="T103" s="32">
        <f>I103*'Unit Conversions'!$B$12*BTU_per_TOE*10^3</f>
        <v>20635267744.000004</v>
      </c>
      <c r="V103" t="s">
        <v>301</v>
      </c>
    </row>
    <row r="104" spans="1:22">
      <c r="A104" s="33">
        <v>2</v>
      </c>
      <c r="B104" s="34" t="s">
        <v>160</v>
      </c>
      <c r="C104" s="58">
        <v>1.32</v>
      </c>
      <c r="D104" s="58">
        <v>1.35</v>
      </c>
      <c r="E104" s="58">
        <v>1.06</v>
      </c>
      <c r="F104" s="58">
        <v>1.26</v>
      </c>
      <c r="G104" s="58">
        <v>2.02</v>
      </c>
      <c r="H104" s="58">
        <v>9.3000000000000007</v>
      </c>
      <c r="I104" s="58">
        <v>15.6</v>
      </c>
      <c r="L104" s="33">
        <v>2</v>
      </c>
      <c r="M104" s="116" t="s">
        <v>160</v>
      </c>
      <c r="N104" s="32">
        <f>C104*'Unit Conversions'!$B$12*BTU_per_TOE*10^3</f>
        <v>54477106844.160004</v>
      </c>
      <c r="O104" s="32">
        <f>D104*'Unit Conversions'!$B$12*BTU_per_TOE*10^3</f>
        <v>55715222908.800003</v>
      </c>
      <c r="P104" s="32">
        <f>E104*'Unit Conversions'!$B$12*BTU_per_TOE*10^3</f>
        <v>43746767617.280006</v>
      </c>
      <c r="Q104" s="32">
        <f>F104*'Unit Conversions'!$B$12*BTU_per_TOE*10^3</f>
        <v>52000874714.880005</v>
      </c>
      <c r="R104" s="32">
        <f>G104*'Unit Conversions'!$B$12*BTU_per_TOE*10^3</f>
        <v>83366481685.76001</v>
      </c>
      <c r="S104" s="32">
        <f>H104*'Unit Conversions'!$B$12*BTU_per_TOE*10^3</f>
        <v>383815980038.40002</v>
      </c>
      <c r="T104" s="32">
        <f>I104*'Unit Conversions'!$B$12*BTU_per_TOE*10^3</f>
        <v>643820353612.80005</v>
      </c>
    </row>
    <row r="105" spans="1:22">
      <c r="A105" s="33">
        <v>3</v>
      </c>
      <c r="B105" s="34" t="s">
        <v>126</v>
      </c>
      <c r="C105" s="58">
        <v>142.36000000000001</v>
      </c>
      <c r="D105" s="58">
        <v>131.77000000000001</v>
      </c>
      <c r="E105" s="58">
        <v>132.18</v>
      </c>
      <c r="F105" s="58">
        <v>154.21</v>
      </c>
      <c r="G105" s="58">
        <v>174.35</v>
      </c>
      <c r="H105" s="58">
        <v>142.9</v>
      </c>
      <c r="I105" s="58">
        <v>276.5</v>
      </c>
      <c r="L105" s="33">
        <v>3</v>
      </c>
      <c r="M105" s="116" t="s">
        <v>126</v>
      </c>
      <c r="N105" s="32">
        <f>C105*'Unit Conversions'!$B$12*BTU_per_TOE*10^3</f>
        <v>5875273432071.6807</v>
      </c>
      <c r="O105" s="32">
        <f>D105*'Unit Conversions'!$B$12*BTU_per_TOE*10^3</f>
        <v>5438218461253.7617</v>
      </c>
      <c r="P105" s="32">
        <f>E105*'Unit Conversions'!$B$12*BTU_per_TOE*10^3</f>
        <v>5455139380803.8418</v>
      </c>
      <c r="Q105" s="32">
        <f>F105*'Unit Conversions'!$B$12*BTU_per_TOE*10^3</f>
        <v>6364329277604.4814</v>
      </c>
      <c r="R105" s="32">
        <f>G105*'Unit Conversions'!$B$12*BTU_per_TOE*10^3</f>
        <v>7195517862332.8008</v>
      </c>
      <c r="S105" s="32">
        <f>H105*'Unit Conversions'!$B$12*BTU_per_TOE*10^3</f>
        <v>5897559521235.2012</v>
      </c>
      <c r="T105" s="32">
        <f>I105*'Unit Conversions'!$B$12*BTU_per_TOE*10^3</f>
        <v>11411303062432.002</v>
      </c>
    </row>
    <row r="106" spans="1:22">
      <c r="A106" s="33">
        <v>4</v>
      </c>
      <c r="B106" s="34" t="s">
        <v>161</v>
      </c>
      <c r="C106" s="58">
        <v>2.4300000000000002</v>
      </c>
      <c r="D106" s="58">
        <v>3.44</v>
      </c>
      <c r="E106" s="58">
        <v>3.8</v>
      </c>
      <c r="F106" s="58">
        <v>2.23</v>
      </c>
      <c r="G106" s="58">
        <v>2.2999999999999998</v>
      </c>
      <c r="H106" s="58">
        <v>6.1</v>
      </c>
      <c r="I106" s="58">
        <v>22.4</v>
      </c>
      <c r="L106" s="33">
        <v>4</v>
      </c>
      <c r="M106" s="116" t="s">
        <v>161</v>
      </c>
      <c r="N106" s="32">
        <f>C106*'Unit Conversions'!$B$12*BTU_per_TOE*10^3</f>
        <v>100287401235.84001</v>
      </c>
      <c r="O106" s="32">
        <f>D106*'Unit Conversions'!$B$12*BTU_per_TOE*10^3</f>
        <v>141970642078.72</v>
      </c>
      <c r="P106" s="32">
        <f>E106*'Unit Conversions'!$B$12*BTU_per_TOE*10^3</f>
        <v>156828034854.39999</v>
      </c>
      <c r="Q106" s="32">
        <f>F106*'Unit Conversions'!$B$12*BTU_per_TOE*10^3</f>
        <v>92033294138.240005</v>
      </c>
      <c r="R106" s="32">
        <f>G106*'Unit Conversions'!$B$12*BTU_per_TOE*10^3</f>
        <v>94922231622.399994</v>
      </c>
      <c r="S106" s="32">
        <f>H106*'Unit Conversions'!$B$12*BTU_per_TOE*10^3</f>
        <v>251750266476.79999</v>
      </c>
      <c r="T106" s="32">
        <f>I106*'Unit Conversions'!$B$12*BTU_per_TOE*10^3</f>
        <v>924459994931.20007</v>
      </c>
    </row>
    <row r="107" spans="1:22">
      <c r="A107" s="33">
        <v>5</v>
      </c>
      <c r="B107" s="34" t="s">
        <v>162</v>
      </c>
      <c r="C107" s="58">
        <v>73.97</v>
      </c>
      <c r="D107" s="58">
        <v>63.66</v>
      </c>
      <c r="E107" s="58">
        <v>54.63</v>
      </c>
      <c r="F107" s="58">
        <v>60.75</v>
      </c>
      <c r="G107" s="58">
        <v>59.5</v>
      </c>
      <c r="H107" s="58">
        <v>148.80000000000001</v>
      </c>
      <c r="I107" s="58">
        <v>174.8</v>
      </c>
      <c r="L107" s="33">
        <v>5</v>
      </c>
      <c r="M107" s="116" t="s">
        <v>162</v>
      </c>
      <c r="N107" s="32">
        <f>C107*'Unit Conversions'!$B$12*BTU_per_TOE*10^3</f>
        <v>3052781510047.3599</v>
      </c>
      <c r="O107" s="32">
        <f>D107*'Unit Conversions'!$B$12*BTU_per_TOE*10^3</f>
        <v>2627282289166.0806</v>
      </c>
      <c r="P107" s="32">
        <f>E107*'Unit Conversions'!$B$12*BTU_per_TOE*10^3</f>
        <v>2254609353709.4404</v>
      </c>
      <c r="Q107" s="32">
        <f>F107*'Unit Conversions'!$B$12*BTU_per_TOE*10^3</f>
        <v>2507185030896.0005</v>
      </c>
      <c r="R107" s="32">
        <f>G107*'Unit Conversions'!$B$12*BTU_per_TOE*10^3</f>
        <v>2455596861536.0005</v>
      </c>
      <c r="S107" s="32">
        <f>H107*'Unit Conversions'!$B$12*BTU_per_TOE*10^3</f>
        <v>6141055680614.4004</v>
      </c>
      <c r="T107" s="32">
        <f>I107*'Unit Conversions'!$B$12*BTU_per_TOE*10^3</f>
        <v>7214089603302.4014</v>
      </c>
    </row>
    <row r="108" spans="1:22">
      <c r="A108" s="59" t="s">
        <v>122</v>
      </c>
      <c r="B108" s="34" t="s">
        <v>169</v>
      </c>
      <c r="C108" s="58">
        <v>2.83</v>
      </c>
      <c r="D108" s="58">
        <v>4.21</v>
      </c>
      <c r="E108" s="58">
        <v>4.59</v>
      </c>
      <c r="F108" s="58">
        <v>10.27</v>
      </c>
      <c r="G108" s="58">
        <v>20.16</v>
      </c>
      <c r="H108" s="58">
        <v>33.200000000000003</v>
      </c>
      <c r="I108" s="58">
        <v>41.9</v>
      </c>
      <c r="L108" s="59" t="s">
        <v>122</v>
      </c>
      <c r="M108" s="116" t="s">
        <v>169</v>
      </c>
      <c r="N108" s="32">
        <f>C108*'Unit Conversions'!$B$12*BTU_per_TOE*10^3</f>
        <v>116795615431.04001</v>
      </c>
      <c r="O108" s="32">
        <f>D108*'Unit Conversions'!$B$12*BTU_per_TOE*10^3</f>
        <v>173748954404.48001</v>
      </c>
      <c r="P108" s="32">
        <f>E108*'Unit Conversions'!$B$12*BTU_per_TOE*10^3</f>
        <v>189431757889.92001</v>
      </c>
      <c r="Q108" s="32">
        <f>F108*'Unit Conversions'!$B$12*BTU_per_TOE*10^3</f>
        <v>423848399461.76007</v>
      </c>
      <c r="R108" s="32">
        <f>G108*'Unit Conversions'!$B$12*BTU_per_TOE*10^3</f>
        <v>832013995438.08008</v>
      </c>
      <c r="S108" s="32">
        <f>H108*'Unit Conversions'!$B$12*BTU_per_TOE*10^3</f>
        <v>1370181778201.6003</v>
      </c>
      <c r="T108" s="32">
        <f>I108*'Unit Conversions'!$B$12*BTU_per_TOE*10^3</f>
        <v>1729235436947.2</v>
      </c>
    </row>
    <row r="109" spans="1:22">
      <c r="A109" s="34" t="s">
        <v>124</v>
      </c>
      <c r="B109" s="34" t="s">
        <v>137</v>
      </c>
      <c r="C109" s="58">
        <v>46.7</v>
      </c>
      <c r="D109" s="58">
        <v>40.71</v>
      </c>
      <c r="E109" s="58">
        <v>30.1</v>
      </c>
      <c r="F109" s="58">
        <v>26.84</v>
      </c>
      <c r="G109" s="58">
        <v>19.309999999999999</v>
      </c>
      <c r="H109" s="58">
        <v>54.7</v>
      </c>
      <c r="I109" s="58">
        <v>67.7</v>
      </c>
      <c r="L109" s="34" t="s">
        <v>124</v>
      </c>
      <c r="M109" s="116" t="s">
        <v>137</v>
      </c>
      <c r="N109" s="32">
        <f>C109*'Unit Conversions'!$B$12*BTU_per_TOE*10^3</f>
        <v>1927334007289.6003</v>
      </c>
      <c r="O109" s="32">
        <f>D109*'Unit Conversions'!$B$12*BTU_per_TOE*10^3</f>
        <v>1680123499716.48</v>
      </c>
      <c r="P109" s="32">
        <f>E109*'Unit Conversions'!$B$12*BTU_per_TOE*10^3</f>
        <v>1242243118188.8</v>
      </c>
      <c r="Q109" s="32">
        <f>F109*'Unit Conversions'!$B$12*BTU_per_TOE*10^3</f>
        <v>1107701172497.9202</v>
      </c>
      <c r="R109" s="32">
        <f>G109*'Unit Conversions'!$B$12*BTU_per_TOE*10^3</f>
        <v>796934040273.28003</v>
      </c>
      <c r="S109" s="32">
        <f>H109*'Unit Conversions'!$B$12*BTU_per_TOE*10^3</f>
        <v>2257498291193.6001</v>
      </c>
      <c r="T109" s="32">
        <f>I109*'Unit Conversions'!$B$12*BTU_per_TOE*10^3</f>
        <v>2794015252537.6001</v>
      </c>
    </row>
    <row r="110" spans="1:22">
      <c r="A110" s="34" t="s">
        <v>132</v>
      </c>
      <c r="B110" s="34" t="s">
        <v>180</v>
      </c>
      <c r="C110" s="58">
        <v>0.92</v>
      </c>
      <c r="D110" s="58">
        <v>1.53</v>
      </c>
      <c r="E110" s="58">
        <v>1.08</v>
      </c>
      <c r="F110" s="58">
        <v>1.08</v>
      </c>
      <c r="G110" s="58">
        <v>1.37</v>
      </c>
      <c r="H110" s="58">
        <v>2.1</v>
      </c>
      <c r="I110" s="58">
        <v>2.4</v>
      </c>
      <c r="L110" s="34" t="s">
        <v>132</v>
      </c>
      <c r="M110" s="116" t="s">
        <v>180</v>
      </c>
      <c r="N110" s="32">
        <f>C110*'Unit Conversions'!$B$12*BTU_per_TOE*10^3</f>
        <v>37968892648.960007</v>
      </c>
      <c r="O110" s="32">
        <f>D110*'Unit Conversions'!$B$12*BTU_per_TOE*10^3</f>
        <v>63143919296.640007</v>
      </c>
      <c r="P110" s="32">
        <f>E110*'Unit Conversions'!$B$12*BTU_per_TOE*10^3</f>
        <v>44572178327.040009</v>
      </c>
      <c r="Q110" s="32">
        <f>F110*'Unit Conversions'!$B$12*BTU_per_TOE*10^3</f>
        <v>44572178327.040009</v>
      </c>
      <c r="R110" s="32">
        <f>G110*'Unit Conversions'!$B$12*BTU_per_TOE*10^3</f>
        <v>56540633618.560005</v>
      </c>
      <c r="S110" s="32">
        <f>H110*'Unit Conversions'!$B$12*BTU_per_TOE*10^3</f>
        <v>86668124524.800018</v>
      </c>
      <c r="T110" s="32">
        <f>I110*'Unit Conversions'!$B$12*BTU_per_TOE*10^3</f>
        <v>99049285171.200012</v>
      </c>
    </row>
    <row r="111" spans="1:22">
      <c r="A111" s="34" t="s">
        <v>134</v>
      </c>
      <c r="B111" s="34" t="s">
        <v>165</v>
      </c>
      <c r="C111" s="58">
        <v>1.23</v>
      </c>
      <c r="D111" s="58">
        <v>0</v>
      </c>
      <c r="E111" s="58">
        <v>1.19</v>
      </c>
      <c r="F111" s="58">
        <v>1.25</v>
      </c>
      <c r="G111" s="58">
        <v>1.67</v>
      </c>
      <c r="H111" s="58">
        <v>8</v>
      </c>
      <c r="I111" s="58">
        <v>4.8</v>
      </c>
      <c r="L111" s="34" t="s">
        <v>134</v>
      </c>
      <c r="M111" s="116" t="s">
        <v>165</v>
      </c>
      <c r="N111" s="32">
        <f>C111*'Unit Conversions'!$B$12*BTU_per_TOE*10^3</f>
        <v>50762758650.240013</v>
      </c>
      <c r="O111" s="32">
        <f>D111*'Unit Conversions'!$B$12*BTU_per_TOE*10^3</f>
        <v>0</v>
      </c>
      <c r="P111" s="32">
        <f>E111*'Unit Conversions'!$B$12*BTU_per_TOE*10^3</f>
        <v>49111937230.720009</v>
      </c>
      <c r="Q111" s="32">
        <f>F111*'Unit Conversions'!$B$12*BTU_per_TOE*10^3</f>
        <v>51588169360.000008</v>
      </c>
      <c r="R111" s="32">
        <f>G111*'Unit Conversions'!$B$12*BTU_per_TOE*10^3</f>
        <v>68921794264.960007</v>
      </c>
      <c r="S111" s="32">
        <f>H111*'Unit Conversions'!$B$12*BTU_per_TOE*10^3</f>
        <v>330164283904.00006</v>
      </c>
      <c r="T111" s="32">
        <f>I111*'Unit Conversions'!$B$12*BTU_per_TOE*10^3</f>
        <v>198098570342.40002</v>
      </c>
    </row>
    <row r="112" spans="1:22">
      <c r="A112" s="34" t="s">
        <v>136</v>
      </c>
      <c r="B112" s="34" t="s">
        <v>166</v>
      </c>
      <c r="C112" s="58">
        <v>0</v>
      </c>
      <c r="D112" s="58">
        <v>0.01</v>
      </c>
      <c r="E112" s="58">
        <v>0.01</v>
      </c>
      <c r="F112" s="58">
        <v>0.04</v>
      </c>
      <c r="G112" s="58">
        <v>0.13</v>
      </c>
      <c r="H112" s="58">
        <v>0.4</v>
      </c>
      <c r="I112" s="58">
        <v>0.4</v>
      </c>
      <c r="L112" s="34" t="s">
        <v>136</v>
      </c>
      <c r="M112" s="116" t="s">
        <v>166</v>
      </c>
      <c r="N112" s="32">
        <f>C112*'Unit Conversions'!$B$12*BTU_per_TOE*10^3</f>
        <v>0</v>
      </c>
      <c r="O112" s="32">
        <f>D112*'Unit Conversions'!$B$12*BTU_per_TOE*10^3</f>
        <v>412705354.88000005</v>
      </c>
      <c r="P112" s="32">
        <f>E112*'Unit Conversions'!$B$12*BTU_per_TOE*10^3</f>
        <v>412705354.88000005</v>
      </c>
      <c r="Q112" s="32">
        <f>F112*'Unit Conversions'!$B$12*BTU_per_TOE*10^3</f>
        <v>1650821419.5200002</v>
      </c>
      <c r="R112" s="32">
        <f>G112*'Unit Conversions'!$B$12*BTU_per_TOE*10^3</f>
        <v>5365169613.4400015</v>
      </c>
      <c r="S112" s="32">
        <f>H112*'Unit Conversions'!$B$12*BTU_per_TOE*10^3</f>
        <v>16508214195.200003</v>
      </c>
      <c r="T112" s="32">
        <f>I112*'Unit Conversions'!$B$12*BTU_per_TOE*10^3</f>
        <v>16508214195.200003</v>
      </c>
    </row>
    <row r="113" spans="1:22">
      <c r="A113" s="34" t="s">
        <v>138</v>
      </c>
      <c r="B113" s="34" t="s">
        <v>167</v>
      </c>
      <c r="C113" s="58">
        <v>10.95</v>
      </c>
      <c r="D113" s="58">
        <v>10.94</v>
      </c>
      <c r="E113" s="58">
        <v>9.02</v>
      </c>
      <c r="F113" s="58">
        <v>12.04</v>
      </c>
      <c r="G113" s="58">
        <v>8.93</v>
      </c>
      <c r="H113" s="58">
        <v>10.8</v>
      </c>
      <c r="I113" s="58">
        <v>17.399999999999999</v>
      </c>
      <c r="L113" s="34" t="s">
        <v>138</v>
      </c>
      <c r="M113" s="116" t="s">
        <v>167</v>
      </c>
      <c r="N113" s="32">
        <f>C113*'Unit Conversions'!$B$12*BTU_per_TOE*10^3</f>
        <v>451912363593.60004</v>
      </c>
      <c r="O113" s="32">
        <f>D113*'Unit Conversions'!$B$12*BTU_per_TOE*10^3</f>
        <v>451499658238.71997</v>
      </c>
      <c r="P113" s="32">
        <f>E113*'Unit Conversions'!$B$12*BTU_per_TOE*10^3</f>
        <v>372260230101.76001</v>
      </c>
      <c r="Q113" s="32">
        <f>F113*'Unit Conversions'!$B$12*BTU_per_TOE*10^3</f>
        <v>496897247275.52002</v>
      </c>
      <c r="R113" s="32">
        <f>G113*'Unit Conversions'!$B$12*BTU_per_TOE*10^3</f>
        <v>368545881907.84003</v>
      </c>
      <c r="S113" s="32">
        <f>H113*'Unit Conversions'!$B$12*BTU_per_TOE*10^3</f>
        <v>445721783270.40002</v>
      </c>
      <c r="T113" s="32">
        <f>I113*'Unit Conversions'!$B$12*BTU_per_TOE*10^3</f>
        <v>718107317491.20007</v>
      </c>
    </row>
    <row r="114" spans="1:22">
      <c r="A114" s="34" t="s">
        <v>140</v>
      </c>
      <c r="B114" s="34" t="s">
        <v>168</v>
      </c>
      <c r="C114" s="58">
        <v>3.04</v>
      </c>
      <c r="D114" s="58">
        <v>3.75</v>
      </c>
      <c r="E114" s="58">
        <v>6.91</v>
      </c>
      <c r="F114" s="58">
        <v>3.32</v>
      </c>
      <c r="G114" s="58">
        <v>3.91</v>
      </c>
      <c r="H114" s="58">
        <v>31.7</v>
      </c>
      <c r="I114" s="58">
        <v>28.4</v>
      </c>
      <c r="L114" s="34" t="s">
        <v>140</v>
      </c>
      <c r="M114" s="116" t="s">
        <v>168</v>
      </c>
      <c r="N114" s="32">
        <f>C114*'Unit Conversions'!$B$12*BTU_per_TOE*10^3</f>
        <v>125462427883.52</v>
      </c>
      <c r="O114" s="32">
        <f>D114*'Unit Conversions'!$B$12*BTU_per_TOE*10^3</f>
        <v>154764508080</v>
      </c>
      <c r="P114" s="32">
        <f>E114*'Unit Conversions'!$B$12*BTU_per_TOE*10^3</f>
        <v>285179400222.08008</v>
      </c>
      <c r="Q114" s="32">
        <f>F114*'Unit Conversions'!$B$12*BTU_per_TOE*10^3</f>
        <v>137018177820.16</v>
      </c>
      <c r="R114" s="32">
        <f>G114*'Unit Conversions'!$B$12*BTU_per_TOE*10^3</f>
        <v>161367793758.08005</v>
      </c>
      <c r="S114" s="32">
        <f>H114*'Unit Conversions'!$B$12*BTU_per_TOE*10^3</f>
        <v>1308275974969.6001</v>
      </c>
      <c r="T114" s="32">
        <f>I114*'Unit Conversions'!$B$12*BTU_per_TOE*10^3</f>
        <v>1172083207859.2</v>
      </c>
    </row>
    <row r="115" spans="1:22">
      <c r="A115" s="34" t="s">
        <v>170</v>
      </c>
      <c r="B115" s="34" t="s">
        <v>171</v>
      </c>
      <c r="C115" s="58">
        <v>0.08</v>
      </c>
      <c r="D115" s="58">
        <v>0.05</v>
      </c>
      <c r="E115" s="58">
        <v>0</v>
      </c>
      <c r="F115" s="58">
        <v>0.24</v>
      </c>
      <c r="G115" s="58">
        <v>7.0000000000000007E-2</v>
      </c>
      <c r="H115" s="58">
        <v>0.7</v>
      </c>
      <c r="I115" s="58">
        <v>1</v>
      </c>
      <c r="L115" s="34" t="s">
        <v>170</v>
      </c>
      <c r="M115" s="116" t="s">
        <v>171</v>
      </c>
      <c r="N115" s="32">
        <f>C115*'Unit Conversions'!$B$12*BTU_per_TOE*10^3</f>
        <v>3301642839.0400004</v>
      </c>
      <c r="O115" s="32">
        <f>D115*'Unit Conversions'!$B$12*BTU_per_TOE*10^3</f>
        <v>2063526774.4000003</v>
      </c>
      <c r="P115" s="32">
        <f>E115*'Unit Conversions'!$B$12*BTU_per_TOE*10^3</f>
        <v>0</v>
      </c>
      <c r="Q115" s="32">
        <f>F115*'Unit Conversions'!$B$12*BTU_per_TOE*10^3</f>
        <v>9904928517.1200008</v>
      </c>
      <c r="R115" s="32">
        <f>G115*'Unit Conversions'!$B$12*BTU_per_TOE*10^3</f>
        <v>2888937484.1600003</v>
      </c>
      <c r="S115" s="32">
        <f>H115*'Unit Conversions'!$B$12*BTU_per_TOE*10^3</f>
        <v>28889374841.600002</v>
      </c>
      <c r="T115" s="32">
        <f>I115*'Unit Conversions'!$B$12*BTU_per_TOE*10^3</f>
        <v>41270535488.000008</v>
      </c>
    </row>
    <row r="116" spans="1:22">
      <c r="A116" s="34" t="s">
        <v>172</v>
      </c>
      <c r="B116" s="34" t="s">
        <v>135</v>
      </c>
      <c r="C116" s="58">
        <v>6.96</v>
      </c>
      <c r="D116" s="58">
        <v>1.32</v>
      </c>
      <c r="E116" s="58">
        <v>0.69</v>
      </c>
      <c r="F116" s="58">
        <v>4.0599999999999996</v>
      </c>
      <c r="G116" s="58">
        <v>2.14</v>
      </c>
      <c r="H116" s="58">
        <v>2.9</v>
      </c>
      <c r="I116" s="58">
        <v>6.1</v>
      </c>
      <c r="L116" s="34" t="s">
        <v>172</v>
      </c>
      <c r="M116" s="116" t="s">
        <v>135</v>
      </c>
      <c r="N116" s="32">
        <f>C116*'Unit Conversions'!$B$12*BTU_per_TOE*10^3</f>
        <v>287242926996.48004</v>
      </c>
      <c r="O116" s="32">
        <f>D116*'Unit Conversions'!$B$12*BTU_per_TOE*10^3</f>
        <v>54477106844.160004</v>
      </c>
      <c r="P116" s="32">
        <f>E116*'Unit Conversions'!$B$12*BTU_per_TOE*10^3</f>
        <v>28476669486.720005</v>
      </c>
      <c r="Q116" s="32">
        <f>F116*'Unit Conversions'!$B$12*BTU_per_TOE*10^3</f>
        <v>167558374081.28</v>
      </c>
      <c r="R116" s="32">
        <f>G116*'Unit Conversions'!$B$12*BTU_per_TOE*10^3</f>
        <v>88318945944.320007</v>
      </c>
      <c r="S116" s="32">
        <f>H116*'Unit Conversions'!$B$12*BTU_per_TOE*10^3</f>
        <v>119684552915.20001</v>
      </c>
      <c r="T116" s="32">
        <f>I116*'Unit Conversions'!$B$12*BTU_per_TOE*10^3</f>
        <v>251750266476.79999</v>
      </c>
    </row>
    <row r="117" spans="1:22">
      <c r="A117" s="34" t="s">
        <v>173</v>
      </c>
      <c r="B117" s="34" t="s">
        <v>141</v>
      </c>
      <c r="C117" s="58">
        <v>1.26</v>
      </c>
      <c r="D117" s="58">
        <v>1.1399999999999999</v>
      </c>
      <c r="E117" s="58">
        <v>1.05</v>
      </c>
      <c r="F117" s="58">
        <v>1.6</v>
      </c>
      <c r="G117" s="58">
        <v>1.81</v>
      </c>
      <c r="H117" s="58">
        <v>4.3</v>
      </c>
      <c r="I117" s="58">
        <v>4.5999999999999996</v>
      </c>
      <c r="L117" s="34" t="s">
        <v>173</v>
      </c>
      <c r="M117" s="116" t="s">
        <v>141</v>
      </c>
      <c r="N117" s="32">
        <f>C117*'Unit Conversions'!$B$12*BTU_per_TOE*10^3</f>
        <v>52000874714.880005</v>
      </c>
      <c r="O117" s="32">
        <f>D117*'Unit Conversions'!$B$12*BTU_per_TOE*10^3</f>
        <v>47048410456.32</v>
      </c>
      <c r="P117" s="32">
        <f>E117*'Unit Conversions'!$B$12*BTU_per_TOE*10^3</f>
        <v>43334062262.400009</v>
      </c>
      <c r="Q117" s="32">
        <f>F117*'Unit Conversions'!$B$12*BTU_per_TOE*10^3</f>
        <v>66032856780.800011</v>
      </c>
      <c r="R117" s="32">
        <f>G117*'Unit Conversions'!$B$12*BTU_per_TOE*10^3</f>
        <v>74699669233.279999</v>
      </c>
      <c r="S117" s="32">
        <f>H117*'Unit Conversions'!$B$12*BTU_per_TOE*10^3</f>
        <v>177463302598.39999</v>
      </c>
      <c r="T117" s="32">
        <f>I117*'Unit Conversions'!$B$12*BTU_per_TOE*10^3</f>
        <v>189844463244.79999</v>
      </c>
    </row>
    <row r="118" spans="1:22">
      <c r="A118" s="33">
        <v>6</v>
      </c>
      <c r="B118" s="34" t="s">
        <v>181</v>
      </c>
      <c r="C118" s="58">
        <v>0.76</v>
      </c>
      <c r="D118" s="58">
        <v>0.69</v>
      </c>
      <c r="E118" s="58">
        <v>3.81</v>
      </c>
      <c r="F118" s="58">
        <v>1.1100000000000001</v>
      </c>
      <c r="G118" s="58">
        <v>1.04</v>
      </c>
      <c r="H118" s="58"/>
      <c r="I118" s="58"/>
      <c r="L118" s="33">
        <v>6</v>
      </c>
      <c r="M118" s="116" t="s">
        <v>181</v>
      </c>
      <c r="N118" s="32">
        <f>C118*'Unit Conversions'!$B$12*BTU_per_TOE*10^3</f>
        <v>31365606970.880001</v>
      </c>
      <c r="O118" s="32">
        <f>D118*'Unit Conversions'!$B$12*BTU_per_TOE*10^3</f>
        <v>28476669486.720005</v>
      </c>
      <c r="P118" s="32">
        <f>E118*'Unit Conversions'!$B$12*BTU_per_TOE*10^3</f>
        <v>157240740209.28003</v>
      </c>
      <c r="Q118" s="32">
        <f>F118*'Unit Conversions'!$B$12*BTU_per_TOE*10^3</f>
        <v>45810294391.680008</v>
      </c>
      <c r="R118" s="32">
        <f>G118*'Unit Conversions'!$B$12*BTU_per_TOE*10^3</f>
        <v>42921356907.520012</v>
      </c>
      <c r="S118" s="32">
        <f>H118*'Unit Conversions'!$B$12*BTU_per_TOE*10^3</f>
        <v>0</v>
      </c>
      <c r="T118" s="32">
        <f>I118*'Unit Conversions'!$B$12*BTU_per_TOE*10^3</f>
        <v>0</v>
      </c>
      <c r="V118" t="s">
        <v>300</v>
      </c>
    </row>
    <row r="119" spans="1:22">
      <c r="A119" s="33">
        <v>7</v>
      </c>
      <c r="B119" s="34" t="s">
        <v>176</v>
      </c>
      <c r="C119" s="58">
        <v>174.64</v>
      </c>
      <c r="D119" s="58">
        <v>181.56</v>
      </c>
      <c r="E119" s="58">
        <v>164.83</v>
      </c>
      <c r="F119" s="58">
        <v>183.77</v>
      </c>
      <c r="G119" s="58">
        <v>202.54</v>
      </c>
      <c r="H119" s="58">
        <v>2.6</v>
      </c>
      <c r="I119" s="58">
        <v>33.299999999999997</v>
      </c>
      <c r="L119" s="33">
        <v>7</v>
      </c>
      <c r="M119" s="116" t="s">
        <v>176</v>
      </c>
      <c r="N119" s="32">
        <f>C119*'Unit Conversions'!$B$12*BTU_per_TOE*10^3</f>
        <v>7207486317624.3203</v>
      </c>
      <c r="O119" s="32">
        <f>D119*'Unit Conversions'!$B$12*BTU_per_TOE*10^3</f>
        <v>7493078423201.2813</v>
      </c>
      <c r="P119" s="32">
        <f>E119*'Unit Conversions'!$B$12*BTU_per_TOE*10^3</f>
        <v>6802622364487.04</v>
      </c>
      <c r="Q119" s="32">
        <f>F119*'Unit Conversions'!$B$12*BTU_per_TOE*10^3</f>
        <v>7584286306629.7617</v>
      </c>
      <c r="R119" s="32">
        <f>G119*'Unit Conversions'!$B$12*BTU_per_TOE*10^3</f>
        <v>8358934257739.5215</v>
      </c>
      <c r="S119" s="32">
        <f>H119*'Unit Conversions'!$B$12*BTU_per_TOE*10^3</f>
        <v>107303392268.80002</v>
      </c>
      <c r="T119" s="32">
        <f>I119*'Unit Conversions'!$B$12*BTU_per_TOE*10^3</f>
        <v>1374308831750.4001</v>
      </c>
    </row>
    <row r="120" spans="1:22">
      <c r="A120" s="38"/>
      <c r="B120" s="39" t="s">
        <v>144</v>
      </c>
      <c r="C120" s="60">
        <v>398.54</v>
      </c>
      <c r="D120" s="60">
        <v>386.32</v>
      </c>
      <c r="E120" s="60">
        <v>365.26</v>
      </c>
      <c r="F120" s="60">
        <v>407.06</v>
      </c>
      <c r="G120" s="60">
        <v>448.98</v>
      </c>
      <c r="H120" s="60">
        <v>206.9</v>
      </c>
      <c r="I120" s="60">
        <v>65.3</v>
      </c>
      <c r="L120" s="38"/>
      <c r="M120" s="117" t="s">
        <v>144</v>
      </c>
      <c r="N120" s="32">
        <f>C120*'Unit Conversions'!$B$12*BTU_per_TOE*10^3</f>
        <v>16447959213387.521</v>
      </c>
      <c r="O120" s="32">
        <f>D120*'Unit Conversions'!$B$12*BTU_per_TOE*10^3</f>
        <v>15943633269724.162</v>
      </c>
      <c r="P120" s="32">
        <f>E120*'Unit Conversions'!$B$12*BTU_per_TOE*10^3</f>
        <v>15074475792346.883</v>
      </c>
      <c r="Q120" s="32">
        <f>F120*'Unit Conversions'!$B$12*BTU_per_TOE*10^3</f>
        <v>16799584175745.281</v>
      </c>
      <c r="R120" s="32">
        <f>G120*'Unit Conversions'!$B$12*BTU_per_TOE*10^3</f>
        <v>18529645023402.242</v>
      </c>
      <c r="S120" s="32">
        <f>H120*'Unit Conversions'!$B$12*BTU_per_TOE*10^3</f>
        <v>8538873792467.2012</v>
      </c>
      <c r="T120" s="32">
        <f>I120*'Unit Conversions'!$B$12*BTU_per_TOE*10^3</f>
        <v>2694965967366.4004</v>
      </c>
    </row>
    <row r="121" spans="1:22">
      <c r="A121" s="64">
        <v>8</v>
      </c>
      <c r="B121" s="45" t="s">
        <v>145</v>
      </c>
      <c r="C121" s="61">
        <v>0</v>
      </c>
      <c r="D121" s="61">
        <v>0</v>
      </c>
      <c r="E121" s="61">
        <v>0</v>
      </c>
      <c r="F121" s="61">
        <v>0</v>
      </c>
      <c r="G121" s="61">
        <v>0</v>
      </c>
      <c r="H121" s="61">
        <v>523.79999999999995</v>
      </c>
      <c r="I121" s="58">
        <v>598</v>
      </c>
      <c r="L121" s="64">
        <v>8</v>
      </c>
      <c r="M121" s="118" t="s">
        <v>145</v>
      </c>
      <c r="N121" s="32">
        <f>C121*'Unit Conversions'!$B$12*BTU_per_TOE*10^3</f>
        <v>0</v>
      </c>
      <c r="O121" s="32">
        <f>D121*'Unit Conversions'!$B$12*BTU_per_TOE*10^3</f>
        <v>0</v>
      </c>
      <c r="P121" s="32">
        <f>E121*'Unit Conversions'!$B$12*BTU_per_TOE*10^3</f>
        <v>0</v>
      </c>
      <c r="Q121" s="32">
        <f>F121*'Unit Conversions'!$B$12*BTU_per_TOE*10^3</f>
        <v>0</v>
      </c>
      <c r="R121" s="32">
        <f>G121*'Unit Conversions'!$B$12*BTU_per_TOE*10^3</f>
        <v>0</v>
      </c>
      <c r="S121" s="32">
        <f>H121*'Unit Conversions'!$B$12*BTU_per_TOE*10^3</f>
        <v>21617506488614.398</v>
      </c>
      <c r="T121" s="32">
        <f>I121*'Unit Conversions'!$B$12*BTU_per_TOE*10^3</f>
        <v>24679780221824.004</v>
      </c>
    </row>
    <row r="122" spans="1:22">
      <c r="A122" s="65"/>
      <c r="B122" s="62" t="s">
        <v>146</v>
      </c>
      <c r="C122" s="63">
        <v>398.54</v>
      </c>
      <c r="D122" s="63">
        <v>386.32</v>
      </c>
      <c r="E122" s="63">
        <v>365.26</v>
      </c>
      <c r="F122" s="63">
        <v>407.06</v>
      </c>
      <c r="G122" s="63">
        <v>448.98</v>
      </c>
      <c r="H122" s="63">
        <v>523.79999999999995</v>
      </c>
      <c r="I122" s="63">
        <v>598</v>
      </c>
      <c r="L122" s="65"/>
      <c r="M122" s="120" t="s">
        <v>146</v>
      </c>
      <c r="N122" s="32">
        <f>C122*'Unit Conversions'!$B$12*BTU_per_TOE*10^3</f>
        <v>16447959213387.521</v>
      </c>
      <c r="O122" s="32">
        <f>D122*'Unit Conversions'!$B$12*BTU_per_TOE*10^3</f>
        <v>15943633269724.162</v>
      </c>
      <c r="P122" s="32">
        <f>E122*'Unit Conversions'!$B$12*BTU_per_TOE*10^3</f>
        <v>15074475792346.883</v>
      </c>
      <c r="Q122" s="32">
        <f>F122*'Unit Conversions'!$B$12*BTU_per_TOE*10^3</f>
        <v>16799584175745.281</v>
      </c>
      <c r="R122" s="32">
        <f>G122*'Unit Conversions'!$B$12*BTU_per_TOE*10^3</f>
        <v>18529645023402.242</v>
      </c>
      <c r="S122" s="32">
        <f>H122*'Unit Conversions'!$B$12*BTU_per_TOE*10^3</f>
        <v>21617506488614.398</v>
      </c>
      <c r="T122" s="32">
        <f>I122*'Unit Conversions'!$B$12*BTU_per_TOE*10^3</f>
        <v>24679780221824.004</v>
      </c>
    </row>
    <row r="123" spans="1:22">
      <c r="A123" s="50" t="s">
        <v>147</v>
      </c>
      <c r="B123" s="51"/>
      <c r="C123" s="51"/>
      <c r="D123" s="51"/>
      <c r="E123" s="51"/>
      <c r="F123" s="51"/>
      <c r="G123" s="51"/>
      <c r="H123" s="51"/>
      <c r="I123" s="51"/>
      <c r="L123" s="50" t="s">
        <v>147</v>
      </c>
      <c r="M123" s="119"/>
      <c r="N123" s="51"/>
      <c r="O123" s="51"/>
      <c r="P123" s="51"/>
      <c r="Q123" s="51"/>
      <c r="R123" s="51"/>
      <c r="S123" s="51"/>
      <c r="T123" s="51"/>
    </row>
    <row r="124" spans="1:22">
      <c r="A124" s="50" t="s">
        <v>148</v>
      </c>
      <c r="B124" s="51"/>
      <c r="C124" s="51"/>
      <c r="D124" s="51"/>
      <c r="E124" s="51"/>
      <c r="F124" s="51"/>
      <c r="G124" s="51"/>
      <c r="H124" s="51"/>
      <c r="I124" s="51"/>
      <c r="L124" s="50" t="s">
        <v>148</v>
      </c>
      <c r="M124" s="119"/>
      <c r="N124" s="51"/>
      <c r="O124" s="51"/>
      <c r="P124" s="51"/>
      <c r="Q124" s="51"/>
      <c r="R124" s="51"/>
      <c r="S124" s="51"/>
      <c r="T124" s="51"/>
    </row>
    <row r="126" spans="1:22" ht="15.75">
      <c r="A126" s="153" t="s">
        <v>182</v>
      </c>
      <c r="B126" s="154"/>
      <c r="C126" s="154"/>
      <c r="D126" s="154"/>
      <c r="E126" s="154"/>
      <c r="F126" s="154"/>
      <c r="G126" s="154"/>
      <c r="H126" s="154"/>
      <c r="I126" s="155"/>
      <c r="L126" s="153" t="s">
        <v>182</v>
      </c>
      <c r="M126" s="154"/>
      <c r="N126" s="154"/>
      <c r="O126" s="154"/>
      <c r="P126" s="154"/>
      <c r="Q126" s="154"/>
      <c r="R126" s="154"/>
      <c r="S126" s="153"/>
      <c r="T126" s="154"/>
    </row>
    <row r="127" spans="1:22">
      <c r="A127" s="156" t="s">
        <v>108</v>
      </c>
      <c r="B127" s="157"/>
      <c r="C127" s="157"/>
      <c r="D127" s="157"/>
      <c r="E127" s="157"/>
      <c r="F127" s="157"/>
      <c r="G127" s="157"/>
      <c r="H127" s="157"/>
      <c r="I127" s="158"/>
      <c r="L127" s="159" t="s">
        <v>109</v>
      </c>
      <c r="M127" s="157"/>
      <c r="N127" s="157"/>
      <c r="O127" s="157"/>
      <c r="P127" s="157"/>
      <c r="Q127" s="157"/>
      <c r="R127" s="157"/>
      <c r="S127" s="157"/>
      <c r="T127" s="158"/>
    </row>
    <row r="128" spans="1:22">
      <c r="A128" s="147" t="s">
        <v>110</v>
      </c>
      <c r="B128" s="148"/>
      <c r="C128" s="24" t="s">
        <v>111</v>
      </c>
      <c r="D128" s="24" t="s">
        <v>112</v>
      </c>
      <c r="E128" s="24" t="s">
        <v>113</v>
      </c>
      <c r="F128" s="24" t="s">
        <v>114</v>
      </c>
      <c r="G128" s="25" t="s">
        <v>115</v>
      </c>
      <c r="H128" s="25" t="s">
        <v>116</v>
      </c>
      <c r="I128" s="25" t="s">
        <v>117</v>
      </c>
      <c r="L128" s="147" t="s">
        <v>110</v>
      </c>
      <c r="M128" s="148"/>
      <c r="N128" s="24" t="s">
        <v>111</v>
      </c>
      <c r="O128" s="24" t="s">
        <v>112</v>
      </c>
      <c r="P128" s="24" t="s">
        <v>113</v>
      </c>
      <c r="Q128" s="24" t="s">
        <v>114</v>
      </c>
      <c r="R128" s="25" t="s">
        <v>115</v>
      </c>
      <c r="S128" s="25" t="s">
        <v>116</v>
      </c>
      <c r="T128" s="25" t="s">
        <v>117</v>
      </c>
    </row>
    <row r="129" spans="1:22">
      <c r="A129" s="149">
        <v>-1</v>
      </c>
      <c r="B129" s="150"/>
      <c r="C129" s="26">
        <v>-2</v>
      </c>
      <c r="D129" s="26">
        <v>-3</v>
      </c>
      <c r="E129" s="26">
        <v>-4</v>
      </c>
      <c r="F129" s="26">
        <v>-5</v>
      </c>
      <c r="G129" s="26">
        <v>-6</v>
      </c>
      <c r="H129" s="26">
        <v>-7</v>
      </c>
      <c r="I129" s="26">
        <v>-8</v>
      </c>
      <c r="L129" s="149">
        <v>-1</v>
      </c>
      <c r="M129" s="150"/>
      <c r="N129" s="26">
        <v>-2</v>
      </c>
      <c r="O129" s="26">
        <v>-3</v>
      </c>
      <c r="P129" s="26">
        <v>-4</v>
      </c>
      <c r="Q129" s="26">
        <v>-5</v>
      </c>
      <c r="R129" s="26">
        <v>-6</v>
      </c>
      <c r="S129" s="26">
        <v>-7</v>
      </c>
      <c r="T129" s="26">
        <v>-8</v>
      </c>
    </row>
    <row r="130" spans="1:22">
      <c r="A130" s="27">
        <v>1</v>
      </c>
      <c r="B130" s="66" t="s">
        <v>183</v>
      </c>
      <c r="C130" s="57">
        <v>276.66000000000003</v>
      </c>
      <c r="D130" s="57">
        <v>315.33999999999997</v>
      </c>
      <c r="E130" s="57">
        <v>346.45</v>
      </c>
      <c r="F130" s="57">
        <v>379.5</v>
      </c>
      <c r="G130" s="57">
        <v>444.12</v>
      </c>
      <c r="H130" s="57">
        <v>600.80999999999995</v>
      </c>
      <c r="I130" s="58">
        <v>786.26</v>
      </c>
      <c r="L130" s="27">
        <v>1</v>
      </c>
      <c r="M130" s="121" t="s">
        <v>183</v>
      </c>
      <c r="N130" s="32">
        <f>C130*'Unit Conversions'!$B$13*BTU_per_TOE*10^3</f>
        <v>10539605859793.922</v>
      </c>
      <c r="O130" s="32">
        <f>D130*'Unit Conversions'!$B$13*BTU_per_TOE*10^3</f>
        <v>12013154456110.078</v>
      </c>
      <c r="P130" s="32">
        <f>E130*'Unit Conversions'!$B$13*BTU_per_TOE*10^3</f>
        <v>13198317249062.4</v>
      </c>
      <c r="Q130" s="32">
        <f>F130*'Unit Conversions'!$B$13*BTU_per_TOE*10^3</f>
        <v>14457386047104</v>
      </c>
      <c r="R130" s="32">
        <f>G130*'Unit Conversions'!$B$13*BTU_per_TOE*10^3</f>
        <v>16919141742397.439</v>
      </c>
      <c r="S130" s="32">
        <f>H130*'Unit Conversions'!$B$13*BTU_per_TOE*10^3</f>
        <v>22888385009118.719</v>
      </c>
      <c r="T130" s="32">
        <f>I130*'Unit Conversions'!$B$13*BTU_per_TOE*10^3</f>
        <v>29953265753349.121</v>
      </c>
    </row>
    <row r="131" spans="1:22">
      <c r="A131" s="59" t="s">
        <v>122</v>
      </c>
      <c r="B131" s="39" t="s">
        <v>184</v>
      </c>
      <c r="C131" s="58">
        <v>1.35</v>
      </c>
      <c r="D131" s="58">
        <v>6.15</v>
      </c>
      <c r="E131" s="58">
        <v>10.17</v>
      </c>
      <c r="F131" s="58">
        <v>44.97</v>
      </c>
      <c r="G131" s="58">
        <v>36.94</v>
      </c>
      <c r="H131" s="58">
        <v>20.190000000000001</v>
      </c>
      <c r="I131" s="58">
        <v>109.95</v>
      </c>
      <c r="L131" s="59" t="s">
        <v>122</v>
      </c>
      <c r="M131" s="117" t="s">
        <v>184</v>
      </c>
      <c r="N131" s="32">
        <f>C131*'Unit Conversions'!$B$13*BTU_per_TOE*10^3</f>
        <v>51429436531.200005</v>
      </c>
      <c r="O131" s="32">
        <f>D131*'Unit Conversions'!$B$13*BTU_per_TOE*10^3</f>
        <v>234289655308.80002</v>
      </c>
      <c r="P131" s="32">
        <f>E131*'Unit Conversions'!$B$13*BTU_per_TOE*10^3</f>
        <v>387435088535.04004</v>
      </c>
      <c r="Q131" s="32">
        <f>F131*'Unit Conversions'!$B$13*BTU_per_TOE*10^3</f>
        <v>1713171674672.6401</v>
      </c>
      <c r="R131" s="32">
        <f>G131*'Unit Conversions'!$B$13*BTU_per_TOE*10^3</f>
        <v>1407261767009.28</v>
      </c>
      <c r="S131" s="32">
        <f>H131*'Unit Conversions'!$B$13*BTU_per_TOE*10^3</f>
        <v>769155795233.28003</v>
      </c>
      <c r="T131" s="32">
        <f>I131*'Unit Conversions'!$B$13*BTU_per_TOE*10^3</f>
        <v>4188641886374.3999</v>
      </c>
      <c r="V131" t="s">
        <v>300</v>
      </c>
    </row>
    <row r="132" spans="1:22">
      <c r="A132" s="34" t="s">
        <v>124</v>
      </c>
      <c r="B132" s="34" t="s">
        <v>159</v>
      </c>
      <c r="C132" s="58">
        <v>272.7</v>
      </c>
      <c r="D132" s="58">
        <v>306.74</v>
      </c>
      <c r="E132" s="58">
        <v>334.48</v>
      </c>
      <c r="F132" s="58">
        <v>332.63</v>
      </c>
      <c r="G132" s="58">
        <v>407.17</v>
      </c>
      <c r="H132" s="58">
        <v>580.62</v>
      </c>
      <c r="I132" s="58">
        <v>676.25</v>
      </c>
      <c r="L132" s="34" t="s">
        <v>124</v>
      </c>
      <c r="M132" s="116" t="s">
        <v>159</v>
      </c>
      <c r="N132" s="32">
        <f>C132*'Unit Conversions'!$B$13*BTU_per_TOE*10^3</f>
        <v>10388746179302.4</v>
      </c>
      <c r="O132" s="32">
        <f>D132*'Unit Conversions'!$B$13*BTU_per_TOE*10^3</f>
        <v>11685529897466.881</v>
      </c>
      <c r="P132" s="32">
        <f>E132*'Unit Conversions'!$B$13*BTU_per_TOE*10^3</f>
        <v>12742309578485.76</v>
      </c>
      <c r="Q132" s="32">
        <f>F132*'Unit Conversions'!$B$13*BTU_per_TOE*10^3</f>
        <v>12671832202498.561</v>
      </c>
      <c r="R132" s="32">
        <f>G132*'Unit Conversions'!$B$13*BTU_per_TOE*10^3</f>
        <v>15511499016599.041</v>
      </c>
      <c r="S132" s="32">
        <f>H132*'Unit Conversions'!$B$13*BTU_per_TOE*10^3</f>
        <v>22119229213885.441</v>
      </c>
      <c r="T132" s="32">
        <f>I132*'Unit Conversions'!$B$13*BTU_per_TOE*10^3</f>
        <v>25762338114239.996</v>
      </c>
      <c r="V132" t="s">
        <v>303</v>
      </c>
    </row>
    <row r="133" spans="1:22">
      <c r="A133" s="34" t="s">
        <v>132</v>
      </c>
      <c r="B133" s="34" t="s">
        <v>125</v>
      </c>
      <c r="C133" s="58">
        <v>2.6</v>
      </c>
      <c r="D133" s="58">
        <v>2.4500000000000002</v>
      </c>
      <c r="E133" s="58">
        <v>1.8</v>
      </c>
      <c r="F133" s="58">
        <v>1.9</v>
      </c>
      <c r="G133" s="58">
        <v>0.02</v>
      </c>
      <c r="H133" s="58">
        <v>0</v>
      </c>
      <c r="I133" s="58">
        <v>0.06</v>
      </c>
      <c r="L133" s="34" t="s">
        <v>132</v>
      </c>
      <c r="M133" s="116" t="s">
        <v>125</v>
      </c>
      <c r="N133" s="32">
        <f>C133*'Unit Conversions'!$B$13*BTU_per_TOE*10^3</f>
        <v>99049285171.200012</v>
      </c>
      <c r="O133" s="32">
        <f>D133*'Unit Conversions'!$B$13*BTU_per_TOE*10^3</f>
        <v>93334903334.399994</v>
      </c>
      <c r="P133" s="32">
        <f>E133*'Unit Conversions'!$B$13*BTU_per_TOE*10^3</f>
        <v>68572582041.600006</v>
      </c>
      <c r="Q133" s="32">
        <f>F133*'Unit Conversions'!$B$13*BTU_per_TOE*10^3</f>
        <v>72382169932.799988</v>
      </c>
      <c r="R133" s="32">
        <f>G133*'Unit Conversions'!$B$13*BTU_per_TOE*10^3</f>
        <v>761917578.23999989</v>
      </c>
      <c r="S133" s="32">
        <f>H133*'Unit Conversions'!$B$13*BTU_per_TOE*10^3</f>
        <v>0</v>
      </c>
      <c r="T133" s="32">
        <f>I133*'Unit Conversions'!$B$13*BTU_per_TOE*10^3</f>
        <v>2285752734.7200003</v>
      </c>
      <c r="V133" t="s">
        <v>301</v>
      </c>
    </row>
    <row r="134" spans="1:22" ht="24">
      <c r="A134" s="34" t="s">
        <v>134</v>
      </c>
      <c r="B134" s="34" t="s">
        <v>185</v>
      </c>
      <c r="C134" s="58">
        <v>0</v>
      </c>
      <c r="D134" s="58">
        <v>0</v>
      </c>
      <c r="E134" s="58">
        <v>0</v>
      </c>
      <c r="F134" s="58">
        <v>0</v>
      </c>
      <c r="G134" s="58">
        <v>0</v>
      </c>
      <c r="H134" s="58">
        <v>0</v>
      </c>
      <c r="I134" s="58">
        <v>0</v>
      </c>
      <c r="L134" s="34" t="s">
        <v>134</v>
      </c>
      <c r="M134" s="116" t="s">
        <v>185</v>
      </c>
      <c r="N134" s="32">
        <f>C134*'Unit Conversions'!$B$13*BTU_per_TOE*10^3</f>
        <v>0</v>
      </c>
      <c r="O134" s="32">
        <f>D134*'Unit Conversions'!$B$13*BTU_per_TOE*10^3</f>
        <v>0</v>
      </c>
      <c r="P134" s="32">
        <f>E134*'Unit Conversions'!$B$13*BTU_per_TOE*10^3</f>
        <v>0</v>
      </c>
      <c r="Q134" s="32">
        <f>F134*'Unit Conversions'!$B$13*BTU_per_TOE*10^3</f>
        <v>0</v>
      </c>
      <c r="R134" s="32">
        <f>G134*'Unit Conversions'!$B$13*BTU_per_TOE*10^3</f>
        <v>0</v>
      </c>
      <c r="S134" s="32">
        <f>H134*'Unit Conversions'!$B$13*BTU_per_TOE*10^3</f>
        <v>0</v>
      </c>
      <c r="T134" s="32">
        <f>I134*'Unit Conversions'!$B$13*BTU_per_TOE*10^3</f>
        <v>0</v>
      </c>
    </row>
    <row r="135" spans="1:22">
      <c r="A135" s="33">
        <v>2</v>
      </c>
      <c r="B135" s="34" t="s">
        <v>160</v>
      </c>
      <c r="C135" s="58">
        <v>79.16</v>
      </c>
      <c r="D135" s="58">
        <v>74.53</v>
      </c>
      <c r="E135" s="58">
        <v>55.62</v>
      </c>
      <c r="F135" s="58">
        <v>56.62</v>
      </c>
      <c r="G135" s="58">
        <v>51.41</v>
      </c>
      <c r="H135" s="58">
        <v>49.83</v>
      </c>
      <c r="I135" s="58">
        <v>78.459999999999994</v>
      </c>
      <c r="L135" s="33">
        <v>2</v>
      </c>
      <c r="M135" s="116" t="s">
        <v>160</v>
      </c>
      <c r="N135" s="32">
        <f>C135*'Unit Conversions'!$B$13*BTU_per_TOE*10^3</f>
        <v>3015669774673.9199</v>
      </c>
      <c r="O135" s="32">
        <f>D135*'Unit Conversions'!$B$13*BTU_per_TOE*10^3</f>
        <v>2839285855311.3604</v>
      </c>
      <c r="P135" s="32">
        <f>E135*'Unit Conversions'!$B$13*BTU_per_TOE*10^3</f>
        <v>2118892785085.4399</v>
      </c>
      <c r="Q135" s="32">
        <f>F135*'Unit Conversions'!$B$13*BTU_per_TOE*10^3</f>
        <v>2156988663997.4399</v>
      </c>
      <c r="R135" s="32">
        <f>G135*'Unit Conversions'!$B$13*BTU_per_TOE*10^3</f>
        <v>1958509134865.9199</v>
      </c>
      <c r="S135" s="32">
        <f>H135*'Unit Conversions'!$B$13*BTU_per_TOE*10^3</f>
        <v>1898317646184.9602</v>
      </c>
      <c r="T135" s="32">
        <f>I135*'Unit Conversions'!$B$13*BTU_per_TOE*10^3</f>
        <v>2989002659435.5195</v>
      </c>
    </row>
    <row r="136" spans="1:22">
      <c r="A136" s="33">
        <v>3</v>
      </c>
      <c r="B136" s="34" t="s">
        <v>126</v>
      </c>
      <c r="C136" s="58">
        <v>586.79</v>
      </c>
      <c r="D136" s="58">
        <v>535.67999999999995</v>
      </c>
      <c r="E136" s="58">
        <v>445.77</v>
      </c>
      <c r="F136" s="58">
        <v>430.36</v>
      </c>
      <c r="G136" s="58">
        <v>360.95</v>
      </c>
      <c r="H136" s="58">
        <v>313.83</v>
      </c>
      <c r="I136" s="58">
        <v>338.84</v>
      </c>
      <c r="L136" s="33">
        <v>3</v>
      </c>
      <c r="M136" s="116" t="s">
        <v>126</v>
      </c>
      <c r="N136" s="32">
        <f>C136*'Unit Conversions'!$B$13*BTU_per_TOE*10^3</f>
        <v>22354280786772.48</v>
      </c>
      <c r="O136" s="32">
        <f>D136*'Unit Conversions'!$B$13*BTU_per_TOE*10^3</f>
        <v>20407200415580.16</v>
      </c>
      <c r="P136" s="32">
        <f>E136*'Unit Conversions'!$B$13*BTU_per_TOE*10^3</f>
        <v>16981999942602.24</v>
      </c>
      <c r="Q136" s="32">
        <f>F136*'Unit Conversions'!$B$13*BTU_per_TOE*10^3</f>
        <v>16394942448568.32</v>
      </c>
      <c r="R136" s="32">
        <f>G136*'Unit Conversions'!$B$13*BTU_per_TOE*10^3</f>
        <v>13750707493286.402</v>
      </c>
      <c r="S136" s="32">
        <f>H136*'Unit Conversions'!$B$13*BTU_per_TOE*10^3</f>
        <v>11955629678952.961</v>
      </c>
      <c r="T136" s="32">
        <f>I136*'Unit Conversions'!$B$13*BTU_per_TOE*10^3</f>
        <v>12908407610542.08</v>
      </c>
    </row>
    <row r="137" spans="1:22">
      <c r="A137" s="33">
        <v>4</v>
      </c>
      <c r="B137" s="34" t="s">
        <v>161</v>
      </c>
      <c r="C137" s="58">
        <v>12.45</v>
      </c>
      <c r="D137" s="58">
        <v>38.479999999999997</v>
      </c>
      <c r="E137" s="58">
        <v>45.1</v>
      </c>
      <c r="F137" s="58">
        <v>52.66</v>
      </c>
      <c r="G137" s="58">
        <v>71.45</v>
      </c>
      <c r="H137" s="58">
        <v>67.900000000000006</v>
      </c>
      <c r="I137" s="58">
        <v>54.27</v>
      </c>
      <c r="L137" s="33">
        <v>4</v>
      </c>
      <c r="M137" s="116" t="s">
        <v>161</v>
      </c>
      <c r="N137" s="32">
        <f>C137*'Unit Conversions'!$B$13*BTU_per_TOE*10^3</f>
        <v>474293692454.39996</v>
      </c>
      <c r="O137" s="32">
        <f>D137*'Unit Conversions'!$B$13*BTU_per_TOE*10^3</f>
        <v>1465929420533.7598</v>
      </c>
      <c r="P137" s="32">
        <f>E137*'Unit Conversions'!$B$13*BTU_per_TOE*10^3</f>
        <v>1718124138931.2</v>
      </c>
      <c r="Q137" s="32">
        <f>F137*'Unit Conversions'!$B$13*BTU_per_TOE*10^3</f>
        <v>2006128983505.9199</v>
      </c>
      <c r="R137" s="32">
        <f>G137*'Unit Conversions'!$B$13*BTU_per_TOE*10^3</f>
        <v>2721950548262.4004</v>
      </c>
      <c r="S137" s="32">
        <f>H137*'Unit Conversions'!$B$13*BTU_per_TOE*10^3</f>
        <v>2586710178124.8003</v>
      </c>
      <c r="T137" s="32">
        <f>I137*'Unit Conversions'!$B$13*BTU_per_TOE*10^3</f>
        <v>2067463348554.2402</v>
      </c>
    </row>
    <row r="138" spans="1:22">
      <c r="A138" s="33">
        <v>5</v>
      </c>
      <c r="B138" s="34" t="s">
        <v>186</v>
      </c>
      <c r="C138" s="58">
        <v>2018.99</v>
      </c>
      <c r="D138" s="58">
        <v>1833.32</v>
      </c>
      <c r="E138" s="58">
        <v>1748.42</v>
      </c>
      <c r="F138" s="58">
        <v>2136.4699999999998</v>
      </c>
      <c r="G138" s="58">
        <v>2491.75</v>
      </c>
      <c r="H138" s="58">
        <v>2345.88</v>
      </c>
      <c r="I138" s="58">
        <v>2577.39</v>
      </c>
      <c r="L138" s="33">
        <v>5</v>
      </c>
      <c r="M138" s="116" t="s">
        <v>186</v>
      </c>
      <c r="N138" s="32">
        <f>C138*'Unit Conversions'!$B$13*BTU_per_TOE*10^3</f>
        <v>76915198564538.875</v>
      </c>
      <c r="O138" s="32">
        <f>D138*'Unit Conversions'!$B$13*BTU_per_TOE*10^3</f>
        <v>69841936726947.828</v>
      </c>
      <c r="P138" s="32">
        <f>E138*'Unit Conversions'!$B$13*BTU_per_TOE*10^3</f>
        <v>66607596607319.039</v>
      </c>
      <c r="Q138" s="32">
        <f>F138*'Unit Conversions'!$B$13*BTU_per_TOE*10^3</f>
        <v>81390702419120.641</v>
      </c>
      <c r="R138" s="32">
        <f>G138*'Unit Conversions'!$B$13*BTU_per_TOE*10^3</f>
        <v>94925406278976</v>
      </c>
      <c r="S138" s="32">
        <f>H138*'Unit Conversions'!$B$13*BTU_per_TOE*10^3</f>
        <v>89368360422082.563</v>
      </c>
      <c r="T138" s="32">
        <f>I138*'Unit Conversions'!$B$13*BTU_per_TOE*10^3</f>
        <v>98187937348999.672</v>
      </c>
    </row>
    <row r="139" spans="1:22">
      <c r="A139" s="59" t="s">
        <v>122</v>
      </c>
      <c r="B139" s="34" t="s">
        <v>169</v>
      </c>
      <c r="C139" s="58">
        <v>59.03</v>
      </c>
      <c r="D139" s="58">
        <v>55.87</v>
      </c>
      <c r="E139" s="58">
        <v>32.78</v>
      </c>
      <c r="F139" s="58">
        <v>47.85</v>
      </c>
      <c r="G139" s="58">
        <v>49.63</v>
      </c>
      <c r="H139" s="58">
        <v>43.01</v>
      </c>
      <c r="I139" s="58">
        <v>52.06</v>
      </c>
      <c r="L139" s="59" t="s">
        <v>122</v>
      </c>
      <c r="M139" s="116" t="s">
        <v>169</v>
      </c>
      <c r="N139" s="32">
        <f>C139*'Unit Conversions'!$B$13*BTU_per_TOE*10^3</f>
        <v>2248799732175.3604</v>
      </c>
      <c r="O139" s="32">
        <f>D139*'Unit Conversions'!$B$13*BTU_per_TOE*10^3</f>
        <v>2128416754813.4402</v>
      </c>
      <c r="P139" s="32">
        <f>E139*'Unit Conversions'!$B$13*BTU_per_TOE*10^3</f>
        <v>1248782910735.3601</v>
      </c>
      <c r="Q139" s="32">
        <f>F139*'Unit Conversions'!$B$13*BTU_per_TOE*10^3</f>
        <v>1822887805939.2002</v>
      </c>
      <c r="R139" s="32">
        <f>G139*'Unit Conversions'!$B$13*BTU_per_TOE*10^3</f>
        <v>1890698470402.5603</v>
      </c>
      <c r="S139" s="32">
        <f>H139*'Unit Conversions'!$B$13*BTU_per_TOE*10^3</f>
        <v>1638503752005.1201</v>
      </c>
      <c r="T139" s="32">
        <f>I139*'Unit Conversions'!$B$13*BTU_per_TOE*10^3</f>
        <v>1983271456158.7202</v>
      </c>
    </row>
    <row r="140" spans="1:22">
      <c r="A140" s="34" t="s">
        <v>124</v>
      </c>
      <c r="B140" s="34" t="s">
        <v>137</v>
      </c>
      <c r="C140" s="58">
        <v>602.91</v>
      </c>
      <c r="D140" s="58">
        <v>549.88</v>
      </c>
      <c r="E140" s="58">
        <v>611.38</v>
      </c>
      <c r="F140" s="58">
        <v>763.95</v>
      </c>
      <c r="G140" s="58">
        <v>981.72</v>
      </c>
      <c r="H140" s="58">
        <v>930.59</v>
      </c>
      <c r="I140" s="58">
        <v>885.16</v>
      </c>
      <c r="L140" s="34" t="s">
        <v>124</v>
      </c>
      <c r="M140" s="116" t="s">
        <v>137</v>
      </c>
      <c r="N140" s="32">
        <f>C140*'Unit Conversions'!$B$13*BTU_per_TOE*10^3</f>
        <v>22968386354833.918</v>
      </c>
      <c r="O140" s="32">
        <f>D140*'Unit Conversions'!$B$13*BTU_per_TOE*10^3</f>
        <v>20948161896130.559</v>
      </c>
      <c r="P140" s="32">
        <f>E140*'Unit Conversions'!$B$13*BTU_per_TOE*10^3</f>
        <v>23291058449218.563</v>
      </c>
      <c r="Q140" s="32">
        <f>F140*'Unit Conversions'!$B$13*BTU_per_TOE*10^3</f>
        <v>29103346694822.402</v>
      </c>
      <c r="R140" s="32">
        <f>G140*'Unit Conversions'!$B$13*BTU_per_TOE*10^3</f>
        <v>37399486245488.641</v>
      </c>
      <c r="S140" s="32">
        <f>H140*'Unit Conversions'!$B$13*BTU_per_TOE*10^3</f>
        <v>35451643956718.086</v>
      </c>
      <c r="T140" s="32">
        <f>I140*'Unit Conversions'!$B$13*BTU_per_TOE*10^3</f>
        <v>33720948177745.918</v>
      </c>
    </row>
    <row r="141" spans="1:22">
      <c r="A141" s="34" t="s">
        <v>132</v>
      </c>
      <c r="B141" s="34" t="s">
        <v>180</v>
      </c>
      <c r="C141" s="58">
        <v>37.99</v>
      </c>
      <c r="D141" s="58">
        <v>57.75</v>
      </c>
      <c r="E141" s="58">
        <v>69.87</v>
      </c>
      <c r="F141" s="58">
        <v>68.36</v>
      </c>
      <c r="G141" s="58">
        <v>74.12</v>
      </c>
      <c r="H141" s="58">
        <v>45.68</v>
      </c>
      <c r="I141" s="58">
        <v>48.57</v>
      </c>
      <c r="L141" s="34" t="s">
        <v>132</v>
      </c>
      <c r="M141" s="116" t="s">
        <v>180</v>
      </c>
      <c r="N141" s="32">
        <f>C141*'Unit Conversions'!$B$13*BTU_per_TOE*10^3</f>
        <v>1447262439866.8799</v>
      </c>
      <c r="O141" s="32">
        <f>D141*'Unit Conversions'!$B$13*BTU_per_TOE*10^3</f>
        <v>2200037007168</v>
      </c>
      <c r="P141" s="32">
        <f>E141*'Unit Conversions'!$B$13*BTU_per_TOE*10^3</f>
        <v>2661759059581.4399</v>
      </c>
      <c r="Q141" s="32">
        <f>F141*'Unit Conversions'!$B$13*BTU_per_TOE*10^3</f>
        <v>2604234282424.3198</v>
      </c>
      <c r="R141" s="32">
        <f>G141*'Unit Conversions'!$B$13*BTU_per_TOE*10^3</f>
        <v>2823666544957.4404</v>
      </c>
      <c r="S141" s="32">
        <f>H141*'Unit Conversions'!$B$13*BTU_per_TOE*10^3</f>
        <v>1740219748700.1599</v>
      </c>
      <c r="T141" s="32">
        <f>I141*'Unit Conversions'!$B$13*BTU_per_TOE*10^3</f>
        <v>1850316838755.8403</v>
      </c>
    </row>
    <row r="142" spans="1:22">
      <c r="A142" s="34" t="s">
        <v>134</v>
      </c>
      <c r="B142" s="34" t="s">
        <v>165</v>
      </c>
      <c r="C142" s="58">
        <v>27.78</v>
      </c>
      <c r="D142" s="58">
        <v>13.08</v>
      </c>
      <c r="E142" s="58">
        <v>12.73</v>
      </c>
      <c r="F142" s="58">
        <v>14.66</v>
      </c>
      <c r="G142" s="58">
        <v>11.99</v>
      </c>
      <c r="H142" s="58">
        <v>13.66</v>
      </c>
      <c r="I142" s="58">
        <v>20.329999999999998</v>
      </c>
      <c r="L142" s="34" t="s">
        <v>134</v>
      </c>
      <c r="M142" s="116" t="s">
        <v>165</v>
      </c>
      <c r="N142" s="32">
        <f>C142*'Unit Conversions'!$B$13*BTU_per_TOE*10^3</f>
        <v>1058303516175.3601</v>
      </c>
      <c r="O142" s="32">
        <f>D142*'Unit Conversions'!$B$13*BTU_per_TOE*10^3</f>
        <v>498294096168.95996</v>
      </c>
      <c r="P142" s="32">
        <f>E142*'Unit Conversions'!$B$13*BTU_per_TOE*10^3</f>
        <v>484960538549.76007</v>
      </c>
      <c r="Q142" s="32">
        <f>F142*'Unit Conversions'!$B$13*BTU_per_TOE*10^3</f>
        <v>558485584849.92004</v>
      </c>
      <c r="R142" s="32">
        <f>G142*'Unit Conversions'!$B$13*BTU_per_TOE*10^3</f>
        <v>456769588154.88007</v>
      </c>
      <c r="S142" s="32">
        <f>H142*'Unit Conversions'!$B$13*BTU_per_TOE*10^3</f>
        <v>520389705937.92004</v>
      </c>
      <c r="T142" s="32">
        <f>I142*'Unit Conversions'!$B$13*BTU_per_TOE*10^3</f>
        <v>774489218280.95996</v>
      </c>
    </row>
    <row r="143" spans="1:22">
      <c r="A143" s="34" t="s">
        <v>136</v>
      </c>
      <c r="B143" s="34" t="s">
        <v>166</v>
      </c>
      <c r="C143" s="58">
        <v>145.66999999999999</v>
      </c>
      <c r="D143" s="58">
        <v>123.25</v>
      </c>
      <c r="E143" s="58">
        <v>87.91</v>
      </c>
      <c r="F143" s="58">
        <v>142.72</v>
      </c>
      <c r="G143" s="58">
        <v>171.04</v>
      </c>
      <c r="H143" s="58">
        <v>134.18</v>
      </c>
      <c r="I143" s="58">
        <v>202.46</v>
      </c>
      <c r="L143" s="34" t="s">
        <v>136</v>
      </c>
      <c r="M143" s="116" t="s">
        <v>166</v>
      </c>
      <c r="N143" s="32">
        <f>C143*'Unit Conversions'!$B$13*BTU_per_TOE*10^3</f>
        <v>5549426681111.04</v>
      </c>
      <c r="O143" s="32">
        <f>D143*'Unit Conversions'!$B$13*BTU_per_TOE*10^3</f>
        <v>4695317075904</v>
      </c>
      <c r="P143" s="32">
        <f>E143*'Unit Conversions'!$B$13*BTU_per_TOE*10^3</f>
        <v>3349008715153.9204</v>
      </c>
      <c r="Q143" s="32">
        <f>F143*'Unit Conversions'!$B$13*BTU_per_TOE*10^3</f>
        <v>5437043838320.6406</v>
      </c>
      <c r="R143" s="32">
        <f>G143*'Unit Conversions'!$B$13*BTU_per_TOE*10^3</f>
        <v>6515919129108.4805</v>
      </c>
      <c r="S143" s="32">
        <f>H143*'Unit Conversions'!$B$13*BTU_per_TOE*10^3</f>
        <v>5111705032412.1611</v>
      </c>
      <c r="T143" s="32">
        <f>I143*'Unit Conversions'!$B$13*BTU_per_TOE*10^3</f>
        <v>7712891644523.5215</v>
      </c>
    </row>
    <row r="144" spans="1:22">
      <c r="A144" s="34" t="s">
        <v>138</v>
      </c>
      <c r="B144" s="34" t="s">
        <v>167</v>
      </c>
      <c r="C144" s="58">
        <v>221.83</v>
      </c>
      <c r="D144" s="58">
        <v>201.29</v>
      </c>
      <c r="E144" s="58">
        <v>165.86</v>
      </c>
      <c r="F144" s="58">
        <v>193.13</v>
      </c>
      <c r="G144" s="58">
        <v>238.88</v>
      </c>
      <c r="H144" s="58">
        <v>242.67</v>
      </c>
      <c r="I144" s="58">
        <v>295.19</v>
      </c>
      <c r="L144" s="34" t="s">
        <v>138</v>
      </c>
      <c r="M144" s="116" t="s">
        <v>167</v>
      </c>
      <c r="N144" s="32">
        <f>C144*'Unit Conversions'!$B$13*BTU_per_TOE*10^3</f>
        <v>8450808819048.9619</v>
      </c>
      <c r="O144" s="32">
        <f>D144*'Unit Conversions'!$B$13*BTU_per_TOE*10^3</f>
        <v>7668319466196.4795</v>
      </c>
      <c r="P144" s="32">
        <f>E144*'Unit Conversions'!$B$13*BTU_per_TOE*10^3</f>
        <v>6318582476344.3213</v>
      </c>
      <c r="Q144" s="32">
        <f>F144*'Unit Conversions'!$B$13*BTU_per_TOE*10^3</f>
        <v>7357457094274.5596</v>
      </c>
      <c r="R144" s="32">
        <f>G144*'Unit Conversions'!$B$13*BTU_per_TOE*10^3</f>
        <v>9100343554498.5605</v>
      </c>
      <c r="S144" s="32">
        <f>H144*'Unit Conversions'!$B$13*BTU_per_TOE*10^3</f>
        <v>9244726935575.0391</v>
      </c>
      <c r="T144" s="32">
        <f>I144*'Unit Conversions'!$B$13*BTU_per_TOE*10^3</f>
        <v>11245522496033.279</v>
      </c>
    </row>
    <row r="145" spans="1:22">
      <c r="A145" s="34" t="s">
        <v>140</v>
      </c>
      <c r="B145" s="34" t="s">
        <v>168</v>
      </c>
      <c r="C145" s="58">
        <v>233.09</v>
      </c>
      <c r="D145" s="58">
        <v>231.61</v>
      </c>
      <c r="E145" s="58">
        <v>232.26</v>
      </c>
      <c r="F145" s="58">
        <v>218.48</v>
      </c>
      <c r="G145" s="58">
        <v>258.27999999999997</v>
      </c>
      <c r="H145" s="58">
        <v>238.3</v>
      </c>
      <c r="I145" s="58">
        <v>386.41</v>
      </c>
      <c r="L145" s="34" t="s">
        <v>140</v>
      </c>
      <c r="M145" s="116" t="s">
        <v>168</v>
      </c>
      <c r="N145" s="32">
        <f>C145*'Unit Conversions'!$B$13*BTU_per_TOE*10^3</f>
        <v>8879768415598.082</v>
      </c>
      <c r="O145" s="32">
        <f>D145*'Unit Conversions'!$B$13*BTU_per_TOE*10^3</f>
        <v>8823386514808.3203</v>
      </c>
      <c r="P145" s="32">
        <f>E145*'Unit Conversions'!$B$13*BTU_per_TOE*10^3</f>
        <v>8848148836101.1191</v>
      </c>
      <c r="Q145" s="32">
        <f>F145*'Unit Conversions'!$B$13*BTU_per_TOE*10^3</f>
        <v>8323187624693.7598</v>
      </c>
      <c r="R145" s="32">
        <f>G145*'Unit Conversions'!$B$13*BTU_per_TOE*10^3</f>
        <v>9839403605391.3594</v>
      </c>
      <c r="S145" s="32">
        <f>H145*'Unit Conversions'!$B$13*BTU_per_TOE*10^3</f>
        <v>9078247944729.6016</v>
      </c>
      <c r="T145" s="32">
        <f>I145*'Unit Conversions'!$B$13*BTU_per_TOE*10^3</f>
        <v>14720628570385.922</v>
      </c>
    </row>
    <row r="146" spans="1:22">
      <c r="A146" s="34" t="s">
        <v>170</v>
      </c>
      <c r="B146" s="34" t="s">
        <v>187</v>
      </c>
      <c r="C146" s="58">
        <v>30.35</v>
      </c>
      <c r="D146" s="58">
        <v>7.3</v>
      </c>
      <c r="E146" s="58">
        <v>1.65</v>
      </c>
      <c r="F146" s="58">
        <v>1.32</v>
      </c>
      <c r="G146" s="58">
        <v>1.62</v>
      </c>
      <c r="H146" s="58">
        <v>2.39</v>
      </c>
      <c r="I146" s="58">
        <v>3.26</v>
      </c>
      <c r="L146" s="34" t="s">
        <v>170</v>
      </c>
      <c r="M146" s="116" t="s">
        <v>187</v>
      </c>
      <c r="N146" s="32">
        <f>C146*'Unit Conversions'!$B$13*BTU_per_TOE*10^3</f>
        <v>1156209924979.2002</v>
      </c>
      <c r="O146" s="32">
        <f>D146*'Unit Conversions'!$B$13*BTU_per_TOE*10^3</f>
        <v>278099916057.60004</v>
      </c>
      <c r="P146" s="32">
        <f>E146*'Unit Conversions'!$B$13*BTU_per_TOE*10^3</f>
        <v>62858200204.800003</v>
      </c>
      <c r="Q146" s="32">
        <f>F146*'Unit Conversions'!$B$13*BTU_per_TOE*10^3</f>
        <v>50286560163.840012</v>
      </c>
      <c r="R146" s="32">
        <f>G146*'Unit Conversions'!$B$13*BTU_per_TOE*10^3</f>
        <v>61715323837.44001</v>
      </c>
      <c r="S146" s="32">
        <f>H146*'Unit Conversions'!$B$13*BTU_per_TOE*10^3</f>
        <v>91049150599.680008</v>
      </c>
      <c r="T146" s="32">
        <f>I146*'Unit Conversions'!$B$13*BTU_per_TOE*10^3</f>
        <v>124192565253.12</v>
      </c>
    </row>
    <row r="147" spans="1:22">
      <c r="A147" s="34" t="s">
        <v>172</v>
      </c>
      <c r="B147" s="34" t="s">
        <v>135</v>
      </c>
      <c r="C147" s="58">
        <v>21.95</v>
      </c>
      <c r="D147" s="58">
        <v>15.24</v>
      </c>
      <c r="E147" s="58">
        <v>10.92</v>
      </c>
      <c r="F147" s="58">
        <v>16.350000000000001</v>
      </c>
      <c r="G147" s="58">
        <v>16.63</v>
      </c>
      <c r="H147" s="58">
        <v>13.65</v>
      </c>
      <c r="I147" s="58">
        <v>27.47</v>
      </c>
      <c r="L147" s="34" t="s">
        <v>172</v>
      </c>
      <c r="M147" s="116" t="s">
        <v>135</v>
      </c>
      <c r="N147" s="32">
        <f>C147*'Unit Conversions'!$B$13*BTU_per_TOE*10^3</f>
        <v>836204542118.40002</v>
      </c>
      <c r="O147" s="32">
        <f>D147*'Unit Conversions'!$B$13*BTU_per_TOE*10^3</f>
        <v>580581194618.88</v>
      </c>
      <c r="P147" s="32">
        <f>E147*'Unit Conversions'!$B$13*BTU_per_TOE*10^3</f>
        <v>416006997719.04004</v>
      </c>
      <c r="Q147" s="32">
        <f>F147*'Unit Conversions'!$B$13*BTU_per_TOE*10^3</f>
        <v>622867620211.20007</v>
      </c>
      <c r="R147" s="32">
        <f>G147*'Unit Conversions'!$B$13*BTU_per_TOE*10^3</f>
        <v>633534466306.56006</v>
      </c>
      <c r="S147" s="32">
        <f>H147*'Unit Conversions'!$B$13*BTU_per_TOE*10^3</f>
        <v>520008747148.79999</v>
      </c>
      <c r="T147" s="32">
        <f>I147*'Unit Conversions'!$B$13*BTU_per_TOE*10^3</f>
        <v>1046493793712.64</v>
      </c>
    </row>
    <row r="148" spans="1:22">
      <c r="A148" s="34" t="s">
        <v>173</v>
      </c>
      <c r="B148" s="34" t="s">
        <v>174</v>
      </c>
      <c r="C148" s="58">
        <v>475.21</v>
      </c>
      <c r="D148" s="58">
        <v>408.08</v>
      </c>
      <c r="E148" s="58">
        <v>393.28</v>
      </c>
      <c r="F148" s="58">
        <v>476.45</v>
      </c>
      <c r="G148" s="58">
        <v>487.71</v>
      </c>
      <c r="H148" s="58">
        <v>518.41999999999996</v>
      </c>
      <c r="I148" s="58">
        <v>460.44</v>
      </c>
      <c r="L148" s="34" t="s">
        <v>173</v>
      </c>
      <c r="M148" s="116" t="s">
        <v>174</v>
      </c>
      <c r="N148" s="32">
        <f>C148*'Unit Conversions'!$B$13*BTU_per_TOE*10^3</f>
        <v>18103542617771.523</v>
      </c>
      <c r="O148" s="32">
        <f>D148*'Unit Conversions'!$B$13*BTU_per_TOE*10^3</f>
        <v>15546166266408.961</v>
      </c>
      <c r="P148" s="32">
        <f>E148*'Unit Conversions'!$B$13*BTU_per_TOE*10^3</f>
        <v>14982347258511.359</v>
      </c>
      <c r="Q148" s="32">
        <f>F148*'Unit Conversions'!$B$13*BTU_per_TOE*10^3</f>
        <v>18150781507622.402</v>
      </c>
      <c r="R148" s="32">
        <f>G148*'Unit Conversions'!$B$13*BTU_per_TOE*10^3</f>
        <v>18579741104171.52</v>
      </c>
      <c r="S148" s="32">
        <f>H148*'Unit Conversions'!$B$13*BTU_per_TOE*10^3</f>
        <v>19749665545559.039</v>
      </c>
      <c r="T148" s="32">
        <f>I148*'Unit Conversions'!$B$13*BTU_per_TOE*10^3</f>
        <v>17540866486241.279</v>
      </c>
    </row>
    <row r="149" spans="1:22">
      <c r="A149" s="34" t="s">
        <v>175</v>
      </c>
      <c r="B149" s="34" t="s">
        <v>188</v>
      </c>
      <c r="C149" s="58">
        <v>163.16999999999999</v>
      </c>
      <c r="D149" s="58">
        <v>169.99</v>
      </c>
      <c r="E149" s="58">
        <v>129.78</v>
      </c>
      <c r="F149" s="58">
        <v>193.19</v>
      </c>
      <c r="G149" s="58">
        <v>200.11</v>
      </c>
      <c r="H149" s="58">
        <v>163.34</v>
      </c>
      <c r="I149" s="58">
        <v>196.03</v>
      </c>
      <c r="L149" s="34" t="s">
        <v>175</v>
      </c>
      <c r="M149" s="116" t="s">
        <v>188</v>
      </c>
      <c r="N149" s="32">
        <f>C149*'Unit Conversions'!$B$13*BTU_per_TOE*10^3</f>
        <v>6216104562071.0391</v>
      </c>
      <c r="O149" s="32">
        <f>D149*'Unit Conversions'!$B$13*BTU_per_TOE*10^3</f>
        <v>6475918456250.8809</v>
      </c>
      <c r="P149" s="32">
        <f>E149*'Unit Conversions'!$B$13*BTU_per_TOE*10^3</f>
        <v>4944083165199.3604</v>
      </c>
      <c r="Q149" s="32">
        <f>F149*'Unit Conversions'!$B$13*BTU_per_TOE*10^3</f>
        <v>7359742847009.2803</v>
      </c>
      <c r="R149" s="32">
        <f>G149*'Unit Conversions'!$B$13*BTU_per_TOE*10^3</f>
        <v>7623366329080.3213</v>
      </c>
      <c r="S149" s="32">
        <f>H149*'Unit Conversions'!$B$13*BTU_per_TOE*10^3</f>
        <v>6222580861486.0801</v>
      </c>
      <c r="T149" s="32">
        <f>I149*'Unit Conversions'!$B$13*BTU_per_TOE*10^3</f>
        <v>7467935143119.3604</v>
      </c>
    </row>
    <row r="150" spans="1:22">
      <c r="A150" s="33">
        <v>6</v>
      </c>
      <c r="B150" s="34" t="s">
        <v>181</v>
      </c>
      <c r="C150" s="58">
        <v>351.28</v>
      </c>
      <c r="D150" s="58">
        <v>309.08999999999997</v>
      </c>
      <c r="E150" s="58">
        <v>196.87</v>
      </c>
      <c r="F150" s="58">
        <v>270.18</v>
      </c>
      <c r="G150" s="58">
        <v>357.27</v>
      </c>
      <c r="H150" s="58">
        <v>321.23</v>
      </c>
      <c r="I150" s="58">
        <v>298.41000000000003</v>
      </c>
      <c r="L150" s="33">
        <v>6</v>
      </c>
      <c r="M150" s="116" t="s">
        <v>181</v>
      </c>
      <c r="N150" s="32">
        <f>C150*'Unit Conversions'!$B$13*BTU_per_TOE*10^3</f>
        <v>13382320344207.359</v>
      </c>
      <c r="O150" s="32">
        <f>D150*'Unit Conversions'!$B$13*BTU_per_TOE*10^3</f>
        <v>11775055212910.08</v>
      </c>
      <c r="P150" s="32">
        <f>E150*'Unit Conversions'!$B$13*BTU_per_TOE*10^3</f>
        <v>7499935681405.4414</v>
      </c>
      <c r="Q150" s="32">
        <f>F150*'Unit Conversions'!$B$13*BTU_per_TOE*10^3</f>
        <v>10292744564444.16</v>
      </c>
      <c r="R150" s="32">
        <f>G150*'Unit Conversions'!$B$13*BTU_per_TOE*10^3</f>
        <v>13610514658890.242</v>
      </c>
      <c r="S150" s="32">
        <f>H150*'Unit Conversions'!$B$13*BTU_per_TOE*10^3</f>
        <v>12237539182901.762</v>
      </c>
      <c r="T150" s="32">
        <f>I150*'Unit Conversions'!$B$13*BTU_per_TOE*10^3</f>
        <v>11368191226129.924</v>
      </c>
      <c r="V150" t="s">
        <v>300</v>
      </c>
    </row>
    <row r="151" spans="1:22">
      <c r="A151" s="33">
        <v>7</v>
      </c>
      <c r="B151" s="34" t="s">
        <v>176</v>
      </c>
      <c r="C151" s="58">
        <v>2356.88</v>
      </c>
      <c r="D151" s="58">
        <v>1984.69</v>
      </c>
      <c r="E151" s="58">
        <v>2175.37</v>
      </c>
      <c r="F151" s="58">
        <v>2564</v>
      </c>
      <c r="G151" s="58">
        <v>2485.35</v>
      </c>
      <c r="H151" s="58">
        <v>2233.5</v>
      </c>
      <c r="I151" s="58">
        <v>1449.48</v>
      </c>
      <c r="L151" s="33">
        <v>7</v>
      </c>
      <c r="M151" s="116" t="s">
        <v>176</v>
      </c>
      <c r="N151" s="32">
        <f>C151*'Unit Conversions'!$B$13*BTU_per_TOE*10^3</f>
        <v>89787415090114.563</v>
      </c>
      <c r="O151" s="32">
        <f>D151*'Unit Conversions'!$B$13*BTU_per_TOE*10^3</f>
        <v>75608509917857.281</v>
      </c>
      <c r="P151" s="32">
        <f>E151*'Unit Conversions'!$B$13*BTU_per_TOE*10^3</f>
        <v>82872632108797.438</v>
      </c>
      <c r="Q151" s="32">
        <f>F151*'Unit Conversions'!$B$13*BTU_per_TOE*10^3</f>
        <v>97677833530368.016</v>
      </c>
      <c r="R151" s="32">
        <f>G151*'Unit Conversions'!$B$13*BTU_per_TOE*10^3</f>
        <v>94681592653939.188</v>
      </c>
      <c r="S151" s="32">
        <f>H151*'Unit Conversions'!$B$13*BTU_per_TOE*10^3</f>
        <v>85087145549952</v>
      </c>
      <c r="T151" s="32">
        <f>I151*'Unit Conversions'!$B$13*BTU_per_TOE*10^3</f>
        <v>55219214565365.766</v>
      </c>
    </row>
    <row r="152" spans="1:22">
      <c r="A152" s="38"/>
      <c r="B152" s="39" t="s">
        <v>144</v>
      </c>
      <c r="C152" s="60">
        <v>5682.21</v>
      </c>
      <c r="D152" s="60">
        <v>5091.1400000000003</v>
      </c>
      <c r="E152" s="60">
        <v>5013.6000000000004</v>
      </c>
      <c r="F152" s="60">
        <v>5889.81</v>
      </c>
      <c r="G152" s="60">
        <v>6262.3</v>
      </c>
      <c r="H152" s="60">
        <v>5933</v>
      </c>
      <c r="I152" s="60">
        <v>5583.11</v>
      </c>
      <c r="L152" s="38"/>
      <c r="M152" s="117" t="s">
        <v>144</v>
      </c>
      <c r="N152" s="32">
        <f>C152*'Unit Conversions'!$B$13*BTU_per_TOE*10^3</f>
        <v>216468784112555.5</v>
      </c>
      <c r="O152" s="32">
        <f>D152*'Unit Conversions'!$B$13*BTU_per_TOE*10^3</f>
        <v>193951452964039.72</v>
      </c>
      <c r="P152" s="32">
        <f>E152*'Unit Conversions'!$B$13*BTU_per_TOE*10^3</f>
        <v>190997498513203.25</v>
      </c>
      <c r="Q152" s="32">
        <f>F152*'Unit Conversions'!$B$13*BTU_per_TOE*10^3</f>
        <v>224377488574686.75</v>
      </c>
      <c r="R152" s="32">
        <f>G152*'Unit Conversions'!$B$13*BTU_per_TOE*10^3</f>
        <v>238567822510617.63</v>
      </c>
      <c r="S152" s="32">
        <f>H152*'Unit Conversions'!$B$13*BTU_per_TOE*10^3</f>
        <v>226022849584896</v>
      </c>
      <c r="T152" s="32">
        <f>I152*'Unit Conversions'!$B$13*BTU_per_TOE*10^3</f>
        <v>212693482512376.31</v>
      </c>
    </row>
    <row r="153" spans="1:22">
      <c r="A153" s="175">
        <v>8</v>
      </c>
      <c r="B153" s="45" t="s">
        <v>145</v>
      </c>
      <c r="C153" s="61">
        <v>608.29</v>
      </c>
      <c r="D153" s="61">
        <v>695.81</v>
      </c>
      <c r="E153" s="61">
        <v>570.04</v>
      </c>
      <c r="F153" s="61">
        <v>592.12</v>
      </c>
      <c r="G153" s="61">
        <v>783.88</v>
      </c>
      <c r="H153" s="61">
        <v>671.7</v>
      </c>
      <c r="I153" s="58">
        <v>611.41999999999996</v>
      </c>
      <c r="L153" s="175">
        <v>8</v>
      </c>
      <c r="M153" s="118" t="s">
        <v>145</v>
      </c>
      <c r="N153" s="32">
        <f>C153*'Unit Conversions'!$B$13*BTU_per_TOE*10^3</f>
        <v>23173342183380.48</v>
      </c>
      <c r="O153" s="32">
        <f>D153*'Unit Conversions'!$B$13*BTU_per_TOE*10^3</f>
        <v>26507493505758.719</v>
      </c>
      <c r="P153" s="32">
        <f>E153*'Unit Conversions'!$B$13*BTU_per_TOE*10^3</f>
        <v>21716174814996.48</v>
      </c>
      <c r="Q153" s="32">
        <f>F153*'Unit Conversions'!$B$13*BTU_per_TOE*10^3</f>
        <v>22557331821373.445</v>
      </c>
      <c r="R153" s="32">
        <f>G153*'Unit Conversions'!$B$13*BTU_per_TOE*10^3</f>
        <v>29862597561538.559</v>
      </c>
      <c r="S153" s="32">
        <f>H153*'Unit Conversions'!$B$13*BTU_per_TOE*10^3</f>
        <v>25589001865190.402</v>
      </c>
      <c r="T153" s="32">
        <f>I153*'Unit Conversions'!$B$13*BTU_per_TOE*10^3</f>
        <v>23292582284375.039</v>
      </c>
    </row>
    <row r="154" spans="1:22">
      <c r="A154" s="176"/>
      <c r="B154" s="62" t="s">
        <v>146</v>
      </c>
      <c r="C154" s="63">
        <v>6290.5</v>
      </c>
      <c r="D154" s="63">
        <v>5786.95</v>
      </c>
      <c r="E154" s="63">
        <v>5583.64</v>
      </c>
      <c r="F154" s="63">
        <v>6481.93</v>
      </c>
      <c r="G154" s="63">
        <v>7046.18</v>
      </c>
      <c r="H154" s="63">
        <v>6604.7</v>
      </c>
      <c r="I154" s="63">
        <v>6194.53</v>
      </c>
      <c r="L154" s="176"/>
      <c r="M154" s="122" t="s">
        <v>146</v>
      </c>
      <c r="N154" s="32">
        <f>C154*'Unit Conversions'!$B$13*BTU_per_TOE*10^3</f>
        <v>239642126295936.03</v>
      </c>
      <c r="O154" s="32">
        <f>D154*'Unit Conversions'!$B$13*BTU_per_TOE*10^3</f>
        <v>220458946469798.41</v>
      </c>
      <c r="P154" s="32">
        <f>E154*'Unit Conversions'!$B$13*BTU_per_TOE*10^3</f>
        <v>212713673328199.69</v>
      </c>
      <c r="Q154" s="32">
        <f>F154*'Unit Conversions'!$B$13*BTU_per_TOE*10^3</f>
        <v>246934820396060.19</v>
      </c>
      <c r="R154" s="32">
        <f>G154*'Unit Conversions'!$B$13*BTU_per_TOE*10^3</f>
        <v>268430420072156.19</v>
      </c>
      <c r="S154" s="32">
        <f>H154*'Unit Conversions'!$B$13*BTU_per_TOE*10^3</f>
        <v>251611851450086.41</v>
      </c>
      <c r="T154" s="32">
        <f>I154*'Unit Conversions'!$B$13*BTU_per_TOE*10^3</f>
        <v>235986064796751.34</v>
      </c>
    </row>
    <row r="155" spans="1:22">
      <c r="A155" s="50" t="s">
        <v>189</v>
      </c>
      <c r="B155" s="51"/>
      <c r="C155" s="51"/>
      <c r="D155" s="51"/>
      <c r="E155" s="51"/>
      <c r="F155" s="51"/>
      <c r="G155" s="51"/>
      <c r="H155" s="52"/>
      <c r="I155" s="51"/>
      <c r="L155" s="50" t="s">
        <v>189</v>
      </c>
      <c r="M155" s="119"/>
      <c r="N155" s="51"/>
      <c r="O155" s="51"/>
      <c r="P155" s="51"/>
      <c r="Q155" s="51"/>
      <c r="R155" s="51"/>
      <c r="S155" s="51"/>
      <c r="T155" s="51"/>
    </row>
    <row r="156" spans="1:22">
      <c r="A156" s="51" t="s">
        <v>190</v>
      </c>
      <c r="B156" s="51"/>
      <c r="C156" s="51"/>
      <c r="D156" s="51"/>
      <c r="E156" s="51"/>
      <c r="F156" s="51"/>
      <c r="G156" s="51"/>
      <c r="H156" s="51"/>
      <c r="I156" s="51"/>
      <c r="L156" s="51" t="s">
        <v>190</v>
      </c>
      <c r="M156" s="119"/>
      <c r="N156" s="51"/>
      <c r="O156" s="51"/>
      <c r="P156" s="51"/>
      <c r="Q156" s="51"/>
      <c r="R156" s="51"/>
      <c r="S156" s="51"/>
      <c r="T156" s="51"/>
    </row>
    <row r="158" spans="1:22" ht="15.75">
      <c r="A158" s="153" t="s">
        <v>191</v>
      </c>
      <c r="B158" s="154"/>
      <c r="C158" s="154"/>
      <c r="D158" s="154"/>
      <c r="E158" s="154"/>
      <c r="F158" s="154"/>
      <c r="G158" s="154"/>
      <c r="H158" s="154"/>
      <c r="I158" s="155"/>
      <c r="L158" s="153" t="s">
        <v>191</v>
      </c>
      <c r="M158" s="154"/>
      <c r="N158" s="154"/>
      <c r="O158" s="154"/>
      <c r="P158" s="154"/>
      <c r="Q158" s="154"/>
      <c r="R158" s="154"/>
      <c r="S158" s="153"/>
      <c r="T158" s="154"/>
    </row>
    <row r="159" spans="1:22">
      <c r="A159" s="156" t="s">
        <v>108</v>
      </c>
      <c r="B159" s="157"/>
      <c r="C159" s="157"/>
      <c r="D159" s="157"/>
      <c r="E159" s="157"/>
      <c r="F159" s="157"/>
      <c r="G159" s="157"/>
      <c r="H159" s="157"/>
      <c r="I159" s="158"/>
      <c r="L159" s="159" t="s">
        <v>109</v>
      </c>
      <c r="M159" s="157"/>
      <c r="N159" s="157"/>
      <c r="O159" s="157"/>
      <c r="P159" s="157"/>
      <c r="Q159" s="157"/>
      <c r="R159" s="157"/>
      <c r="S159" s="157"/>
      <c r="T159" s="158"/>
    </row>
    <row r="160" spans="1:22">
      <c r="A160" s="147" t="s">
        <v>110</v>
      </c>
      <c r="B160" s="148"/>
      <c r="C160" s="24" t="s">
        <v>111</v>
      </c>
      <c r="D160" s="24" t="s">
        <v>112</v>
      </c>
      <c r="E160" s="24" t="s">
        <v>113</v>
      </c>
      <c r="F160" s="24" t="s">
        <v>114</v>
      </c>
      <c r="G160" s="25" t="s">
        <v>115</v>
      </c>
      <c r="H160" s="25" t="s">
        <v>118</v>
      </c>
      <c r="I160" s="25" t="s">
        <v>117</v>
      </c>
      <c r="L160" s="147" t="s">
        <v>110</v>
      </c>
      <c r="M160" s="148"/>
      <c r="N160" s="24" t="s">
        <v>111</v>
      </c>
      <c r="O160" s="24" t="s">
        <v>112</v>
      </c>
      <c r="P160" s="24" t="s">
        <v>113</v>
      </c>
      <c r="Q160" s="24" t="s">
        <v>114</v>
      </c>
      <c r="R160" s="25" t="s">
        <v>115</v>
      </c>
      <c r="S160" s="25" t="s">
        <v>118</v>
      </c>
      <c r="T160" s="25" t="s">
        <v>192</v>
      </c>
    </row>
    <row r="161" spans="1:20">
      <c r="A161" s="149">
        <v>-1</v>
      </c>
      <c r="B161" s="150"/>
      <c r="C161" s="26">
        <v>-2</v>
      </c>
      <c r="D161" s="26">
        <v>-3</v>
      </c>
      <c r="E161" s="26">
        <v>-4</v>
      </c>
      <c r="F161" s="26">
        <v>-5</v>
      </c>
      <c r="G161" s="26">
        <v>-6</v>
      </c>
      <c r="H161" s="26">
        <v>-7</v>
      </c>
      <c r="I161" s="26">
        <v>-8</v>
      </c>
      <c r="L161" s="149">
        <v>-1</v>
      </c>
      <c r="M161" s="150"/>
      <c r="N161" s="26">
        <v>-2</v>
      </c>
      <c r="O161" s="26">
        <v>-3</v>
      </c>
      <c r="P161" s="26">
        <v>-4</v>
      </c>
      <c r="Q161" s="26">
        <v>-5</v>
      </c>
      <c r="R161" s="26">
        <v>-6</v>
      </c>
      <c r="S161" s="26">
        <v>-7</v>
      </c>
      <c r="T161" s="26">
        <v>-8</v>
      </c>
    </row>
    <row r="162" spans="1:20">
      <c r="A162" s="27">
        <v>1</v>
      </c>
      <c r="B162" s="28" t="s">
        <v>160</v>
      </c>
      <c r="C162" s="57">
        <v>0</v>
      </c>
      <c r="D162" s="57">
        <v>0</v>
      </c>
      <c r="E162" s="57">
        <v>0</v>
      </c>
      <c r="F162" s="57">
        <v>0</v>
      </c>
      <c r="G162" s="57">
        <v>0</v>
      </c>
      <c r="H162" s="57">
        <v>1.2</v>
      </c>
      <c r="I162" s="58">
        <v>7.9</v>
      </c>
      <c r="L162" s="27">
        <v>1</v>
      </c>
      <c r="M162" s="115" t="s">
        <v>160</v>
      </c>
      <c r="N162" s="32">
        <f>C162*'Unit Conversions'!$B$13*BTU_per_TOE*10^3</f>
        <v>0</v>
      </c>
      <c r="O162" s="32">
        <f>D162*'Unit Conversions'!$B$13*BTU_per_TOE*10^3</f>
        <v>0</v>
      </c>
      <c r="P162" s="32">
        <f>E162*'Unit Conversions'!$B$13*BTU_per_TOE*10^3</f>
        <v>0</v>
      </c>
      <c r="Q162" s="32">
        <f>F162*'Unit Conversions'!$B$13*BTU_per_TOE*10^3</f>
        <v>0</v>
      </c>
      <c r="R162" s="32">
        <f>G162*'Unit Conversions'!$B$13*BTU_per_TOE*10^3</f>
        <v>0</v>
      </c>
      <c r="S162" s="32">
        <f>H162*'Unit Conversions'!$B$13*BTU_per_TOE*10^3</f>
        <v>45715054694.399994</v>
      </c>
      <c r="T162" s="32">
        <f>I162*'Unit Conversions'!$B$13*BTU_per_TOE*10^3</f>
        <v>300957443404.79999</v>
      </c>
    </row>
    <row r="163" spans="1:20">
      <c r="A163" s="33">
        <v>2</v>
      </c>
      <c r="B163" s="34" t="s">
        <v>126</v>
      </c>
      <c r="C163" s="58">
        <v>438.98</v>
      </c>
      <c r="D163" s="58">
        <v>328.14</v>
      </c>
      <c r="E163" s="58">
        <v>226.18</v>
      </c>
      <c r="F163" s="58">
        <v>50.7</v>
      </c>
      <c r="G163" s="58">
        <v>16.43</v>
      </c>
      <c r="H163" s="58">
        <v>0</v>
      </c>
      <c r="I163" s="58">
        <v>9.3000000000000007</v>
      </c>
      <c r="L163" s="33">
        <v>2</v>
      </c>
      <c r="M163" s="116" t="s">
        <v>126</v>
      </c>
      <c r="N163" s="32">
        <f>C163*'Unit Conversions'!$B$13*BTU_per_TOE*10^3</f>
        <v>16723328924789.76</v>
      </c>
      <c r="O163" s="32">
        <f>D163*'Unit Conversions'!$B$13*BTU_per_TOE*10^3</f>
        <v>12500781706183.68</v>
      </c>
      <c r="P163" s="32">
        <f>E163*'Unit Conversions'!$B$13*BTU_per_TOE*10^3</f>
        <v>8616525892316.1602</v>
      </c>
      <c r="Q163" s="32">
        <f>F163*'Unit Conversions'!$B$13*BTU_per_TOE*10^3</f>
        <v>1931461060838.4004</v>
      </c>
      <c r="R163" s="32">
        <f>G163*'Unit Conversions'!$B$13*BTU_per_TOE*10^3</f>
        <v>625915290524.16003</v>
      </c>
      <c r="S163" s="32">
        <f>H163*'Unit Conversions'!$B$13*BTU_per_TOE*10^3</f>
        <v>0</v>
      </c>
      <c r="T163" s="32">
        <f>I163*'Unit Conversions'!$B$13*BTU_per_TOE*10^3</f>
        <v>354291673881.6001</v>
      </c>
    </row>
    <row r="164" spans="1:20">
      <c r="A164" s="33">
        <v>3</v>
      </c>
      <c r="B164" s="34" t="s">
        <v>128</v>
      </c>
      <c r="C164" s="58">
        <v>0</v>
      </c>
      <c r="D164" s="58">
        <v>0</v>
      </c>
      <c r="E164" s="58">
        <v>0</v>
      </c>
      <c r="F164" s="58">
        <v>0</v>
      </c>
      <c r="G164" s="58">
        <v>0</v>
      </c>
      <c r="H164" s="58">
        <v>0.3</v>
      </c>
      <c r="I164" s="58">
        <v>0</v>
      </c>
      <c r="L164" s="33">
        <v>3</v>
      </c>
      <c r="M164" s="116" t="s">
        <v>128</v>
      </c>
      <c r="N164" s="32">
        <f>C164*'Unit Conversions'!$B$13*BTU_per_TOE*10^3</f>
        <v>0</v>
      </c>
      <c r="O164" s="32">
        <f>D164*'Unit Conversions'!$B$13*BTU_per_TOE*10^3</f>
        <v>0</v>
      </c>
      <c r="P164" s="32">
        <f>E164*'Unit Conversions'!$B$13*BTU_per_TOE*10^3</f>
        <v>0</v>
      </c>
      <c r="Q164" s="32">
        <f>F164*'Unit Conversions'!$B$13*BTU_per_TOE*10^3</f>
        <v>0</v>
      </c>
      <c r="R164" s="32">
        <f>G164*'Unit Conversions'!$B$13*BTU_per_TOE*10^3</f>
        <v>0</v>
      </c>
      <c r="S164" s="32">
        <f>H164*'Unit Conversions'!$B$13*BTU_per_TOE*10^3</f>
        <v>11428763673.599998</v>
      </c>
      <c r="T164" s="32">
        <f>I164*'Unit Conversions'!$B$13*BTU_per_TOE*10^3</f>
        <v>0</v>
      </c>
    </row>
    <row r="165" spans="1:20">
      <c r="A165" s="33">
        <v>4</v>
      </c>
      <c r="B165" s="34" t="s">
        <v>186</v>
      </c>
      <c r="C165" s="58">
        <v>778.01</v>
      </c>
      <c r="D165" s="58">
        <v>76.319999999999993</v>
      </c>
      <c r="E165" s="58">
        <v>103.59</v>
      </c>
      <c r="F165" s="58">
        <v>70.45</v>
      </c>
      <c r="G165" s="58">
        <v>50.88</v>
      </c>
      <c r="H165" s="58">
        <v>53.8</v>
      </c>
      <c r="I165" s="58">
        <v>175.1</v>
      </c>
      <c r="L165" s="33">
        <v>4</v>
      </c>
      <c r="M165" s="116" t="s">
        <v>186</v>
      </c>
      <c r="N165" s="32">
        <f>C165*'Unit Conversions'!$B$13*BTU_per_TOE*10^3</f>
        <v>29638974752325.121</v>
      </c>
      <c r="O165" s="32">
        <f>D165*'Unit Conversions'!$B$13*BTU_per_TOE*10^3</f>
        <v>2907477478563.8398</v>
      </c>
      <c r="P165" s="32">
        <f>E165*'Unit Conversions'!$B$13*BTU_per_TOE*10^3</f>
        <v>3946352096494.0801</v>
      </c>
      <c r="Q165" s="32">
        <f>F165*'Unit Conversions'!$B$13*BTU_per_TOE*10^3</f>
        <v>2683854669350.4004</v>
      </c>
      <c r="R165" s="32">
        <f>G165*'Unit Conversions'!$B$13*BTU_per_TOE*10^3</f>
        <v>1938318319042.5601</v>
      </c>
      <c r="S165" s="32">
        <f>H165*'Unit Conversions'!$B$13*BTU_per_TOE*10^3</f>
        <v>2049558285465.6001</v>
      </c>
      <c r="T165" s="32">
        <f>I165*'Unit Conversions'!$B$13*BTU_per_TOE*10^3</f>
        <v>6670588397491.1992</v>
      </c>
    </row>
    <row r="166" spans="1:20">
      <c r="A166" s="59" t="s">
        <v>122</v>
      </c>
      <c r="B166" s="34" t="s">
        <v>169</v>
      </c>
      <c r="C166" s="58">
        <v>0.25</v>
      </c>
      <c r="D166" s="58">
        <v>0</v>
      </c>
      <c r="E166" s="58">
        <v>0</v>
      </c>
      <c r="F166" s="58">
        <v>0</v>
      </c>
      <c r="G166" s="58">
        <v>0</v>
      </c>
      <c r="H166" s="58">
        <v>1.1000000000000001</v>
      </c>
      <c r="I166" s="58">
        <v>3.1</v>
      </c>
      <c r="L166" s="59" t="s">
        <v>122</v>
      </c>
      <c r="M166" s="116" t="s">
        <v>169</v>
      </c>
      <c r="N166" s="32">
        <f>C166*'Unit Conversions'!$B$13*BTU_per_TOE*10^3</f>
        <v>9523969728</v>
      </c>
      <c r="O166" s="32">
        <f>D166*'Unit Conversions'!$B$13*BTU_per_TOE*10^3</f>
        <v>0</v>
      </c>
      <c r="P166" s="32">
        <f>E166*'Unit Conversions'!$B$13*BTU_per_TOE*10^3</f>
        <v>0</v>
      </c>
      <c r="Q166" s="32">
        <f>F166*'Unit Conversions'!$B$13*BTU_per_TOE*10^3</f>
        <v>0</v>
      </c>
      <c r="R166" s="32">
        <f>G166*'Unit Conversions'!$B$13*BTU_per_TOE*10^3</f>
        <v>0</v>
      </c>
      <c r="S166" s="32">
        <f>H166*'Unit Conversions'!$B$13*BTU_per_TOE*10^3</f>
        <v>41905466803.200005</v>
      </c>
      <c r="T166" s="32">
        <f>I166*'Unit Conversions'!$B$13*BTU_per_TOE*10^3</f>
        <v>118097224627.20001</v>
      </c>
    </row>
    <row r="167" spans="1:20">
      <c r="A167" s="34" t="s">
        <v>124</v>
      </c>
      <c r="B167" s="34" t="s">
        <v>137</v>
      </c>
      <c r="C167" s="58">
        <v>9.86</v>
      </c>
      <c r="D167" s="58">
        <v>0.71</v>
      </c>
      <c r="E167" s="58">
        <v>0</v>
      </c>
      <c r="F167" s="58">
        <v>0</v>
      </c>
      <c r="G167" s="58">
        <v>0</v>
      </c>
      <c r="H167" s="58">
        <v>2.4</v>
      </c>
      <c r="I167" s="58">
        <v>60.3</v>
      </c>
      <c r="L167" s="34" t="s">
        <v>124</v>
      </c>
      <c r="M167" s="116" t="s">
        <v>137</v>
      </c>
      <c r="N167" s="32">
        <f>C167*'Unit Conversions'!$B$13*BTU_per_TOE*10^3</f>
        <v>375625366072.32001</v>
      </c>
      <c r="O167" s="32">
        <f>D167*'Unit Conversions'!$B$13*BTU_per_TOE*10^3</f>
        <v>27048074027.52</v>
      </c>
      <c r="P167" s="32">
        <f>E167*'Unit Conversions'!$B$13*BTU_per_TOE*10^3</f>
        <v>0</v>
      </c>
      <c r="Q167" s="32">
        <f>F167*'Unit Conversions'!$B$13*BTU_per_TOE*10^3</f>
        <v>0</v>
      </c>
      <c r="R167" s="32">
        <f>G167*'Unit Conversions'!$B$13*BTU_per_TOE*10^3</f>
        <v>0</v>
      </c>
      <c r="S167" s="32">
        <f>H167*'Unit Conversions'!$B$13*BTU_per_TOE*10^3</f>
        <v>91430109388.799988</v>
      </c>
      <c r="T167" s="32">
        <f>I167*'Unit Conversions'!$B$13*BTU_per_TOE*10^3</f>
        <v>2297181498393.6001</v>
      </c>
    </row>
    <row r="168" spans="1:20">
      <c r="A168" s="34" t="s">
        <v>132</v>
      </c>
      <c r="B168" s="34" t="s">
        <v>193</v>
      </c>
      <c r="C168" s="58">
        <v>52.22</v>
      </c>
      <c r="D168" s="58">
        <v>58.06</v>
      </c>
      <c r="E168" s="58">
        <v>55.32</v>
      </c>
      <c r="F168" s="58">
        <v>46.27</v>
      </c>
      <c r="G168" s="58">
        <v>45.91</v>
      </c>
      <c r="H168" s="58">
        <v>37.9</v>
      </c>
      <c r="I168" s="58">
        <v>71.900000000000006</v>
      </c>
      <c r="L168" s="34" t="s">
        <v>132</v>
      </c>
      <c r="M168" s="116" t="s">
        <v>193</v>
      </c>
      <c r="N168" s="32">
        <f>C168*'Unit Conversions'!$B$13*BTU_per_TOE*10^3</f>
        <v>1989366796784.6401</v>
      </c>
      <c r="O168" s="32">
        <f>D168*'Unit Conversions'!$B$13*BTU_per_TOE*10^3</f>
        <v>2211846729630.7202</v>
      </c>
      <c r="P168" s="32">
        <f>E168*'Unit Conversions'!$B$13*BTU_per_TOE*10^3</f>
        <v>2107464021411.8401</v>
      </c>
      <c r="Q168" s="32">
        <f>F168*'Unit Conversions'!$B$13*BTU_per_TOE*10^3</f>
        <v>1762696317258.2402</v>
      </c>
      <c r="R168" s="32">
        <f>G168*'Unit Conversions'!$B$13*BTU_per_TOE*10^3</f>
        <v>1748981800849.9197</v>
      </c>
      <c r="S168" s="32">
        <f>H168*'Unit Conversions'!$B$13*BTU_per_TOE*10^3</f>
        <v>1443833810764.8</v>
      </c>
      <c r="T168" s="32">
        <f>I168*'Unit Conversions'!$B$13*BTU_per_TOE*10^3</f>
        <v>2739093693772.8003</v>
      </c>
    </row>
    <row r="169" spans="1:20">
      <c r="A169" s="34" t="s">
        <v>134</v>
      </c>
      <c r="B169" s="34" t="s">
        <v>180</v>
      </c>
      <c r="C169" s="58">
        <v>0.31</v>
      </c>
      <c r="D169" s="58">
        <v>0</v>
      </c>
      <c r="E169" s="58">
        <v>0</v>
      </c>
      <c r="F169" s="58">
        <v>0</v>
      </c>
      <c r="G169" s="58">
        <v>0</v>
      </c>
      <c r="H169" s="58">
        <v>0.3</v>
      </c>
      <c r="I169" s="58">
        <v>2.7</v>
      </c>
      <c r="L169" s="34" t="s">
        <v>134</v>
      </c>
      <c r="M169" s="116" t="s">
        <v>180</v>
      </c>
      <c r="N169" s="32">
        <f>C169*'Unit Conversions'!$B$13*BTU_per_TOE*10^3</f>
        <v>11809722462.719999</v>
      </c>
      <c r="O169" s="32">
        <f>D169*'Unit Conversions'!$B$13*BTU_per_TOE*10^3</f>
        <v>0</v>
      </c>
      <c r="P169" s="32">
        <f>E169*'Unit Conversions'!$B$13*BTU_per_TOE*10^3</f>
        <v>0</v>
      </c>
      <c r="Q169" s="32">
        <f>F169*'Unit Conversions'!$B$13*BTU_per_TOE*10^3</f>
        <v>0</v>
      </c>
      <c r="R169" s="32">
        <f>G169*'Unit Conversions'!$B$13*BTU_per_TOE*10^3</f>
        <v>0</v>
      </c>
      <c r="S169" s="32">
        <f>H169*'Unit Conversions'!$B$13*BTU_per_TOE*10^3</f>
        <v>11428763673.599998</v>
      </c>
      <c r="T169" s="32">
        <f>I169*'Unit Conversions'!$B$13*BTU_per_TOE*10^3</f>
        <v>102858873062.40001</v>
      </c>
    </row>
    <row r="170" spans="1:20">
      <c r="A170" s="34" t="s">
        <v>136</v>
      </c>
      <c r="B170" s="34" t="s">
        <v>165</v>
      </c>
      <c r="C170" s="58">
        <v>0.61</v>
      </c>
      <c r="D170" s="58">
        <v>0.04</v>
      </c>
      <c r="E170" s="58">
        <v>0</v>
      </c>
      <c r="F170" s="58">
        <v>0.2</v>
      </c>
      <c r="G170" s="58">
        <v>0</v>
      </c>
      <c r="H170" s="58">
        <v>0.4</v>
      </c>
      <c r="I170" s="58">
        <v>0.9</v>
      </c>
      <c r="L170" s="34" t="s">
        <v>136</v>
      </c>
      <c r="M170" s="116" t="s">
        <v>165</v>
      </c>
      <c r="N170" s="32">
        <f>C170*'Unit Conversions'!$B$13*BTU_per_TOE*10^3</f>
        <v>23238486136.320004</v>
      </c>
      <c r="O170" s="32">
        <f>D170*'Unit Conversions'!$B$13*BTU_per_TOE*10^3</f>
        <v>1523835156.4799998</v>
      </c>
      <c r="P170" s="32">
        <f>E170*'Unit Conversions'!$B$13*BTU_per_TOE*10^3</f>
        <v>0</v>
      </c>
      <c r="Q170" s="32">
        <f>F170*'Unit Conversions'!$B$13*BTU_per_TOE*10^3</f>
        <v>7619175782.4000006</v>
      </c>
      <c r="R170" s="32">
        <f>G170*'Unit Conversions'!$B$13*BTU_per_TOE*10^3</f>
        <v>0</v>
      </c>
      <c r="S170" s="32">
        <f>H170*'Unit Conversions'!$B$13*BTU_per_TOE*10^3</f>
        <v>15238351564.800001</v>
      </c>
      <c r="T170" s="32">
        <f>I170*'Unit Conversions'!$B$13*BTU_per_TOE*10^3</f>
        <v>34286291020.800003</v>
      </c>
    </row>
    <row r="171" spans="1:20">
      <c r="A171" s="34" t="s">
        <v>138</v>
      </c>
      <c r="B171" s="34" t="s">
        <v>167</v>
      </c>
      <c r="C171" s="58">
        <v>6.01</v>
      </c>
      <c r="D171" s="58">
        <v>2.8</v>
      </c>
      <c r="E171" s="58">
        <v>46.62</v>
      </c>
      <c r="F171" s="58">
        <v>20.72</v>
      </c>
      <c r="G171" s="58">
        <v>3.71</v>
      </c>
      <c r="H171" s="58">
        <v>5.7</v>
      </c>
      <c r="I171" s="58">
        <v>13.6</v>
      </c>
      <c r="L171" s="34" t="s">
        <v>138</v>
      </c>
      <c r="M171" s="116" t="s">
        <v>167</v>
      </c>
      <c r="N171" s="32">
        <f>C171*'Unit Conversions'!$B$13*BTU_per_TOE*10^3</f>
        <v>228956232261.12</v>
      </c>
      <c r="O171" s="32">
        <f>D171*'Unit Conversions'!$B$13*BTU_per_TOE*10^3</f>
        <v>106668460953.60001</v>
      </c>
      <c r="P171" s="32">
        <f>E171*'Unit Conversions'!$B$13*BTU_per_TOE*10^3</f>
        <v>1776029874877.4399</v>
      </c>
      <c r="Q171" s="32">
        <f>F171*'Unit Conversions'!$B$13*BTU_per_TOE*10^3</f>
        <v>789346611056.64001</v>
      </c>
      <c r="R171" s="32">
        <f>G171*'Unit Conversions'!$B$13*BTU_per_TOE*10^3</f>
        <v>141335710763.51999</v>
      </c>
      <c r="S171" s="32">
        <f>H171*'Unit Conversions'!$B$13*BTU_per_TOE*10^3</f>
        <v>217146509798.39999</v>
      </c>
      <c r="T171" s="32">
        <f>I171*'Unit Conversions'!$B$13*BTU_per_TOE*10^3</f>
        <v>518103953203.20001</v>
      </c>
    </row>
    <row r="172" spans="1:20">
      <c r="A172" s="34" t="s">
        <v>140</v>
      </c>
      <c r="B172" s="34" t="s">
        <v>187</v>
      </c>
      <c r="C172" s="58">
        <v>20.5</v>
      </c>
      <c r="D172" s="58">
        <v>0</v>
      </c>
      <c r="E172" s="58">
        <v>0</v>
      </c>
      <c r="F172" s="58">
        <v>0</v>
      </c>
      <c r="G172" s="58">
        <v>0</v>
      </c>
      <c r="H172" s="58">
        <v>0.1</v>
      </c>
      <c r="I172" s="58">
        <v>0</v>
      </c>
      <c r="L172" s="34" t="s">
        <v>140</v>
      </c>
      <c r="M172" s="116" t="s">
        <v>187</v>
      </c>
      <c r="N172" s="32">
        <f>C172*'Unit Conversions'!$B$13*BTU_per_TOE*10^3</f>
        <v>780965517696.00012</v>
      </c>
      <c r="O172" s="32">
        <f>D172*'Unit Conversions'!$B$13*BTU_per_TOE*10^3</f>
        <v>0</v>
      </c>
      <c r="P172" s="32">
        <f>E172*'Unit Conversions'!$B$13*BTU_per_TOE*10^3</f>
        <v>0</v>
      </c>
      <c r="Q172" s="32">
        <f>F172*'Unit Conversions'!$B$13*BTU_per_TOE*10^3</f>
        <v>0</v>
      </c>
      <c r="R172" s="32">
        <f>G172*'Unit Conversions'!$B$13*BTU_per_TOE*10^3</f>
        <v>0</v>
      </c>
      <c r="S172" s="32">
        <f>H172*'Unit Conversions'!$B$13*BTU_per_TOE*10^3</f>
        <v>3809587891.2000003</v>
      </c>
      <c r="T172" s="32">
        <f>I172*'Unit Conversions'!$B$13*BTU_per_TOE*10^3</f>
        <v>0</v>
      </c>
    </row>
    <row r="173" spans="1:20">
      <c r="A173" s="34" t="s">
        <v>170</v>
      </c>
      <c r="B173" s="34" t="s">
        <v>135</v>
      </c>
      <c r="C173" s="58">
        <v>1.58</v>
      </c>
      <c r="D173" s="58">
        <v>0.05</v>
      </c>
      <c r="E173" s="58">
        <v>0.05</v>
      </c>
      <c r="F173" s="58">
        <v>0</v>
      </c>
      <c r="G173" s="58">
        <v>0</v>
      </c>
      <c r="H173" s="58">
        <v>0.1</v>
      </c>
      <c r="I173" s="58">
        <v>0.5</v>
      </c>
      <c r="L173" s="34" t="s">
        <v>170</v>
      </c>
      <c r="M173" s="116" t="s">
        <v>135</v>
      </c>
      <c r="N173" s="32">
        <f>C173*'Unit Conversions'!$B$13*BTU_per_TOE*10^3</f>
        <v>60191488680.959999</v>
      </c>
      <c r="O173" s="32">
        <f>D173*'Unit Conversions'!$B$13*BTU_per_TOE*10^3</f>
        <v>1904793945.6000001</v>
      </c>
      <c r="P173" s="32">
        <f>E173*'Unit Conversions'!$B$13*BTU_per_TOE*10^3</f>
        <v>1904793945.6000001</v>
      </c>
      <c r="Q173" s="32">
        <f>F173*'Unit Conversions'!$B$13*BTU_per_TOE*10^3</f>
        <v>0</v>
      </c>
      <c r="R173" s="32">
        <f>G173*'Unit Conversions'!$B$13*BTU_per_TOE*10^3</f>
        <v>0</v>
      </c>
      <c r="S173" s="32">
        <f>H173*'Unit Conversions'!$B$13*BTU_per_TOE*10^3</f>
        <v>3809587891.2000003</v>
      </c>
      <c r="T173" s="32">
        <f>I173*'Unit Conversions'!$B$13*BTU_per_TOE*10^3</f>
        <v>19047939456</v>
      </c>
    </row>
    <row r="174" spans="1:20">
      <c r="A174" s="34" t="s">
        <v>172</v>
      </c>
      <c r="B174" s="34" t="s">
        <v>174</v>
      </c>
      <c r="C174" s="58">
        <v>684.93</v>
      </c>
      <c r="D174" s="58">
        <v>14.66</v>
      </c>
      <c r="E174" s="58">
        <v>1.6</v>
      </c>
      <c r="F174" s="58">
        <v>3.27</v>
      </c>
      <c r="G174" s="58">
        <v>1.27</v>
      </c>
      <c r="H174" s="58">
        <v>0.5</v>
      </c>
      <c r="I174" s="58">
        <v>0.5</v>
      </c>
      <c r="L174" s="34" t="s">
        <v>172</v>
      </c>
      <c r="M174" s="116" t="s">
        <v>174</v>
      </c>
      <c r="N174" s="32">
        <f>C174*'Unit Conversions'!$B$13*BTU_per_TOE*10^3</f>
        <v>26093010343196.16</v>
      </c>
      <c r="O174" s="32">
        <f>D174*'Unit Conversions'!$B$13*BTU_per_TOE*10^3</f>
        <v>558485584849.92004</v>
      </c>
      <c r="P174" s="32">
        <f>E174*'Unit Conversions'!$B$13*BTU_per_TOE*10^3</f>
        <v>60953406259.200005</v>
      </c>
      <c r="Q174" s="32">
        <f>F174*'Unit Conversions'!$B$13*BTU_per_TOE*10^3</f>
        <v>124573524042.23999</v>
      </c>
      <c r="R174" s="32">
        <f>G174*'Unit Conversions'!$B$13*BTU_per_TOE*10^3</f>
        <v>48381766218.240005</v>
      </c>
      <c r="S174" s="32">
        <f>H174*'Unit Conversions'!$B$13*BTU_per_TOE*10^3</f>
        <v>19047939456</v>
      </c>
      <c r="T174" s="32">
        <f>I174*'Unit Conversions'!$B$13*BTU_per_TOE*10^3</f>
        <v>19047939456</v>
      </c>
    </row>
    <row r="175" spans="1:20">
      <c r="A175" s="34" t="s">
        <v>173</v>
      </c>
      <c r="B175" s="34" t="s">
        <v>188</v>
      </c>
      <c r="C175" s="58">
        <v>1.75</v>
      </c>
      <c r="D175" s="58">
        <v>0</v>
      </c>
      <c r="E175" s="58">
        <v>0</v>
      </c>
      <c r="F175" s="58">
        <v>0</v>
      </c>
      <c r="G175" s="58">
        <v>0</v>
      </c>
      <c r="H175" s="58">
        <v>5.3</v>
      </c>
      <c r="I175" s="58">
        <v>21.5</v>
      </c>
      <c r="L175" s="34" t="s">
        <v>173</v>
      </c>
      <c r="M175" s="116" t="s">
        <v>188</v>
      </c>
      <c r="N175" s="32">
        <f>C175*'Unit Conversions'!$B$13*BTU_per_TOE*10^3</f>
        <v>66667788096</v>
      </c>
      <c r="O175" s="32">
        <f>D175*'Unit Conversions'!$B$13*BTU_per_TOE*10^3</f>
        <v>0</v>
      </c>
      <c r="P175" s="32">
        <f>E175*'Unit Conversions'!$B$13*BTU_per_TOE*10^3</f>
        <v>0</v>
      </c>
      <c r="Q175" s="32">
        <f>F175*'Unit Conversions'!$B$13*BTU_per_TOE*10^3</f>
        <v>0</v>
      </c>
      <c r="R175" s="32">
        <f>G175*'Unit Conversions'!$B$13*BTU_per_TOE*10^3</f>
        <v>0</v>
      </c>
      <c r="S175" s="32">
        <f>H175*'Unit Conversions'!$B$13*BTU_per_TOE*10^3</f>
        <v>201908158233.60001</v>
      </c>
      <c r="T175" s="32">
        <f>I175*'Unit Conversions'!$B$13*BTU_per_TOE*10^3</f>
        <v>819061396608</v>
      </c>
    </row>
    <row r="176" spans="1:20">
      <c r="A176" s="33">
        <v>5</v>
      </c>
      <c r="B176" s="34" t="s">
        <v>176</v>
      </c>
      <c r="C176" s="58">
        <v>149</v>
      </c>
      <c r="D176" s="58">
        <v>44.25</v>
      </c>
      <c r="E176" s="58">
        <v>47.5</v>
      </c>
      <c r="F176" s="58">
        <v>29.23</v>
      </c>
      <c r="G176" s="58">
        <v>36.909999999999997</v>
      </c>
      <c r="H176" s="58">
        <v>46.3</v>
      </c>
      <c r="I176" s="58">
        <v>128.69999999999999</v>
      </c>
      <c r="L176" s="33">
        <v>5</v>
      </c>
      <c r="M176" s="116" t="s">
        <v>176</v>
      </c>
      <c r="N176" s="32">
        <f>C176*'Unit Conversions'!$B$13*BTU_per_TOE*10^3</f>
        <v>5676285957888</v>
      </c>
      <c r="O176" s="32">
        <f>D176*'Unit Conversions'!$B$13*BTU_per_TOE*10^3</f>
        <v>1685742641856</v>
      </c>
      <c r="P176" s="32">
        <f>E176*'Unit Conversions'!$B$13*BTU_per_TOE*10^3</f>
        <v>1809554248320.0002</v>
      </c>
      <c r="Q176" s="32">
        <f>F176*'Unit Conversions'!$B$13*BTU_per_TOE*10^3</f>
        <v>1113542540597.7603</v>
      </c>
      <c r="R176" s="32">
        <f>G176*'Unit Conversions'!$B$13*BTU_per_TOE*10^3</f>
        <v>1406118890641.9202</v>
      </c>
      <c r="S176" s="32">
        <f>H176*'Unit Conversions'!$B$13*BTU_per_TOE*10^3</f>
        <v>1763839193625.5999</v>
      </c>
      <c r="T176" s="32">
        <f>I176*'Unit Conversions'!$B$13*BTU_per_TOE*10^3</f>
        <v>4902939615974.3994</v>
      </c>
    </row>
    <row r="177" spans="1:20">
      <c r="A177" s="33">
        <v>6</v>
      </c>
      <c r="B177" s="34" t="s">
        <v>194</v>
      </c>
      <c r="C177" s="58">
        <v>0</v>
      </c>
      <c r="D177" s="58">
        <v>0</v>
      </c>
      <c r="E177" s="58">
        <v>0</v>
      </c>
      <c r="F177" s="58">
        <v>0</v>
      </c>
      <c r="G177" s="58">
        <v>0</v>
      </c>
      <c r="H177" s="58">
        <v>14.7</v>
      </c>
      <c r="I177" s="58">
        <v>48</v>
      </c>
      <c r="L177" s="33">
        <v>6</v>
      </c>
      <c r="M177" s="116" t="s">
        <v>194</v>
      </c>
      <c r="N177" s="32">
        <f>C177*'Unit Conversions'!$B$13*BTU_per_TOE*10^3</f>
        <v>0</v>
      </c>
      <c r="O177" s="32">
        <f>D177*'Unit Conversions'!$B$13*BTU_per_TOE*10^3</f>
        <v>0</v>
      </c>
      <c r="P177" s="32">
        <f>E177*'Unit Conversions'!$B$13*BTU_per_TOE*10^3</f>
        <v>0</v>
      </c>
      <c r="Q177" s="32">
        <f>F177*'Unit Conversions'!$B$13*BTU_per_TOE*10^3</f>
        <v>0</v>
      </c>
      <c r="R177" s="32">
        <f>G177*'Unit Conversions'!$B$13*BTU_per_TOE*10^3</f>
        <v>0</v>
      </c>
      <c r="S177" s="32">
        <f>H177*'Unit Conversions'!$B$13*BTU_per_TOE*10^3</f>
        <v>560009420006.40002</v>
      </c>
      <c r="T177" s="32">
        <f>I177*'Unit Conversions'!$B$13*BTU_per_TOE*10^3</f>
        <v>1828602187776</v>
      </c>
    </row>
    <row r="178" spans="1:20">
      <c r="A178" s="38"/>
      <c r="B178" s="39" t="s">
        <v>144</v>
      </c>
      <c r="C178" s="60">
        <v>1365.99</v>
      </c>
      <c r="D178" s="60">
        <v>448.71</v>
      </c>
      <c r="E178" s="60">
        <v>377.26</v>
      </c>
      <c r="F178" s="60">
        <v>150.38</v>
      </c>
      <c r="G178" s="60">
        <v>104.23</v>
      </c>
      <c r="H178" s="60">
        <v>116.3</v>
      </c>
      <c r="I178" s="60">
        <v>369</v>
      </c>
      <c r="L178" s="38"/>
      <c r="M178" s="117" t="s">
        <v>144</v>
      </c>
      <c r="N178" s="32">
        <f>C178*'Unit Conversions'!$B$13*BTU_per_TOE*10^3</f>
        <v>52038589635002.883</v>
      </c>
      <c r="O178" s="32">
        <f>D178*'Unit Conversions'!$B$13*BTU_per_TOE*10^3</f>
        <v>17094001826603.521</v>
      </c>
      <c r="P178" s="32">
        <f>E178*'Unit Conversions'!$B$13*BTU_per_TOE*10^3</f>
        <v>14372051278341.121</v>
      </c>
      <c r="Q178" s="32">
        <f>F178*'Unit Conversions'!$B$13*BTU_per_TOE*10^3</f>
        <v>5728858270786.5605</v>
      </c>
      <c r="R178" s="32">
        <f>G178*'Unit Conversions'!$B$13*BTU_per_TOE*10^3</f>
        <v>3970733458997.7603</v>
      </c>
      <c r="S178" s="32">
        <f>H178*'Unit Conversions'!$B$13*BTU_per_TOE*10^3</f>
        <v>4430550717465.5996</v>
      </c>
      <c r="T178" s="32">
        <f>I178*'Unit Conversions'!$B$13*BTU_per_TOE*10^3</f>
        <v>14057379318528.002</v>
      </c>
    </row>
    <row r="179" spans="1:20">
      <c r="A179" s="64">
        <v>7</v>
      </c>
      <c r="B179" s="45" t="s">
        <v>145</v>
      </c>
      <c r="C179" s="61">
        <v>0</v>
      </c>
      <c r="D179" s="61">
        <v>0</v>
      </c>
      <c r="E179" s="61">
        <v>0</v>
      </c>
      <c r="F179" s="61">
        <v>0</v>
      </c>
      <c r="G179" s="61">
        <v>0</v>
      </c>
      <c r="H179" s="61">
        <v>0</v>
      </c>
      <c r="I179" s="58">
        <v>0</v>
      </c>
      <c r="L179" s="64">
        <v>7</v>
      </c>
      <c r="M179" s="118" t="s">
        <v>145</v>
      </c>
      <c r="N179" s="32">
        <f>C179*'Unit Conversions'!$B$13*BTU_per_TOE*10^3</f>
        <v>0</v>
      </c>
      <c r="O179" s="32">
        <f>D179*'Unit Conversions'!$B$13*BTU_per_TOE*10^3</f>
        <v>0</v>
      </c>
      <c r="P179" s="32">
        <f>E179*'Unit Conversions'!$B$13*BTU_per_TOE*10^3</f>
        <v>0</v>
      </c>
      <c r="Q179" s="32">
        <f>F179*'Unit Conversions'!$B$13*BTU_per_TOE*10^3</f>
        <v>0</v>
      </c>
      <c r="R179" s="32">
        <f>G179*'Unit Conversions'!$B$13*BTU_per_TOE*10^3</f>
        <v>0</v>
      </c>
      <c r="S179" s="32">
        <f>H179*'Unit Conversions'!$B$13*BTU_per_TOE*10^3</f>
        <v>0</v>
      </c>
      <c r="T179" s="32">
        <f>I179*'Unit Conversions'!$B$13*BTU_per_TOE*10^3</f>
        <v>0</v>
      </c>
    </row>
    <row r="180" spans="1:20">
      <c r="A180" s="65"/>
      <c r="B180" s="62" t="s">
        <v>146</v>
      </c>
      <c r="C180" s="63">
        <v>1365.99</v>
      </c>
      <c r="D180" s="63">
        <v>448.71</v>
      </c>
      <c r="E180" s="63">
        <v>377.26</v>
      </c>
      <c r="F180" s="63">
        <v>150.38</v>
      </c>
      <c r="G180" s="63">
        <v>104.23</v>
      </c>
      <c r="H180" s="63">
        <v>116.3</v>
      </c>
      <c r="I180" s="63">
        <v>369</v>
      </c>
      <c r="L180" s="65"/>
      <c r="M180" s="120" t="s">
        <v>146</v>
      </c>
      <c r="N180" s="32">
        <f>C180*'Unit Conversions'!$B$13*BTU_per_TOE*10^3</f>
        <v>52038589635002.883</v>
      </c>
      <c r="O180" s="32">
        <f>D180*'Unit Conversions'!$B$13*BTU_per_TOE*10^3</f>
        <v>17094001826603.521</v>
      </c>
      <c r="P180" s="32">
        <f>E180*'Unit Conversions'!$B$13*BTU_per_TOE*10^3</f>
        <v>14372051278341.121</v>
      </c>
      <c r="Q180" s="32">
        <f>F180*'Unit Conversions'!$B$13*BTU_per_TOE*10^3</f>
        <v>5728858270786.5605</v>
      </c>
      <c r="R180" s="32">
        <f>G180*'Unit Conversions'!$B$13*BTU_per_TOE*10^3</f>
        <v>3970733458997.7603</v>
      </c>
      <c r="S180" s="32">
        <f>H180*'Unit Conversions'!$B$13*BTU_per_TOE*10^3</f>
        <v>4430550717465.5996</v>
      </c>
      <c r="T180" s="32">
        <f>I180*'Unit Conversions'!$B$13*BTU_per_TOE*10^3</f>
        <v>14057379318528.002</v>
      </c>
    </row>
    <row r="181" spans="1:20">
      <c r="A181" s="51"/>
      <c r="B181" s="67"/>
      <c r="C181" s="68"/>
      <c r="D181" s="68"/>
      <c r="E181" s="68"/>
      <c r="F181" s="68"/>
      <c r="G181" s="68"/>
      <c r="H181" s="68"/>
      <c r="L181" s="51"/>
      <c r="M181" s="123"/>
      <c r="N181" s="69"/>
      <c r="O181" s="69"/>
      <c r="P181" s="69"/>
      <c r="Q181" s="69"/>
      <c r="R181" s="69"/>
      <c r="S181" s="69"/>
      <c r="T181" s="69"/>
    </row>
    <row r="182" spans="1:20">
      <c r="A182" s="50" t="s">
        <v>155</v>
      </c>
      <c r="B182" s="51"/>
      <c r="C182" s="51"/>
      <c r="D182" s="51"/>
      <c r="E182" s="51"/>
      <c r="F182" s="51"/>
      <c r="G182" s="51"/>
      <c r="H182" s="51"/>
      <c r="I182" s="51"/>
      <c r="L182" s="50" t="s">
        <v>155</v>
      </c>
      <c r="M182" s="119"/>
      <c r="N182" s="51"/>
      <c r="O182" s="51"/>
      <c r="P182" s="51"/>
      <c r="Q182" s="51"/>
      <c r="R182" s="51"/>
      <c r="S182" s="51"/>
      <c r="T182" s="51"/>
    </row>
    <row r="183" spans="1:20">
      <c r="A183" s="50" t="s">
        <v>148</v>
      </c>
      <c r="B183" s="51"/>
      <c r="C183" s="51"/>
      <c r="D183" s="51"/>
      <c r="E183" s="51"/>
      <c r="F183" s="51"/>
      <c r="G183" s="51"/>
      <c r="H183" s="51"/>
      <c r="I183" s="51"/>
      <c r="L183" s="50" t="s">
        <v>148</v>
      </c>
      <c r="M183" s="119"/>
      <c r="N183" s="51"/>
      <c r="O183" s="51"/>
      <c r="P183" s="51"/>
      <c r="Q183" s="51"/>
      <c r="R183" s="51"/>
      <c r="S183" s="51"/>
      <c r="T183" s="51"/>
    </row>
    <row r="185" spans="1:20" ht="15.75">
      <c r="A185" s="153" t="s">
        <v>195</v>
      </c>
      <c r="B185" s="154"/>
      <c r="C185" s="154"/>
      <c r="D185" s="154"/>
      <c r="E185" s="154"/>
      <c r="F185" s="154"/>
      <c r="G185" s="154"/>
      <c r="H185" s="154"/>
      <c r="L185" s="153" t="s">
        <v>195</v>
      </c>
      <c r="M185" s="154"/>
      <c r="N185" s="154"/>
      <c r="O185" s="154"/>
      <c r="P185" s="154"/>
      <c r="Q185" s="154"/>
      <c r="R185" s="154"/>
    </row>
    <row r="186" spans="1:20">
      <c r="A186" s="160" t="s">
        <v>196</v>
      </c>
      <c r="B186" s="161"/>
      <c r="C186" s="161"/>
      <c r="D186" s="161"/>
      <c r="E186" s="161"/>
      <c r="F186" s="161"/>
      <c r="G186" s="161"/>
      <c r="H186" s="162"/>
      <c r="L186" s="163" t="s">
        <v>197</v>
      </c>
      <c r="M186" s="164"/>
      <c r="N186" s="164"/>
      <c r="O186" s="164"/>
      <c r="P186" s="164"/>
      <c r="Q186" s="164"/>
      <c r="R186" s="165"/>
    </row>
    <row r="187" spans="1:20">
      <c r="A187" s="70" t="s">
        <v>198</v>
      </c>
      <c r="B187" s="24" t="s">
        <v>111</v>
      </c>
      <c r="C187" s="24" t="s">
        <v>112</v>
      </c>
      <c r="D187" s="24" t="s">
        <v>113</v>
      </c>
      <c r="E187" s="24" t="s">
        <v>114</v>
      </c>
      <c r="F187" s="25" t="s">
        <v>115</v>
      </c>
      <c r="G187" s="25" t="s">
        <v>118</v>
      </c>
      <c r="H187" s="25" t="s">
        <v>117</v>
      </c>
      <c r="L187" s="70" t="s">
        <v>198</v>
      </c>
      <c r="M187" s="124" t="s">
        <v>111</v>
      </c>
      <c r="N187" s="24" t="s">
        <v>112</v>
      </c>
      <c r="O187" s="24" t="s">
        <v>113</v>
      </c>
      <c r="P187" s="24" t="s">
        <v>114</v>
      </c>
      <c r="Q187" s="25" t="s">
        <v>115</v>
      </c>
      <c r="R187" s="25" t="s">
        <v>116</v>
      </c>
      <c r="S187" s="25" t="s">
        <v>117</v>
      </c>
    </row>
    <row r="188" spans="1:20">
      <c r="A188" s="71">
        <v>-1</v>
      </c>
      <c r="B188" s="71">
        <v>-2</v>
      </c>
      <c r="C188" s="71">
        <v>-3</v>
      </c>
      <c r="D188" s="71">
        <v>-4</v>
      </c>
      <c r="E188" s="71">
        <v>-5</v>
      </c>
      <c r="F188" s="71">
        <v>-6</v>
      </c>
      <c r="G188" s="71">
        <v>-7</v>
      </c>
      <c r="H188" s="71">
        <v>-8</v>
      </c>
      <c r="L188" s="72">
        <v>-1</v>
      </c>
      <c r="M188" s="125">
        <v>-2</v>
      </c>
      <c r="N188" s="72">
        <v>-3</v>
      </c>
      <c r="O188" s="72">
        <v>-4</v>
      </c>
      <c r="P188" s="72">
        <v>-5</v>
      </c>
      <c r="Q188" s="72">
        <v>-6</v>
      </c>
      <c r="R188" s="72">
        <v>-7</v>
      </c>
      <c r="S188" s="72">
        <v>-8</v>
      </c>
    </row>
    <row r="189" spans="1:20">
      <c r="A189" s="166" t="s">
        <v>199</v>
      </c>
      <c r="B189" s="167"/>
      <c r="C189" s="167"/>
      <c r="D189" s="167"/>
      <c r="E189" s="167"/>
      <c r="F189" s="167"/>
      <c r="G189" s="167"/>
      <c r="H189" s="168"/>
      <c r="L189" s="169" t="s">
        <v>199</v>
      </c>
      <c r="M189" s="170"/>
      <c r="N189" s="170"/>
      <c r="O189" s="170"/>
      <c r="P189" s="170"/>
      <c r="Q189" s="170"/>
      <c r="R189" s="170"/>
      <c r="S189" s="171"/>
    </row>
    <row r="190" spans="1:20">
      <c r="A190" s="73" t="s">
        <v>200</v>
      </c>
      <c r="B190" s="74">
        <v>16078</v>
      </c>
      <c r="C190" s="74">
        <v>11284</v>
      </c>
      <c r="D190" s="74">
        <v>10720</v>
      </c>
      <c r="E190" s="74">
        <v>10889</v>
      </c>
      <c r="F190" s="75">
        <v>11616</v>
      </c>
      <c r="G190" s="75">
        <v>12028</v>
      </c>
      <c r="H190" s="76">
        <v>12005</v>
      </c>
      <c r="L190" s="77" t="s">
        <v>200</v>
      </c>
      <c r="M190" s="126">
        <f>B190*'Unit Conversions'!$I$28/10^3</f>
        <v>578808000000000</v>
      </c>
      <c r="N190" s="78">
        <f>C190*'Unit Conversions'!$I$28/10^3</f>
        <v>406224000000000</v>
      </c>
      <c r="O190" s="78">
        <f>D190*'Unit Conversions'!$I$28/10^3</f>
        <v>385920000000000</v>
      </c>
      <c r="P190" s="78">
        <f>E190*'Unit Conversions'!$I$28/10^3</f>
        <v>392004000000000</v>
      </c>
      <c r="Q190" s="78">
        <f>F190*'Unit Conversions'!$I$28/10^3</f>
        <v>418176000000000</v>
      </c>
      <c r="R190" s="78">
        <f>G190*'Unit Conversions'!$I$28/10^3</f>
        <v>433008000000000</v>
      </c>
      <c r="S190" s="78">
        <f>H190*'Unit Conversions'!$I$28/10^3</f>
        <v>432180000000000</v>
      </c>
    </row>
    <row r="191" spans="1:20">
      <c r="A191" s="77" t="s">
        <v>201</v>
      </c>
      <c r="B191" s="79">
        <v>269</v>
      </c>
      <c r="C191" s="79">
        <v>156</v>
      </c>
      <c r="D191" s="79">
        <v>395</v>
      </c>
      <c r="E191" s="79">
        <v>401</v>
      </c>
      <c r="F191" s="80">
        <v>688</v>
      </c>
      <c r="G191" s="80">
        <v>873</v>
      </c>
      <c r="H191" s="81">
        <v>944</v>
      </c>
      <c r="L191" s="77" t="s">
        <v>201</v>
      </c>
      <c r="M191" s="126">
        <f>B191*'Unit Conversions'!$I$28/10^3</f>
        <v>9684000000000</v>
      </c>
      <c r="N191" s="78">
        <f>C191*'Unit Conversions'!$I$28/10^3</f>
        <v>5616000000000</v>
      </c>
      <c r="O191" s="78">
        <f>D191*'Unit Conversions'!$I$28/10^3</f>
        <v>14220000000000</v>
      </c>
      <c r="P191" s="78">
        <f>E191*'Unit Conversions'!$I$28/10^3</f>
        <v>14436000000000</v>
      </c>
      <c r="Q191" s="78">
        <f>F191*'Unit Conversions'!$I$28/10^3</f>
        <v>24768000000000</v>
      </c>
      <c r="R191" s="78">
        <f>G191*'Unit Conversions'!$I$28/10^3</f>
        <v>31428000000000</v>
      </c>
      <c r="S191" s="78">
        <f>H191*'Unit Conversions'!$I$28/10^3</f>
        <v>33984000000000</v>
      </c>
    </row>
    <row r="192" spans="1:20">
      <c r="A192" s="77" t="s">
        <v>202</v>
      </c>
      <c r="B192" s="79">
        <v>0</v>
      </c>
      <c r="C192" s="79">
        <v>105</v>
      </c>
      <c r="D192" s="79">
        <v>138</v>
      </c>
      <c r="E192" s="79">
        <v>144</v>
      </c>
      <c r="F192" s="80">
        <v>105</v>
      </c>
      <c r="G192" s="80">
        <v>126</v>
      </c>
      <c r="H192" s="81">
        <v>142</v>
      </c>
      <c r="L192" s="77" t="s">
        <v>202</v>
      </c>
      <c r="M192" s="126">
        <f>B192*'Unit Conversions'!$I$28/10^3</f>
        <v>0</v>
      </c>
      <c r="N192" s="78">
        <f>C192*'Unit Conversions'!$I$28/10^3</f>
        <v>3780000000000</v>
      </c>
      <c r="O192" s="78">
        <f>D192*'Unit Conversions'!$I$28/10^3</f>
        <v>4968000000000</v>
      </c>
      <c r="P192" s="78">
        <f>E192*'Unit Conversions'!$I$28/10^3</f>
        <v>5184000000000</v>
      </c>
      <c r="Q192" s="78">
        <f>F192*'Unit Conversions'!$I$28/10^3</f>
        <v>3780000000000</v>
      </c>
      <c r="R192" s="78">
        <f>G192*'Unit Conversions'!$I$28/10^3</f>
        <v>4536000000000</v>
      </c>
      <c r="S192" s="78">
        <f>H192*'Unit Conversions'!$I$28/10^3</f>
        <v>5112000000000</v>
      </c>
    </row>
    <row r="193" spans="1:19">
      <c r="A193" s="77" t="s">
        <v>203</v>
      </c>
      <c r="B193" s="79">
        <v>0</v>
      </c>
      <c r="C193" s="79">
        <v>66.3</v>
      </c>
      <c r="D193" s="79">
        <v>0.02</v>
      </c>
      <c r="E193" s="79">
        <v>0</v>
      </c>
      <c r="F193" s="80">
        <v>0</v>
      </c>
      <c r="G193" s="80">
        <v>0</v>
      </c>
      <c r="H193" s="81">
        <v>0</v>
      </c>
      <c r="L193" s="77" t="s">
        <v>203</v>
      </c>
      <c r="M193" s="126">
        <f>B193*'Unit Conversions'!$I$28/10^3</f>
        <v>0</v>
      </c>
      <c r="N193" s="78">
        <f>C193*'Unit Conversions'!$I$28/10^3</f>
        <v>2386800000000</v>
      </c>
      <c r="O193" s="78">
        <f>D193*'Unit Conversions'!$I$28/10^3</f>
        <v>720000000</v>
      </c>
      <c r="P193" s="78">
        <f>E193*'Unit Conversions'!$I$28/10^3</f>
        <v>0</v>
      </c>
      <c r="Q193" s="78">
        <f>F193*'Unit Conversions'!$I$28/10^3</f>
        <v>0</v>
      </c>
      <c r="R193" s="78">
        <f>G193*'Unit Conversions'!$I$28/10^3</f>
        <v>0</v>
      </c>
      <c r="S193" s="78">
        <f>H193*'Unit Conversions'!$I$28/10^3</f>
        <v>0</v>
      </c>
    </row>
    <row r="194" spans="1:19" ht="89.25">
      <c r="A194" s="82" t="s">
        <v>204</v>
      </c>
      <c r="B194" s="79">
        <v>5780</v>
      </c>
      <c r="C194" s="79">
        <v>5904</v>
      </c>
      <c r="D194" s="79">
        <v>5416</v>
      </c>
      <c r="E194" s="79">
        <v>5464</v>
      </c>
      <c r="F194" s="80">
        <v>7350</v>
      </c>
      <c r="G194" s="80">
        <v>8585</v>
      </c>
      <c r="H194" s="81">
        <v>9206</v>
      </c>
      <c r="L194" s="82" t="s">
        <v>205</v>
      </c>
      <c r="M194" s="126">
        <f>B194*'Unit Conversions'!$I$28/10^3</f>
        <v>208080000000000</v>
      </c>
      <c r="N194" s="78">
        <f>C194*'Unit Conversions'!$I$28/10^3</f>
        <v>212544000000000</v>
      </c>
      <c r="O194" s="78">
        <f>D194*'Unit Conversions'!$I$28/10^3</f>
        <v>194976000000000</v>
      </c>
      <c r="P194" s="78">
        <f>E194*'Unit Conversions'!$I$28/10^3</f>
        <v>196704000000000</v>
      </c>
      <c r="Q194" s="78">
        <f>F194*'Unit Conversions'!$I$28/10^3</f>
        <v>264600000000000</v>
      </c>
      <c r="R194" s="78">
        <f>G194*'Unit Conversions'!$I$28/10^3</f>
        <v>309060000000000</v>
      </c>
      <c r="S194" s="78">
        <f>H194*'Unit Conversions'!$I$28/10^3</f>
        <v>331416000000000</v>
      </c>
    </row>
    <row r="195" spans="1:19">
      <c r="A195" s="77" t="s">
        <v>206</v>
      </c>
      <c r="B195" s="79">
        <v>182</v>
      </c>
      <c r="C195" s="79">
        <v>196</v>
      </c>
      <c r="D195" s="79">
        <v>180</v>
      </c>
      <c r="E195" s="79">
        <v>0</v>
      </c>
      <c r="F195" s="80">
        <v>0</v>
      </c>
      <c r="G195" s="80">
        <v>189</v>
      </c>
      <c r="H195" s="81">
        <v>192</v>
      </c>
      <c r="L195" s="77" t="s">
        <v>206</v>
      </c>
      <c r="M195" s="126">
        <f>B195*'Unit Conversions'!$I$28/10^3</f>
        <v>6552000000000</v>
      </c>
      <c r="N195" s="78">
        <f>C195*'Unit Conversions'!$I$28/10^3</f>
        <v>7056000000000</v>
      </c>
      <c r="O195" s="78">
        <f>D195*'Unit Conversions'!$I$28/10^3</f>
        <v>6480000000000</v>
      </c>
      <c r="P195" s="78">
        <f>E195*'Unit Conversions'!$I$28/10^3</f>
        <v>0</v>
      </c>
      <c r="Q195" s="78">
        <f>F195*'Unit Conversions'!$I$28/10^3</f>
        <v>0</v>
      </c>
      <c r="R195" s="78">
        <f>G195*'Unit Conversions'!$I$28/10^3</f>
        <v>6804000000000</v>
      </c>
      <c r="S195" s="78">
        <f>H195*'Unit Conversions'!$I$28/10^3</f>
        <v>6912000000000</v>
      </c>
    </row>
    <row r="196" spans="1:19">
      <c r="A196" s="83" t="s">
        <v>207</v>
      </c>
      <c r="B196" s="79">
        <v>387</v>
      </c>
      <c r="C196" s="79">
        <v>372</v>
      </c>
      <c r="D196" s="79">
        <v>351</v>
      </c>
      <c r="E196" s="79">
        <v>410</v>
      </c>
      <c r="F196" s="80">
        <v>471</v>
      </c>
      <c r="G196" s="80">
        <v>496</v>
      </c>
      <c r="H196" s="81">
        <v>541</v>
      </c>
      <c r="L196" s="83" t="s">
        <v>207</v>
      </c>
      <c r="M196" s="126">
        <f>B196*'Unit Conversions'!$I$28/10^3</f>
        <v>13932000000000</v>
      </c>
      <c r="N196" s="78">
        <f>C196*'Unit Conversions'!$I$28/10^3</f>
        <v>13392000000000</v>
      </c>
      <c r="O196" s="78">
        <f>D196*'Unit Conversions'!$I$28/10^3</f>
        <v>12636000000000</v>
      </c>
      <c r="P196" s="78">
        <f>E196*'Unit Conversions'!$I$28/10^3</f>
        <v>14760000000000</v>
      </c>
      <c r="Q196" s="78">
        <f>F196*'Unit Conversions'!$I$28/10^3</f>
        <v>16956000000000</v>
      </c>
      <c r="R196" s="78">
        <f>G196*'Unit Conversions'!$I$28/10^3</f>
        <v>17856000000000</v>
      </c>
      <c r="S196" s="78">
        <f>H196*'Unit Conversions'!$I$28/10^3</f>
        <v>19476000000000</v>
      </c>
    </row>
    <row r="197" spans="1:19">
      <c r="A197" s="77" t="s">
        <v>208</v>
      </c>
      <c r="B197" s="79">
        <v>3891</v>
      </c>
      <c r="C197" s="79">
        <v>3968</v>
      </c>
      <c r="D197" s="79">
        <v>4575</v>
      </c>
      <c r="E197" s="79">
        <v>5077</v>
      </c>
      <c r="F197" s="80">
        <v>5374</v>
      </c>
      <c r="G197" s="80">
        <v>6533</v>
      </c>
      <c r="H197" s="81">
        <v>7047</v>
      </c>
      <c r="L197" s="77" t="s">
        <v>208</v>
      </c>
      <c r="M197" s="126">
        <f>B197*'Unit Conversions'!$I$28/10^3</f>
        <v>140076000000000</v>
      </c>
      <c r="N197" s="78">
        <f>C197*'Unit Conversions'!$I$28/10^3</f>
        <v>142848000000000</v>
      </c>
      <c r="O197" s="78">
        <f>D197*'Unit Conversions'!$I$28/10^3</f>
        <v>164700000000000</v>
      </c>
      <c r="P197" s="78">
        <f>E197*'Unit Conversions'!$I$28/10^3</f>
        <v>182772000000000</v>
      </c>
      <c r="Q197" s="78">
        <f>F197*'Unit Conversions'!$I$28/10^3</f>
        <v>193464000000000</v>
      </c>
      <c r="R197" s="78">
        <f>G197*'Unit Conversions'!$I$28/10^3</f>
        <v>235188000000000</v>
      </c>
      <c r="S197" s="78">
        <f>H197*'Unit Conversions'!$I$28/10^3</f>
        <v>253692000000000</v>
      </c>
    </row>
    <row r="198" spans="1:19">
      <c r="A198" s="84" t="s">
        <v>209</v>
      </c>
      <c r="B198" s="85">
        <v>7976</v>
      </c>
      <c r="C198" s="85">
        <v>7479</v>
      </c>
      <c r="D198" s="85">
        <v>5941</v>
      </c>
      <c r="E198" s="85">
        <v>4298</v>
      </c>
      <c r="F198" s="86">
        <v>3929</v>
      </c>
      <c r="G198" s="86">
        <v>3226</v>
      </c>
      <c r="H198" s="87">
        <v>3393</v>
      </c>
      <c r="L198" s="84" t="s">
        <v>209</v>
      </c>
      <c r="M198" s="126">
        <f>B198*'Unit Conversions'!$I$28/10^3</f>
        <v>287136000000000</v>
      </c>
      <c r="N198" s="78">
        <f>C198*'Unit Conversions'!$I$28/10^3</f>
        <v>269244000000000</v>
      </c>
      <c r="O198" s="78">
        <f>D198*'Unit Conversions'!$I$28/10^3</f>
        <v>213876000000000</v>
      </c>
      <c r="P198" s="78">
        <f>E198*'Unit Conversions'!$I$28/10^3</f>
        <v>154728000000000</v>
      </c>
      <c r="Q198" s="78">
        <f>F198*'Unit Conversions'!$I$28/10^3</f>
        <v>141444000000000</v>
      </c>
      <c r="R198" s="78">
        <f>G198*'Unit Conversions'!$I$28/10^3</f>
        <v>116136000000000</v>
      </c>
      <c r="S198" s="78">
        <f>H198*'Unit Conversions'!$I$28/10^3</f>
        <v>122148000000000</v>
      </c>
    </row>
    <row r="199" spans="1:19">
      <c r="A199" s="88" t="s">
        <v>210</v>
      </c>
      <c r="B199" s="89">
        <v>34562</v>
      </c>
      <c r="C199" s="89">
        <v>29464</v>
      </c>
      <c r="D199" s="89">
        <v>27716</v>
      </c>
      <c r="E199" s="89">
        <v>26683</v>
      </c>
      <c r="F199" s="89">
        <v>29535</v>
      </c>
      <c r="G199" s="89">
        <v>32057</v>
      </c>
      <c r="H199" s="89">
        <v>33470</v>
      </c>
      <c r="L199" s="90" t="s">
        <v>210</v>
      </c>
      <c r="M199" s="126">
        <f>B199*'Unit Conversions'!$I$28/10^3</f>
        <v>1244232000000000</v>
      </c>
      <c r="N199" s="78">
        <f>C199*'Unit Conversions'!$I$28/10^3</f>
        <v>1060704000000000</v>
      </c>
      <c r="O199" s="78">
        <f>D199*'Unit Conversions'!$I$28/10^3</f>
        <v>997776000000000</v>
      </c>
      <c r="P199" s="78">
        <f>E199*'Unit Conversions'!$I$28/10^3</f>
        <v>960588000000000</v>
      </c>
      <c r="Q199" s="78">
        <f>F199*'Unit Conversions'!$I$28/10^3</f>
        <v>1063260000000000</v>
      </c>
      <c r="R199" s="78">
        <f>G199*'Unit Conversions'!$I$28/10^3</f>
        <v>1154052000000000</v>
      </c>
      <c r="S199" s="78">
        <f>H199*'Unit Conversions'!$I$28/10^3</f>
        <v>1204920000000000</v>
      </c>
    </row>
    <row r="200" spans="1:19">
      <c r="A200" s="172" t="s">
        <v>211</v>
      </c>
      <c r="B200" s="173"/>
      <c r="C200" s="173"/>
      <c r="D200" s="173"/>
      <c r="E200" s="173"/>
      <c r="F200" s="173"/>
      <c r="G200" s="173"/>
      <c r="H200" s="174"/>
      <c r="L200" s="172" t="s">
        <v>211</v>
      </c>
      <c r="M200" s="173"/>
      <c r="N200" s="173"/>
      <c r="O200" s="173"/>
      <c r="P200" s="173"/>
      <c r="Q200" s="173"/>
      <c r="R200" s="173"/>
      <c r="S200" s="174"/>
    </row>
    <row r="201" spans="1:19">
      <c r="A201" s="73" t="s">
        <v>212</v>
      </c>
      <c r="B201" s="76">
        <v>14733</v>
      </c>
      <c r="C201" s="76">
        <v>15869</v>
      </c>
      <c r="D201" s="76">
        <v>15190</v>
      </c>
      <c r="E201" s="76">
        <v>16135</v>
      </c>
      <c r="F201" s="76">
        <v>15429</v>
      </c>
      <c r="G201" s="76">
        <v>14676</v>
      </c>
      <c r="H201" s="76">
        <v>14987</v>
      </c>
      <c r="L201" s="73" t="s">
        <v>212</v>
      </c>
      <c r="M201" s="127">
        <f>B201*'Unit Conversions'!$I$28/10^3</f>
        <v>530388000000000</v>
      </c>
      <c r="N201" s="92">
        <f>C201*'Unit Conversions'!$I$28/10^3</f>
        <v>571284000000000</v>
      </c>
      <c r="O201" s="92">
        <f>D201*'Unit Conversions'!$I$28/10^3</f>
        <v>546840000000000</v>
      </c>
      <c r="P201" s="92">
        <f>E201*'Unit Conversions'!$I$28/10^3</f>
        <v>580860000000000</v>
      </c>
      <c r="Q201" s="92">
        <f>F201*'Unit Conversions'!$I$28/10^3</f>
        <v>555444000000000</v>
      </c>
      <c r="R201" s="92">
        <f>G201*'Unit Conversions'!$I$28/10^3</f>
        <v>528336000000000</v>
      </c>
      <c r="S201" s="92">
        <f>H201*'Unit Conversions'!$I$28/10^3</f>
        <v>539532000000000</v>
      </c>
    </row>
    <row r="202" spans="1:19">
      <c r="A202" s="77" t="s">
        <v>213</v>
      </c>
      <c r="B202" s="81">
        <v>2486</v>
      </c>
      <c r="C202" s="81">
        <v>2405</v>
      </c>
      <c r="D202" s="81">
        <v>2890</v>
      </c>
      <c r="E202" s="81">
        <v>3733</v>
      </c>
      <c r="F202" s="81">
        <v>4170</v>
      </c>
      <c r="G202" s="81">
        <v>4024</v>
      </c>
      <c r="H202" s="81">
        <v>3386</v>
      </c>
      <c r="L202" s="77" t="s">
        <v>213</v>
      </c>
      <c r="M202" s="127">
        <f>B202*'Unit Conversions'!$I$28/10^3</f>
        <v>89496000000000</v>
      </c>
      <c r="N202" s="92">
        <f>C202*'Unit Conversions'!$I$28/10^3</f>
        <v>86580000000000</v>
      </c>
      <c r="O202" s="92">
        <f>D202*'Unit Conversions'!$I$28/10^3</f>
        <v>104040000000000</v>
      </c>
      <c r="P202" s="92">
        <f>E202*'Unit Conversions'!$I$28/10^3</f>
        <v>134388000000000</v>
      </c>
      <c r="Q202" s="92">
        <f>F202*'Unit Conversions'!$I$28/10^3</f>
        <v>150120000000000</v>
      </c>
      <c r="R202" s="92">
        <f>G202*'Unit Conversions'!$I$28/10^3</f>
        <v>144864000000000</v>
      </c>
      <c r="S202" s="92">
        <f>H202*'Unit Conversions'!$I$28/10^3</f>
        <v>121896000000000</v>
      </c>
    </row>
    <row r="203" spans="1:19">
      <c r="A203" s="77" t="s">
        <v>214</v>
      </c>
      <c r="B203" s="81">
        <v>1106</v>
      </c>
      <c r="C203" s="81">
        <v>274</v>
      </c>
      <c r="D203" s="81">
        <v>154</v>
      </c>
      <c r="E203" s="81">
        <v>544</v>
      </c>
      <c r="F203" s="81">
        <v>885</v>
      </c>
      <c r="G203" s="81">
        <v>1278</v>
      </c>
      <c r="H203" s="81">
        <v>1124</v>
      </c>
      <c r="L203" s="77" t="s">
        <v>214</v>
      </c>
      <c r="M203" s="127">
        <f>B203*'Unit Conversions'!$I$28/10^3</f>
        <v>39816000000000</v>
      </c>
      <c r="N203" s="92">
        <f>C203*'Unit Conversions'!$I$28/10^3</f>
        <v>9864000000000</v>
      </c>
      <c r="O203" s="92">
        <f>D203*'Unit Conversions'!$I$28/10^3</f>
        <v>5544000000000</v>
      </c>
      <c r="P203" s="92">
        <f>E203*'Unit Conversions'!$I$28/10^3</f>
        <v>19584000000000</v>
      </c>
      <c r="Q203" s="92">
        <f>F203*'Unit Conversions'!$I$28/10^3</f>
        <v>31860000000000</v>
      </c>
      <c r="R203" s="92">
        <f>G203*'Unit Conversions'!$I$28/10^3</f>
        <v>46008000000000</v>
      </c>
      <c r="S203" s="92">
        <f>H203*'Unit Conversions'!$I$28/10^3</f>
        <v>40464000000000</v>
      </c>
    </row>
    <row r="204" spans="1:19">
      <c r="A204" s="84" t="s">
        <v>215</v>
      </c>
      <c r="B204" s="87">
        <v>1027</v>
      </c>
      <c r="C204" s="87">
        <v>982</v>
      </c>
      <c r="D204" s="87">
        <v>1005</v>
      </c>
      <c r="E204" s="87">
        <v>754</v>
      </c>
      <c r="F204" s="87">
        <v>759</v>
      </c>
      <c r="G204" s="87">
        <v>798</v>
      </c>
      <c r="H204" s="87">
        <v>874</v>
      </c>
      <c r="L204" s="84" t="s">
        <v>215</v>
      </c>
      <c r="M204" s="127">
        <f>B204*'Unit Conversions'!$I$28/10^3</f>
        <v>36972000000000</v>
      </c>
      <c r="N204" s="92">
        <f>C204*'Unit Conversions'!$I$28/10^3</f>
        <v>35352000000000</v>
      </c>
      <c r="O204" s="92">
        <f>D204*'Unit Conversions'!$I$28/10^3</f>
        <v>36180000000000</v>
      </c>
      <c r="P204" s="92">
        <f>E204*'Unit Conversions'!$I$28/10^3</f>
        <v>27144000000000</v>
      </c>
      <c r="Q204" s="92">
        <f>F204*'Unit Conversions'!$I$28/10^3</f>
        <v>27324000000000</v>
      </c>
      <c r="R204" s="92">
        <f>G204*'Unit Conversions'!$I$28/10^3</f>
        <v>28728000000000</v>
      </c>
      <c r="S204" s="92">
        <f>H204*'Unit Conversions'!$I$28/10^3</f>
        <v>31464000000000</v>
      </c>
    </row>
    <row r="205" spans="1:19">
      <c r="A205" s="88" t="s">
        <v>216</v>
      </c>
      <c r="B205" s="89">
        <v>19352</v>
      </c>
      <c r="C205" s="89">
        <v>19530</v>
      </c>
      <c r="D205" s="89">
        <v>19239</v>
      </c>
      <c r="E205" s="89">
        <v>21166</v>
      </c>
      <c r="F205" s="89">
        <v>21243</v>
      </c>
      <c r="G205" s="89">
        <v>20776</v>
      </c>
      <c r="H205" s="89">
        <v>20370</v>
      </c>
      <c r="L205" s="88" t="s">
        <v>216</v>
      </c>
      <c r="M205" s="127">
        <f>B205*'Unit Conversions'!$I$28/10^3</f>
        <v>696672000000000</v>
      </c>
      <c r="N205" s="92">
        <f>C205*'Unit Conversions'!$I$28/10^3</f>
        <v>703080000000000</v>
      </c>
      <c r="O205" s="92">
        <f>D205*'Unit Conversions'!$I$28/10^3</f>
        <v>692604000000000</v>
      </c>
      <c r="P205" s="92">
        <f>E205*'Unit Conversions'!$I$28/10^3</f>
        <v>761976000000000</v>
      </c>
      <c r="Q205" s="92">
        <f>F205*'Unit Conversions'!$I$28/10^3</f>
        <v>764748000000000</v>
      </c>
      <c r="R205" s="92">
        <f>G205*'Unit Conversions'!$I$28/10^3</f>
        <v>747936000000000</v>
      </c>
      <c r="S205" s="92">
        <f>H205*'Unit Conversions'!$I$28/10^3</f>
        <v>733320000000000</v>
      </c>
    </row>
    <row r="206" spans="1:19">
      <c r="A206" s="88" t="s">
        <v>217</v>
      </c>
      <c r="B206" s="89">
        <v>53915</v>
      </c>
      <c r="C206" s="89">
        <v>48994</v>
      </c>
      <c r="D206" s="89">
        <v>46955</v>
      </c>
      <c r="E206" s="89">
        <v>47849</v>
      </c>
      <c r="F206" s="89">
        <v>50778</v>
      </c>
      <c r="G206" s="89">
        <v>52832</v>
      </c>
      <c r="H206" s="89">
        <v>53840</v>
      </c>
      <c r="L206" s="88" t="s">
        <v>217</v>
      </c>
      <c r="M206" s="127">
        <f>B206*'Unit Conversions'!$I$28/10^3</f>
        <v>1940940000000000</v>
      </c>
      <c r="N206" s="92">
        <f>C206*'Unit Conversions'!$I$28/10^3</f>
        <v>1763784000000000</v>
      </c>
      <c r="O206" s="92">
        <f>D206*'Unit Conversions'!$I$28/10^3</f>
        <v>1690380000000000</v>
      </c>
      <c r="P206" s="92">
        <f>E206*'Unit Conversions'!$I$28/10^3</f>
        <v>1722564000000000</v>
      </c>
      <c r="Q206" s="92">
        <f>F206*'Unit Conversions'!$I$28/10^3</f>
        <v>1828008000000000</v>
      </c>
      <c r="R206" s="92">
        <f>G206*'Unit Conversions'!$I$28/10^3</f>
        <v>1901952000000000</v>
      </c>
      <c r="S206" s="92">
        <f>H206*'Unit Conversions'!$I$28/10^3</f>
        <v>1938240000000000</v>
      </c>
    </row>
    <row r="207" spans="1:19">
      <c r="A207" s="88" t="s">
        <v>218</v>
      </c>
      <c r="B207" s="89">
        <v>157.16999999999999</v>
      </c>
      <c r="C207" s="89">
        <v>143.49</v>
      </c>
      <c r="D207" s="89">
        <v>140.55000000000001</v>
      </c>
      <c r="E207" s="89">
        <v>143.49</v>
      </c>
      <c r="F207" s="89">
        <v>152.59</v>
      </c>
      <c r="G207" s="89">
        <v>162.11000000000001</v>
      </c>
      <c r="H207" s="89">
        <v>166.57</v>
      </c>
      <c r="L207" s="90" t="s">
        <v>218</v>
      </c>
      <c r="M207" s="127">
        <f>B207*'Unit Conversions'!$I$28/10^3</f>
        <v>5658120000000</v>
      </c>
      <c r="N207" s="92">
        <f>C207*'Unit Conversions'!$I$28/10^3</f>
        <v>5165640000000</v>
      </c>
      <c r="O207" s="92">
        <f>D207*'Unit Conversions'!$I$28/10^3</f>
        <v>5059800000000</v>
      </c>
      <c r="P207" s="92">
        <f>E207*'Unit Conversions'!$I$28/10^3</f>
        <v>5165640000000</v>
      </c>
      <c r="Q207" s="92">
        <f>F207*'Unit Conversions'!$I$28/10^3</f>
        <v>5493240000000</v>
      </c>
      <c r="R207" s="92">
        <f>G207*'Unit Conversions'!$I$28/10^3</f>
        <v>5835960000000</v>
      </c>
      <c r="S207" s="92">
        <f>H207*'Unit Conversions'!$I$28/10^3</f>
        <v>5996520000000</v>
      </c>
    </row>
    <row r="208" spans="1:19">
      <c r="A208" s="50" t="s">
        <v>219</v>
      </c>
      <c r="B208" s="51"/>
      <c r="C208" s="51"/>
      <c r="D208" s="51"/>
      <c r="E208" s="51"/>
      <c r="F208" s="51"/>
      <c r="G208" s="51"/>
      <c r="L208" s="50" t="s">
        <v>219</v>
      </c>
      <c r="M208" s="119"/>
      <c r="N208" s="51"/>
      <c r="O208" s="51"/>
      <c r="P208" s="51"/>
      <c r="Q208" s="51"/>
      <c r="R208" s="51"/>
    </row>
    <row r="209" spans="1:18">
      <c r="A209" s="50" t="s">
        <v>220</v>
      </c>
      <c r="B209" s="51"/>
      <c r="C209" s="51"/>
      <c r="D209" s="51"/>
      <c r="E209" s="51"/>
      <c r="F209" s="51"/>
      <c r="G209" s="51"/>
      <c r="L209" s="50" t="s">
        <v>220</v>
      </c>
      <c r="M209" s="119"/>
      <c r="N209" s="51"/>
      <c r="O209" s="51"/>
      <c r="P209" s="51"/>
      <c r="Q209" s="51"/>
      <c r="R209" s="51"/>
    </row>
    <row r="211" spans="1:18">
      <c r="A211" s="133"/>
      <c r="B211" s="133" t="s">
        <v>77</v>
      </c>
      <c r="C211" s="133" t="s">
        <v>314</v>
      </c>
      <c r="D211" s="133" t="s">
        <v>315</v>
      </c>
      <c r="E211" s="133" t="s">
        <v>316</v>
      </c>
      <c r="F211" s="133" t="s">
        <v>317</v>
      </c>
    </row>
    <row r="212" spans="1:18">
      <c r="A212" s="133" t="s">
        <v>300</v>
      </c>
      <c r="B212" s="133">
        <f>SUMIFS($S$5:$S$25,$V$5:$V$25,A212)</f>
        <v>8268869250678.4004</v>
      </c>
      <c r="C212" s="133">
        <f>SUMIFS($S$48:$S$49,$V$48:$V$49,A212)</f>
        <v>1111392028233177.6</v>
      </c>
      <c r="D212" s="133">
        <f>SUMIFS($S$56:$S$61,$V$56:$V$61,A212)</f>
        <v>0</v>
      </c>
      <c r="E212" s="133">
        <f>SUMIFS($S$67:$S$122,$V$67:$V$122,A212)</f>
        <v>2981019052919799</v>
      </c>
      <c r="F212" s="133">
        <f>SUMIFS($S$130:$S$154,$V$130:$V$154,A212)</f>
        <v>13006694978135.041</v>
      </c>
    </row>
    <row r="213" spans="1:18">
      <c r="A213" s="133" t="s">
        <v>302</v>
      </c>
      <c r="B213" s="133">
        <f t="shared" ref="B213:B215" si="21">SUMIFS($S$5:$S$25,$V$5:$V$25,A213)</f>
        <v>0</v>
      </c>
      <c r="C213" s="133">
        <f t="shared" ref="C213:C215" si="22">SUMIFS($S$48:$S$49,$V$48:$V$49,A213)</f>
        <v>0</v>
      </c>
      <c r="D213" s="133">
        <f t="shared" ref="D213:D215" si="23">SUMIFS($S$56:$S$61,$V$56:$V$61,A213)</f>
        <v>311349761072750.44</v>
      </c>
      <c r="E213" s="133">
        <f t="shared" ref="E213:E215" si="24">SUMIFS($S$67:$S$122,$V$67:$V$122,A213)</f>
        <v>119109146410.8</v>
      </c>
      <c r="F213" s="133">
        <f t="shared" ref="F213:F215" si="25">SUMIFS($S$130:$S$154,$V$130:$V$154,A213)</f>
        <v>0</v>
      </c>
    </row>
    <row r="214" spans="1:18">
      <c r="A214" s="133" t="s">
        <v>301</v>
      </c>
      <c r="B214" s="133">
        <f t="shared" si="21"/>
        <v>31389416895.200001</v>
      </c>
      <c r="C214" s="133">
        <f t="shared" si="22"/>
        <v>0</v>
      </c>
      <c r="D214" s="133">
        <f t="shared" si="23"/>
        <v>0</v>
      </c>
      <c r="E214" s="133">
        <f t="shared" si="24"/>
        <v>108274420507380.41</v>
      </c>
      <c r="F214" s="133">
        <f t="shared" si="25"/>
        <v>0</v>
      </c>
    </row>
    <row r="215" spans="1:18">
      <c r="A215" s="133" t="s">
        <v>303</v>
      </c>
      <c r="B215" s="133">
        <f t="shared" si="21"/>
        <v>0</v>
      </c>
      <c r="C215" s="133">
        <f t="shared" si="22"/>
        <v>0</v>
      </c>
      <c r="D215" s="133">
        <f t="shared" si="23"/>
        <v>0</v>
      </c>
      <c r="E215" s="133">
        <f t="shared" si="24"/>
        <v>26020001178589.602</v>
      </c>
      <c r="F215" s="133">
        <f t="shared" si="25"/>
        <v>22119229213885.441</v>
      </c>
    </row>
  </sheetData>
  <mergeCells count="93">
    <mergeCell ref="A3:B3"/>
    <mergeCell ref="L3:M3"/>
    <mergeCell ref="A1:I1"/>
    <mergeCell ref="L1:R1"/>
    <mergeCell ref="S1:T1"/>
    <mergeCell ref="A2:I2"/>
    <mergeCell ref="L2:T2"/>
    <mergeCell ref="A32:B32"/>
    <mergeCell ref="L32:M32"/>
    <mergeCell ref="A4:B4"/>
    <mergeCell ref="L4:M4"/>
    <mergeCell ref="A25:B25"/>
    <mergeCell ref="L25:M25"/>
    <mergeCell ref="A29:I29"/>
    <mergeCell ref="L29:R29"/>
    <mergeCell ref="S29:T29"/>
    <mergeCell ref="A30:I30"/>
    <mergeCell ref="L30:T30"/>
    <mergeCell ref="A31:B31"/>
    <mergeCell ref="L31:M31"/>
    <mergeCell ref="A64:I64"/>
    <mergeCell ref="L64:T64"/>
    <mergeCell ref="A46:B46"/>
    <mergeCell ref="A47:B47"/>
    <mergeCell ref="A50:B50"/>
    <mergeCell ref="A40:B40"/>
    <mergeCell ref="L40:M40"/>
    <mergeCell ref="A63:I63"/>
    <mergeCell ref="L63:R63"/>
    <mergeCell ref="S63:T63"/>
    <mergeCell ref="A97:B97"/>
    <mergeCell ref="L97:M97"/>
    <mergeCell ref="A65:B65"/>
    <mergeCell ref="L65:M65"/>
    <mergeCell ref="A66:B66"/>
    <mergeCell ref="L66:M66"/>
    <mergeCell ref="A90:A91"/>
    <mergeCell ref="L90:L91"/>
    <mergeCell ref="A95:I95"/>
    <mergeCell ref="L95:R95"/>
    <mergeCell ref="S95:T95"/>
    <mergeCell ref="A96:I96"/>
    <mergeCell ref="L96:T96"/>
    <mergeCell ref="A129:B129"/>
    <mergeCell ref="L129:M129"/>
    <mergeCell ref="A98:B98"/>
    <mergeCell ref="L98:M98"/>
    <mergeCell ref="A99:I99"/>
    <mergeCell ref="L99:T99"/>
    <mergeCell ref="A126:I126"/>
    <mergeCell ref="L126:R126"/>
    <mergeCell ref="S126:T126"/>
    <mergeCell ref="A200:H200"/>
    <mergeCell ref="L200:S200"/>
    <mergeCell ref="A160:B160"/>
    <mergeCell ref="L160:M160"/>
    <mergeCell ref="A161:B161"/>
    <mergeCell ref="L161:M161"/>
    <mergeCell ref="A185:H185"/>
    <mergeCell ref="L185:R185"/>
    <mergeCell ref="L46:M46"/>
    <mergeCell ref="A186:H186"/>
    <mergeCell ref="L186:R186"/>
    <mergeCell ref="A189:H189"/>
    <mergeCell ref="L189:S189"/>
    <mergeCell ref="A153:A154"/>
    <mergeCell ref="L153:L154"/>
    <mergeCell ref="A158:I158"/>
    <mergeCell ref="L158:R158"/>
    <mergeCell ref="S158:T158"/>
    <mergeCell ref="A159:I159"/>
    <mergeCell ref="L159:T159"/>
    <mergeCell ref="A127:I127"/>
    <mergeCell ref="L127:T127"/>
    <mergeCell ref="A128:B128"/>
    <mergeCell ref="L128:M128"/>
    <mergeCell ref="A44:I44"/>
    <mergeCell ref="L44:R44"/>
    <mergeCell ref="S44:T44"/>
    <mergeCell ref="A45:I45"/>
    <mergeCell ref="L45:T45"/>
    <mergeCell ref="L47:M47"/>
    <mergeCell ref="L50:M50"/>
    <mergeCell ref="A52:I52"/>
    <mergeCell ref="A53:I53"/>
    <mergeCell ref="L53:T53"/>
    <mergeCell ref="L52:T52"/>
    <mergeCell ref="A54:B54"/>
    <mergeCell ref="L54:M54"/>
    <mergeCell ref="A55:B55"/>
    <mergeCell ref="L55:M55"/>
    <mergeCell ref="A61:B61"/>
    <mergeCell ref="L61:M6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57FBD-B575-492E-809C-00907D589BDC}">
  <dimension ref="A1:AD62"/>
  <sheetViews>
    <sheetView topLeftCell="A40" workbookViewId="0">
      <selection activeCell="E62" sqref="E62:E63"/>
    </sheetView>
  </sheetViews>
  <sheetFormatPr defaultRowHeight="15"/>
  <cols>
    <col min="2" max="4" width="9.5703125" bestFit="1" customWidth="1"/>
    <col min="5" max="5" width="12" bestFit="1" customWidth="1"/>
    <col min="7" max="7" width="9.5703125" bestFit="1" customWidth="1"/>
  </cols>
  <sheetData>
    <row r="1" spans="1:30">
      <c r="A1" t="s">
        <v>321</v>
      </c>
      <c r="Q1" t="s">
        <v>324</v>
      </c>
    </row>
    <row r="2" spans="1:30">
      <c r="A2">
        <v>4</v>
      </c>
      <c r="B2" t="s">
        <v>318</v>
      </c>
      <c r="N2" t="s">
        <v>319</v>
      </c>
      <c r="Q2" t="s">
        <v>322</v>
      </c>
      <c r="AC2" t="s">
        <v>319</v>
      </c>
    </row>
    <row r="3" spans="1:30">
      <c r="B3" t="s">
        <v>53</v>
      </c>
      <c r="C3" t="s">
        <v>66</v>
      </c>
      <c r="D3" t="s">
        <v>67</v>
      </c>
      <c r="E3">
        <v>2007</v>
      </c>
      <c r="F3">
        <v>2012</v>
      </c>
      <c r="G3">
        <v>2017</v>
      </c>
      <c r="H3">
        <v>2022</v>
      </c>
      <c r="I3">
        <v>2027</v>
      </c>
      <c r="J3">
        <v>2032</v>
      </c>
      <c r="K3">
        <v>2037</v>
      </c>
      <c r="L3">
        <v>2042</v>
      </c>
      <c r="M3">
        <v>2047</v>
      </c>
      <c r="N3">
        <v>2052</v>
      </c>
      <c r="O3" s="1">
        <v>2018</v>
      </c>
      <c r="Q3" t="s">
        <v>53</v>
      </c>
      <c r="R3" t="s">
        <v>90</v>
      </c>
      <c r="S3" t="s">
        <v>67</v>
      </c>
      <c r="U3">
        <v>2012</v>
      </c>
      <c r="V3">
        <v>2017</v>
      </c>
      <c r="W3">
        <v>2022</v>
      </c>
      <c r="X3">
        <v>2027</v>
      </c>
      <c r="Y3">
        <v>2032</v>
      </c>
      <c r="Z3">
        <v>2037</v>
      </c>
      <c r="AA3">
        <v>2042</v>
      </c>
      <c r="AB3">
        <v>2047</v>
      </c>
      <c r="AC3">
        <v>2052</v>
      </c>
      <c r="AD3" s="1">
        <v>2018</v>
      </c>
    </row>
    <row r="4" spans="1:30">
      <c r="B4" t="s">
        <v>68</v>
      </c>
      <c r="C4" t="s">
        <v>69</v>
      </c>
      <c r="D4" t="s">
        <v>70</v>
      </c>
      <c r="E4">
        <v>-43.33277438618223</v>
      </c>
      <c r="F4">
        <v>182.43982020441447</v>
      </c>
      <c r="G4">
        <v>220.57463727393554</v>
      </c>
      <c r="H4">
        <v>265.06352690725492</v>
      </c>
      <c r="I4">
        <v>307.5807301045192</v>
      </c>
      <c r="J4">
        <v>347.91719959453673</v>
      </c>
      <c r="K4">
        <v>376.641961000386</v>
      </c>
      <c r="L4">
        <v>400.4141832804483</v>
      </c>
      <c r="M4">
        <v>414.07917906095878</v>
      </c>
      <c r="N4">
        <v>425.34143265104774</v>
      </c>
      <c r="O4" s="1" cm="1">
        <f t="array" ref="O4">TREND(G4:H4,$G$3:$H$3,$O$3)</f>
        <v>229.47241520059833</v>
      </c>
      <c r="Q4" t="s">
        <v>68</v>
      </c>
      <c r="R4" t="s">
        <v>91</v>
      </c>
      <c r="S4" t="s">
        <v>70</v>
      </c>
      <c r="U4">
        <v>294.73325627226274</v>
      </c>
      <c r="V4">
        <v>347.49482081740661</v>
      </c>
      <c r="W4">
        <v>449.27077783472362</v>
      </c>
      <c r="X4">
        <v>568.65271472878248</v>
      </c>
      <c r="Y4">
        <v>708.65059097257779</v>
      </c>
      <c r="Z4">
        <v>822.78615641410784</v>
      </c>
      <c r="AA4">
        <v>914.35998698140884</v>
      </c>
      <c r="AB4">
        <v>977.26442875493262</v>
      </c>
      <c r="AC4">
        <v>1205.8558478467342</v>
      </c>
      <c r="AD4" s="1" cm="1">
        <f t="array" ref="AD4">TREND(V4:W4,$V$3:$W$3,$AD$3)</f>
        <v>367.8500122208643</v>
      </c>
    </row>
    <row r="5" spans="1:30">
      <c r="D5" t="s">
        <v>71</v>
      </c>
      <c r="E5">
        <v>-0.52904178241044064</v>
      </c>
      <c r="F5">
        <v>3.3589954438762999</v>
      </c>
      <c r="G5">
        <v>4.7202839699433481</v>
      </c>
      <c r="H5">
        <v>6.537731672159004</v>
      </c>
      <c r="I5">
        <v>8.8900519165618466</v>
      </c>
      <c r="J5">
        <v>11.845639329995922</v>
      </c>
      <c r="K5">
        <v>16.066348957970146</v>
      </c>
      <c r="L5">
        <v>20.611043189600451</v>
      </c>
      <c r="M5">
        <v>25.05484697408334</v>
      </c>
      <c r="N5">
        <v>29.457496031991688</v>
      </c>
      <c r="O5" s="1" cm="1">
        <f t="array" ref="O5">TREND(G5:H5,$G$3:$H$3,$O$3)</f>
        <v>5.0837735103864361</v>
      </c>
      <c r="R5" t="s">
        <v>92</v>
      </c>
      <c r="S5" t="s">
        <v>70</v>
      </c>
      <c r="U5">
        <v>42.197255172741983</v>
      </c>
      <c r="V5">
        <v>56.042176308314204</v>
      </c>
      <c r="W5">
        <v>82.582554916218641</v>
      </c>
      <c r="X5">
        <v>117.74598807821803</v>
      </c>
      <c r="Y5">
        <v>161.37540213792531</v>
      </c>
      <c r="Z5">
        <v>205.61580126686812</v>
      </c>
      <c r="AA5">
        <v>291.25483618365195</v>
      </c>
      <c r="AB5">
        <v>352.17358930304482</v>
      </c>
      <c r="AC5">
        <v>474.57500471387419</v>
      </c>
      <c r="AD5" s="1" cm="1">
        <f t="array" ref="AD5">TREND(V5:W5,$V$3:$W$3,$AD$3)</f>
        <v>61.350252029895273</v>
      </c>
    </row>
    <row r="6" spans="1:30">
      <c r="D6" t="s">
        <v>72</v>
      </c>
      <c r="E6">
        <v>0</v>
      </c>
      <c r="F6">
        <v>0</v>
      </c>
      <c r="G6">
        <v>0.68467872233410898</v>
      </c>
      <c r="H6">
        <v>1.6594131464525421</v>
      </c>
      <c r="I6">
        <v>2.9146216318175373</v>
      </c>
      <c r="J6">
        <v>4.438419413128492</v>
      </c>
      <c r="K6">
        <v>6.077752195989123</v>
      </c>
      <c r="L6">
        <v>7.8472712890408207</v>
      </c>
      <c r="M6">
        <v>9.5833297264080954</v>
      </c>
      <c r="N6">
        <v>11.385920100712934</v>
      </c>
      <c r="O6" s="1" cm="1">
        <f t="array" ref="O6">TREND(G6:H6,$G$3:$H$3,$O$3)</f>
        <v>0.87962560715783411</v>
      </c>
      <c r="Q6" t="s">
        <v>81</v>
      </c>
      <c r="U6">
        <v>12.372852862960707</v>
      </c>
      <c r="V6">
        <v>14.422389401592714</v>
      </c>
      <c r="W6">
        <v>18.479849101941852</v>
      </c>
      <c r="X6">
        <v>23.337619096830775</v>
      </c>
      <c r="Y6">
        <v>29.116113476987692</v>
      </c>
      <c r="Z6">
        <v>34.749461590818377</v>
      </c>
      <c r="AA6">
        <v>40.632715696786285</v>
      </c>
      <c r="AB6">
        <v>44.981265291519875</v>
      </c>
      <c r="AC6">
        <v>47.644501674089128</v>
      </c>
      <c r="AD6" s="1" cm="1">
        <f t="array" ref="AD6">TREND(V6:W6,$V$3:$W$3,$AD$3)</f>
        <v>15.233881341662482</v>
      </c>
    </row>
    <row r="7" spans="1:30">
      <c r="D7" t="s">
        <v>73</v>
      </c>
      <c r="E7">
        <v>0</v>
      </c>
      <c r="F7">
        <v>0</v>
      </c>
      <c r="G7">
        <v>1.1497585973254743</v>
      </c>
      <c r="H7">
        <v>2.6273698375300367</v>
      </c>
      <c r="I7">
        <v>4.3510664568387609</v>
      </c>
      <c r="J7">
        <v>6.2472476314700671</v>
      </c>
      <c r="K7">
        <v>8.0658514700380231</v>
      </c>
      <c r="L7">
        <v>9.8191240718191466</v>
      </c>
      <c r="M7">
        <v>11.306218154277367</v>
      </c>
      <c r="N7">
        <v>12.665312540810778</v>
      </c>
      <c r="O7" s="1" cm="1">
        <f t="array" ref="O7">TREND(G7:H7,$G$3:$H$3,$O$3)</f>
        <v>1.4452808453663692</v>
      </c>
      <c r="U7">
        <v>6.6417480552165884</v>
      </c>
      <c r="V7">
        <v>7.915213462638456</v>
      </c>
      <c r="W7">
        <v>10.349879166142001</v>
      </c>
      <c r="X7">
        <v>13.18857141654239</v>
      </c>
      <c r="Y7">
        <v>16.458954507110381</v>
      </c>
      <c r="Z7">
        <v>18.920087804312153</v>
      </c>
      <c r="AA7">
        <v>21.308709220495434</v>
      </c>
      <c r="AB7">
        <v>22.720568156942857</v>
      </c>
      <c r="AC7">
        <v>29.802383843134834</v>
      </c>
      <c r="AD7" s="1" cm="1">
        <f t="array" ref="AD7">TREND(V7:W7,$V$3:$W$3,$AD$3)</f>
        <v>8.4021466033391334</v>
      </c>
    </row>
    <row r="8" spans="1:30">
      <c r="C8" t="s">
        <v>74</v>
      </c>
      <c r="D8" t="s">
        <v>70</v>
      </c>
      <c r="E8">
        <v>0</v>
      </c>
      <c r="F8">
        <v>13.240569951335381</v>
      </c>
      <c r="G8">
        <v>16.164312968122967</v>
      </c>
      <c r="H8">
        <v>19.619648046394122</v>
      </c>
      <c r="I8">
        <v>23.00276800711206</v>
      </c>
      <c r="J8">
        <v>26.298619839736233</v>
      </c>
      <c r="K8">
        <v>28.788470227504938</v>
      </c>
      <c r="L8">
        <v>30.961930290326652</v>
      </c>
      <c r="M8">
        <v>32.407479737099301</v>
      </c>
      <c r="N8">
        <v>33.711027644472978</v>
      </c>
      <c r="O8" s="1" cm="1">
        <f t="array" ref="O8">TREND(G8:H8,$G$3:$H$3,$O$3)</f>
        <v>16.855379983777311</v>
      </c>
      <c r="Q8" t="s">
        <v>82</v>
      </c>
      <c r="U8">
        <v>0.96357501000808465</v>
      </c>
      <c r="V8">
        <v>1.2844185667906074</v>
      </c>
      <c r="W8">
        <v>1.8740564562784776</v>
      </c>
      <c r="X8">
        <v>2.6672019231863224</v>
      </c>
      <c r="Y8">
        <v>3.7185531156320675</v>
      </c>
      <c r="Z8">
        <v>4.8187221302149146</v>
      </c>
      <c r="AA8">
        <v>6.104790166756219</v>
      </c>
      <c r="AB8">
        <v>7.3084344878569585</v>
      </c>
      <c r="AC8">
        <v>10.029421031288987</v>
      </c>
      <c r="AD8" s="1" cm="1">
        <f t="array" ref="AD8">TREND(V8:W8,$V$3:$W$3,$AD$3)</f>
        <v>1.4023461446881527</v>
      </c>
    </row>
    <row r="9" spans="1:30">
      <c r="D9" t="s">
        <v>71</v>
      </c>
      <c r="E9">
        <v>-0.92683989659334221</v>
      </c>
      <c r="F9">
        <v>0.16165165573654702</v>
      </c>
      <c r="G9">
        <v>0.22792559105566046</v>
      </c>
      <c r="H9">
        <v>0.3168126939033053</v>
      </c>
      <c r="I9">
        <v>0.43245059703171645</v>
      </c>
      <c r="J9">
        <v>0.57858203466065439</v>
      </c>
      <c r="K9">
        <v>0.78818535872703488</v>
      </c>
      <c r="L9">
        <v>1.0159242560399318</v>
      </c>
      <c r="M9">
        <v>1.2412695718008036</v>
      </c>
      <c r="N9">
        <v>1.4674598207113512</v>
      </c>
      <c r="O9" s="1" cm="1">
        <f t="array" ref="O9">TREND(G9:H9,$G$3:$H$3,$O$3)</f>
        <v>0.24570301162518859</v>
      </c>
      <c r="Q9" t="s">
        <v>323</v>
      </c>
      <c r="U9">
        <v>356.90868737319005</v>
      </c>
      <c r="V9">
        <v>427.15901855674264</v>
      </c>
      <c r="W9">
        <v>562.55711747530461</v>
      </c>
      <c r="X9">
        <v>725.59209524355992</v>
      </c>
      <c r="Y9">
        <v>919.31961421023334</v>
      </c>
      <c r="Z9">
        <v>1086.8902292063212</v>
      </c>
      <c r="AA9">
        <v>1273.661038249099</v>
      </c>
      <c r="AB9">
        <v>1404.4482859942968</v>
      </c>
      <c r="AC9">
        <v>1767.9071591091213</v>
      </c>
      <c r="AD9" s="1" cm="1">
        <f t="array" ref="AD9">TREND(V9:W9,$V$3:$W$3,$AD$3)</f>
        <v>454.23863834045187</v>
      </c>
    </row>
    <row r="10" spans="1:30">
      <c r="C10" t="s">
        <v>75</v>
      </c>
      <c r="D10" t="s">
        <v>76</v>
      </c>
      <c r="E10">
        <v>-1.1315615901556652E-2</v>
      </c>
      <c r="F10">
        <v>69.043494706197592</v>
      </c>
      <c r="G10">
        <v>97.227157165398097</v>
      </c>
      <c r="H10">
        <v>128.71896438548936</v>
      </c>
      <c r="I10">
        <v>160.11640631835175</v>
      </c>
      <c r="J10">
        <v>188.59479502650126</v>
      </c>
      <c r="K10">
        <v>210.56101569328754</v>
      </c>
      <c r="L10">
        <v>225.42567382778631</v>
      </c>
      <c r="M10">
        <v>229.21084051114912</v>
      </c>
      <c r="N10">
        <v>221.28535733256263</v>
      </c>
      <c r="O10" s="1" cm="1">
        <f t="array" ref="O10">TREND(G10:H10,$G$3:$H$3,$O$3)</f>
        <v>103.52551860941639</v>
      </c>
    </row>
    <row r="11" spans="1:30">
      <c r="D11" t="s">
        <v>70</v>
      </c>
      <c r="E11">
        <v>-27.472472670897456</v>
      </c>
      <c r="F11">
        <v>20.899674947979403</v>
      </c>
      <c r="G11">
        <v>38.890630703722444</v>
      </c>
      <c r="H11">
        <v>66.03171992818443</v>
      </c>
      <c r="I11">
        <v>99.73917899747272</v>
      </c>
      <c r="J11">
        <v>142.52814091196015</v>
      </c>
      <c r="K11">
        <v>190.88288185219034</v>
      </c>
      <c r="L11">
        <v>246.58097723524475</v>
      </c>
      <c r="M11">
        <v>305.45495154084887</v>
      </c>
      <c r="N11">
        <v>376.52578654638938</v>
      </c>
      <c r="O11" s="1" cm="1">
        <f t="array" ref="O11">TREND(G11:H11,$G$3:$H$3,$O$3)</f>
        <v>44.31884854861346</v>
      </c>
    </row>
    <row r="12" spans="1:30">
      <c r="D12" t="s">
        <v>71</v>
      </c>
      <c r="E12">
        <v>-6.7786263842371408</v>
      </c>
      <c r="F12">
        <v>2.0353899666910951</v>
      </c>
      <c r="G12">
        <v>3.8961595032886405</v>
      </c>
      <c r="H12">
        <v>6.7982152298309622</v>
      </c>
      <c r="I12">
        <v>10.810215960935073</v>
      </c>
      <c r="J12">
        <v>15.685133107966118</v>
      </c>
      <c r="K12">
        <v>19.326080993295353</v>
      </c>
      <c r="L12">
        <v>23.100708125063374</v>
      </c>
      <c r="M12">
        <v>26.610986460022104</v>
      </c>
      <c r="N12">
        <v>30.339933026485642</v>
      </c>
      <c r="O12" s="1" cm="1">
        <f t="array" ref="O12">TREND(G12:H12,$G$3:$H$3,$O$3)</f>
        <v>4.4765706485970895</v>
      </c>
    </row>
    <row r="13" spans="1:30">
      <c r="D13" t="s">
        <v>77</v>
      </c>
      <c r="E13">
        <v>-0.86930525059820973</v>
      </c>
      <c r="F13">
        <v>1.4700038648324576</v>
      </c>
      <c r="G13">
        <v>2.8231137086268694</v>
      </c>
      <c r="H13">
        <v>4.9420524329787012</v>
      </c>
      <c r="I13">
        <v>7.884381032950917</v>
      </c>
      <c r="J13">
        <v>11.477366202024733</v>
      </c>
      <c r="K13">
        <v>14.187916409173644</v>
      </c>
      <c r="L13">
        <v>17.014567512809958</v>
      </c>
      <c r="M13">
        <v>19.664250193716025</v>
      </c>
      <c r="N13">
        <v>22.493230344908518</v>
      </c>
      <c r="O13" s="1" cm="1">
        <f t="array" ref="O13">TREND(G13:H13,$G$3:$H$3,$O$3)</f>
        <v>3.2469014534972302</v>
      </c>
    </row>
    <row r="14" spans="1:30">
      <c r="D14" t="s">
        <v>72</v>
      </c>
      <c r="E14">
        <v>-0.58822841127955972</v>
      </c>
      <c r="F14">
        <v>1.176480365848054E-3</v>
      </c>
      <c r="G14">
        <v>0.34017889251894035</v>
      </c>
      <c r="H14">
        <v>1.0392255981082519</v>
      </c>
      <c r="I14">
        <v>2.2320965214456954</v>
      </c>
      <c r="J14">
        <v>4.0659716855713652</v>
      </c>
      <c r="K14">
        <v>6.5528094893831668</v>
      </c>
      <c r="L14">
        <v>9.8362270566352663</v>
      </c>
      <c r="M14">
        <v>13.834788414507061</v>
      </c>
      <c r="N14">
        <v>18.794108064461732</v>
      </c>
      <c r="O14" s="1" cm="1">
        <f t="array" ref="O14">TREND(G14:H14,$G$3:$H$3,$O$3)</f>
        <v>0.47998823363678866</v>
      </c>
    </row>
    <row r="15" spans="1:30">
      <c r="D15" t="s">
        <v>73</v>
      </c>
      <c r="E15">
        <v>-4.0659161443702848E-4</v>
      </c>
      <c r="F15">
        <v>0</v>
      </c>
      <c r="G15">
        <v>0.30015430668533766</v>
      </c>
      <c r="H15">
        <v>0.85718032600766059</v>
      </c>
      <c r="I15">
        <v>1.7178683971273003</v>
      </c>
      <c r="J15">
        <v>2.9184533668385377</v>
      </c>
      <c r="K15">
        <v>4.3857729178441325</v>
      </c>
      <c r="L15">
        <v>6.1381382889293086</v>
      </c>
      <c r="M15">
        <v>8.0490925845819721</v>
      </c>
      <c r="N15">
        <v>10.194076008816246</v>
      </c>
      <c r="O15" s="1" cm="1">
        <f t="array" ref="O15">TREND(G15:H15,$G$3:$H$3,$O$3)</f>
        <v>0.41155951054980733</v>
      </c>
    </row>
    <row r="16" spans="1:30">
      <c r="C16" t="s">
        <v>78</v>
      </c>
      <c r="D16" t="s">
        <v>76</v>
      </c>
      <c r="E16">
        <v>0</v>
      </c>
      <c r="F16">
        <v>17.677468415512056</v>
      </c>
      <c r="G16">
        <v>15.720972238171004</v>
      </c>
      <c r="H16">
        <v>12.268509014588348</v>
      </c>
      <c r="I16">
        <v>6.2388796343251451</v>
      </c>
      <c r="J16">
        <v>0</v>
      </c>
      <c r="K16">
        <v>0</v>
      </c>
      <c r="L16">
        <v>0</v>
      </c>
      <c r="M16">
        <v>0</v>
      </c>
      <c r="N16">
        <v>10.99453981188036</v>
      </c>
      <c r="O16" s="1" cm="1">
        <f t="array" ref="O16">TREND(G16:H16,$G$3:$H$3,$O$3)</f>
        <v>15.030479593454402</v>
      </c>
    </row>
    <row r="17" spans="2:15">
      <c r="D17" t="s">
        <v>76</v>
      </c>
      <c r="E17">
        <v>-1.1313579785926073</v>
      </c>
      <c r="F17">
        <v>73.222753281162269</v>
      </c>
      <c r="G17">
        <v>90.484545322944712</v>
      </c>
      <c r="H17">
        <v>110.81597108146802</v>
      </c>
      <c r="I17">
        <v>130.56927454927768</v>
      </c>
      <c r="J17">
        <v>148.47355644980473</v>
      </c>
      <c r="K17">
        <v>156.25083878575632</v>
      </c>
      <c r="L17">
        <v>161.22279733418949</v>
      </c>
      <c r="M17">
        <v>161.53123259201962</v>
      </c>
      <c r="N17">
        <v>152.39577222949507</v>
      </c>
      <c r="O17" s="1" cm="1">
        <f t="array" ref="O17">TREND(G17:H17,$G$3:$H$3,$O$3)</f>
        <v>94.550830474648137</v>
      </c>
    </row>
    <row r="18" spans="2:15">
      <c r="D18" t="s">
        <v>76</v>
      </c>
      <c r="E18">
        <v>-6.4436022887413449</v>
      </c>
      <c r="F18">
        <v>0.95607486904152661</v>
      </c>
      <c r="G18">
        <v>0.52944876357664628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s="1" cm="1">
        <f t="array" ref="O18">TREND(G18:H18,$G$3:$H$3,$O$3)</f>
        <v>0.42355901086131098</v>
      </c>
    </row>
    <row r="19" spans="2:15">
      <c r="D19" t="s">
        <v>72</v>
      </c>
      <c r="E19">
        <v>-7.6485989523311038E-2</v>
      </c>
      <c r="F19">
        <v>1.6626823007302522E-2</v>
      </c>
      <c r="G19">
        <v>0.34501934115684901</v>
      </c>
      <c r="H19">
        <v>0.81465858003545066</v>
      </c>
      <c r="I19">
        <v>1.4221839547582231</v>
      </c>
      <c r="J19">
        <v>2.1640743767089341</v>
      </c>
      <c r="K19">
        <v>2.9681177986453071</v>
      </c>
      <c r="L19">
        <v>3.8437110694321883</v>
      </c>
      <c r="M19">
        <v>4.7127089796924828</v>
      </c>
      <c r="N19">
        <v>5.6259879241692889</v>
      </c>
      <c r="O19" s="1" cm="1">
        <f t="array" ref="O19">TREND(G19:H19,$G$3:$H$3,$O$3)</f>
        <v>0.43894718893258755</v>
      </c>
    </row>
    <row r="20" spans="2:15">
      <c r="C20" t="s">
        <v>79</v>
      </c>
      <c r="D20" t="s">
        <v>71</v>
      </c>
      <c r="E20">
        <v>-1.7877160097449076E-2</v>
      </c>
      <c r="F20">
        <v>3.2247121658773468</v>
      </c>
      <c r="G20">
        <v>5.545923312508517</v>
      </c>
      <c r="H20">
        <v>9.0666115539878529</v>
      </c>
      <c r="I20">
        <v>13.709417202838809</v>
      </c>
      <c r="J20">
        <v>19.800515017820288</v>
      </c>
      <c r="K20">
        <v>26.976565407347469</v>
      </c>
      <c r="L20">
        <v>35.614339371447734</v>
      </c>
      <c r="M20">
        <v>45.240831980956109</v>
      </c>
      <c r="N20">
        <v>56.26119403109346</v>
      </c>
      <c r="O20" s="1" cm="1">
        <f t="array" ref="O20">TREND(G20:H20,$G$3:$H$3,$O$3)</f>
        <v>6.250060960804376</v>
      </c>
    </row>
    <row r="21" spans="2:15">
      <c r="D21" t="s">
        <v>77</v>
      </c>
      <c r="E21">
        <v>-0.19864226941801577</v>
      </c>
      <c r="F21">
        <v>1.936585180942386</v>
      </c>
      <c r="G21">
        <v>3.5810297986601078</v>
      </c>
      <c r="H21">
        <v>5.8718984632144995</v>
      </c>
      <c r="I21">
        <v>7.2609135555775888</v>
      </c>
      <c r="J21">
        <v>8.4239349562760637</v>
      </c>
      <c r="K21">
        <v>8.5410652092174164</v>
      </c>
      <c r="L21">
        <v>7.9458805159980139</v>
      </c>
      <c r="M21">
        <v>6.4201414585060492</v>
      </c>
      <c r="N21">
        <v>4.370698222930363</v>
      </c>
      <c r="O21" s="1" cm="1">
        <f t="array" ref="O21">TREND(G21:H21,$G$3:$H$3,$O$3)</f>
        <v>4.0392035315709336</v>
      </c>
    </row>
    <row r="22" spans="2:15">
      <c r="D22" t="s">
        <v>76</v>
      </c>
      <c r="E22">
        <v>-0.10225169755374314</v>
      </c>
      <c r="F22">
        <v>12.100873863169923</v>
      </c>
      <c r="G22">
        <v>18.066360483317158</v>
      </c>
      <c r="H22">
        <v>26.192433378187133</v>
      </c>
      <c r="I22">
        <v>36.068823831278287</v>
      </c>
      <c r="J22">
        <v>47.82419474249491</v>
      </c>
      <c r="K22">
        <v>60.220413687109009</v>
      </c>
      <c r="L22">
        <v>73.903934282534749</v>
      </c>
      <c r="M22">
        <v>87.703718138520159</v>
      </c>
      <c r="N22">
        <v>102.87951201666853</v>
      </c>
      <c r="O22" s="1" cm="1">
        <f t="array" ref="O22">TREND(G22:H22,$G$3:$H$3,$O$3)</f>
        <v>19.691575062291122</v>
      </c>
    </row>
    <row r="23" spans="2:15">
      <c r="D23" t="s">
        <v>70</v>
      </c>
      <c r="E23">
        <v>-0.74541382997115913</v>
      </c>
      <c r="F23">
        <v>16.892147048408027</v>
      </c>
      <c r="G23">
        <v>21.910720387073326</v>
      </c>
      <c r="H23">
        <v>27.473166333811726</v>
      </c>
      <c r="I23">
        <v>34.699667191359339</v>
      </c>
      <c r="J23">
        <v>42.013203432791038</v>
      </c>
      <c r="K23">
        <v>48.668942789590929</v>
      </c>
      <c r="L23">
        <v>54.531322097443834</v>
      </c>
      <c r="M23">
        <v>58.547068459565416</v>
      </c>
      <c r="N23">
        <v>61.273827009927587</v>
      </c>
      <c r="O23" s="1" cm="1">
        <f t="array" ref="O23">TREND(G23:H23,$G$3:$H$3,$O$3)</f>
        <v>23.023209576421323</v>
      </c>
    </row>
    <row r="24" spans="2:15">
      <c r="D24" t="s">
        <v>72</v>
      </c>
      <c r="E24">
        <v>-0.85217654910348684</v>
      </c>
      <c r="F24">
        <v>3.4663961587205507E-2</v>
      </c>
      <c r="G24">
        <v>0.17466500857894521</v>
      </c>
      <c r="H24">
        <v>0.43142484665894176</v>
      </c>
      <c r="I24">
        <v>0.83949248175012969</v>
      </c>
      <c r="J24">
        <v>1.4384621074891051</v>
      </c>
      <c r="K24">
        <v>2.2210198146970868</v>
      </c>
      <c r="L24">
        <v>3.2284856708060437</v>
      </c>
      <c r="M24">
        <v>4.4280099880483341</v>
      </c>
      <c r="N24">
        <v>5.8941387092883044</v>
      </c>
      <c r="O24" s="1" cm="1">
        <f t="array" ref="O24">TREND(G24:H24,$G$3:$H$3,$O$3)</f>
        <v>0.22601697619494132</v>
      </c>
    </row>
    <row r="25" spans="2:15">
      <c r="C25" t="s">
        <v>80</v>
      </c>
      <c r="D25" t="s">
        <v>71</v>
      </c>
      <c r="E25">
        <v>0</v>
      </c>
      <c r="F25">
        <v>1.01226304063543</v>
      </c>
      <c r="G25">
        <v>1.6129234139835842</v>
      </c>
      <c r="H25">
        <v>2.5319869869082297</v>
      </c>
      <c r="I25">
        <v>3.9591210386195694</v>
      </c>
      <c r="J25">
        <v>5.8715495590818865</v>
      </c>
      <c r="K25">
        <v>8.1729940517875175</v>
      </c>
      <c r="L25">
        <v>10.983275064982148</v>
      </c>
      <c r="M25">
        <v>14.162189235977507</v>
      </c>
      <c r="N25">
        <v>17.786156209656887</v>
      </c>
      <c r="O25" s="1" cm="1">
        <f t="array" ref="O25">TREND(G25:H25,$G$3:$H$3,$O$3)</f>
        <v>1.7967361285685683</v>
      </c>
    </row>
    <row r="26" spans="2:15">
      <c r="D26" t="s">
        <v>77</v>
      </c>
      <c r="E26">
        <v>-3.1582606867820835E-2</v>
      </c>
      <c r="F26">
        <v>0.49718746373786288</v>
      </c>
      <c r="G26">
        <v>0.68980006825978413</v>
      </c>
      <c r="H26">
        <v>0.93792421181708086</v>
      </c>
      <c r="I26">
        <v>1.2231728887833915</v>
      </c>
      <c r="J26">
        <v>1.5203971825752682</v>
      </c>
      <c r="K26">
        <v>1.6938234049356735</v>
      </c>
      <c r="L26">
        <v>1.835331584932747</v>
      </c>
      <c r="M26">
        <v>1.9725906435825808</v>
      </c>
      <c r="N26">
        <v>2.0170709751080125</v>
      </c>
      <c r="O26" s="1" cm="1">
        <f t="array" ref="O26">TREND(G26:H26,$G$3:$H$3,$O$3)</f>
        <v>0.73942489697125779</v>
      </c>
    </row>
    <row r="27" spans="2:15">
      <c r="D27" t="s">
        <v>70</v>
      </c>
      <c r="E27">
        <v>-1.551224886861907E-2</v>
      </c>
      <c r="F27">
        <v>45.209686601359742</v>
      </c>
      <c r="G27">
        <v>62.711581928629727</v>
      </c>
      <c r="H27">
        <v>85.107596913946793</v>
      </c>
      <c r="I27">
        <v>109.99477514557802</v>
      </c>
      <c r="J27">
        <v>137.2769718998604</v>
      </c>
      <c r="K27">
        <v>163.09094142382563</v>
      </c>
      <c r="L27">
        <v>188.90134784262804</v>
      </c>
      <c r="M27">
        <v>211.39760779613633</v>
      </c>
      <c r="N27">
        <v>233.89530380831448</v>
      </c>
      <c r="O27" s="1" cm="1">
        <f t="array" ref="O27">TREND(G27:H27,$G$3:$H$3,$O$3)</f>
        <v>67.190784925693151</v>
      </c>
    </row>
    <row r="28" spans="2:15">
      <c r="D28" t="s">
        <v>72</v>
      </c>
      <c r="E28">
        <v>-1.1754518516351826</v>
      </c>
      <c r="F28">
        <v>0</v>
      </c>
      <c r="G28">
        <v>0.15062138500824779</v>
      </c>
      <c r="H28">
        <v>0.42436707860729278</v>
      </c>
      <c r="I28">
        <v>0.85709595811285466</v>
      </c>
      <c r="J28">
        <v>1.488129682845869</v>
      </c>
      <c r="K28">
        <v>2.3078377308903484</v>
      </c>
      <c r="L28">
        <v>3.3567952220449637</v>
      </c>
      <c r="M28">
        <v>4.5988825677900946</v>
      </c>
      <c r="N28">
        <v>6.1098229920349629</v>
      </c>
      <c r="O28" s="1" cm="1">
        <f t="array" ref="O28">TREND(G28:H28,$G$3:$H$3,$O$3)</f>
        <v>0.20537052372806386</v>
      </c>
    </row>
    <row r="29" spans="2:15">
      <c r="B29" t="s">
        <v>81</v>
      </c>
      <c r="E29">
        <v>0</v>
      </c>
      <c r="F29">
        <v>14.468593420971386</v>
      </c>
      <c r="G29">
        <v>14.490010946751223</v>
      </c>
      <c r="H29">
        <v>14.402322444367057</v>
      </c>
      <c r="I29">
        <v>13.876501123151177</v>
      </c>
      <c r="J29">
        <v>13.166412465349563</v>
      </c>
      <c r="K29">
        <v>11.999437457868284</v>
      </c>
      <c r="L29">
        <v>10.757265951886748</v>
      </c>
      <c r="M29">
        <v>9.3975017557018052</v>
      </c>
      <c r="N29">
        <v>5.9557129871338823</v>
      </c>
      <c r="O29" s="1" cm="1">
        <f t="array" ref="O29">TREND(G29:H29,$G$3:$H$3,$O$3)</f>
        <v>14.47247324627439</v>
      </c>
    </row>
    <row r="30" spans="2:15">
      <c r="E30">
        <v>-213.40479252570435</v>
      </c>
      <c r="F30">
        <v>72.478843021493972</v>
      </c>
      <c r="G30">
        <v>85.622464084878359</v>
      </c>
      <c r="H30">
        <v>100.92670241929183</v>
      </c>
      <c r="I30">
        <v>114.86125095891295</v>
      </c>
      <c r="J30">
        <v>126.68443807430519</v>
      </c>
      <c r="K30">
        <v>134.20816743055641</v>
      </c>
      <c r="L30">
        <v>139.85635719752551</v>
      </c>
      <c r="M30">
        <v>142.02178550333878</v>
      </c>
      <c r="N30">
        <v>179.35841845837825</v>
      </c>
      <c r="O30" s="1" cm="1">
        <f t="array" ref="O30">TREND(G30:H30,$G$3:$H$3,$O$3)</f>
        <v>88.683311751760812</v>
      </c>
    </row>
    <row r="31" spans="2:15">
      <c r="B31" t="s">
        <v>82</v>
      </c>
      <c r="E31">
        <v>-8.6481916564376586</v>
      </c>
      <c r="F31">
        <v>19.434845833849657</v>
      </c>
      <c r="G31">
        <v>31.367065491953127</v>
      </c>
      <c r="H31">
        <v>47.893175649045617</v>
      </c>
      <c r="I31">
        <v>68.404045999203291</v>
      </c>
      <c r="J31">
        <v>93.157417471163853</v>
      </c>
      <c r="K31">
        <v>119.69299757685498</v>
      </c>
      <c r="L31">
        <v>149.18247343258079</v>
      </c>
      <c r="M31">
        <v>179.18533525937679</v>
      </c>
      <c r="N31">
        <v>212.18776108162561</v>
      </c>
      <c r="O31" s="1" cm="1">
        <f t="array" ref="O31">TREND(G31:H31,$G$3:$H$3,$O$3)</f>
        <v>34.672287523371779</v>
      </c>
    </row>
    <row r="32" spans="2:15">
      <c r="B32" t="s">
        <v>320</v>
      </c>
      <c r="E32">
        <v>-313.35234964222911</v>
      </c>
      <c r="F32">
        <v>571.81410221218516</v>
      </c>
      <c r="G32">
        <v>740.0021433784085</v>
      </c>
      <c r="H32">
        <v>949.37060916022926</v>
      </c>
      <c r="I32">
        <v>1173.6564514556912</v>
      </c>
      <c r="J32">
        <v>1411.8988255629579</v>
      </c>
      <c r="K32">
        <v>1629.3382091348719</v>
      </c>
      <c r="L32">
        <v>1843.9290850621769</v>
      </c>
      <c r="M32">
        <v>2027.8168372886655</v>
      </c>
      <c r="N32">
        <v>2250.6670565810764</v>
      </c>
      <c r="O32" s="1" cm="1">
        <f t="array" ref="O32">TREND(G32:H32,$G$3:$H$3,$O$3)</f>
        <v>781.87583653477486</v>
      </c>
    </row>
    <row r="35" spans="1:8">
      <c r="A35" s="133"/>
      <c r="B35" s="133" t="s">
        <v>77</v>
      </c>
      <c r="C35" s="133" t="s">
        <v>76</v>
      </c>
      <c r="D35" s="133" t="s">
        <v>70</v>
      </c>
      <c r="G35" s="133" t="s">
        <v>328</v>
      </c>
      <c r="H35" s="133" t="s">
        <v>329</v>
      </c>
    </row>
    <row r="36" spans="1:8">
      <c r="A36" s="133" t="s">
        <v>325</v>
      </c>
      <c r="B36" s="133">
        <f>O13/SUMIFS($O$4:$O$32,$D$4:$D$32,$B$35)</f>
        <v>0.40457159853875446</v>
      </c>
      <c r="C36" s="133">
        <f>O10/SUMIFS($O$4:$O$32,$D$4:$D$32,$C$35)</f>
        <v>0.44389266511787118</v>
      </c>
      <c r="D36" s="133">
        <f>O11/(SUMIFS($O$4:$O$32,$D$4:$D$32,$D$35)+SUM($AD$4:$AD$5))</f>
        <v>5.4710514249744199E-2</v>
      </c>
      <c r="F36" s="133" t="s">
        <v>302</v>
      </c>
      <c r="G36">
        <f>O31/SUM(O31,AD8)</f>
        <v>0.96112653124653147</v>
      </c>
      <c r="H36">
        <f>1-G36</f>
        <v>3.8873468753468532E-2</v>
      </c>
    </row>
    <row r="37" spans="1:8">
      <c r="A37" s="133" t="s">
        <v>326</v>
      </c>
      <c r="B37" s="133">
        <f>O26/SUMIFS($O$4:$O$32,$D$4:$D$32,$B$35)</f>
        <v>9.2134090563420534E-2</v>
      </c>
      <c r="C37" s="133">
        <v>0</v>
      </c>
      <c r="D37" s="133">
        <f>O27/(SUMIFS($O$4:$O$32,$D$4:$D$32,$D$35)+SUM($AD$4:$AD$5))</f>
        <v>8.2945349811973837E-2</v>
      </c>
      <c r="F37" t="s">
        <v>301</v>
      </c>
      <c r="G37">
        <f>O29/SUM(O29,AD6)</f>
        <v>0.48718442390610117</v>
      </c>
      <c r="H37">
        <f>1-G37</f>
        <v>0.51281557609389883</v>
      </c>
    </row>
    <row r="38" spans="1:8">
      <c r="A38" s="133" t="s">
        <v>78</v>
      </c>
      <c r="B38" s="133">
        <v>0</v>
      </c>
      <c r="C38" s="133">
        <f>SUM(O16:O18)/SUMIFS($O$4:$O$32,$D$4:$D$32,$C$35)</f>
        <v>0.47167457036010724</v>
      </c>
      <c r="D38" s="133">
        <v>0</v>
      </c>
    </row>
    <row r="39" spans="1:8">
      <c r="A39" s="133" t="s">
        <v>79</v>
      </c>
      <c r="B39" s="133">
        <f>O21/SUMIFS($O$4:$O$32,$D$4:$D$32,$B$35)</f>
        <v>0.50329431089782506</v>
      </c>
      <c r="C39" s="133">
        <f>O22/SUMIFS($O$4:$O$32,$D$4:$D$32,$C$35)</f>
        <v>8.4432764522021572E-2</v>
      </c>
      <c r="D39" s="133">
        <f>O23/(SUMIFS($O$4:$O$32,$D$4:$D$32,$D$35)+SUM($AD$4:$AD$5))</f>
        <v>2.8421578557574087E-2</v>
      </c>
    </row>
    <row r="40" spans="1:8">
      <c r="A40" s="133" t="s">
        <v>327</v>
      </c>
      <c r="B40" s="133">
        <v>0</v>
      </c>
      <c r="C40" s="133">
        <v>0</v>
      </c>
      <c r="D40" s="133">
        <f>SUM(O4,O8)/(SUMIFS($O$4:$O$32,$D$4:$D$32,$D$35)+SUM($AD$4:$AD$5))</f>
        <v>0.30408552545674117</v>
      </c>
    </row>
    <row r="41" spans="1:8">
      <c r="A41" s="133" t="s">
        <v>92</v>
      </c>
      <c r="B41" s="133">
        <v>0</v>
      </c>
      <c r="C41" s="133">
        <v>0</v>
      </c>
      <c r="D41" s="133">
        <f>AD5/(SUMIFS($O$4:$O$32,$D$4:$D$32,$D$35)+SUM($AD$4:$AD$5))</f>
        <v>7.5735357479453133E-2</v>
      </c>
    </row>
    <row r="42" spans="1:8">
      <c r="A42" s="133" t="s">
        <v>91</v>
      </c>
      <c r="B42" s="133">
        <v>0</v>
      </c>
      <c r="C42" s="133">
        <v>0</v>
      </c>
      <c r="D42" s="133">
        <f>AD4/(SUMIFS($O$4:$O$32,$D$4:$D$32,$D$35)+SUM($AD$4:$AD$5))</f>
        <v>0.4541016744445136</v>
      </c>
    </row>
    <row r="44" spans="1:8" ht="30">
      <c r="A44" s="13" t="s">
        <v>103</v>
      </c>
      <c r="B44" s="15"/>
      <c r="C44" s="15"/>
      <c r="D44" s="15"/>
      <c r="E44" s="15"/>
      <c r="F44" s="15"/>
      <c r="G44" s="15"/>
      <c r="H44" s="15"/>
    </row>
    <row r="45" spans="1:8" ht="75">
      <c r="A45" s="13" t="s">
        <v>45</v>
      </c>
      <c r="B45" s="134" t="s">
        <v>3</v>
      </c>
      <c r="C45" s="134" t="s">
        <v>4</v>
      </c>
      <c r="D45" s="134" t="s">
        <v>5</v>
      </c>
      <c r="E45" s="134" t="s">
        <v>6</v>
      </c>
      <c r="F45" s="134" t="s">
        <v>7</v>
      </c>
      <c r="G45" s="134" t="s">
        <v>46</v>
      </c>
      <c r="H45" s="134" t="s">
        <v>47</v>
      </c>
    </row>
    <row r="46" spans="1:8">
      <c r="A46" s="15" t="s">
        <v>16</v>
      </c>
      <c r="B46" s="135"/>
      <c r="C46" s="135"/>
      <c r="D46" s="135">
        <f>'Min. of Petr. &amp; NG'!$C$212*'IESS Energy'!C36</f>
        <v>493338769403181.56</v>
      </c>
      <c r="E46" s="135">
        <f>'Min. of Petr. &amp; NG'!$E$212*D36</f>
        <v>163093085373527.63</v>
      </c>
      <c r="F46" s="135"/>
      <c r="G46" s="135">
        <f>'Min. of Petr. &amp; NG'!$B$212*B36</f>
        <v>3345349650854.9131</v>
      </c>
      <c r="H46" s="135"/>
    </row>
    <row r="47" spans="1:8">
      <c r="A47" s="15" t="s">
        <v>9</v>
      </c>
      <c r="B47" s="135"/>
      <c r="C47" s="135"/>
      <c r="D47" s="135"/>
      <c r="E47" s="135">
        <f>'Min. of Petr. &amp; NG'!$E$212*D40</f>
        <v>906484745103674</v>
      </c>
      <c r="F47" s="135"/>
      <c r="G47" s="135"/>
      <c r="H47" s="135"/>
    </row>
    <row r="48" spans="1:8">
      <c r="A48" s="15" t="s">
        <v>8</v>
      </c>
      <c r="B48" s="15"/>
      <c r="C48" s="15"/>
      <c r="D48" s="15"/>
      <c r="E48" s="138">
        <f>('Min. of Petr. &amp; NG'!D213+'Min. of Petr. &amp; NG'!E213)*G36</f>
        <v>299360994825018.56</v>
      </c>
      <c r="F48" s="15"/>
      <c r="G48" s="15"/>
      <c r="H48" s="15"/>
    </row>
    <row r="49" spans="1:8">
      <c r="A49" s="15" t="s">
        <v>17</v>
      </c>
      <c r="B49" s="136"/>
      <c r="C49" s="15"/>
      <c r="D49" s="15"/>
      <c r="E49" s="135">
        <f>'Min. of Petr. &amp; NG'!$E$214*'IESS Energy'!G37</f>
        <v>52749611178655.07</v>
      </c>
      <c r="F49" s="15"/>
      <c r="G49" s="15"/>
      <c r="H49" s="15"/>
    </row>
    <row r="50" spans="1:8">
      <c r="A50" s="15" t="s">
        <v>18</v>
      </c>
      <c r="B50" s="15"/>
      <c r="C50" s="15"/>
      <c r="D50" s="135"/>
      <c r="E50" s="135">
        <f>'Min. of Petr. &amp; NG'!$E$212*D37</f>
        <v>247261668140591.69</v>
      </c>
      <c r="F50" s="135"/>
      <c r="G50" s="135"/>
      <c r="H50" s="135"/>
    </row>
    <row r="51" spans="1:8" ht="30">
      <c r="A51" s="15" t="s">
        <v>19</v>
      </c>
      <c r="B51" s="135"/>
      <c r="C51" s="135"/>
      <c r="D51" s="135">
        <f>'Min. of Petr. &amp; NG'!$C$212*'IESS Energy'!C38</f>
        <v>524215357418532.25</v>
      </c>
      <c r="E51" s="135"/>
      <c r="F51" s="135"/>
      <c r="G51" s="135"/>
      <c r="H51" s="135"/>
    </row>
    <row r="52" spans="1:8">
      <c r="A52" s="15"/>
      <c r="B52" s="15"/>
      <c r="C52" s="15"/>
      <c r="D52" s="15"/>
      <c r="E52" s="15"/>
      <c r="F52" s="15"/>
      <c r="G52" s="15"/>
      <c r="H52" s="15"/>
    </row>
    <row r="53" spans="1:8">
      <c r="A53" s="13" t="s">
        <v>104</v>
      </c>
      <c r="B53" s="15"/>
      <c r="C53" s="15"/>
      <c r="D53" s="15"/>
      <c r="E53" s="15"/>
      <c r="F53" s="15"/>
      <c r="G53" s="15"/>
      <c r="H53" s="15"/>
    </row>
    <row r="54" spans="1:8" ht="75">
      <c r="A54" s="13" t="s">
        <v>45</v>
      </c>
      <c r="B54" s="134" t="s">
        <v>3</v>
      </c>
      <c r="C54" s="134" t="s">
        <v>4</v>
      </c>
      <c r="D54" s="134" t="s">
        <v>5</v>
      </c>
      <c r="E54" s="134" t="s">
        <v>6</v>
      </c>
      <c r="F54" s="134" t="s">
        <v>7</v>
      </c>
      <c r="G54" s="134" t="s">
        <v>46</v>
      </c>
      <c r="H54" s="134" t="s">
        <v>47</v>
      </c>
    </row>
    <row r="55" spans="1:8">
      <c r="A55" s="15" t="s">
        <v>16</v>
      </c>
      <c r="B55" s="135"/>
      <c r="C55" s="135"/>
      <c r="D55" s="135"/>
      <c r="E55" s="135">
        <f>'Min. of Petr. &amp; NG'!$E$212*D41</f>
        <v>225768543625941.78</v>
      </c>
      <c r="F55" s="135"/>
      <c r="G55" s="135"/>
      <c r="H55" s="135"/>
    </row>
    <row r="56" spans="1:8">
      <c r="A56" s="15" t="s">
        <v>9</v>
      </c>
      <c r="B56" s="135"/>
      <c r="C56" s="135"/>
      <c r="D56" s="135"/>
      <c r="E56" s="135">
        <f>'Min. of Petr. &amp; NG'!$E$212*D42</f>
        <v>1353685743481878.8</v>
      </c>
      <c r="F56" s="135"/>
      <c r="G56" s="135"/>
      <c r="H56" s="135"/>
    </row>
    <row r="57" spans="1:8">
      <c r="A57" s="15" t="s">
        <v>8</v>
      </c>
      <c r="B57" s="15"/>
      <c r="C57" s="15"/>
      <c r="D57" s="15"/>
      <c r="E57" s="138">
        <f>('Min. of Petr. &amp; NG'!D213+'Min. of Petr. &amp; NG'!E213)*H36</f>
        <v>12107875394142.711</v>
      </c>
      <c r="F57" s="15"/>
      <c r="G57" s="15"/>
      <c r="H57" s="15"/>
    </row>
    <row r="58" spans="1:8">
      <c r="A58" s="15" t="s">
        <v>17</v>
      </c>
      <c r="B58" s="136"/>
      <c r="C58" s="15"/>
      <c r="D58" s="15"/>
      <c r="E58" s="135">
        <f>'Min. of Petr. &amp; NG'!$E$214*H37</f>
        <v>55524809328725.336</v>
      </c>
      <c r="F58" s="15"/>
      <c r="G58" s="15"/>
      <c r="H58" s="15"/>
    </row>
    <row r="59" spans="1:8">
      <c r="A59" s="15" t="s">
        <v>18</v>
      </c>
      <c r="B59" s="15"/>
      <c r="C59" s="15"/>
      <c r="D59" s="135"/>
      <c r="E59" s="136">
        <f>SUM('Min. of Petr. &amp; NG'!E215:F215)</f>
        <v>48139230392475.047</v>
      </c>
      <c r="F59" s="135"/>
      <c r="G59" s="15"/>
      <c r="H59" s="135"/>
    </row>
    <row r="60" spans="1:8" ht="30">
      <c r="A60" s="15" t="s">
        <v>19</v>
      </c>
      <c r="B60" s="135"/>
      <c r="C60" s="135"/>
      <c r="D60" s="135">
        <f>'Min. of Petr. &amp; NG'!$C$212*'IESS Energy'!C39</f>
        <v>93837901411463.844</v>
      </c>
      <c r="E60" s="135">
        <f>'Min. of Petr. &amp; NG'!$E$212*D39</f>
        <v>84725267194185.172</v>
      </c>
      <c r="F60" s="135"/>
      <c r="G60" s="135">
        <f>'Min. of Petr. &amp; NG'!$B$212*B39</f>
        <v>4161674851424.4004</v>
      </c>
      <c r="H60" s="135"/>
    </row>
    <row r="62" spans="1:8">
      <c r="E62" s="1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7F3C0-F105-43A9-9C08-02C395AC4DC5}">
  <dimension ref="A1:H17"/>
  <sheetViews>
    <sheetView workbookViewId="0">
      <selection activeCell="B12" sqref="B12:H17"/>
    </sheetView>
  </sheetViews>
  <sheetFormatPr defaultRowHeight="15"/>
  <cols>
    <col min="1" max="1" width="22.140625" style="15" customWidth="1"/>
    <col min="2" max="2" width="9.5703125" style="15" bestFit="1" customWidth="1"/>
    <col min="3" max="6" width="9.140625" style="15"/>
    <col min="7" max="7" width="9.5703125" style="15" bestFit="1" customWidth="1"/>
    <col min="8" max="16384" width="9.140625" style="15"/>
  </cols>
  <sheetData>
    <row r="1" spans="1:8">
      <c r="A1" s="13" t="s">
        <v>103</v>
      </c>
    </row>
    <row r="2" spans="1:8" ht="45">
      <c r="A2" s="13" t="s">
        <v>45</v>
      </c>
      <c r="B2" s="134" t="s">
        <v>3</v>
      </c>
      <c r="C2" s="134" t="s">
        <v>4</v>
      </c>
      <c r="D2" s="134" t="s">
        <v>5</v>
      </c>
      <c r="E2" s="134" t="s">
        <v>6</v>
      </c>
      <c r="F2" s="134" t="s">
        <v>7</v>
      </c>
      <c r="G2" s="134" t="s">
        <v>46</v>
      </c>
      <c r="H2" s="134" t="s">
        <v>47</v>
      </c>
    </row>
    <row r="3" spans="1:8">
      <c r="A3" s="15" t="s">
        <v>16</v>
      </c>
      <c r="B3" s="135" t="str">
        <f>IFERROR('Cargo Distance Transported'!B3/'IESS Energy'!B46,"")</f>
        <v/>
      </c>
      <c r="C3" s="135" t="str">
        <f>IFERROR('Cargo Distance Transported'!C3/'IESS Energy'!C46,"")</f>
        <v/>
      </c>
      <c r="D3" s="135">
        <f>IFERROR('Cargo Distance Transported'!D3/'IESS Energy'!D46,"")</f>
        <v>6.665507600111248E-4</v>
      </c>
      <c r="E3" s="135">
        <f>IFERROR('Cargo Distance Transported'!E3/'IESS Energy'!E46,"")</f>
        <v>6.3407151239121111E-4</v>
      </c>
      <c r="F3" s="135" t="str">
        <f>IFERROR('Cargo Distance Transported'!F3/'IESS Energy'!F46,"")</f>
        <v/>
      </c>
      <c r="G3" s="135">
        <f>IFERROR('Cargo Distance Transported'!G3/'IESS Energy'!G46,"")</f>
        <v>3.6400433265554818E-3</v>
      </c>
      <c r="H3" s="135" t="str">
        <f>IFERROR('Cargo Distance Transported'!H3/'IESS Energy'!H46,"")</f>
        <v/>
      </c>
    </row>
    <row r="4" spans="1:8">
      <c r="A4" s="15" t="s">
        <v>9</v>
      </c>
      <c r="B4" s="135" t="str">
        <f>IFERROR('Cargo Distance Transported'!B4/'IESS Energy'!B47,"")</f>
        <v/>
      </c>
      <c r="C4" s="135" t="str">
        <f>IFERROR('Cargo Distance Transported'!C4/'IESS Energy'!C47,"")</f>
        <v/>
      </c>
      <c r="D4" s="135" t="str">
        <f>IFERROR('Cargo Distance Transported'!D4/'IESS Energy'!D47,"")</f>
        <v/>
      </c>
      <c r="E4" s="135">
        <f>IFERROR('Cargo Distance Transported'!E4/'IESS Energy'!E47,"")</f>
        <v>3.9637789717742308E-3</v>
      </c>
      <c r="F4" s="135" t="str">
        <f>IFERROR('Cargo Distance Transported'!F4/'IESS Energy'!F47,"")</f>
        <v/>
      </c>
      <c r="G4" s="135" t="str">
        <f>IFERROR('Cargo Distance Transported'!G4/'IESS Energy'!G47,"")</f>
        <v/>
      </c>
      <c r="H4" s="135" t="str">
        <f>IFERROR('Cargo Distance Transported'!H4/'IESS Energy'!H47,"")</f>
        <v/>
      </c>
    </row>
    <row r="5" spans="1:8">
      <c r="A5" s="15" t="s">
        <v>8</v>
      </c>
      <c r="B5" s="135" t="str">
        <f>IFERROR('Cargo Distance Transported'!B5/'IESS Energy'!B48,"")</f>
        <v/>
      </c>
      <c r="C5" s="135" t="str">
        <f>IFERROR('Cargo Distance Transported'!C5/'IESS Energy'!C48,"")</f>
        <v/>
      </c>
      <c r="D5" s="135" t="str">
        <f>IFERROR('Cargo Distance Transported'!D5/'IESS Energy'!D48,"")</f>
        <v/>
      </c>
      <c r="E5" s="135">
        <f>IFERROR('Cargo Distance Transported'!E5/'IESS Energy'!E48,"")</f>
        <v>2.0662507983065391E-4</v>
      </c>
      <c r="F5" s="135" t="str">
        <f>IFERROR('Cargo Distance Transported'!F5/'IESS Energy'!F48,"")</f>
        <v/>
      </c>
      <c r="G5" s="135" t="str">
        <f>IFERROR('Cargo Distance Transported'!G5/'IESS Energy'!G48,"")</f>
        <v/>
      </c>
      <c r="H5" s="135" t="str">
        <f>IFERROR('Cargo Distance Transported'!H5/'IESS Energy'!H48,"")</f>
        <v/>
      </c>
    </row>
    <row r="6" spans="1:8">
      <c r="A6" s="15" t="s">
        <v>17</v>
      </c>
      <c r="B6" s="135" t="str">
        <f>IFERROR('Cargo Distance Transported'!B6/'IESS Energy'!B49,"")</f>
        <v/>
      </c>
      <c r="C6" s="135" t="str">
        <f>IFERROR('Cargo Distance Transported'!C6/'IESS Energy'!C49,"")</f>
        <v/>
      </c>
      <c r="D6" s="135" t="str">
        <f>IFERROR('Cargo Distance Transported'!D6/'IESS Energy'!D49,"")</f>
        <v/>
      </c>
      <c r="E6" s="135">
        <f>IFERROR('Cargo Distance Transported'!E6/'IESS Energy'!E49,"")</f>
        <v>8.1484755223861487E-3</v>
      </c>
      <c r="F6" s="135" t="str">
        <f>IFERROR('Cargo Distance Transported'!F6/'IESS Energy'!F49,"")</f>
        <v/>
      </c>
      <c r="G6" s="135" t="str">
        <f>IFERROR('Cargo Distance Transported'!G6/'IESS Energy'!G49,"")</f>
        <v/>
      </c>
      <c r="H6" s="135" t="str">
        <f>IFERROR('Cargo Distance Transported'!H6/'IESS Energy'!H49,"")</f>
        <v/>
      </c>
    </row>
    <row r="7" spans="1:8">
      <c r="A7" s="15" t="s">
        <v>18</v>
      </c>
      <c r="B7" s="135" t="str">
        <f>IFERROR('Cargo Distance Transported'!B7/'IESS Energy'!B50,"")</f>
        <v/>
      </c>
      <c r="C7" s="135" t="str">
        <f>IFERROR('Cargo Distance Transported'!C7/'IESS Energy'!C50,"")</f>
        <v/>
      </c>
      <c r="D7" s="135" t="str">
        <f>IFERROR('Cargo Distance Transported'!D7/'IESS Energy'!D50,"")</f>
        <v/>
      </c>
      <c r="E7" s="135">
        <f>IFERROR('Cargo Distance Transported'!E7/'IESS Energy'!E50,"")</f>
        <v>4.6395749891345816E-4</v>
      </c>
      <c r="F7" s="135" t="str">
        <f>IFERROR('Cargo Distance Transported'!F7/'IESS Energy'!F50,"")</f>
        <v/>
      </c>
      <c r="G7" s="135" t="str">
        <f>IFERROR('Cargo Distance Transported'!G7/'IESS Energy'!G50,"")</f>
        <v/>
      </c>
      <c r="H7" s="135" t="str">
        <f>IFERROR('Cargo Distance Transported'!H7/'IESS Energy'!H50,"")</f>
        <v/>
      </c>
    </row>
    <row r="8" spans="1:8">
      <c r="A8" s="15" t="s">
        <v>19</v>
      </c>
      <c r="B8" s="135" t="str">
        <f>IFERROR('Cargo Distance Transported'!B8/'IESS Energy'!B51,"")</f>
        <v/>
      </c>
      <c r="C8" s="135" t="str">
        <f>IFERROR('Cargo Distance Transported'!C8/'IESS Energy'!C51,"")</f>
        <v/>
      </c>
      <c r="D8" s="135">
        <f>IFERROR('Cargo Distance Transported'!D8/'IESS Energy'!D51,"")</f>
        <v>1.2205149683114798E-3</v>
      </c>
      <c r="E8" s="135" t="str">
        <f>IFERROR('Cargo Distance Transported'!E8/'IESS Energy'!E51,"")</f>
        <v/>
      </c>
      <c r="F8" s="135" t="str">
        <f>IFERROR('Cargo Distance Transported'!F8/'IESS Energy'!F51,"")</f>
        <v/>
      </c>
      <c r="G8" s="135" t="str">
        <f>IFERROR('Cargo Distance Transported'!G8/'IESS Energy'!G51,"")</f>
        <v/>
      </c>
      <c r="H8" s="135" t="str">
        <f>IFERROR('Cargo Distance Transported'!H8/'IESS Energy'!H51,"")</f>
        <v/>
      </c>
    </row>
    <row r="10" spans="1:8">
      <c r="A10" s="13" t="s">
        <v>104</v>
      </c>
    </row>
    <row r="11" spans="1:8" ht="45">
      <c r="A11" s="13" t="s">
        <v>45</v>
      </c>
      <c r="B11" s="134" t="s">
        <v>3</v>
      </c>
      <c r="C11" s="134" t="s">
        <v>4</v>
      </c>
      <c r="D11" s="134" t="s">
        <v>5</v>
      </c>
      <c r="E11" s="134" t="s">
        <v>6</v>
      </c>
      <c r="F11" s="134" t="s">
        <v>7</v>
      </c>
      <c r="G11" s="134" t="s">
        <v>46</v>
      </c>
      <c r="H11" s="134" t="s">
        <v>47</v>
      </c>
    </row>
    <row r="12" spans="1:8">
      <c r="A12" s="15" t="s">
        <v>16</v>
      </c>
      <c r="B12" s="135" t="str">
        <f>IFERROR('Cargo Distance Transported'!B12/'IESS Energy'!B55,"")</f>
        <v/>
      </c>
      <c r="C12" s="135" t="str">
        <f>IFERROR('Cargo Distance Transported'!C12/'IESS Energy'!C55,"")</f>
        <v/>
      </c>
      <c r="D12" s="135" t="str">
        <f>IFERROR('Cargo Distance Transported'!D12/'IESS Energy'!D55,"")</f>
        <v/>
      </c>
      <c r="E12" s="135">
        <f>IFERROR('Cargo Distance Transported'!E12/'IESS Energy'!E55,"")</f>
        <v>3.3479349872917922E-4</v>
      </c>
      <c r="F12" s="135" t="str">
        <f>IFERROR('Cargo Distance Transported'!F12/'IESS Energy'!F55,"")</f>
        <v/>
      </c>
      <c r="G12" s="135" t="str">
        <f>IFERROR('Cargo Distance Transported'!G12/'IESS Energy'!G55,"")</f>
        <v/>
      </c>
      <c r="H12" s="135" t="str">
        <f>IFERROR('Cargo Distance Transported'!H12/'IESS Energy'!H55,"")</f>
        <v/>
      </c>
    </row>
    <row r="13" spans="1:8">
      <c r="A13" s="15" t="s">
        <v>9</v>
      </c>
      <c r="B13" s="135" t="str">
        <f>IFERROR('Cargo Distance Transported'!B13/'IESS Energy'!B56,"")</f>
        <v/>
      </c>
      <c r="C13" s="135" t="str">
        <f>IFERROR('Cargo Distance Transported'!C13/'IESS Energy'!C56,"")</f>
        <v/>
      </c>
      <c r="D13" s="135" t="str">
        <f>IFERROR('Cargo Distance Transported'!D13/'IESS Energy'!D56,"")</f>
        <v/>
      </c>
      <c r="E13" s="135">
        <f>IFERROR('Cargo Distance Transported'!E13/'IESS Energy'!E56,"")</f>
        <v>5.8678158639234492E-4</v>
      </c>
      <c r="F13" s="135" t="str">
        <f>IFERROR('Cargo Distance Transported'!F13/'IESS Energy'!F56,"")</f>
        <v/>
      </c>
      <c r="G13" s="135" t="str">
        <f>IFERROR('Cargo Distance Transported'!G13/'IESS Energy'!G56,"")</f>
        <v/>
      </c>
      <c r="H13" s="135" t="str">
        <f>IFERROR('Cargo Distance Transported'!H13/'IESS Energy'!H56,"")</f>
        <v/>
      </c>
    </row>
    <row r="14" spans="1:8">
      <c r="A14" s="15" t="s">
        <v>8</v>
      </c>
      <c r="B14" s="135" t="str">
        <f>IFERROR('Cargo Distance Transported'!B14/'IESS Energy'!B57,"")</f>
        <v/>
      </c>
      <c r="C14" s="135" t="str">
        <f>IFERROR('Cargo Distance Transported'!C14/'IESS Energy'!C57,"")</f>
        <v/>
      </c>
      <c r="D14" s="135" t="str">
        <f>IFERROR('Cargo Distance Transported'!D14/'IESS Energy'!D57,"")</f>
        <v/>
      </c>
      <c r="E14" s="135">
        <f>IFERROR('Cargo Distance Transported'!E14/'IESS Energy'!E57,"")</f>
        <v>2.9993595807335471E-5</v>
      </c>
      <c r="F14" s="135" t="str">
        <f>IFERROR('Cargo Distance Transported'!F14/'IESS Energy'!F57,"")</f>
        <v/>
      </c>
      <c r="G14" s="135" t="str">
        <f>IFERROR('Cargo Distance Transported'!G14/'IESS Energy'!G57,"")</f>
        <v/>
      </c>
      <c r="H14" s="135" t="str">
        <f>IFERROR('Cargo Distance Transported'!H14/'IESS Energy'!H57,"")</f>
        <v/>
      </c>
    </row>
    <row r="15" spans="1:8">
      <c r="A15" s="15" t="s">
        <v>17</v>
      </c>
      <c r="B15" s="135" t="str">
        <f>IFERROR('Cargo Distance Transported'!B15/'IESS Energy'!B58,"")</f>
        <v/>
      </c>
      <c r="C15" s="135" t="str">
        <f>IFERROR('Cargo Distance Transported'!C15/'IESS Energy'!C58,"")</f>
        <v/>
      </c>
      <c r="D15" s="135" t="str">
        <f>IFERROR('Cargo Distance Transported'!D15/'IESS Energy'!D58,"")</f>
        <v/>
      </c>
      <c r="E15" s="135">
        <f>IFERROR('Cargo Distance Transported'!E15/'IESS Energy'!E58,"")</f>
        <v>3.3871441849751228E-3</v>
      </c>
      <c r="F15" s="135" t="str">
        <f>IFERROR('Cargo Distance Transported'!F15/'IESS Energy'!F58,"")</f>
        <v/>
      </c>
      <c r="G15" s="135" t="str">
        <f>IFERROR('Cargo Distance Transported'!G15/'IESS Energy'!G58,"")</f>
        <v/>
      </c>
      <c r="H15" s="135" t="str">
        <f>IFERROR('Cargo Distance Transported'!H15/'IESS Energy'!H58,"")</f>
        <v/>
      </c>
    </row>
    <row r="16" spans="1:8">
      <c r="A16" s="15" t="s">
        <v>18</v>
      </c>
      <c r="B16" s="135" t="str">
        <f>IFERROR('Cargo Distance Transported'!B16/'IESS Energy'!B59,"")</f>
        <v/>
      </c>
      <c r="C16" s="135" t="str">
        <f>IFERROR('Cargo Distance Transported'!C16/'IESS Energy'!C59,"")</f>
        <v/>
      </c>
      <c r="D16" s="135" t="str">
        <f>IFERROR('Cargo Distance Transported'!D16/'IESS Energy'!D59,"")</f>
        <v/>
      </c>
      <c r="E16" s="135">
        <f>IFERROR('Cargo Distance Transported'!E16/'IESS Energy'!E59,"")</f>
        <v>1.2265908259130031E-2</v>
      </c>
      <c r="F16" s="135" t="str">
        <f>IFERROR('Cargo Distance Transported'!F16/'IESS Energy'!F59,"")</f>
        <v/>
      </c>
      <c r="G16" s="135" t="str">
        <f>IFERROR('Cargo Distance Transported'!G16/'IESS Energy'!G59,"")</f>
        <v/>
      </c>
      <c r="H16" s="135" t="str">
        <f>IFERROR('Cargo Distance Transported'!H16/'IESS Energy'!H59,"")</f>
        <v/>
      </c>
    </row>
    <row r="17" spans="1:8">
      <c r="A17" s="15" t="s">
        <v>19</v>
      </c>
      <c r="B17" s="135" t="str">
        <f>IFERROR('Cargo Distance Transported'!B17/'IESS Energy'!B60,"")</f>
        <v/>
      </c>
      <c r="C17" s="135" t="str">
        <f>IFERROR('Cargo Distance Transported'!C17/'IESS Energy'!C60,"")</f>
        <v/>
      </c>
      <c r="D17" s="135">
        <f>IFERROR('Cargo Distance Transported'!D17/'IESS Energy'!D60,"")</f>
        <v>8.7358849535455882E-4</v>
      </c>
      <c r="E17" s="135">
        <f>IFERROR('Cargo Distance Transported'!E17/'IESS Energy'!E60,"")</f>
        <v>8.8659368556303253E-4</v>
      </c>
      <c r="F17" s="135" t="str">
        <f>IFERROR('Cargo Distance Transported'!F17/'IESS Energy'!F60,"")</f>
        <v/>
      </c>
      <c r="G17" s="135">
        <f>IFERROR('Cargo Distance Transported'!G17/'IESS Energy'!G60,"")</f>
        <v>4.2669514853712733E-3</v>
      </c>
      <c r="H17" s="135" t="str">
        <f>IFERROR('Cargo Distance Transported'!H17/'IESS Energy'!H60,"")</f>
        <v/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E7A3A-97E0-4373-818E-41FB04D0571F}">
  <dimension ref="A1:H36"/>
  <sheetViews>
    <sheetView workbookViewId="0">
      <selection activeCell="C27" sqref="C27"/>
    </sheetView>
  </sheetViews>
  <sheetFormatPr defaultRowHeight="15"/>
  <cols>
    <col min="1" max="1" width="23.140625" style="91" customWidth="1"/>
    <col min="2" max="2" width="9.140625" style="91"/>
    <col min="3" max="3" width="11.5703125" style="91" bestFit="1" customWidth="1"/>
    <col min="4" max="5" width="9.140625" style="91"/>
    <col min="6" max="6" width="12" style="91" bestFit="1" customWidth="1"/>
    <col min="7" max="7" width="11.5703125" style="91" bestFit="1" customWidth="1"/>
    <col min="8" max="16384" width="9.140625" style="91"/>
  </cols>
  <sheetData>
    <row r="1" spans="1:8">
      <c r="A1" s="1" t="s">
        <v>341</v>
      </c>
    </row>
    <row r="2" spans="1:8" ht="60">
      <c r="B2" s="91" t="s">
        <v>342</v>
      </c>
      <c r="C2" s="91" t="s">
        <v>343</v>
      </c>
      <c r="D2" s="15" t="s">
        <v>344</v>
      </c>
      <c r="E2" s="15" t="s">
        <v>345</v>
      </c>
      <c r="F2" s="15" t="s">
        <v>346</v>
      </c>
      <c r="G2" s="15" t="s">
        <v>347</v>
      </c>
    </row>
    <row r="3" spans="1:8">
      <c r="A3" s="91" t="s">
        <v>103</v>
      </c>
      <c r="B3" s="91">
        <v>138612.97072030773</v>
      </c>
      <c r="C3" s="91">
        <v>1000</v>
      </c>
      <c r="D3" s="91">
        <v>3240.4386067881528</v>
      </c>
      <c r="E3" s="91">
        <v>3100.9285297835759</v>
      </c>
      <c r="F3" s="91">
        <f>B3*C3*D3</f>
        <v>449166821723.68103</v>
      </c>
      <c r="G3" s="91">
        <f>B3*C3*E3</f>
        <v>429828915504.65771</v>
      </c>
    </row>
    <row r="4" spans="1:8">
      <c r="A4" s="91" t="s">
        <v>104</v>
      </c>
      <c r="B4" s="186">
        <v>37062.414205375033</v>
      </c>
      <c r="C4" s="91">
        <v>2830</v>
      </c>
      <c r="D4" s="91">
        <v>3629.5489299213236</v>
      </c>
      <c r="E4" s="91">
        <v>1793.0839335069468</v>
      </c>
      <c r="F4" s="91">
        <f>B4*C4*D4</f>
        <v>380691163668.95807</v>
      </c>
      <c r="G4" s="91">
        <f>B4*C4*E4</f>
        <v>188070535039.64444</v>
      </c>
    </row>
    <row r="6" spans="1:8">
      <c r="A6" s="1" t="s">
        <v>348</v>
      </c>
    </row>
    <row r="7" spans="1:8">
      <c r="C7" s="91" t="s">
        <v>349</v>
      </c>
    </row>
    <row r="8" spans="1:8">
      <c r="A8" s="91" t="s">
        <v>350</v>
      </c>
      <c r="B8" s="91">
        <v>2778431</v>
      </c>
      <c r="C8" s="91">
        <f>B8*1000/B20*B21</f>
        <v>101031983548148.16</v>
      </c>
    </row>
    <row r="9" spans="1:8">
      <c r="A9" s="91" t="s">
        <v>351</v>
      </c>
      <c r="B9" s="91">
        <v>16634.169999999998</v>
      </c>
      <c r="C9" s="91">
        <f>B9*3412.14*1000000</f>
        <v>56758116823799.992</v>
      </c>
    </row>
    <row r="11" spans="1:8">
      <c r="A11" s="1" t="s">
        <v>271</v>
      </c>
      <c r="B11" s="91" t="s">
        <v>352</v>
      </c>
    </row>
    <row r="12" spans="1:8" ht="30">
      <c r="A12" s="15" t="s">
        <v>353</v>
      </c>
      <c r="B12" s="91">
        <f>1.7/4</f>
        <v>0.42499999999999999</v>
      </c>
    </row>
    <row r="13" spans="1:8" ht="30">
      <c r="A13" s="15" t="s">
        <v>354</v>
      </c>
      <c r="B13" s="91">
        <f>1-B12</f>
        <v>0.57499999999999996</v>
      </c>
      <c r="G13" s="12"/>
      <c r="H13" s="12"/>
    </row>
    <row r="15" spans="1:8">
      <c r="A15" s="1" t="s">
        <v>355</v>
      </c>
    </row>
    <row r="16" spans="1:8">
      <c r="B16" s="91" t="s">
        <v>356</v>
      </c>
      <c r="C16" s="91" t="s">
        <v>357</v>
      </c>
      <c r="G16" s="12"/>
      <c r="H16" s="12"/>
    </row>
    <row r="17" spans="1:4">
      <c r="A17" s="91" t="s">
        <v>358</v>
      </c>
      <c r="B17" s="91">
        <f>G3/(C8*B12)</f>
        <v>1.0010316719622039E-2</v>
      </c>
      <c r="C17" s="91">
        <f>F3/(C9*B12)</f>
        <v>1.8620475256763733E-2</v>
      </c>
    </row>
    <row r="18" spans="1:4">
      <c r="A18" s="91" t="s">
        <v>359</v>
      </c>
      <c r="B18" s="91">
        <f>G4/(C8*B13)</f>
        <v>3.2373826573188153E-3</v>
      </c>
      <c r="C18" s="91">
        <f>F4/(C9*B13)</f>
        <v>1.1664791329226596E-2</v>
      </c>
    </row>
    <row r="20" spans="1:4">
      <c r="A20" s="91" t="s">
        <v>360</v>
      </c>
      <c r="B20" s="91">
        <v>3.78</v>
      </c>
    </row>
    <row r="21" spans="1:4">
      <c r="A21" s="91" t="s">
        <v>361</v>
      </c>
      <c r="B21" s="91">
        <v>137452</v>
      </c>
    </row>
    <row r="26" spans="1:4">
      <c r="B26" s="12"/>
      <c r="D26" s="12"/>
    </row>
    <row r="29" spans="1:4">
      <c r="B29" s="12"/>
      <c r="D29" s="12"/>
    </row>
    <row r="33" spans="2:4">
      <c r="B33" s="12"/>
      <c r="D33" s="12"/>
    </row>
    <row r="36" spans="2:4">
      <c r="B36" s="12"/>
      <c r="D36" s="12"/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27826-223B-4AE1-A3A7-2A1B032AFB67}">
  <dimension ref="A1:AG63"/>
  <sheetViews>
    <sheetView topLeftCell="A41" zoomScale="85" zoomScaleNormal="85" workbookViewId="0">
      <selection activeCell="E36" sqref="E36"/>
    </sheetView>
  </sheetViews>
  <sheetFormatPr defaultRowHeight="15"/>
  <cols>
    <col min="3" max="3" width="13.5703125" customWidth="1"/>
    <col min="5" max="5" width="12.7109375" bestFit="1" customWidth="1"/>
  </cols>
  <sheetData>
    <row r="1" spans="1:33">
      <c r="A1" s="1" t="s">
        <v>83</v>
      </c>
      <c r="S1" s="1" t="s">
        <v>87</v>
      </c>
    </row>
    <row r="2" spans="1:33">
      <c r="A2">
        <v>3</v>
      </c>
      <c r="B2" t="s">
        <v>64</v>
      </c>
      <c r="N2" t="s">
        <v>65</v>
      </c>
      <c r="T2" t="s">
        <v>53</v>
      </c>
      <c r="U2" t="s">
        <v>66</v>
      </c>
      <c r="V2" t="s">
        <v>67</v>
      </c>
      <c r="W2">
        <v>2007</v>
      </c>
      <c r="X2">
        <v>2012</v>
      </c>
      <c r="Y2">
        <v>2017</v>
      </c>
      <c r="Z2">
        <v>2022</v>
      </c>
      <c r="AA2">
        <v>2027</v>
      </c>
      <c r="AB2">
        <v>2032</v>
      </c>
      <c r="AC2">
        <v>2037</v>
      </c>
      <c r="AD2">
        <v>2042</v>
      </c>
      <c r="AE2">
        <v>2047</v>
      </c>
      <c r="AG2">
        <v>2018</v>
      </c>
    </row>
    <row r="3" spans="1:33">
      <c r="B3" t="s">
        <v>53</v>
      </c>
      <c r="C3" t="s">
        <v>66</v>
      </c>
      <c r="D3" t="s">
        <v>67</v>
      </c>
      <c r="E3">
        <v>2007</v>
      </c>
      <c r="F3">
        <v>2012</v>
      </c>
      <c r="G3">
        <v>2017</v>
      </c>
      <c r="H3">
        <v>2022</v>
      </c>
      <c r="I3">
        <v>2027</v>
      </c>
      <c r="J3">
        <v>2032</v>
      </c>
      <c r="K3">
        <v>2037</v>
      </c>
      <c r="L3">
        <v>2042</v>
      </c>
      <c r="M3">
        <v>2047</v>
      </c>
      <c r="N3">
        <v>2052</v>
      </c>
      <c r="T3" t="s">
        <v>68</v>
      </c>
      <c r="U3" t="s">
        <v>69</v>
      </c>
      <c r="V3" t="s">
        <v>70</v>
      </c>
      <c r="W3">
        <v>4448.8315036486874</v>
      </c>
      <c r="X3">
        <v>4448.8315036486874</v>
      </c>
      <c r="Y3">
        <v>5405.7584352381728</v>
      </c>
      <c r="Z3">
        <v>6528.6858621217571</v>
      </c>
      <c r="AA3">
        <v>7613.9437240393327</v>
      </c>
      <c r="AB3">
        <v>8655.6796992372801</v>
      </c>
      <c r="AC3">
        <v>9417.350174430052</v>
      </c>
      <c r="AD3">
        <v>10061.997583271524</v>
      </c>
      <c r="AE3">
        <v>10457.620774352716</v>
      </c>
      <c r="AG3" cm="1">
        <f t="array" ref="AG3">TREND(Y3:Z3,$Y$2:$Z$2,$AG$2)</f>
        <v>5630.3439206148614</v>
      </c>
    </row>
    <row r="4" spans="1:33">
      <c r="B4" t="s">
        <v>68</v>
      </c>
      <c r="C4" t="s">
        <v>69</v>
      </c>
      <c r="D4" t="s">
        <v>70</v>
      </c>
      <c r="E4">
        <v>-9.7402597402583276E-12</v>
      </c>
      <c r="F4">
        <v>4.1008480553778528E-11</v>
      </c>
      <c r="G4">
        <v>4.0803642988574872E-11</v>
      </c>
      <c r="H4">
        <v>4.0599828588032563E-11</v>
      </c>
      <c r="I4">
        <v>4.0397032241439025E-11</v>
      </c>
      <c r="J4">
        <v>4.019524886360969E-11</v>
      </c>
      <c r="K4">
        <v>3.9994473394760515E-11</v>
      </c>
      <c r="L4">
        <v>3.9794700800381122E-11</v>
      </c>
      <c r="M4">
        <v>3.9595926071108521E-11</v>
      </c>
      <c r="N4">
        <v>3.9398144222601517E-11</v>
      </c>
      <c r="V4" t="s">
        <v>71</v>
      </c>
      <c r="W4">
        <v>52.957082419292782</v>
      </c>
      <c r="X4">
        <v>52.957082419292782</v>
      </c>
      <c r="Y4">
        <v>74.792405437884966</v>
      </c>
      <c r="Z4">
        <v>104.10970253383459</v>
      </c>
      <c r="AA4">
        <v>142.27976852603999</v>
      </c>
      <c r="AB4">
        <v>190.53382985742437</v>
      </c>
      <c r="AC4">
        <v>259.72007906144944</v>
      </c>
      <c r="AD4">
        <v>334.85982295374907</v>
      </c>
      <c r="AE4">
        <v>409.10007919228229</v>
      </c>
      <c r="AG4" cm="1">
        <f t="array" ref="AG4">TREND(Y4:Z4,$Y$2:$Z$2,$AG$2)</f>
        <v>80.655864857073539</v>
      </c>
    </row>
    <row r="5" spans="1:33">
      <c r="D5" t="s">
        <v>71</v>
      </c>
      <c r="E5">
        <v>-9.9900099900085421E-12</v>
      </c>
      <c r="F5">
        <v>6.3428634857206281E-11</v>
      </c>
      <c r="G5">
        <v>6.3111808509268232E-11</v>
      </c>
      <c r="H5">
        <v>6.2796564710520694E-11</v>
      </c>
      <c r="I5">
        <v>6.2482895556122532E-11</v>
      </c>
      <c r="J5">
        <v>6.2170793180717369E-11</v>
      </c>
      <c r="K5">
        <v>6.1860249758236312E-11</v>
      </c>
      <c r="L5">
        <v>6.1551257501701707E-11</v>
      </c>
      <c r="M5">
        <v>6.1243808663031907E-11</v>
      </c>
      <c r="N5">
        <v>6.0937895532846982E-11</v>
      </c>
      <c r="V5" t="s">
        <v>72</v>
      </c>
      <c r="W5">
        <v>0</v>
      </c>
      <c r="X5">
        <v>0</v>
      </c>
      <c r="Y5">
        <v>25.85165490884933</v>
      </c>
      <c r="Z5">
        <v>62.969578145464489</v>
      </c>
      <c r="AA5">
        <v>111.15606916096874</v>
      </c>
      <c r="AB5">
        <v>170.11949094412896</v>
      </c>
      <c r="AC5">
        <v>234.12266742318155</v>
      </c>
      <c r="AD5">
        <v>303.80427485723209</v>
      </c>
      <c r="AE5">
        <v>372.87767634713236</v>
      </c>
      <c r="AG5" cm="1">
        <f t="array" ref="AG5">TREND(Y5:Z5,$Y$2:$Z$2,$AG$2)</f>
        <v>33.275239556172892</v>
      </c>
    </row>
    <row r="6" spans="1:33">
      <c r="D6" t="s">
        <v>72</v>
      </c>
      <c r="E6">
        <v>-9.1991341991328649E-12</v>
      </c>
      <c r="F6">
        <v>2.661786515953183E-11</v>
      </c>
      <c r="G6">
        <v>2.6484908790103619E-11</v>
      </c>
      <c r="H6">
        <v>2.6352616538404819E-11</v>
      </c>
      <c r="I6">
        <v>2.6220985087164051E-11</v>
      </c>
      <c r="J6">
        <v>2.6090011135679735E-11</v>
      </c>
      <c r="K6">
        <v>2.5959691399737302E-11</v>
      </c>
      <c r="L6">
        <v>2.5830022611526842E-11</v>
      </c>
      <c r="M6">
        <v>2.5701001519561192E-11</v>
      </c>
      <c r="N6">
        <v>2.557262488859437E-11</v>
      </c>
      <c r="V6" t="s">
        <v>73</v>
      </c>
      <c r="W6">
        <v>0</v>
      </c>
      <c r="X6">
        <v>0</v>
      </c>
      <c r="Y6">
        <v>8.6172183029497766</v>
      </c>
      <c r="Z6">
        <v>20.989859381821493</v>
      </c>
      <c r="AA6">
        <v>37.052023053656249</v>
      </c>
      <c r="AB6">
        <v>56.706496981376318</v>
      </c>
      <c r="AC6">
        <v>78.040889141060504</v>
      </c>
      <c r="AD6">
        <v>101.26809161907734</v>
      </c>
      <c r="AE6">
        <v>124.29255878237741</v>
      </c>
      <c r="AG6" cm="1">
        <f t="array" ref="AG6">TREND(Y6:Z6,$Y$2:$Z$2,$AG$2)</f>
        <v>11.091746518723994</v>
      </c>
    </row>
    <row r="7" spans="1:33">
      <c r="D7" t="s">
        <v>73</v>
      </c>
      <c r="E7">
        <v>-1.237007458248085E-11</v>
      </c>
      <c r="F7">
        <v>1.4222222222222226E-10</v>
      </c>
      <c r="G7">
        <v>1.3342572474134699E-10</v>
      </c>
      <c r="H7">
        <v>1.2517329390998687E-10</v>
      </c>
      <c r="I7">
        <v>1.174312790029802E-10</v>
      </c>
      <c r="J7">
        <v>1.1016811060506529E-10</v>
      </c>
      <c r="K7">
        <v>1.03354171881087E-10</v>
      </c>
      <c r="L7">
        <v>9.6961677808189049E-11</v>
      </c>
      <c r="M7">
        <v>9.0964561877540161E-11</v>
      </c>
      <c r="N7">
        <v>8.5338369803600829E-11</v>
      </c>
      <c r="U7" t="s">
        <v>74</v>
      </c>
      <c r="V7" t="s">
        <v>70</v>
      </c>
      <c r="W7">
        <v>95.155562716930262</v>
      </c>
      <c r="X7">
        <v>95.155562716930262</v>
      </c>
      <c r="Y7">
        <v>116.75069952487402</v>
      </c>
      <c r="Z7">
        <v>142.419085345273</v>
      </c>
      <c r="AA7">
        <v>167.81540228935114</v>
      </c>
      <c r="AB7">
        <v>192.82325739151676</v>
      </c>
      <c r="AC7">
        <v>212.13864222570493</v>
      </c>
      <c r="AD7">
        <v>229.29995243156029</v>
      </c>
      <c r="AE7">
        <v>241.21034694755633</v>
      </c>
      <c r="AG7" cm="1">
        <f t="array" ref="AG7">TREND(Y7:Z7,$Y$2:$Z$2,$AG$2)</f>
        <v>121.88437668895313</v>
      </c>
    </row>
    <row r="8" spans="1:33">
      <c r="C8" t="s">
        <v>74</v>
      </c>
      <c r="D8" t="s">
        <v>70</v>
      </c>
      <c r="E8">
        <v>-9.7402597402583276E-12</v>
      </c>
      <c r="F8">
        <v>1.3914656771799631E-10</v>
      </c>
      <c r="G8">
        <v>1.3845152991720722E-10</v>
      </c>
      <c r="H8">
        <v>1.3775996383370478E-10</v>
      </c>
      <c r="I8">
        <v>1.3707185212624382E-10</v>
      </c>
      <c r="J8">
        <v>1.3638717754019873E-10</v>
      </c>
      <c r="K8">
        <v>1.357059229071309E-10</v>
      </c>
      <c r="L8">
        <v>1.3502807114435812E-10</v>
      </c>
      <c r="M8">
        <v>1.3435360525452625E-10</v>
      </c>
      <c r="N8">
        <v>1.3368250832518305E-10</v>
      </c>
      <c r="V8" t="s">
        <v>71</v>
      </c>
      <c r="W8">
        <v>1.1326931517459848</v>
      </c>
      <c r="X8">
        <v>1.1326931517459848</v>
      </c>
      <c r="Y8">
        <v>1.6050920593810629</v>
      </c>
      <c r="Z8">
        <v>2.2422507088387325</v>
      </c>
      <c r="AA8">
        <v>3.0760460704769041</v>
      </c>
      <c r="AB8">
        <v>4.1361475027802381</v>
      </c>
      <c r="AC8">
        <v>5.6628384988381208</v>
      </c>
      <c r="AD8">
        <v>7.3357053925473368</v>
      </c>
      <c r="AE8">
        <v>9.0078552801992</v>
      </c>
      <c r="AG8" cm="1">
        <f t="array" ref="AG8">TREND(Y8:Z8,$Y$2:$Z$2,$AG$2)</f>
        <v>1.7325237892726193</v>
      </c>
    </row>
    <row r="9" spans="1:33">
      <c r="D9" t="s">
        <v>71</v>
      </c>
      <c r="E9">
        <v>-9.9900099900085421E-12</v>
      </c>
      <c r="F9">
        <v>1.4271442842871415E-10</v>
      </c>
      <c r="G9">
        <v>1.4200156914585355E-10</v>
      </c>
      <c r="H9">
        <v>1.4129227059867157E-10</v>
      </c>
      <c r="I9">
        <v>1.4058651500127571E-10</v>
      </c>
      <c r="J9">
        <v>1.3988428465661409E-10</v>
      </c>
      <c r="K9">
        <v>1.391855619560317E-10</v>
      </c>
      <c r="L9">
        <v>1.3849032937882885E-10</v>
      </c>
      <c r="M9">
        <v>1.3779856949182182E-10</v>
      </c>
      <c r="N9">
        <v>1.3711026494890572E-10</v>
      </c>
      <c r="U9" t="s">
        <v>75</v>
      </c>
      <c r="V9" t="s">
        <v>76</v>
      </c>
      <c r="W9">
        <v>324.23474935157031</v>
      </c>
      <c r="X9">
        <v>324.23474935157031</v>
      </c>
      <c r="Y9">
        <v>478.60733317741068</v>
      </c>
      <c r="Z9">
        <v>664.18531105706927</v>
      </c>
      <c r="AA9">
        <v>866.03916474659013</v>
      </c>
      <c r="AB9">
        <v>1069.2675068919184</v>
      </c>
      <c r="AC9">
        <v>1251.38113207433</v>
      </c>
      <c r="AD9">
        <v>1404.332610455946</v>
      </c>
      <c r="AE9">
        <v>1496.7757099862993</v>
      </c>
      <c r="AG9" cm="1">
        <f t="array" ref="AG9">TREND(Y9:Z9,$Y$2:$Z$2,$AG$2)</f>
        <v>515.72292875334097</v>
      </c>
    </row>
    <row r="10" spans="1:33">
      <c r="C10" t="s">
        <v>75</v>
      </c>
      <c r="D10" t="s">
        <v>76</v>
      </c>
      <c r="E10">
        <v>-8.4730192324663009E-11</v>
      </c>
      <c r="F10">
        <v>2.1294292127625464E-10</v>
      </c>
      <c r="G10">
        <v>2.0314598299177718E-10</v>
      </c>
      <c r="H10">
        <v>1.9379977581953682E-10</v>
      </c>
      <c r="I10">
        <v>1.8488356281808926E-10</v>
      </c>
      <c r="J10">
        <v>1.7637756109759392E-10</v>
      </c>
      <c r="K10">
        <v>1.682628979264333E-10</v>
      </c>
      <c r="L10">
        <v>1.6052156885725039E-10</v>
      </c>
      <c r="M10">
        <v>1.5313639777949578E-10</v>
      </c>
      <c r="N10">
        <v>1.4609099880985082E-10</v>
      </c>
      <c r="V10" t="s">
        <v>70</v>
      </c>
      <c r="W10">
        <v>77.245198607731865</v>
      </c>
      <c r="X10">
        <v>77.245198607731865</v>
      </c>
      <c r="Y10">
        <v>150.51322619117568</v>
      </c>
      <c r="Z10">
        <v>267.59623815054869</v>
      </c>
      <c r="AA10">
        <v>423.24408684475031</v>
      </c>
      <c r="AB10">
        <v>633.32035506236923</v>
      </c>
      <c r="AC10">
        <v>888.15246446761705</v>
      </c>
      <c r="AD10">
        <v>1201.3728898069025</v>
      </c>
      <c r="AE10">
        <v>1558.3433194331369</v>
      </c>
      <c r="AG10" cm="1">
        <f t="array" ref="AG10">TREND(Y10:Z10,$Y$2:$Z$2,$AG$2)</f>
        <v>173.92982858305913</v>
      </c>
    </row>
    <row r="11" spans="1:33">
      <c r="D11" t="s">
        <v>70</v>
      </c>
      <c r="E11">
        <v>-8.7754663155965193E-11</v>
      </c>
      <c r="F11">
        <v>2.705627705627706E-10</v>
      </c>
      <c r="G11">
        <v>2.5838679887390877E-10</v>
      </c>
      <c r="H11">
        <v>2.4675877502820206E-10</v>
      </c>
      <c r="I11">
        <v>2.35654040062367E-10</v>
      </c>
      <c r="J11">
        <v>2.2504904472543603E-10</v>
      </c>
      <c r="K11">
        <v>2.1492129953905019E-10</v>
      </c>
      <c r="L11">
        <v>2.0524932710515704E-10</v>
      </c>
      <c r="M11">
        <v>1.9601261655997676E-10</v>
      </c>
      <c r="N11">
        <v>1.8719158007764849E-10</v>
      </c>
      <c r="V11" t="s">
        <v>71</v>
      </c>
      <c r="W11">
        <v>8.8016775407616343</v>
      </c>
      <c r="X11">
        <v>8.8016775407616343</v>
      </c>
      <c r="Y11">
        <v>17.723477721786999</v>
      </c>
      <c r="Z11">
        <v>32.531307383007878</v>
      </c>
      <c r="AA11">
        <v>54.417096880039324</v>
      </c>
      <c r="AB11">
        <v>83.058407221294331</v>
      </c>
      <c r="AC11">
        <v>107.65484417789298</v>
      </c>
      <c r="AD11">
        <v>135.36595941486226</v>
      </c>
      <c r="AE11">
        <v>164.03613888769863</v>
      </c>
      <c r="AG11" cm="1">
        <f t="array" ref="AG11">TREND(Y11:Z11,$Y$2:$Z$2,$AG$2)</f>
        <v>20.685043654031688</v>
      </c>
    </row>
    <row r="12" spans="1:33">
      <c r="D12" t="s">
        <v>71</v>
      </c>
      <c r="E12">
        <v>-9.8765859868457099E-11</v>
      </c>
      <c r="F12">
        <v>2.312502312502313E-10</v>
      </c>
      <c r="G12">
        <v>2.1983041728312697E-10</v>
      </c>
      <c r="H12">
        <v>2.0897454718902209E-10</v>
      </c>
      <c r="I12">
        <v>1.9865477176714948E-10</v>
      </c>
      <c r="J12">
        <v>1.8884461709187217E-10</v>
      </c>
      <c r="K12">
        <v>1.7951891659756803E-10</v>
      </c>
      <c r="L12">
        <v>1.706537465173617E-10</v>
      </c>
      <c r="M12">
        <v>1.6222636451008122E-10</v>
      </c>
      <c r="N12">
        <v>1.5421515131799528E-10</v>
      </c>
      <c r="V12" t="s">
        <v>77</v>
      </c>
      <c r="W12">
        <v>8.8016775407616343</v>
      </c>
      <c r="X12">
        <v>8.8016775407616343</v>
      </c>
      <c r="Y12">
        <v>17.723477721786999</v>
      </c>
      <c r="Z12">
        <v>32.531307383007878</v>
      </c>
      <c r="AA12">
        <v>54.417096880039324</v>
      </c>
      <c r="AB12">
        <v>83.058407221294331</v>
      </c>
      <c r="AC12">
        <v>107.65484417789298</v>
      </c>
      <c r="AD12">
        <v>135.36595941486226</v>
      </c>
      <c r="AE12">
        <v>164.03613888769863</v>
      </c>
      <c r="AG12" cm="1">
        <f t="array" ref="AG12">TREND(Y12:Z12,$Y$2:$Z$2,$AG$2)</f>
        <v>20.685043654031688</v>
      </c>
    </row>
    <row r="13" spans="1:33">
      <c r="D13" t="s">
        <v>77</v>
      </c>
      <c r="E13">
        <v>-6.6831397600673592E-11</v>
      </c>
      <c r="F13">
        <v>1.6701405590294482E-10</v>
      </c>
      <c r="G13">
        <v>1.5928666782797886E-10</v>
      </c>
      <c r="H13">
        <v>1.5191680969944942E-10</v>
      </c>
      <c r="I13">
        <v>1.4488793936089188E-10</v>
      </c>
      <c r="J13">
        <v>1.3818428002652802E-10</v>
      </c>
      <c r="K13">
        <v>1.3179078486917864E-10</v>
      </c>
      <c r="L13">
        <v>1.2569310324661927E-10</v>
      </c>
      <c r="M13">
        <v>1.1987754849057035E-10</v>
      </c>
      <c r="N13">
        <v>1.1433106718602374E-10</v>
      </c>
      <c r="V13" t="s">
        <v>72</v>
      </c>
      <c r="W13">
        <v>4.4198900204690444E-2</v>
      </c>
      <c r="X13">
        <v>4.4198900204690444E-2</v>
      </c>
      <c r="Y13">
        <v>12.844253881140492</v>
      </c>
      <c r="Z13">
        <v>39.435385727020424</v>
      </c>
      <c r="AA13">
        <v>85.126341135763539</v>
      </c>
      <c r="AB13">
        <v>155.84399962217313</v>
      </c>
      <c r="AC13">
        <v>252.42247253561257</v>
      </c>
      <c r="AD13">
        <v>380.80597932755103</v>
      </c>
      <c r="AE13">
        <v>538.29763808921291</v>
      </c>
      <c r="AG13" cm="1">
        <f t="array" ref="AG13">TREND(Y13:Z13,$Y$2:$Z$2,$AG$2)</f>
        <v>18.162480250317458</v>
      </c>
    </row>
    <row r="14" spans="1:33">
      <c r="D14" t="s">
        <v>72</v>
      </c>
      <c r="E14">
        <v>-9.1991341991328649E-12</v>
      </c>
      <c r="F14">
        <v>2.661786515953183E-11</v>
      </c>
      <c r="G14">
        <v>2.6484908790103619E-11</v>
      </c>
      <c r="H14">
        <v>2.6352616538404819E-11</v>
      </c>
      <c r="I14">
        <v>2.6220985087164051E-11</v>
      </c>
      <c r="J14">
        <v>2.6090011135679735E-11</v>
      </c>
      <c r="K14">
        <v>2.5959691399737302E-11</v>
      </c>
      <c r="L14">
        <v>2.5830022611526842E-11</v>
      </c>
      <c r="M14">
        <v>2.5701001519561192E-11</v>
      </c>
      <c r="N14">
        <v>2.557262488859437E-11</v>
      </c>
      <c r="V14" t="s">
        <v>73</v>
      </c>
      <c r="W14">
        <v>0</v>
      </c>
      <c r="X14">
        <v>0</v>
      </c>
      <c r="Y14">
        <v>4.2604513754295654</v>
      </c>
      <c r="Z14">
        <v>13.117462654438661</v>
      </c>
      <c r="AA14">
        <v>28.342237958353817</v>
      </c>
      <c r="AB14">
        <v>51.911504513308955</v>
      </c>
      <c r="AC14">
        <v>84.105347013978886</v>
      </c>
      <c r="AD14">
        <v>126.90558695143341</v>
      </c>
      <c r="AE14">
        <v>179.41452690842038</v>
      </c>
      <c r="AG14" cm="1">
        <f t="array" ref="AG14">TREND(Y14:Z14,$Y$2:$Z$2,$AG$2)</f>
        <v>6.03185363123157</v>
      </c>
    </row>
    <row r="15" spans="1:33">
      <c r="D15" t="s">
        <v>73</v>
      </c>
      <c r="E15">
        <v>-1.449168197360884E-11</v>
      </c>
      <c r="F15">
        <v>7.5954861111111115E-11</v>
      </c>
      <c r="G15">
        <v>7.0451292653251848E-11</v>
      </c>
      <c r="H15">
        <v>6.5346504014448981E-11</v>
      </c>
      <c r="I15">
        <v>6.0611600243126248E-11</v>
      </c>
      <c r="J15">
        <v>5.6219780069951759E-11</v>
      </c>
      <c r="K15">
        <v>5.2146184202951894E-11</v>
      </c>
      <c r="L15">
        <v>4.8367754614919876E-11</v>
      </c>
      <c r="M15">
        <v>4.4863104026635024E-11</v>
      </c>
      <c r="N15">
        <v>4.16123948471204E-11</v>
      </c>
      <c r="U15" t="s">
        <v>78</v>
      </c>
      <c r="V15" t="s">
        <v>76</v>
      </c>
      <c r="W15">
        <v>122.98526731996715</v>
      </c>
      <c r="X15">
        <v>122.98526731996715</v>
      </c>
      <c r="Y15">
        <v>109.92264229751433</v>
      </c>
      <c r="Z15">
        <v>86.213302975120172</v>
      </c>
      <c r="AA15">
        <v>44.061963217246152</v>
      </c>
      <c r="AB15">
        <v>0</v>
      </c>
      <c r="AC15">
        <v>0</v>
      </c>
      <c r="AD15">
        <v>0</v>
      </c>
      <c r="AE15">
        <v>0</v>
      </c>
      <c r="AG15" cm="1">
        <f t="array" ref="AG15">TREND(Y15:Z15,$Y$2:$Z$2,$AG$2)</f>
        <v>105.18077443303628</v>
      </c>
    </row>
    <row r="16" spans="1:33">
      <c r="C16" t="s">
        <v>78</v>
      </c>
      <c r="D16" t="s">
        <v>76</v>
      </c>
      <c r="E16">
        <v>-9.1991341991328649E-12</v>
      </c>
      <c r="F16">
        <v>1.4373647186147187E-10</v>
      </c>
      <c r="G16">
        <v>1.4301850746655953E-10</v>
      </c>
      <c r="H16">
        <v>1.4230412930738602E-10</v>
      </c>
      <c r="I16">
        <v>1.4159331947068589E-10</v>
      </c>
      <c r="J16">
        <v>1.4088606013267059E-10</v>
      </c>
      <c r="K16">
        <v>1.4018233355858142E-10</v>
      </c>
      <c r="L16">
        <v>1.3948212210224494E-10</v>
      </c>
      <c r="M16">
        <v>1.3878540820563046E-10</v>
      </c>
      <c r="N16">
        <v>1.3809217439840962E-10</v>
      </c>
      <c r="V16" t="s">
        <v>76</v>
      </c>
      <c r="W16">
        <v>700.45747232916074</v>
      </c>
      <c r="X16">
        <v>700.45747232916074</v>
      </c>
      <c r="Y16">
        <v>869.93111606999446</v>
      </c>
      <c r="Z16">
        <v>1070.7486914022386</v>
      </c>
      <c r="AA16">
        <v>1267.9464905293469</v>
      </c>
      <c r="AB16">
        <v>1449.0513818488148</v>
      </c>
      <c r="AC16">
        <v>1532.6104072923883</v>
      </c>
      <c r="AD16">
        <v>1589.3172758872342</v>
      </c>
      <c r="AE16">
        <v>1600.3515620672886</v>
      </c>
      <c r="AG16" cm="1">
        <f t="array" ref="AG16">TREND(Y16:Z16,$Y$2:$Z$2,$AG$2)</f>
        <v>910.09463113645324</v>
      </c>
    </row>
    <row r="17" spans="2:33">
      <c r="D17" t="s">
        <v>76</v>
      </c>
      <c r="E17">
        <v>-9.1991341991328649E-12</v>
      </c>
      <c r="F17">
        <v>1.0453561589925227E-10</v>
      </c>
      <c r="G17">
        <v>1.0401345997567967E-10</v>
      </c>
      <c r="H17">
        <v>1.0349391222355346E-10</v>
      </c>
      <c r="I17">
        <v>1.0297695961504429E-10</v>
      </c>
      <c r="J17">
        <v>1.0246258918739679E-10</v>
      </c>
      <c r="K17">
        <v>1.0195078804260468E-10</v>
      </c>
      <c r="L17">
        <v>1.0144154334708724E-10</v>
      </c>
      <c r="M17">
        <v>1.0093484233136759E-10</v>
      </c>
      <c r="N17">
        <v>1.0043067228975245E-10</v>
      </c>
      <c r="V17" t="s">
        <v>76</v>
      </c>
      <c r="W17">
        <v>8.3144769787705464</v>
      </c>
      <c r="X17">
        <v>8.3144769787705464</v>
      </c>
      <c r="Y17">
        <v>4.6274497349621129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 cm="1">
        <f t="array" ref="AG17">TREND(Y17:Z17,$Y$2:$Z$2,$AG$2)</f>
        <v>3.7019597879698267</v>
      </c>
    </row>
    <row r="18" spans="2:33">
      <c r="D18" t="s">
        <v>76</v>
      </c>
      <c r="E18">
        <v>-9.1991341991328649E-12</v>
      </c>
      <c r="F18">
        <v>1.1498917748917749E-10</v>
      </c>
      <c r="G18">
        <v>1.1441480597324761E-10</v>
      </c>
      <c r="H18">
        <v>1.1384330344590879E-10</v>
      </c>
      <c r="I18">
        <v>1.1327465557654869E-10</v>
      </c>
      <c r="J18">
        <v>1.1270884810613643E-10</v>
      </c>
      <c r="K18">
        <v>1.1214586684686512E-10</v>
      </c>
      <c r="L18">
        <v>1.1158569768179595E-10</v>
      </c>
      <c r="M18">
        <v>1.1102832656450434E-10</v>
      </c>
      <c r="N18">
        <v>1.1047373951872766E-10</v>
      </c>
      <c r="V18" t="s">
        <v>72</v>
      </c>
      <c r="W18">
        <v>1.9433524623582756</v>
      </c>
      <c r="X18">
        <v>1.9433524623582756</v>
      </c>
      <c r="Y18">
        <v>40.528495466157445</v>
      </c>
      <c r="Z18">
        <v>96.176156034322531</v>
      </c>
      <c r="AA18">
        <v>168.74165058955805</v>
      </c>
      <c r="AB18">
        <v>258.0556904953811</v>
      </c>
      <c r="AC18">
        <v>355.71086421102495</v>
      </c>
      <c r="AD18">
        <v>462.95786867313109</v>
      </c>
      <c r="AE18">
        <v>570.47431630223559</v>
      </c>
      <c r="AG18" cm="1">
        <f t="array" ref="AG18">TREND(Y18:Z18,$Y$2:$Z$2,$AG$2)</f>
        <v>51.658027579789632</v>
      </c>
    </row>
    <row r="19" spans="2:33">
      <c r="D19" t="s">
        <v>72</v>
      </c>
      <c r="E19">
        <v>-9.1991341991328649E-12</v>
      </c>
      <c r="F19">
        <v>8.5557423727066589E-12</v>
      </c>
      <c r="G19">
        <v>8.5130063968190206E-12</v>
      </c>
      <c r="H19">
        <v>8.4704838873444071E-12</v>
      </c>
      <c r="I19">
        <v>8.4281737780170187E-12</v>
      </c>
      <c r="J19">
        <v>8.3860750078970599E-12</v>
      </c>
      <c r="K19">
        <v>8.3441865213441325E-12</v>
      </c>
      <c r="L19">
        <v>8.3025072679907724E-12</v>
      </c>
      <c r="M19">
        <v>8.2610362027160988E-12</v>
      </c>
      <c r="N19">
        <v>8.2197722856196213E-12</v>
      </c>
      <c r="U19" t="s">
        <v>79</v>
      </c>
      <c r="V19" t="s">
        <v>71</v>
      </c>
      <c r="W19">
        <v>19.884091168746259</v>
      </c>
      <c r="X19">
        <v>19.884091168746259</v>
      </c>
      <c r="Y19">
        <v>34.368722432881668</v>
      </c>
      <c r="Z19">
        <v>56.468893405867071</v>
      </c>
      <c r="AA19">
        <v>85.813971122256504</v>
      </c>
      <c r="AB19">
        <v>124.56333646381471</v>
      </c>
      <c r="AC19">
        <v>170.55919611809287</v>
      </c>
      <c r="AD19">
        <v>226.30185650829335</v>
      </c>
      <c r="AE19">
        <v>288.9139726926133</v>
      </c>
      <c r="AG19" cm="1">
        <f t="array" ref="AG19">TREND(Y19:Z19,$Y$2:$Z$2,$AG$2)</f>
        <v>38.788756627478506</v>
      </c>
    </row>
    <row r="20" spans="2:33">
      <c r="C20" t="s">
        <v>79</v>
      </c>
      <c r="D20" t="s">
        <v>71</v>
      </c>
      <c r="E20">
        <v>-9.9900099900085421E-12</v>
      </c>
      <c r="F20">
        <v>1.6217548685081153E-10</v>
      </c>
      <c r="G20">
        <v>1.613654194839245E-10</v>
      </c>
      <c r="H20">
        <v>1.6055939840758132E-10</v>
      </c>
      <c r="I20">
        <v>1.5975740341054055E-10</v>
      </c>
      <c r="J20">
        <v>1.58959414382516E-10</v>
      </c>
      <c r="K20">
        <v>1.5816541131367237E-10</v>
      </c>
      <c r="L20">
        <v>1.5737537429412367E-10</v>
      </c>
      <c r="M20">
        <v>1.5658928351343385E-10</v>
      </c>
      <c r="N20">
        <v>1.558071192601201E-10</v>
      </c>
      <c r="V20" t="s">
        <v>77</v>
      </c>
      <c r="W20">
        <v>14.172085280950855</v>
      </c>
      <c r="X20">
        <v>14.172085280950855</v>
      </c>
      <c r="Y20">
        <v>26.3378200918951</v>
      </c>
      <c r="Z20">
        <v>43.40354159823508</v>
      </c>
      <c r="AA20">
        <v>53.940210419704073</v>
      </c>
      <c r="AB20">
        <v>62.894274804680222</v>
      </c>
      <c r="AC20">
        <v>64.088910056495479</v>
      </c>
      <c r="AD20">
        <v>59.922181723322744</v>
      </c>
      <c r="AE20">
        <v>48.659195400861158</v>
      </c>
      <c r="AG20" cm="1">
        <f t="array" ref="AG20">TREND(Y20:Z20,$Y$2:$Z$2,$AG$2)</f>
        <v>29.750964393162576</v>
      </c>
    </row>
    <row r="21" spans="2:33">
      <c r="D21" t="s">
        <v>77</v>
      </c>
      <c r="E21">
        <v>-7.2150072150061682E-12</v>
      </c>
      <c r="F21">
        <v>1.366478639205912E-10</v>
      </c>
      <c r="G21">
        <v>1.3596530715775118E-10</v>
      </c>
      <c r="H21">
        <v>1.3528615976935091E-10</v>
      </c>
      <c r="I21">
        <v>1.3461040472554805E-10</v>
      </c>
      <c r="J21">
        <v>1.339380250815644E-10</v>
      </c>
      <c r="K21">
        <v>1.3326900397726098E-10</v>
      </c>
      <c r="L21">
        <v>1.3260332463671532E-10</v>
      </c>
      <c r="M21">
        <v>1.3194097036780076E-10</v>
      </c>
      <c r="N21">
        <v>1.3128192456176788E-10</v>
      </c>
      <c r="V21" t="s">
        <v>76</v>
      </c>
      <c r="W21">
        <v>81.030868105111878</v>
      </c>
      <c r="X21">
        <v>81.030868105111878</v>
      </c>
      <c r="Y21">
        <v>121.58476740682403</v>
      </c>
      <c r="Z21">
        <v>177.15731264585747</v>
      </c>
      <c r="AA21">
        <v>245.18277463501852</v>
      </c>
      <c r="AB21">
        <v>326.72350547885833</v>
      </c>
      <c r="AC21">
        <v>413.47683907416456</v>
      </c>
      <c r="AD21">
        <v>509.97601466657665</v>
      </c>
      <c r="AE21">
        <v>608.23994251076476</v>
      </c>
      <c r="AG21" cm="1">
        <f t="array" ref="AG21">TREND(Y21:Z21,$Y$2:$Z$2,$AG$2)</f>
        <v>132.69927645463031</v>
      </c>
    </row>
    <row r="22" spans="2:33">
      <c r="D22" t="s">
        <v>76</v>
      </c>
      <c r="E22">
        <v>-9.1991341991328649E-12</v>
      </c>
      <c r="F22">
        <v>1.4933659414178895E-10</v>
      </c>
      <c r="G22">
        <v>1.4859065710811378E-10</v>
      </c>
      <c r="H22">
        <v>1.478484460336478E-10</v>
      </c>
      <c r="I22">
        <v>1.4710994230720609E-10</v>
      </c>
      <c r="J22">
        <v>1.4637512741056681E-10</v>
      </c>
      <c r="K22">
        <v>1.4564398291800663E-10</v>
      </c>
      <c r="L22">
        <v>1.4491649049583887E-10</v>
      </c>
      <c r="M22">
        <v>1.4419263190195365E-10</v>
      </c>
      <c r="N22">
        <v>1.4347238898536058E-10</v>
      </c>
      <c r="V22" t="s">
        <v>70</v>
      </c>
      <c r="W22">
        <v>87.490125707970677</v>
      </c>
      <c r="X22">
        <v>85.464354005342884</v>
      </c>
      <c r="Y22">
        <v>111.41189383550851</v>
      </c>
      <c r="Z22">
        <v>140.39717027184207</v>
      </c>
      <c r="AA22">
        <v>178.21722931282898</v>
      </c>
      <c r="AB22">
        <v>216.86272676159226</v>
      </c>
      <c r="AC22">
        <v>252.47929485966165</v>
      </c>
      <c r="AD22">
        <v>284.31162817661641</v>
      </c>
      <c r="AE22">
        <v>306.78102100386678</v>
      </c>
      <c r="AG22" cm="1">
        <f t="array" ref="AG22">TREND(Y22:Z22,$Y$2:$Z$2,$AG$2)</f>
        <v>117.20894912277618</v>
      </c>
    </row>
    <row r="23" spans="2:33">
      <c r="D23" t="s">
        <v>70</v>
      </c>
      <c r="E23">
        <v>-9.7402597402583276E-12</v>
      </c>
      <c r="F23">
        <v>1.9765137459942655E-10</v>
      </c>
      <c r="G23">
        <v>1.9666410499603298E-10</v>
      </c>
      <c r="H23">
        <v>1.9568176680923973E-10</v>
      </c>
      <c r="I23">
        <v>1.947043354065963E-10</v>
      </c>
      <c r="J23">
        <v>1.9373178627869139E-10</v>
      </c>
      <c r="K23">
        <v>1.9276409503853822E-10</v>
      </c>
      <c r="L23">
        <v>1.9180123742096326E-10</v>
      </c>
      <c r="M23">
        <v>1.9084318928199756E-10</v>
      </c>
      <c r="N23">
        <v>1.8988992659827146E-10</v>
      </c>
      <c r="V23" t="s">
        <v>72</v>
      </c>
      <c r="W23">
        <v>0</v>
      </c>
      <c r="X23">
        <v>2.0257717026277966</v>
      </c>
      <c r="Y23">
        <v>10.258714749950776</v>
      </c>
      <c r="Z23">
        <v>25.466363692842013</v>
      </c>
      <c r="AA23">
        <v>49.802751097738131</v>
      </c>
      <c r="AB23">
        <v>85.764920188200307</v>
      </c>
      <c r="AC23">
        <v>133.0878575769967</v>
      </c>
      <c r="AD23">
        <v>194.42835559163234</v>
      </c>
      <c r="AE23">
        <v>268.00572466880573</v>
      </c>
      <c r="AG23" cm="1">
        <f t="array" ref="AG23">TREND(Y23:Z23,$Y$2:$Z$2,$AG$2)</f>
        <v>13.300244538529114</v>
      </c>
    </row>
    <row r="24" spans="2:33">
      <c r="D24" t="s">
        <v>72</v>
      </c>
      <c r="E24">
        <v>-9.1991341991328649E-12</v>
      </c>
      <c r="F24">
        <v>1.7111484745413318E-11</v>
      </c>
      <c r="G24">
        <v>1.7026012793638041E-11</v>
      </c>
      <c r="H24">
        <v>1.6940967774688814E-11</v>
      </c>
      <c r="I24">
        <v>1.6856347556034037E-11</v>
      </c>
      <c r="J24">
        <v>1.677215001579412E-11</v>
      </c>
      <c r="K24">
        <v>1.6688373042688265E-11</v>
      </c>
      <c r="L24">
        <v>1.6605014535981545E-11</v>
      </c>
      <c r="M24">
        <v>1.6522072405432198E-11</v>
      </c>
      <c r="N24">
        <v>1.6439544571239243E-11</v>
      </c>
      <c r="U24" t="s">
        <v>80</v>
      </c>
      <c r="V24" t="s">
        <v>71</v>
      </c>
      <c r="W24">
        <v>3.1614189474693242</v>
      </c>
      <c r="X24">
        <v>3.1614189474693242</v>
      </c>
      <c r="Y24">
        <v>5.0626412912179592</v>
      </c>
      <c r="Z24">
        <v>7.9872930523793197</v>
      </c>
      <c r="AA24">
        <v>12.551963506376909</v>
      </c>
      <c r="AB24">
        <v>18.708559894247365</v>
      </c>
      <c r="AC24">
        <v>26.172400030186573</v>
      </c>
      <c r="AD24">
        <v>35.348335312287944</v>
      </c>
      <c r="AE24">
        <v>45.808095706239449</v>
      </c>
      <c r="AG24" cm="1">
        <f t="array" ref="AG24">TREND(Y24:Z24,$Y$2:$Z$2,$AG$2)</f>
        <v>5.6475716434501919</v>
      </c>
    </row>
    <row r="25" spans="2:33">
      <c r="C25" t="s">
        <v>80</v>
      </c>
      <c r="D25" t="s">
        <v>71</v>
      </c>
      <c r="E25">
        <v>-9.9900099900085421E-12</v>
      </c>
      <c r="F25">
        <v>3.2019262788493561E-10</v>
      </c>
      <c r="G25">
        <v>3.185932641092868E-10</v>
      </c>
      <c r="H25">
        <v>3.1700188916368616E-10</v>
      </c>
      <c r="I25">
        <v>3.1541846314388779E-10</v>
      </c>
      <c r="J25">
        <v>3.1384294634496746E-10</v>
      </c>
      <c r="K25">
        <v>3.1227529926032753E-10</v>
      </c>
      <c r="L25">
        <v>3.1071548258070571E-10</v>
      </c>
      <c r="M25">
        <v>3.0916345719318996E-10</v>
      </c>
      <c r="N25">
        <v>3.0761918418023719E-10</v>
      </c>
      <c r="V25" t="s">
        <v>77</v>
      </c>
      <c r="W25">
        <v>2.1499976931909153</v>
      </c>
      <c r="X25">
        <v>2.1499976931909153</v>
      </c>
      <c r="Y25">
        <v>2.9978907102493215</v>
      </c>
      <c r="Z25">
        <v>4.0967083720268134</v>
      </c>
      <c r="AA25">
        <v>5.3694510555056771</v>
      </c>
      <c r="AB25">
        <v>6.7077031815960044</v>
      </c>
      <c r="AC25">
        <v>7.510340878227451</v>
      </c>
      <c r="AD25">
        <v>8.1786344448038779</v>
      </c>
      <c r="AE25">
        <v>8.8344184576318909</v>
      </c>
      <c r="AG25" cm="1">
        <f t="array" ref="AG25">TREND(Y25:Z25,$Y$2:$Z$2,$AG$2)</f>
        <v>3.2176542426047945</v>
      </c>
    </row>
    <row r="26" spans="2:33">
      <c r="D26" t="s">
        <v>77</v>
      </c>
      <c r="E26">
        <v>-7.2150072150061682E-12</v>
      </c>
      <c r="F26">
        <v>2.3125023125023127E-10</v>
      </c>
      <c r="G26">
        <v>2.3009513519004046E-10</v>
      </c>
      <c r="H26">
        <v>2.2894580884043999E-10</v>
      </c>
      <c r="I26">
        <v>2.278022233816967E-10</v>
      </c>
      <c r="J26">
        <v>2.2666435013803205E-10</v>
      </c>
      <c r="K26">
        <v>2.2553216057690319E-10</v>
      </c>
      <c r="L26">
        <v>2.2440562630828745E-10</v>
      </c>
      <c r="M26">
        <v>2.2328471908397051E-10</v>
      </c>
      <c r="N26">
        <v>2.2216941079683795E-10</v>
      </c>
      <c r="V26" t="s">
        <v>70</v>
      </c>
      <c r="W26">
        <v>120.67972343456292</v>
      </c>
      <c r="X26">
        <v>120.67972343456292</v>
      </c>
      <c r="Y26">
        <v>168.23846801624859</v>
      </c>
      <c r="Z26">
        <v>229.46719975642011</v>
      </c>
      <c r="AA26">
        <v>298.05683342850824</v>
      </c>
      <c r="AB26">
        <v>373.85178344772845</v>
      </c>
      <c r="AC26">
        <v>446.38166181919286</v>
      </c>
      <c r="AD26">
        <v>519.62052909063277</v>
      </c>
      <c r="AE26">
        <v>584.42132102362086</v>
      </c>
      <c r="AG26" cm="1">
        <f t="array" ref="AG26">TREND(Y26:Z26,$Y$2:$Z$2,$AG$2)</f>
        <v>180.48421436428544</v>
      </c>
    </row>
    <row r="27" spans="2:33">
      <c r="D27" t="s">
        <v>70</v>
      </c>
      <c r="E27">
        <v>-9.7402597402583276E-12</v>
      </c>
      <c r="F27">
        <v>3.7462537462537471E-10</v>
      </c>
      <c r="G27">
        <v>3.7275411900786565E-10</v>
      </c>
      <c r="H27">
        <v>3.7089221032151292E-10</v>
      </c>
      <c r="I27">
        <v>3.6903960187834884E-10</v>
      </c>
      <c r="J27">
        <v>3.6719624722361209E-10</v>
      </c>
      <c r="K27">
        <v>3.6536210013458328E-10</v>
      </c>
      <c r="L27">
        <v>3.6353711461942582E-10</v>
      </c>
      <c r="M27">
        <v>3.6172124491603236E-10</v>
      </c>
      <c r="N27">
        <v>3.5991444549087762E-10</v>
      </c>
      <c r="V27" t="s">
        <v>72</v>
      </c>
      <c r="W27">
        <v>0</v>
      </c>
      <c r="X27">
        <v>0</v>
      </c>
      <c r="Y27">
        <v>5.6870645167005121</v>
      </c>
      <c r="Z27">
        <v>16.103413412055083</v>
      </c>
      <c r="AA27">
        <v>32.687404964523189</v>
      </c>
      <c r="AB27">
        <v>57.038292360510255</v>
      </c>
      <c r="AC27">
        <v>88.900815319927204</v>
      </c>
      <c r="AD27">
        <v>129.95711511870564</v>
      </c>
      <c r="AE27">
        <v>178.9378738524978</v>
      </c>
      <c r="AG27" cm="1">
        <f t="array" ref="AG27">TREND(Y27:Z27,$Y$2:$Z$2,$AG$2)</f>
        <v>7.7703342957720452</v>
      </c>
    </row>
    <row r="28" spans="2:33">
      <c r="D28" t="s">
        <v>72</v>
      </c>
      <c r="E28">
        <v>-9.1991341991328649E-12</v>
      </c>
      <c r="F28">
        <v>2.661786515953183E-11</v>
      </c>
      <c r="G28">
        <v>2.6484908790103619E-11</v>
      </c>
      <c r="H28">
        <v>2.6352616538404819E-11</v>
      </c>
      <c r="I28">
        <v>2.6220985087164051E-11</v>
      </c>
      <c r="J28">
        <v>2.6090011135679735E-11</v>
      </c>
      <c r="K28">
        <v>2.5959691399737302E-11</v>
      </c>
      <c r="L28">
        <v>2.5830022611526842E-11</v>
      </c>
      <c r="M28">
        <v>2.5701001519561192E-11</v>
      </c>
      <c r="N28">
        <v>2.557262488859437E-11</v>
      </c>
      <c r="T28" t="s">
        <v>81</v>
      </c>
      <c r="V28" t="s">
        <v>70</v>
      </c>
      <c r="W28">
        <v>521.23907488652435</v>
      </c>
      <c r="X28">
        <v>517.73612411443764</v>
      </c>
      <c r="Y28">
        <v>656.29747428493329</v>
      </c>
      <c r="Z28">
        <v>825.68503458436294</v>
      </c>
      <c r="AA28">
        <v>1006.9588482445897</v>
      </c>
      <c r="AB28">
        <v>1209.3418089228765</v>
      </c>
      <c r="AC28">
        <v>1395.0583141309721</v>
      </c>
      <c r="AD28">
        <v>1583.0084934046981</v>
      </c>
      <c r="AE28">
        <v>1750.4254485494507</v>
      </c>
      <c r="AG28" cm="1">
        <f t="array" ref="AG28">TREND(Y28:Z28,$Y$2:$Z$2,$AG$2)</f>
        <v>690.1749863448058</v>
      </c>
    </row>
    <row r="29" spans="2:33">
      <c r="B29" t="s">
        <v>81</v>
      </c>
      <c r="D29" t="s">
        <v>70</v>
      </c>
      <c r="E29">
        <v>-4.0941825509179906E-10</v>
      </c>
      <c r="F29">
        <v>2.794588352458351E-11</v>
      </c>
      <c r="G29">
        <v>2.2078419488873954E-11</v>
      </c>
      <c r="H29">
        <v>1.7442876933838291E-11</v>
      </c>
      <c r="I29">
        <v>1.3780603991257232E-11</v>
      </c>
      <c r="J29">
        <v>1.088725484243076E-11</v>
      </c>
      <c r="K29">
        <v>8.6013877243139687E-12</v>
      </c>
      <c r="L29">
        <v>6.7954568763874844E-12</v>
      </c>
      <c r="M29">
        <v>5.3686958010633148E-12</v>
      </c>
      <c r="N29">
        <v>4.2414947410684372E-12</v>
      </c>
      <c r="V29" t="s">
        <v>72</v>
      </c>
      <c r="W29">
        <v>529.6461567395329</v>
      </c>
      <c r="X29">
        <v>533.14910751161995</v>
      </c>
      <c r="Y29">
        <v>685.82415001963386</v>
      </c>
      <c r="Z29">
        <v>880.27578067258537</v>
      </c>
      <c r="AA29">
        <v>1090.8720855983056</v>
      </c>
      <c r="AB29">
        <v>1310.1202929997828</v>
      </c>
      <c r="AC29">
        <v>1511.3131736418864</v>
      </c>
      <c r="AD29">
        <v>1714.9258678550896</v>
      </c>
      <c r="AE29">
        <v>1896.2942359285717</v>
      </c>
      <c r="AG29" cm="1">
        <f t="array" ref="AG29">TREND(Y29:Z29,$Y$2:$Z$2,$AG$2)</f>
        <v>724.71447615022771</v>
      </c>
    </row>
    <row r="30" spans="2:33">
      <c r="D30" t="s">
        <v>72</v>
      </c>
      <c r="E30">
        <v>-1.6328243953803725E-11</v>
      </c>
      <c r="F30">
        <v>1.3594478917872764E-10</v>
      </c>
      <c r="G30">
        <v>1.2484609076893422E-10</v>
      </c>
      <c r="H30">
        <v>1.1465350363516482E-10</v>
      </c>
      <c r="I30">
        <v>1.0529305174759836E-10</v>
      </c>
      <c r="J30">
        <v>9.6696798569722029E-11</v>
      </c>
      <c r="K30">
        <v>8.8802353986730842E-11</v>
      </c>
      <c r="L30">
        <v>8.1552421488893961E-11</v>
      </c>
      <c r="M30">
        <v>7.4894382323423544E-11</v>
      </c>
      <c r="N30">
        <v>6.877991359669201E-11</v>
      </c>
      <c r="T30" t="s">
        <v>82</v>
      </c>
      <c r="V30" t="s">
        <v>82</v>
      </c>
      <c r="W30">
        <v>55.380023644905904</v>
      </c>
      <c r="X30">
        <v>55.380023644905904</v>
      </c>
      <c r="Y30">
        <v>90.512554769095331</v>
      </c>
      <c r="Z30">
        <v>139.94953603182239</v>
      </c>
      <c r="AA30">
        <v>202.41491681167571</v>
      </c>
      <c r="AB30">
        <v>279.15220336581035</v>
      </c>
      <c r="AC30">
        <v>363.20787724311458</v>
      </c>
      <c r="AD30">
        <v>458.42386091139826</v>
      </c>
      <c r="AE30">
        <v>557.58973553108683</v>
      </c>
      <c r="AG30" cm="1">
        <f t="array" ref="AG30">TREND(Y30:Z30,$Y$2:$Z$2,$AG$2)</f>
        <v>100.39995102164175</v>
      </c>
    </row>
    <row r="31" spans="2:33">
      <c r="B31" t="s">
        <v>82</v>
      </c>
      <c r="D31" t="s">
        <v>82</v>
      </c>
      <c r="E31">
        <v>-2.5076388888888355E-11</v>
      </c>
      <c r="F31">
        <v>3.509360335139069E-10</v>
      </c>
      <c r="G31">
        <v>3.4654933309498314E-10</v>
      </c>
      <c r="H31">
        <v>3.4221746643129591E-10</v>
      </c>
      <c r="I31">
        <v>3.3793974810090482E-10</v>
      </c>
      <c r="J31">
        <v>3.3371550124964364E-10</v>
      </c>
      <c r="K31">
        <v>3.2954405748402317E-10</v>
      </c>
      <c r="L31">
        <v>3.2542475676547297E-10</v>
      </c>
      <c r="M31">
        <v>3.2135694730590467E-10</v>
      </c>
      <c r="N31">
        <v>3.1733998546458092E-10</v>
      </c>
      <c r="T31" t="s">
        <v>86</v>
      </c>
      <c r="W31">
        <v>7285.73847857691</v>
      </c>
      <c r="X31">
        <v>7285.7384785769109</v>
      </c>
      <c r="Y31">
        <v>9258.6395912346088</v>
      </c>
      <c r="Z31">
        <v>11710.409748500057</v>
      </c>
      <c r="AA31">
        <v>14329.527602118544</v>
      </c>
      <c r="AB31">
        <v>17125.295582660758</v>
      </c>
      <c r="AC31">
        <v>19658.964347479945</v>
      </c>
      <c r="AD31">
        <v>22199.392433261673</v>
      </c>
      <c r="AE31">
        <v>24428.749626790268</v>
      </c>
      <c r="AG31" cm="1">
        <f t="array" ref="AG31">TREND(Y31:Z31,$Y$2:$Z$2,$AG$2)</f>
        <v>9748.9936226877617</v>
      </c>
    </row>
    <row r="33" spans="1:24" ht="45">
      <c r="A33" s="1" t="s">
        <v>84</v>
      </c>
      <c r="Q33" s="15" t="s">
        <v>3</v>
      </c>
      <c r="R33" s="15" t="s">
        <v>4</v>
      </c>
      <c r="S33" s="15" t="s">
        <v>5</v>
      </c>
      <c r="T33" s="15" t="s">
        <v>6</v>
      </c>
      <c r="U33" s="15" t="s">
        <v>7</v>
      </c>
      <c r="V33" s="15" t="s">
        <v>46</v>
      </c>
      <c r="W33" s="15" t="s">
        <v>47</v>
      </c>
      <c r="X33" s="15"/>
    </row>
    <row r="34" spans="1:24">
      <c r="A34">
        <v>3</v>
      </c>
      <c r="B34" t="s">
        <v>64</v>
      </c>
    </row>
    <row r="35" spans="1:24">
      <c r="B35" t="s">
        <v>53</v>
      </c>
      <c r="C35" t="s">
        <v>66</v>
      </c>
      <c r="D35" t="s">
        <v>67</v>
      </c>
      <c r="E35">
        <v>2007</v>
      </c>
      <c r="F35">
        <v>2012</v>
      </c>
      <c r="G35">
        <v>2017</v>
      </c>
      <c r="H35">
        <v>2022</v>
      </c>
      <c r="I35">
        <v>2027</v>
      </c>
      <c r="J35">
        <v>2032</v>
      </c>
      <c r="K35">
        <v>2037</v>
      </c>
      <c r="L35">
        <v>2042</v>
      </c>
      <c r="M35">
        <v>2047</v>
      </c>
      <c r="N35">
        <v>2052</v>
      </c>
      <c r="P35">
        <v>2018</v>
      </c>
    </row>
    <row r="36" spans="1:24">
      <c r="B36" t="s">
        <v>68</v>
      </c>
      <c r="C36" t="s">
        <v>69</v>
      </c>
      <c r="D36" t="s">
        <v>70</v>
      </c>
      <c r="E36" s="12">
        <f>1/(E4*About!$B$54)*About!$B$55</f>
        <v>-1.869697811645445E-2</v>
      </c>
      <c r="F36" s="12">
        <f>1/(F4*About!$B$54)*About!$B$55</f>
        <v>4.4408722477139494E-3</v>
      </c>
      <c r="G36" s="12">
        <f>1/(G4*About!$B$54)*About!$B$55</f>
        <v>4.4631657830940365E-3</v>
      </c>
      <c r="H36" s="12">
        <f>1/(H4*About!$B$54)*About!$B$55</f>
        <v>4.4855712338123781E-3</v>
      </c>
      <c r="I36" s="12">
        <f>1/(I4*About!$B$54)*About!$B$55</f>
        <v>4.5080891616929583E-3</v>
      </c>
      <c r="J36" s="12">
        <f>1/(J4*About!$B$54)*About!$B$55</f>
        <v>4.5307201313801683E-3</v>
      </c>
      <c r="K36" s="12">
        <f>1/(K4*About!$B$54)*About!$B$55</f>
        <v>4.553464710352958E-3</v>
      </c>
      <c r="L36" s="12">
        <f>1/(L4*About!$B$54)*About!$B$55</f>
        <v>4.576323468939064E-3</v>
      </c>
      <c r="M36" s="12">
        <f>1/(M4*About!$B$54)*About!$B$55</f>
        <v>4.5992969803293152E-3</v>
      </c>
      <c r="N36" s="12">
        <f>1/(N4*About!$B$54)*About!$B$55</f>
        <v>4.6223858205920098E-3</v>
      </c>
      <c r="P36" cm="1">
        <f t="array" ref="P36">TREND(G36:H36,$G$35:$H$35,P$35)</f>
        <v>4.4676468732377048E-3</v>
      </c>
      <c r="Q36" t="s">
        <v>6</v>
      </c>
    </row>
    <row r="37" spans="1:24">
      <c r="D37" t="s">
        <v>71</v>
      </c>
      <c r="E37" s="12">
        <f>1/(E5*About!$B$54)*About!$B$55</f>
        <v>-1.8229553663543088E-2</v>
      </c>
      <c r="F37" s="12">
        <f>1/(F5*About!$B$54)*About!$B$55</f>
        <v>2.8711547020076199E-3</v>
      </c>
      <c r="G37" s="12">
        <f>1/(G5*About!$B$54)*About!$B$55</f>
        <v>2.8855681292265321E-3</v>
      </c>
      <c r="H37" s="12">
        <f>1/(H5*About!$B$54)*About!$B$55</f>
        <v>2.9000539130077871E-3</v>
      </c>
      <c r="I37" s="12">
        <f>1/(I5*About!$B$54)*About!$B$55</f>
        <v>2.9146124165871415E-3</v>
      </c>
      <c r="J37" s="12">
        <f>1/(J5*About!$B$54)*About!$B$55</f>
        <v>2.9292440050238222E-3</v>
      </c>
      <c r="K37" s="12">
        <f>1/(K5*About!$B$54)*About!$B$55</f>
        <v>2.9439490452096823E-3</v>
      </c>
      <c r="L37" s="12">
        <f>1/(L5*About!$B$54)*About!$B$55</f>
        <v>2.9587279058784035E-3</v>
      </c>
      <c r="M37" s="12">
        <f>1/(M5*About!$B$54)*About!$B$55</f>
        <v>2.9735809576147388E-3</v>
      </c>
      <c r="N37" s="12">
        <f>1/(N5*About!$B$54)*About!$B$55</f>
        <v>2.9885085728638063E-3</v>
      </c>
      <c r="P37" cm="1">
        <f t="array" ref="P37">TREND(G37:H37,$G$35:$H$35,P$35)</f>
        <v>2.8884652859827832E-3</v>
      </c>
      <c r="Q37" t="s">
        <v>4</v>
      </c>
    </row>
    <row r="38" spans="1:24">
      <c r="D38" t="s">
        <v>72</v>
      </c>
      <c r="E38" s="12">
        <f>1/(E6*About!$B$54)*About!$B$55</f>
        <v>-1.9796800358598831E-2</v>
      </c>
      <c r="F38" s="12">
        <f>1/(F6*About!$B$54)*About!$B$55</f>
        <v>6.8417742039307622E-3</v>
      </c>
      <c r="G38" s="12">
        <f>1/(G6*About!$B$54)*About!$B$55</f>
        <v>6.8761204599745865E-3</v>
      </c>
      <c r="H38" s="12">
        <f>1/(H6*About!$B$54)*About!$B$55</f>
        <v>6.9106391369824867E-3</v>
      </c>
      <c r="I38" s="12">
        <f>1/(I6*About!$B$54)*About!$B$55</f>
        <v>6.9453311005215502E-3</v>
      </c>
      <c r="J38" s="12">
        <f>1/(J6*About!$B$54)*About!$B$55</f>
        <v>6.9801972205040834E-3</v>
      </c>
      <c r="K38" s="12">
        <f>1/(K6*About!$B$54)*About!$B$55</f>
        <v>7.01523837120942E-3</v>
      </c>
      <c r="L38" s="12">
        <f>1/(L6*About!$B$54)*About!$B$55</f>
        <v>7.0504554313058467E-3</v>
      </c>
      <c r="M38" s="12">
        <f>1/(M6*About!$B$54)*About!$B$55</f>
        <v>7.0858492838726389E-3</v>
      </c>
      <c r="N38" s="12">
        <f>1/(N6*About!$B$54)*About!$B$55</f>
        <v>7.1214208164221962E-3</v>
      </c>
      <c r="P38" cm="1">
        <f t="array" ref="P38">TREND(G38:H38,$G$35:$H$35,P$35)</f>
        <v>6.8830241953761664E-3</v>
      </c>
      <c r="Q38" t="s">
        <v>3</v>
      </c>
    </row>
    <row r="39" spans="1:24">
      <c r="D39" t="s">
        <v>73</v>
      </c>
      <c r="E39" s="12">
        <f>1/(E7*About!$B$54)*About!$B$55</f>
        <v>-1.4722095812592017E-2</v>
      </c>
      <c r="F39" s="12">
        <f>1/(F7*About!$B$54)*About!$B$55</f>
        <v>1.2804850069607265E-3</v>
      </c>
      <c r="G39" s="12">
        <f>1/(G7*About!$B$54)*About!$B$55</f>
        <v>1.3649048829618802E-3</v>
      </c>
      <c r="H39" s="12">
        <f>1/(H7*About!$B$54)*About!$B$55</f>
        <v>1.454890396534196E-3</v>
      </c>
      <c r="I39" s="12">
        <f>1/(I7*About!$B$54)*About!$B$55</f>
        <v>1.550808479294265E-3</v>
      </c>
      <c r="J39" s="12">
        <f>1/(J7*About!$B$54)*About!$B$55</f>
        <v>1.6530502539436225E-3</v>
      </c>
      <c r="K39" s="12">
        <f>1/(K7*About!$B$54)*About!$B$55</f>
        <v>1.7620326291397396E-3</v>
      </c>
      <c r="L39" s="12">
        <f>1/(L7*About!$B$54)*About!$B$55</f>
        <v>1.8781999995137416E-3</v>
      </c>
      <c r="M39" s="12">
        <f>1/(M7*About!$B$54)*About!$B$55</f>
        <v>2.0020260577669801E-3</v>
      </c>
      <c r="N39" s="12">
        <f>1/(N7*About!$B$54)*About!$B$55</f>
        <v>2.1340157262355864E-3</v>
      </c>
      <c r="P39" cm="1">
        <f t="array" ref="P39">TREND(G39:H39,$G$35:$H$35,P$35)</f>
        <v>1.382901985676345E-3</v>
      </c>
    </row>
    <row r="40" spans="1:24">
      <c r="C40" t="s">
        <v>74</v>
      </c>
      <c r="D40" t="s">
        <v>70</v>
      </c>
      <c r="E40" s="12">
        <f>1/(E8*About!$B$54)*About!$B$55</f>
        <v>-1.869697811645445E-2</v>
      </c>
      <c r="F40" s="12">
        <f>1/(F8*About!$B$54)*About!$B$55</f>
        <v>1.3087884681516216E-3</v>
      </c>
      <c r="G40" s="12">
        <f>1/(G8*About!$B$54)*About!$B$55</f>
        <v>1.3153586913853136E-3</v>
      </c>
      <c r="H40" s="12">
        <f>1/(H8*About!$B$54)*About!$B$55</f>
        <v>1.3219618976673675E-3</v>
      </c>
      <c r="I40" s="12">
        <f>1/(I8*About!$B$54)*About!$B$55</f>
        <v>1.3285982525753353E-3</v>
      </c>
      <c r="J40" s="12">
        <f>1/(J8*About!$B$54)*About!$B$55</f>
        <v>1.3352679225179815E-3</v>
      </c>
      <c r="K40" s="12">
        <f>1/(K8*About!$B$54)*About!$B$55</f>
        <v>1.3419710747394566E-3</v>
      </c>
      <c r="L40" s="12">
        <f>1/(L8*About!$B$54)*About!$B$55</f>
        <v>1.3487078773234888E-3</v>
      </c>
      <c r="M40" s="12">
        <f>1/(M8*About!$B$54)*About!$B$55</f>
        <v>1.3554784991976019E-3</v>
      </c>
      <c r="N40" s="12">
        <f>1/(N8*About!$B$54)*About!$B$55</f>
        <v>1.362283110137348E-3</v>
      </c>
      <c r="P40" cm="1">
        <f t="array" ref="P40">TREND(G40:H40,$G$35:$H$35,P$35)</f>
        <v>1.3166793326417243E-3</v>
      </c>
      <c r="Q40" t="s">
        <v>6</v>
      </c>
    </row>
    <row r="41" spans="1:24">
      <c r="D41" t="s">
        <v>71</v>
      </c>
      <c r="E41" s="12">
        <f>1/(E9*About!$B$54)*About!$B$55</f>
        <v>-1.8229553663543088E-2</v>
      </c>
      <c r="F41" s="12">
        <f>1/(F9*About!$B$54)*About!$B$55</f>
        <v>1.276068756447831E-3</v>
      </c>
      <c r="G41" s="12">
        <f>1/(G9*About!$B$54)*About!$B$55</f>
        <v>1.2824747241006807E-3</v>
      </c>
      <c r="H41" s="12">
        <f>1/(H9*About!$B$54)*About!$B$55</f>
        <v>1.288912850225683E-3</v>
      </c>
      <c r="I41" s="12">
        <f>1/(I9*About!$B$54)*About!$B$55</f>
        <v>1.2953832962609515E-3</v>
      </c>
      <c r="J41" s="12">
        <f>1/(J9*About!$B$54)*About!$B$55</f>
        <v>1.3018862244550317E-3</v>
      </c>
      <c r="K41" s="12">
        <f>1/(K9*About!$B$54)*About!$B$55</f>
        <v>1.30842179787097E-3</v>
      </c>
      <c r="L41" s="12">
        <f>1/(L9*About!$B$54)*About!$B$55</f>
        <v>1.3149901803904014E-3</v>
      </c>
      <c r="M41" s="12">
        <f>1/(M9*About!$B$54)*About!$B$55</f>
        <v>1.3215915367176614E-3</v>
      </c>
      <c r="N41" s="12">
        <f>1/(N9*About!$B$54)*About!$B$55</f>
        <v>1.3282260323839138E-3</v>
      </c>
      <c r="P41" cm="1">
        <f t="array" ref="P41">TREND(G41:H41,$G$35:$H$35,P$35)</f>
        <v>1.2837623493256812E-3</v>
      </c>
      <c r="Q41" t="s">
        <v>4</v>
      </c>
    </row>
    <row r="42" spans="1:24" ht="30">
      <c r="C42" t="s">
        <v>75</v>
      </c>
      <c r="D42" t="s">
        <v>76</v>
      </c>
      <c r="E42" s="12">
        <f>1/(E10*About!$B$54)*About!$B$55</f>
        <v>-2.1493332921325528E-3</v>
      </c>
      <c r="F42" s="12">
        <f>1/(F10*About!$B$54)*About!$B$55</f>
        <v>8.5522177549134527E-4</v>
      </c>
      <c r="G42" s="12">
        <f>1/(G10*About!$B$54)*About!$B$55</f>
        <v>8.964657854916273E-4</v>
      </c>
      <c r="H42" s="12">
        <f>1/(H10*About!$B$54)*About!$B$55</f>
        <v>9.3969883320078407E-4</v>
      </c>
      <c r="I42" s="12">
        <f>1/(I10*About!$B$54)*About!$B$55</f>
        <v>9.8501684214825198E-4</v>
      </c>
      <c r="J42" s="12">
        <f>1/(J10*About!$B$54)*About!$B$55</f>
        <v>1.0325203618810931E-3</v>
      </c>
      <c r="K42" s="12">
        <f>1/(K10*About!$B$54)*About!$B$55</f>
        <v>1.0823147910587786E-3</v>
      </c>
      <c r="L42" s="12">
        <f>1/(L10*About!$B$54)*About!$B$55</f>
        <v>1.1345106113069651E-3</v>
      </c>
      <c r="M42" s="12">
        <f>1/(M10*About!$B$54)*About!$B$55</f>
        <v>1.1892236323491237E-3</v>
      </c>
      <c r="N42" s="12">
        <f>1/(N10*About!$B$54)*About!$B$55</f>
        <v>1.2465752489599139E-3</v>
      </c>
      <c r="P42" cm="1">
        <f t="array" ref="P42">TREND(G42:H42,$G$35:$H$35,P$35)</f>
        <v>9.0511239503345692E-4</v>
      </c>
      <c r="Q42" s="15" t="s">
        <v>5</v>
      </c>
    </row>
    <row r="43" spans="1:24">
      <c r="D43" t="s">
        <v>70</v>
      </c>
      <c r="E43" s="12">
        <f>1/(E11*About!$B$54)*About!$B$55</f>
        <v>-2.0752563643088064E-3</v>
      </c>
      <c r="F43" s="12">
        <f>1/(F11*About!$B$54)*About!$B$55</f>
        <v>6.7309121219226258E-4</v>
      </c>
      <c r="G43" s="12">
        <f>1/(G11*About!$B$54)*About!$B$55</f>
        <v>7.0480931690733385E-4</v>
      </c>
      <c r="H43" s="12">
        <f>1/(H11*About!$B$54)*About!$B$55</f>
        <v>7.3802207516785779E-4</v>
      </c>
      <c r="I43" s="12">
        <f>1/(I11*About!$B$54)*About!$B$55</f>
        <v>7.7279991959397357E-4</v>
      </c>
      <c r="J43" s="12">
        <f>1/(J11*About!$B$54)*About!$B$55</f>
        <v>8.0921660180505986E-4</v>
      </c>
      <c r="K43" s="12">
        <f>1/(K11*About!$B$54)*About!$B$55</f>
        <v>8.4734934882106975E-4</v>
      </c>
      <c r="L43" s="12">
        <f>1/(L11*About!$B$54)*About!$B$55</f>
        <v>8.872790268339766E-4</v>
      </c>
      <c r="M43" s="12">
        <f>1/(M11*About!$B$54)*About!$B$55</f>
        <v>9.2909031269662406E-4</v>
      </c>
      <c r="N43" s="12">
        <f>1/(N11*About!$B$54)*About!$B$55</f>
        <v>9.728718734926552E-4</v>
      </c>
      <c r="P43" cm="1">
        <f t="array" ref="P43">TREND(G43:H43,$G$35:$H$35,P$35)</f>
        <v>7.1145186855943801E-4</v>
      </c>
      <c r="Q43" t="s">
        <v>6</v>
      </c>
    </row>
    <row r="44" spans="1:24">
      <c r="D44" t="s">
        <v>71</v>
      </c>
      <c r="E44" s="12">
        <f>1/(E12*About!$B$54)*About!$B$55</f>
        <v>-1.8438904238240114E-3</v>
      </c>
      <c r="F44" s="12">
        <f>1/(F12*About!$B$54)*About!$B$55</f>
        <v>7.8751671826494713E-4</v>
      </c>
      <c r="G44" s="12">
        <f>1/(G12*About!$B$54)*About!$B$55</f>
        <v>8.2842686404785502E-4</v>
      </c>
      <c r="H44" s="12">
        <f>1/(H12*About!$B$54)*About!$B$55</f>
        <v>8.714622218918682E-4</v>
      </c>
      <c r="I44" s="12">
        <f>1/(I12*About!$B$54)*About!$B$55</f>
        <v>9.1673319292654126E-4</v>
      </c>
      <c r="J44" s="12">
        <f>1/(J12*About!$B$54)*About!$B$55</f>
        <v>9.6435591343117181E-4</v>
      </c>
      <c r="K44" s="12">
        <f>1/(K12*About!$B$54)*About!$B$55</f>
        <v>1.0144525527660151E-3</v>
      </c>
      <c r="L44" s="12">
        <f>1/(L12*About!$B$54)*About!$B$55</f>
        <v>1.0671516267805156E-3</v>
      </c>
      <c r="M44" s="12">
        <f>1/(M12*About!$B$54)*About!$B$55</f>
        <v>1.1225883275025571E-3</v>
      </c>
      <c r="N44" s="12">
        <f>1/(N12*About!$B$54)*About!$B$55</f>
        <v>1.1809048699545097E-3</v>
      </c>
      <c r="P44" cm="1">
        <f t="array" ref="P44">TREND(G44:H44,$G$35:$H$35,P$35)</f>
        <v>8.3703393561665798E-4</v>
      </c>
      <c r="Q44" t="s">
        <v>4</v>
      </c>
    </row>
    <row r="45" spans="1:24" ht="30">
      <c r="D45" t="s">
        <v>77</v>
      </c>
      <c r="E45" s="12">
        <f>1/(E13*About!$B$54)*About!$B$55</f>
        <v>-2.7249680502021518E-3</v>
      </c>
      <c r="F45" s="12">
        <f>1/(F13*About!$B$54)*About!$B$55</f>
        <v>1.0904077637514651E-3</v>
      </c>
      <c r="G45" s="12">
        <f>1/(G13*About!$B$54)*About!$B$55</f>
        <v>1.1433061265922462E-3</v>
      </c>
      <c r="H45" s="12">
        <f>1/(H13*About!$B$54)*About!$B$55</f>
        <v>1.1987707191355816E-3</v>
      </c>
      <c r="I45" s="12">
        <f>1/(I13*About!$B$54)*About!$B$55</f>
        <v>1.256926035496839E-3</v>
      </c>
      <c r="J45" s="12">
        <f>1/(J13*About!$B$54)*About!$B$55</f>
        <v>1.317902609307158E-3</v>
      </c>
      <c r="K45" s="12">
        <f>1/(K13*About!$B$54)*About!$B$55</f>
        <v>1.3818373067052156E-3</v>
      </c>
      <c r="L45" s="12">
        <f>1/(L13*About!$B$54)*About!$B$55</f>
        <v>1.4488736335427418E-3</v>
      </c>
      <c r="M45" s="12">
        <f>1/(M13*About!$B$54)*About!$B$55</f>
        <v>1.5191620574933381E-3</v>
      </c>
      <c r="N45" s="12">
        <f>1/(N13*About!$B$54)*About!$B$55</f>
        <v>1.5928603457875752E-3</v>
      </c>
      <c r="P45" cm="1">
        <f t="array" ref="P45">TREND(G45:H45,$G$35:$H$35,P$35)</f>
        <v>1.154399045100913E-3</v>
      </c>
      <c r="Q45" s="15" t="s">
        <v>46</v>
      </c>
    </row>
    <row r="46" spans="1:24" ht="45">
      <c r="D46" t="s">
        <v>72</v>
      </c>
      <c r="E46" s="12">
        <f>1/(E14*About!$B$54)*About!$B$55</f>
        <v>-1.9796800358598831E-2</v>
      </c>
      <c r="F46" s="12">
        <f>1/(F14*About!$B$54)*About!$B$55</f>
        <v>6.8417742039307622E-3</v>
      </c>
      <c r="G46" s="12">
        <f>1/(G14*About!$B$54)*About!$B$55</f>
        <v>6.8761204599745865E-3</v>
      </c>
      <c r="H46" s="12">
        <f>1/(H14*About!$B$54)*About!$B$55</f>
        <v>6.9106391369824867E-3</v>
      </c>
      <c r="I46" s="12">
        <f>1/(I14*About!$B$54)*About!$B$55</f>
        <v>6.9453311005215502E-3</v>
      </c>
      <c r="J46" s="12">
        <f>1/(J14*About!$B$54)*About!$B$55</f>
        <v>6.9801972205040834E-3</v>
      </c>
      <c r="K46" s="12">
        <f>1/(K14*About!$B$54)*About!$B$55</f>
        <v>7.01523837120942E-3</v>
      </c>
      <c r="L46" s="12">
        <f>1/(L14*About!$B$54)*About!$B$55</f>
        <v>7.0504554313058467E-3</v>
      </c>
      <c r="M46" s="12">
        <f>1/(M14*About!$B$54)*About!$B$55</f>
        <v>7.0858492838726389E-3</v>
      </c>
      <c r="N46" s="12">
        <f>1/(N14*About!$B$54)*About!$B$55</f>
        <v>7.1214208164221962E-3</v>
      </c>
      <c r="P46" cm="1">
        <f t="array" ref="P46">TREND(G46:H46,$G$35:$H$35,P$35)</f>
        <v>6.8830241953761664E-3</v>
      </c>
      <c r="Q46" s="15" t="s">
        <v>3</v>
      </c>
    </row>
    <row r="47" spans="1:24">
      <c r="D47" t="s">
        <v>73</v>
      </c>
      <c r="E47" s="12">
        <f>1/(E15*About!$B$54)*About!$B$55</f>
        <v>-1.256675543555562E-2</v>
      </c>
      <c r="F47" s="12">
        <f>1/(F15*About!$B$54)*About!$B$55</f>
        <v>2.3976532976050908E-3</v>
      </c>
      <c r="G47" s="12">
        <f>1/(G15*About!$B$54)*About!$B$55</f>
        <v>2.5849550285545597E-3</v>
      </c>
      <c r="H47" s="12">
        <f>1/(H15*About!$B$54)*About!$B$55</f>
        <v>2.7868885406926217E-3</v>
      </c>
      <c r="I47" s="12">
        <f>1/(I15*About!$B$54)*About!$B$55</f>
        <v>3.0045968507958196E-3</v>
      </c>
      <c r="J47" s="12">
        <f>1/(J15*About!$B$54)*About!$B$55</f>
        <v>3.2393122667074945E-3</v>
      </c>
      <c r="K47" s="12">
        <f>1/(K15*About!$B$54)*About!$B$55</f>
        <v>3.4923633626462581E-3</v>
      </c>
      <c r="L47" s="12">
        <f>1/(L15*About!$B$54)*About!$B$55</f>
        <v>3.7651824994170023E-3</v>
      </c>
      <c r="M47" s="12">
        <f>1/(M15*About!$B$54)*About!$B$55</f>
        <v>4.0593139320915543E-3</v>
      </c>
      <c r="N47" s="12">
        <f>1/(N15*About!$B$54)*About!$B$55</f>
        <v>4.3764225510513873E-3</v>
      </c>
      <c r="P47" cm="1">
        <f t="array" ref="P47">TREND(G47:H47,$G$35:$H$35,P$35)</f>
        <v>2.6253417309821808E-3</v>
      </c>
    </row>
    <row r="48" spans="1:24" ht="30">
      <c r="C48" t="s">
        <v>78</v>
      </c>
      <c r="D48" t="s">
        <v>76</v>
      </c>
      <c r="E48" s="12">
        <f>1/(E16*About!$B$54)*About!$B$55</f>
        <v>-1.9796800358598831E-2</v>
      </c>
      <c r="F48" s="12">
        <f>1/(F16*About!$B$54)*About!$B$55</f>
        <v>1.2669952229501413E-3</v>
      </c>
      <c r="G48" s="12">
        <f>1/(G16*About!$B$54)*About!$B$55</f>
        <v>1.2733556407360344E-3</v>
      </c>
      <c r="H48" s="12">
        <f>1/(H16*About!$B$54)*About!$B$55</f>
        <v>1.27974798833009E-3</v>
      </c>
      <c r="I48" s="12">
        <f>1/(I16*About!$B$54)*About!$B$55</f>
        <v>1.2861724260225093E-3</v>
      </c>
      <c r="J48" s="12">
        <f>1/(J16*About!$B$54)*About!$B$55</f>
        <v>1.2926291149081635E-3</v>
      </c>
      <c r="K48" s="12">
        <f>1/(K16*About!$B$54)*About!$B$55</f>
        <v>1.2991182168906332E-3</v>
      </c>
      <c r="L48" s="12">
        <f>1/(L16*About!$B$54)*About!$B$55</f>
        <v>1.3056398946862679E-3</v>
      </c>
      <c r="M48" s="12">
        <f>1/(M16*About!$B$54)*About!$B$55</f>
        <v>1.3121943118282659E-3</v>
      </c>
      <c r="N48" s="12">
        <f>1/(N16*About!$B$54)*About!$B$55</f>
        <v>1.3187816326707769E-3</v>
      </c>
      <c r="P48" cm="1">
        <f t="array" ref="P48">TREND(G48:H48,$G$35:$H$35,P$35)</f>
        <v>1.2746341102548456E-3</v>
      </c>
      <c r="Q48" s="15" t="s">
        <v>5</v>
      </c>
    </row>
    <row r="49" spans="2:17" ht="30">
      <c r="D49" t="s">
        <v>76</v>
      </c>
      <c r="E49" s="12">
        <f>1/(E17*About!$B$54)*About!$B$55</f>
        <v>-1.9796800358598831E-2</v>
      </c>
      <c r="F49" s="12">
        <f>1/(F17*About!$B$54)*About!$B$55</f>
        <v>1.7421184315564444E-3</v>
      </c>
      <c r="G49" s="12">
        <f>1/(G17*About!$B$54)*About!$B$55</f>
        <v>1.7508640060120474E-3</v>
      </c>
      <c r="H49" s="12">
        <f>1/(H17*About!$B$54)*About!$B$55</f>
        <v>1.7596534839538741E-3</v>
      </c>
      <c r="I49" s="12">
        <f>1/(I17*About!$B$54)*About!$B$55</f>
        <v>1.7684870857809503E-3</v>
      </c>
      <c r="J49" s="12">
        <f>1/(J17*About!$B$54)*About!$B$55</f>
        <v>1.7773650329987248E-3</v>
      </c>
      <c r="K49" s="12">
        <f>1/(K17*About!$B$54)*About!$B$55</f>
        <v>1.7862875482246203E-3</v>
      </c>
      <c r="L49" s="12">
        <f>1/(L17*About!$B$54)*About!$B$55</f>
        <v>1.7952548551936182E-3</v>
      </c>
      <c r="M49" s="12">
        <f>1/(M17*About!$B$54)*About!$B$55</f>
        <v>1.8042671787638664E-3</v>
      </c>
      <c r="N49" s="12">
        <f>1/(N17*About!$B$54)*About!$B$55</f>
        <v>1.8133247449223181E-3</v>
      </c>
      <c r="P49" cm="1">
        <f t="array" ref="P49">TREND(G49:H49,$G$35:$H$35,P$35)</f>
        <v>1.7526219016004126E-3</v>
      </c>
      <c r="Q49" s="15" t="s">
        <v>5</v>
      </c>
    </row>
    <row r="50" spans="2:17" ht="30">
      <c r="D50" t="s">
        <v>76</v>
      </c>
      <c r="E50" s="12">
        <f>1/(E18*About!$B$54)*About!$B$55</f>
        <v>-1.9796800358598831E-2</v>
      </c>
      <c r="F50" s="12">
        <f>1/(F18*About!$B$54)*About!$B$55</f>
        <v>1.5837440286876768E-3</v>
      </c>
      <c r="G50" s="12">
        <f>1/(G18*About!$B$54)*About!$B$55</f>
        <v>1.5916945509200434E-3</v>
      </c>
      <c r="H50" s="12">
        <f>1/(H18*About!$B$54)*About!$B$55</f>
        <v>1.5996849854126129E-3</v>
      </c>
      <c r="I50" s="12">
        <f>1/(I18*About!$B$54)*About!$B$55</f>
        <v>1.6077155325281368E-3</v>
      </c>
      <c r="J50" s="12">
        <f>1/(J18*About!$B$54)*About!$B$55</f>
        <v>1.6157863936352049E-3</v>
      </c>
      <c r="K50" s="12">
        <f>1/(K18*About!$B$54)*About!$B$55</f>
        <v>1.6238977711132917E-3</v>
      </c>
      <c r="L50" s="12">
        <f>1/(L18*About!$B$54)*About!$B$55</f>
        <v>1.6320498683578351E-3</v>
      </c>
      <c r="M50" s="12">
        <f>1/(M18*About!$B$54)*About!$B$55</f>
        <v>1.640242889785333E-3</v>
      </c>
      <c r="N50" s="12">
        <f>1/(N18*About!$B$54)*About!$B$55</f>
        <v>1.6484770408384712E-3</v>
      </c>
      <c r="P50" cm="1">
        <f t="array" ref="P50">TREND(G50:H50,$G$35:$H$35,P$35)</f>
        <v>1.5932926378185576E-3</v>
      </c>
      <c r="Q50" s="15" t="s">
        <v>5</v>
      </c>
    </row>
    <row r="51" spans="2:17" ht="45">
      <c r="D51" t="s">
        <v>72</v>
      </c>
      <c r="E51" s="12">
        <f>1/(E19*About!$B$54)*About!$B$55</f>
        <v>-1.9796800358598831E-2</v>
      </c>
      <c r="F51" s="12">
        <f>1/(F19*About!$B$54)*About!$B$55</f>
        <v>2.1285519745562372E-2</v>
      </c>
      <c r="G51" s="12">
        <f>1/(G19*About!$B$54)*About!$B$55</f>
        <v>2.1392374764365379E-2</v>
      </c>
      <c r="H51" s="12">
        <f>1/(H19*About!$B$54)*About!$B$55</f>
        <v>2.149976620394551E-2</v>
      </c>
      <c r="I51" s="12">
        <f>1/(I19*About!$B$54)*About!$B$55</f>
        <v>2.1607696757178153E-2</v>
      </c>
      <c r="J51" s="12">
        <f>1/(J19*About!$B$54)*About!$B$55</f>
        <v>2.1716169130457142E-2</v>
      </c>
      <c r="K51" s="12">
        <f>1/(K19*About!$B$54)*About!$B$55</f>
        <v>2.1825186043762636E-2</v>
      </c>
      <c r="L51" s="12">
        <f>1/(L19*About!$B$54)*About!$B$55</f>
        <v>2.19347502307293E-2</v>
      </c>
      <c r="M51" s="12">
        <f>1/(M19*About!$B$54)*About!$B$55</f>
        <v>2.2044864438714871E-2</v>
      </c>
      <c r="N51" s="12">
        <f>1/(N19*About!$B$54)*About!$B$55</f>
        <v>2.2155531428869044E-2</v>
      </c>
      <c r="P51" cm="1">
        <f t="array" ref="P51">TREND(G51:H51,$G$35:$H$35,P$35)</f>
        <v>2.1413853052281405E-2</v>
      </c>
      <c r="Q51" s="15" t="s">
        <v>3</v>
      </c>
    </row>
    <row r="52" spans="2:17" ht="45">
      <c r="C52" t="s">
        <v>79</v>
      </c>
      <c r="D52" t="s">
        <v>71</v>
      </c>
      <c r="E52" s="12">
        <f>1/(E20*About!$B$54)*About!$B$55</f>
        <v>-1.8229553663543088E-2</v>
      </c>
      <c r="F52" s="12">
        <f>1/(F20*About!$B$54)*About!$B$55</f>
        <v>1.1229405056740916E-3</v>
      </c>
      <c r="G52" s="12">
        <f>1/(G20*About!$B$54)*About!$B$55</f>
        <v>1.128577757208599E-3</v>
      </c>
      <c r="H52" s="12">
        <f>1/(H20*About!$B$54)*About!$B$55</f>
        <v>1.1342433081986012E-3</v>
      </c>
      <c r="I52" s="12">
        <f>1/(I20*About!$B$54)*About!$B$55</f>
        <v>1.1399373007096377E-3</v>
      </c>
      <c r="J52" s="12">
        <f>1/(J20*About!$B$54)*About!$B$55</f>
        <v>1.1456598775204283E-3</v>
      </c>
      <c r="K52" s="12">
        <f>1/(K20*About!$B$54)*About!$B$55</f>
        <v>1.1514111821264536E-3</v>
      </c>
      <c r="L52" s="12">
        <f>1/(L20*About!$B$54)*About!$B$55</f>
        <v>1.1571913587435534E-3</v>
      </c>
      <c r="M52" s="12">
        <f>1/(M20*About!$B$54)*About!$B$55</f>
        <v>1.1630005523115424E-3</v>
      </c>
      <c r="N52" s="12">
        <f>1/(N20*About!$B$54)*About!$B$55</f>
        <v>1.1688389084978446E-3</v>
      </c>
      <c r="P52" cm="1">
        <f t="array" ref="P52">TREND(G52:H52,$G$35:$H$35,P$35)</f>
        <v>1.1297108674065996E-3</v>
      </c>
      <c r="Q52" s="15" t="s">
        <v>4</v>
      </c>
    </row>
    <row r="53" spans="2:17" ht="30">
      <c r="D53" t="s">
        <v>77</v>
      </c>
      <c r="E53" s="12">
        <f>1/(E21*About!$B$54)*About!$B$55</f>
        <v>-2.524092045721351E-2</v>
      </c>
      <c r="F53" s="12">
        <f>1/(F21*About!$B$54)*About!$B$55</f>
        <v>1.3327206001406799E-3</v>
      </c>
      <c r="G53" s="12">
        <f>1/(G21*About!$B$54)*About!$B$55</f>
        <v>1.3394109645992166E-3</v>
      </c>
      <c r="H53" s="12">
        <f>1/(H21*About!$B$54)*About!$B$55</f>
        <v>1.3461349152247139E-3</v>
      </c>
      <c r="I53" s="12">
        <f>1/(I21*About!$B$54)*About!$B$55</f>
        <v>1.3528926206224272E-3</v>
      </c>
      <c r="J53" s="12">
        <f>1/(J21*About!$B$54)*About!$B$55</f>
        <v>1.3596842502440246E-3</v>
      </c>
      <c r="K53" s="12">
        <f>1/(K21*About!$B$54)*About!$B$55</f>
        <v>1.3665099743918351E-3</v>
      </c>
      <c r="L53" s="12">
        <f>1/(L21*About!$B$54)*About!$B$55</f>
        <v>1.3733699642231184E-3</v>
      </c>
      <c r="M53" s="12">
        <f>1/(M21*About!$B$54)*About!$B$55</f>
        <v>1.3802643917543579E-3</v>
      </c>
      <c r="N53" s="12">
        <f>1/(N21*About!$B$54)*About!$B$55</f>
        <v>1.3871934298655736E-3</v>
      </c>
      <c r="P53" cm="1">
        <f t="array" ref="P53">TREND(G53:H53,$G$35:$H$35,P$35)</f>
        <v>1.3407557547243161E-3</v>
      </c>
      <c r="Q53" s="15" t="s">
        <v>46</v>
      </c>
    </row>
    <row r="54" spans="2:17" ht="30">
      <c r="D54" t="s">
        <v>76</v>
      </c>
      <c r="E54" s="12">
        <f>1/(E22*About!$B$54)*About!$B$55</f>
        <v>-1.9796800358598831E-2</v>
      </c>
      <c r="F54" s="12">
        <f>1/(F22*About!$B$54)*About!$B$55</f>
        <v>1.219482902089511E-3</v>
      </c>
      <c r="G54" s="12">
        <f>1/(G22*About!$B$54)*About!$B$55</f>
        <v>1.2256048042084333E-3</v>
      </c>
      <c r="H54" s="12">
        <f>1/(H22*About!$B$54)*About!$B$55</f>
        <v>1.2317574387677116E-3</v>
      </c>
      <c r="I54" s="12">
        <f>1/(I22*About!$B$54)*About!$B$55</f>
        <v>1.2379409600466653E-3</v>
      </c>
      <c r="J54" s="12">
        <f>1/(J22*About!$B$54)*About!$B$55</f>
        <v>1.2441555230991077E-3</v>
      </c>
      <c r="K54" s="12">
        <f>1/(K22*About!$B$54)*About!$B$55</f>
        <v>1.2504012837572347E-3</v>
      </c>
      <c r="L54" s="12">
        <f>1/(L22*About!$B$54)*About!$B$55</f>
        <v>1.2566783986355332E-3</v>
      </c>
      <c r="M54" s="12">
        <f>1/(M22*About!$B$54)*About!$B$55</f>
        <v>1.262987025134707E-3</v>
      </c>
      <c r="N54" s="12">
        <f>1/(N22*About!$B$54)*About!$B$55</f>
        <v>1.2693273214456232E-3</v>
      </c>
      <c r="P54" cm="1">
        <f t="array" ref="P54">TREND(G54:H54,$G$35:$H$35,P$35)</f>
        <v>1.2268353311202886E-3</v>
      </c>
      <c r="Q54" s="15" t="s">
        <v>5</v>
      </c>
    </row>
    <row r="55" spans="2:17" ht="30">
      <c r="D55" t="s">
        <v>70</v>
      </c>
      <c r="E55" s="12">
        <f>1/(E23*About!$B$54)*About!$B$55</f>
        <v>-1.869697811645445E-2</v>
      </c>
      <c r="F55" s="12">
        <f>1/(F23*About!$B$54)*About!$B$55</f>
        <v>9.2138708157874156E-4</v>
      </c>
      <c r="G55" s="12">
        <f>1/(G23*About!$B$54)*About!$B$55</f>
        <v>9.2601251873526073E-4</v>
      </c>
      <c r="H55" s="12">
        <f>1/(H23*About!$B$54)*About!$B$55</f>
        <v>9.306611759578267E-4</v>
      </c>
      <c r="I55" s="12">
        <f>1/(I23*About!$B$54)*About!$B$55</f>
        <v>9.3533316981303603E-4</v>
      </c>
      <c r="J55" s="12">
        <f>1/(J23*About!$B$54)*About!$B$55</f>
        <v>9.4002861745265897E-4</v>
      </c>
      <c r="K55" s="12">
        <f>1/(K23*About!$B$54)*About!$B$55</f>
        <v>9.4474763661657728E-4</v>
      </c>
      <c r="L55" s="12">
        <f>1/(L23*About!$B$54)*About!$B$55</f>
        <v>9.4949034563573595E-4</v>
      </c>
      <c r="M55" s="12">
        <f>1/(M23*About!$B$54)*About!$B$55</f>
        <v>9.542568634351115E-4</v>
      </c>
      <c r="N55" s="12">
        <f>1/(N23*About!$B$54)*About!$B$55</f>
        <v>9.5904730953669259E-4</v>
      </c>
      <c r="P55" cm="1">
        <f t="array" ref="P55">TREND(G55:H55,$G$35:$H$35,P$35)</f>
        <v>9.2694225017977386E-4</v>
      </c>
      <c r="Q55" s="15" t="s">
        <v>6</v>
      </c>
    </row>
    <row r="56" spans="2:17" ht="45">
      <c r="D56" t="s">
        <v>72</v>
      </c>
      <c r="E56" s="12">
        <f>1/(E24*About!$B$54)*About!$B$55</f>
        <v>-1.9796800358598831E-2</v>
      </c>
      <c r="F56" s="12">
        <f>1/(F24*About!$B$54)*About!$B$55</f>
        <v>1.0642759872781186E-2</v>
      </c>
      <c r="G56" s="12">
        <f>1/(G24*About!$B$54)*About!$B$55</f>
        <v>1.0696187382182689E-2</v>
      </c>
      <c r="H56" s="12">
        <f>1/(H24*About!$B$54)*About!$B$55</f>
        <v>1.0749883101972755E-2</v>
      </c>
      <c r="I56" s="12">
        <f>1/(I24*About!$B$54)*About!$B$55</f>
        <v>1.0803848378589076E-2</v>
      </c>
      <c r="J56" s="12">
        <f>1/(J24*About!$B$54)*About!$B$55</f>
        <v>1.0858084565228571E-2</v>
      </c>
      <c r="K56" s="12">
        <f>1/(K24*About!$B$54)*About!$B$55</f>
        <v>1.0912593021881318E-2</v>
      </c>
      <c r="L56" s="12">
        <f>1/(L24*About!$B$54)*About!$B$55</f>
        <v>1.096737511536465E-2</v>
      </c>
      <c r="M56" s="12">
        <f>1/(M24*About!$B$54)*About!$B$55</f>
        <v>1.1022432219357435E-2</v>
      </c>
      <c r="N56" s="12">
        <f>1/(N24*About!$B$54)*About!$B$55</f>
        <v>1.1077765714434522E-2</v>
      </c>
      <c r="P56" cm="1">
        <f t="array" ref="P56">TREND(G56:H56,$G$35:$H$35,P$35)</f>
        <v>1.0706926526140702E-2</v>
      </c>
      <c r="Q56" s="15" t="s">
        <v>3</v>
      </c>
    </row>
    <row r="57" spans="2:17" ht="45">
      <c r="C57" t="s">
        <v>80</v>
      </c>
      <c r="D57" t="s">
        <v>71</v>
      </c>
      <c r="E57" s="12">
        <f>1/(E25*About!$B$54)*About!$B$55</f>
        <v>-1.8229553663543088E-2</v>
      </c>
      <c r="F57" s="12">
        <f>1/(F25*About!$B$54)*About!$B$55</f>
        <v>5.6876207430246186E-4</v>
      </c>
      <c r="G57" s="12">
        <f>1/(G25*About!$B$54)*About!$B$55</f>
        <v>5.7161730559916052E-4</v>
      </c>
      <c r="H57" s="12">
        <f>1/(H25*About!$B$54)*About!$B$55</f>
        <v>5.7448687038630462E-4</v>
      </c>
      <c r="I57" s="12">
        <f>1/(I25*About!$B$54)*About!$B$55</f>
        <v>5.7737084061916706E-4</v>
      </c>
      <c r="J57" s="12">
        <f>1/(J25*About!$B$54)*About!$B$55</f>
        <v>5.8026928861424287E-4</v>
      </c>
      <c r="K57" s="12">
        <f>1/(K25*About!$B$54)*About!$B$55</f>
        <v>5.8318228705106078E-4</v>
      </c>
      <c r="L57" s="12">
        <f>1/(L25*About!$B$54)*About!$B$55</f>
        <v>5.8610990897400752E-4</v>
      </c>
      <c r="M57" s="12">
        <f>1/(M25*About!$B$54)*About!$B$55</f>
        <v>5.8905222779415773E-4</v>
      </c>
      <c r="N57" s="12">
        <f>1/(N25*About!$B$54)*About!$B$55</f>
        <v>5.9200931729111591E-4</v>
      </c>
      <c r="P57" cm="1">
        <f t="array" ref="P57">TREND(G57:H57,$G$35:$H$35,P$35)</f>
        <v>5.7219121855658938E-4</v>
      </c>
      <c r="Q57" s="15" t="s">
        <v>4</v>
      </c>
    </row>
    <row r="58" spans="2:17" ht="30">
      <c r="D58" t="s">
        <v>77</v>
      </c>
      <c r="E58" s="12">
        <f>1/(E26*About!$B$54)*About!$B$55</f>
        <v>-2.524092045721351E-2</v>
      </c>
      <c r="F58" s="12">
        <f>1/(F26*About!$B$54)*About!$B$55</f>
        <v>7.8751671826494713E-4</v>
      </c>
      <c r="G58" s="12">
        <f>1/(G26*About!$B$54)*About!$B$55</f>
        <v>7.9147011544499152E-4</v>
      </c>
      <c r="H58" s="12">
        <f>1/(H26*About!$B$54)*About!$B$55</f>
        <v>7.9544335899642184E-4</v>
      </c>
      <c r="I58" s="12">
        <f>1/(I26*About!$B$54)*About!$B$55</f>
        <v>7.9943654854961604E-4</v>
      </c>
      <c r="J58" s="12">
        <f>1/(J26*About!$B$54)*About!$B$55</f>
        <v>8.0344978423510559E-4</v>
      </c>
      <c r="K58" s="12">
        <f>1/(K26*About!$B$54)*About!$B$55</f>
        <v>8.0748316668608432E-4</v>
      </c>
      <c r="L58" s="12">
        <f>1/(L26*About!$B$54)*About!$B$55</f>
        <v>8.1153679704093365E-4</v>
      </c>
      <c r="M58" s="12">
        <f>1/(M26*About!$B$54)*About!$B$55</f>
        <v>8.156107769457569E-4</v>
      </c>
      <c r="N58" s="12">
        <f>1/(N26*About!$B$54)*About!$B$55</f>
        <v>8.1970520855692986E-4</v>
      </c>
      <c r="P58" cm="1">
        <f t="array" ref="P58">TREND(G58:H58,$G$35:$H$35,P$35)</f>
        <v>7.9226476415527767E-4</v>
      </c>
      <c r="Q58" s="15" t="s">
        <v>46</v>
      </c>
    </row>
    <row r="59" spans="2:17" ht="30">
      <c r="D59" t="s">
        <v>70</v>
      </c>
      <c r="E59" s="12">
        <f>1/(E27*About!$B$54)*About!$B$55</f>
        <v>-1.869697811645445E-2</v>
      </c>
      <c r="F59" s="12">
        <f>1/(F27*About!$B$54)*About!$B$55</f>
        <v>4.8612143102774513E-4</v>
      </c>
      <c r="G59" s="12">
        <f>1/(G27*About!$B$54)*About!$B$55</f>
        <v>4.8856179965740202E-4</v>
      </c>
      <c r="H59" s="12">
        <f>1/(H27*About!$B$54)*About!$B$55</f>
        <v>4.9101441913359351E-4</v>
      </c>
      <c r="I59" s="12">
        <f>1/(I27*About!$B$54)*About!$B$55</f>
        <v>4.9347935095655289E-4</v>
      </c>
      <c r="J59" s="12">
        <f>1/(J27*About!$B$54)*About!$B$55</f>
        <v>4.959566569352501E-4</v>
      </c>
      <c r="K59" s="12">
        <f>1/(K27*About!$B$54)*About!$B$55</f>
        <v>4.9844639918894085E-4</v>
      </c>
      <c r="L59" s="12">
        <f>1/(L27*About!$B$54)*About!$B$55</f>
        <v>5.0094864014872426E-4</v>
      </c>
      <c r="M59" s="12">
        <f>1/(M27*About!$B$54)*About!$B$55</f>
        <v>5.0346344255910904E-4</v>
      </c>
      <c r="N59" s="12">
        <f>1/(N27*About!$B$54)*About!$B$55</f>
        <v>5.0599086947958609E-4</v>
      </c>
      <c r="P59" cm="1">
        <f t="array" ref="P59">TREND(G59:H59,$G$35:$H$35,P$35)</f>
        <v>4.8905232355264021E-4</v>
      </c>
      <c r="Q59" s="15" t="s">
        <v>6</v>
      </c>
    </row>
    <row r="60" spans="2:17" ht="45">
      <c r="D60" t="s">
        <v>72</v>
      </c>
      <c r="E60" s="12">
        <f>1/(E28*About!$B$54)*About!$B$55</f>
        <v>-1.9796800358598831E-2</v>
      </c>
      <c r="F60" s="12">
        <f>1/(F28*About!$B$54)*About!$B$55</f>
        <v>6.8417742039307622E-3</v>
      </c>
      <c r="G60" s="12">
        <f>1/(G28*About!$B$54)*About!$B$55</f>
        <v>6.8761204599745865E-3</v>
      </c>
      <c r="H60" s="12">
        <f>1/(H28*About!$B$54)*About!$B$55</f>
        <v>6.9106391369824867E-3</v>
      </c>
      <c r="I60" s="12">
        <f>1/(I28*About!$B$54)*About!$B$55</f>
        <v>6.9453311005215502E-3</v>
      </c>
      <c r="J60" s="12">
        <f>1/(J28*About!$B$54)*About!$B$55</f>
        <v>6.9801972205040834E-3</v>
      </c>
      <c r="K60" s="12">
        <f>1/(K28*About!$B$54)*About!$B$55</f>
        <v>7.01523837120942E-3</v>
      </c>
      <c r="L60" s="12">
        <f>1/(L28*About!$B$54)*About!$B$55</f>
        <v>7.0504554313058467E-3</v>
      </c>
      <c r="M60" s="12">
        <f>1/(M28*About!$B$54)*About!$B$55</f>
        <v>7.0858492838726389E-3</v>
      </c>
      <c r="N60" s="12">
        <f>1/(N28*About!$B$54)*About!$B$55</f>
        <v>7.1214208164221962E-3</v>
      </c>
      <c r="P60" cm="1">
        <f t="array" ref="P60">TREND(G60:H60,$G$35:$H$35,P$35)</f>
        <v>6.8830241953761664E-3</v>
      </c>
      <c r="Q60" s="15" t="s">
        <v>3</v>
      </c>
    </row>
    <row r="61" spans="2:17" ht="30">
      <c r="B61" t="s">
        <v>81</v>
      </c>
      <c r="D61" t="s">
        <v>70</v>
      </c>
      <c r="E61" s="12">
        <f>1/(E29*About!$B$54)*About!$B$55</f>
        <v>-4.4481021778415596E-4</v>
      </c>
      <c r="F61" s="12">
        <f>1/(F29*About!$B$54)*About!$B$55</f>
        <v>6.5166457539977303E-3</v>
      </c>
      <c r="G61" s="12">
        <f>1/(G29*About!$B$54)*About!$B$55</f>
        <v>8.248480979535934E-3</v>
      </c>
      <c r="H61" s="12">
        <f>1/(H29*About!$B$54)*About!$B$55</f>
        <v>1.0440561147278492E-2</v>
      </c>
      <c r="I61" s="12">
        <f>1/(I29*About!$B$54)*About!$B$55</f>
        <v>1.3215198936688818E-2</v>
      </c>
      <c r="J61" s="12">
        <f>1/(J29*About!$B$54)*About!$B$55</f>
        <v>1.6727212309061042E-2</v>
      </c>
      <c r="K61" s="12">
        <f>1/(K29*About!$B$54)*About!$B$55</f>
        <v>2.1172562968810631E-2</v>
      </c>
      <c r="L61" s="12">
        <f>1/(L29*About!$B$54)*About!$B$55</f>
        <v>2.6799290544391643E-2</v>
      </c>
      <c r="M61" s="12">
        <f>1/(M29*About!$B$54)*About!$B$55</f>
        <v>3.3921352589230923E-2</v>
      </c>
      <c r="N61" s="12">
        <f>1/(N29*About!$B$54)*About!$B$55</f>
        <v>4.2936142640676168E-2</v>
      </c>
      <c r="P61" cm="1">
        <f t="array" ref="P61">TREND(G61:H61,$G$35:$H$35,P$35)</f>
        <v>8.6868970130844492E-3</v>
      </c>
      <c r="Q61" s="15" t="s">
        <v>6</v>
      </c>
    </row>
    <row r="62" spans="2:17" ht="45">
      <c r="D62" t="s">
        <v>72</v>
      </c>
      <c r="E62" s="12">
        <f>1/(E30*About!$B$54)*About!$B$55</f>
        <v>-1.1153276722679555E-2</v>
      </c>
      <c r="F62" s="12">
        <f>1/(F30*About!$B$54)*About!$B$55</f>
        <v>1.3396131202407938E-3</v>
      </c>
      <c r="G62" s="12">
        <f>1/(G30*About!$B$54)*About!$B$55</f>
        <v>1.458703449107179E-3</v>
      </c>
      <c r="H62" s="12">
        <f>1/(H30*About!$B$54)*About!$B$55</f>
        <v>1.5883807946392066E-3</v>
      </c>
      <c r="I62" s="12">
        <f>1/(I30*About!$B$54)*About!$B$55</f>
        <v>1.7295863325221372E-3</v>
      </c>
      <c r="J62" s="12">
        <f>1/(J30*About!$B$54)*About!$B$55</f>
        <v>1.883344908062097E-3</v>
      </c>
      <c r="K62" s="12">
        <f>1/(K30*About!$B$54)*About!$B$55</f>
        <v>2.0507724743355818E-3</v>
      </c>
      <c r="L62" s="12">
        <f>1/(L30*About!$B$54)*About!$B$55</f>
        <v>2.2330841915833609E-3</v>
      </c>
      <c r="M62" s="12">
        <f>1/(M30*About!$B$54)*About!$B$55</f>
        <v>2.4316032466327655E-3</v>
      </c>
      <c r="N62" s="12">
        <f>1/(N30*About!$B$54)*About!$B$55</f>
        <v>2.6477704563582214E-3</v>
      </c>
      <c r="P62" cm="1">
        <f t="array" ref="P62">TREND(G62:H62,$G$35:$H$35,P$35)</f>
        <v>1.4846389182135919E-3</v>
      </c>
      <c r="Q62" s="15" t="s">
        <v>3</v>
      </c>
    </row>
    <row r="63" spans="2:17" ht="30">
      <c r="B63" t="s">
        <v>82</v>
      </c>
      <c r="D63" t="s">
        <v>82</v>
      </c>
      <c r="E63" s="12">
        <f>1/(E31*About!$B$54)*About!$B$55</f>
        <v>-7.2623464255209763E-3</v>
      </c>
      <c r="F63" s="12">
        <f>1/(F31*About!$B$54)*About!$B$55</f>
        <v>5.1893623287611326E-4</v>
      </c>
      <c r="G63" s="12">
        <f>1/(G31*About!$B$54)*About!$B$55</f>
        <v>5.2550504595049428E-4</v>
      </c>
      <c r="H63" s="12">
        <f>1/(H31*About!$B$54)*About!$B$55</f>
        <v>5.3215700855746247E-4</v>
      </c>
      <c r="I63" s="12">
        <f>1/(I31*About!$B$54)*About!$B$55</f>
        <v>5.3889317322274662E-4</v>
      </c>
      <c r="J63" s="12">
        <f>1/(J31*About!$B$54)*About!$B$55</f>
        <v>5.4571460579518625E-4</v>
      </c>
      <c r="K63" s="12">
        <f>1/(K31*About!$B$54)*About!$B$55</f>
        <v>5.526223856153784E-4</v>
      </c>
      <c r="L63" s="12">
        <f>1/(L31*About!$B$54)*About!$B$55</f>
        <v>5.5961760568645899E-4</v>
      </c>
      <c r="M63" s="12">
        <f>1/(M31*About!$B$54)*About!$B$55</f>
        <v>5.6670137284704671E-4</v>
      </c>
      <c r="N63" s="12">
        <f>1/(N31*About!$B$54)*About!$B$55</f>
        <v>5.738748079463764E-4</v>
      </c>
      <c r="P63" cm="1">
        <f t="array" ref="P63">TREND(G63:H63,$G$35:$H$35,P$35)</f>
        <v>5.2683543847188794E-4</v>
      </c>
      <c r="Q63" s="15" t="s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A6C5B-656E-45D9-BE2E-FCEC6654B0A9}">
  <dimension ref="A1:X40"/>
  <sheetViews>
    <sheetView zoomScale="85" zoomScaleNormal="85" workbookViewId="0">
      <selection activeCell="E36" sqref="E36"/>
    </sheetView>
  </sheetViews>
  <sheetFormatPr defaultRowHeight="15"/>
  <cols>
    <col min="3" max="3" width="13.5703125" customWidth="1"/>
    <col min="5" max="5" width="12.7109375" bestFit="1" customWidth="1"/>
  </cols>
  <sheetData>
    <row r="1" spans="1:24">
      <c r="A1" s="1" t="s">
        <v>88</v>
      </c>
      <c r="S1" s="1"/>
    </row>
    <row r="2" spans="1:24">
      <c r="A2" t="s">
        <v>89</v>
      </c>
      <c r="L2" s="16" t="s">
        <v>97</v>
      </c>
    </row>
    <row r="3" spans="1:24">
      <c r="A3" t="s">
        <v>53</v>
      </c>
      <c r="B3" t="s">
        <v>90</v>
      </c>
      <c r="C3" t="s">
        <v>67</v>
      </c>
      <c r="D3">
        <v>2007</v>
      </c>
      <c r="E3">
        <v>2012</v>
      </c>
      <c r="F3">
        <v>2017</v>
      </c>
      <c r="G3">
        <v>2022</v>
      </c>
      <c r="H3">
        <v>2027</v>
      </c>
      <c r="I3">
        <v>2032</v>
      </c>
      <c r="J3">
        <v>2037</v>
      </c>
      <c r="K3">
        <v>2042</v>
      </c>
      <c r="L3">
        <v>2047</v>
      </c>
    </row>
    <row r="4" spans="1:24">
      <c r="A4" t="s">
        <v>68</v>
      </c>
      <c r="B4" t="s">
        <v>91</v>
      </c>
      <c r="C4" t="s">
        <v>70</v>
      </c>
      <c r="D4">
        <v>-1.4116433665441241E-2</v>
      </c>
      <c r="E4">
        <v>3.3160572831189374E-10</v>
      </c>
      <c r="F4">
        <v>3.0820027697791785E-10</v>
      </c>
      <c r="G4">
        <v>2.8644683314977088E-10</v>
      </c>
      <c r="H4">
        <v>2.6622879455559859E-10</v>
      </c>
      <c r="I4">
        <v>2.4743778896472613E-10</v>
      </c>
      <c r="J4">
        <v>2.299730932935061E-10</v>
      </c>
      <c r="K4">
        <v>2.1374109371193554E-10</v>
      </c>
      <c r="L4">
        <v>1.9865478385711856E-10</v>
      </c>
    </row>
    <row r="5" spans="1:24">
      <c r="B5" t="s">
        <v>92</v>
      </c>
      <c r="C5" t="s">
        <v>70</v>
      </c>
      <c r="D5">
        <v>-1.0890099999010805E-2</v>
      </c>
      <c r="E5">
        <v>4.8764726947538159E-10</v>
      </c>
      <c r="F5">
        <v>4.6109463183122423E-10</v>
      </c>
      <c r="G5">
        <v>4.3598779858297874E-10</v>
      </c>
      <c r="H5">
        <v>4.1224804495839263E-10</v>
      </c>
      <c r="I5">
        <v>3.8980093278842465E-10</v>
      </c>
      <c r="J5">
        <v>3.6857607709955647E-10</v>
      </c>
      <c r="K5">
        <v>3.4850692541527002E-10</v>
      </c>
      <c r="L5">
        <v>3.2953054907466957E-10</v>
      </c>
    </row>
    <row r="6" spans="1:24">
      <c r="A6" t="s">
        <v>81</v>
      </c>
      <c r="C6" t="s">
        <v>70</v>
      </c>
      <c r="D6">
        <v>-4.0266189613835657E-3</v>
      </c>
      <c r="E6">
        <v>5.1679542579793442E-11</v>
      </c>
      <c r="F6">
        <v>5.0639073449456315E-11</v>
      </c>
      <c r="G6">
        <v>4.9619552182763933E-11</v>
      </c>
      <c r="H6">
        <v>4.8620557034391541E-11</v>
      </c>
      <c r="I6">
        <v>4.764167475005298E-11</v>
      </c>
      <c r="J6">
        <v>4.6682500395549823E-11</v>
      </c>
      <c r="K6">
        <v>4.5742637189262238E-11</v>
      </c>
      <c r="L6">
        <v>4.4821696338012374E-11</v>
      </c>
    </row>
    <row r="7" spans="1:24">
      <c r="C7" t="s">
        <v>72</v>
      </c>
      <c r="D7">
        <v>-1.1242893467328652E-2</v>
      </c>
      <c r="E7">
        <v>1.4547414491458901E-11</v>
      </c>
      <c r="F7">
        <v>1.3729639334696174E-11</v>
      </c>
      <c r="G7">
        <v>1.2957834972772003E-11</v>
      </c>
      <c r="H7">
        <v>1.2229417181941498E-11</v>
      </c>
      <c r="I7">
        <v>1.1541947009221063E-11</v>
      </c>
      <c r="J7">
        <v>1.0893122606069939E-11</v>
      </c>
      <c r="K7">
        <v>1.0280771521136971E-11</v>
      </c>
      <c r="L7">
        <v>9.7028434262665236E-12</v>
      </c>
    </row>
    <row r="8" spans="1:24">
      <c r="A8" t="s">
        <v>82</v>
      </c>
      <c r="C8" t="s">
        <v>82</v>
      </c>
      <c r="D8">
        <v>-2.4999999999999467E-3</v>
      </c>
      <c r="E8">
        <v>2.4731492094017047E-9</v>
      </c>
      <c r="F8">
        <v>2.4422348442841841E-9</v>
      </c>
      <c r="G8">
        <v>2.4117069087306324E-9</v>
      </c>
      <c r="H8">
        <v>2.3815605723715E-9</v>
      </c>
      <c r="I8">
        <v>2.3517910652168569E-9</v>
      </c>
      <c r="J8">
        <v>2.3223936769016467E-9</v>
      </c>
      <c r="K8">
        <v>2.2933637559403769E-9</v>
      </c>
      <c r="L8">
        <v>2.2646967089911228E-9</v>
      </c>
    </row>
    <row r="10" spans="1:24">
      <c r="A10" s="1" t="s">
        <v>84</v>
      </c>
      <c r="Q10" s="15"/>
      <c r="R10" s="15"/>
      <c r="S10" s="15"/>
      <c r="T10" s="15"/>
      <c r="U10" s="15"/>
      <c r="V10" s="15"/>
      <c r="W10" s="15"/>
      <c r="X10" s="15"/>
    </row>
    <row r="11" spans="1:24">
      <c r="A11" t="s">
        <v>89</v>
      </c>
      <c r="L11" s="16" t="s">
        <v>97</v>
      </c>
    </row>
    <row r="12" spans="1:24">
      <c r="A12" t="s">
        <v>53</v>
      </c>
      <c r="B12" t="s">
        <v>90</v>
      </c>
      <c r="C12" t="s">
        <v>67</v>
      </c>
      <c r="D12">
        <v>2007</v>
      </c>
      <c r="E12">
        <v>2012</v>
      </c>
      <c r="F12">
        <v>2017</v>
      </c>
      <c r="G12">
        <v>2022</v>
      </c>
      <c r="H12">
        <v>2027</v>
      </c>
      <c r="I12">
        <v>2032</v>
      </c>
      <c r="J12">
        <v>2037</v>
      </c>
      <c r="K12">
        <v>2042</v>
      </c>
      <c r="L12">
        <v>2047</v>
      </c>
      <c r="O12">
        <v>2018</v>
      </c>
    </row>
    <row r="13" spans="1:24">
      <c r="A13" t="s">
        <v>68</v>
      </c>
      <c r="B13" t="s">
        <v>91</v>
      </c>
      <c r="C13" t="s">
        <v>70</v>
      </c>
      <c r="D13" s="12">
        <f>1/(D4*About!$B$54)*About!$B$55</f>
        <v>-1.2900809618652352E-11</v>
      </c>
      <c r="E13" s="12">
        <f>1/(E4*About!$B$54)*About!$B$55</f>
        <v>5.4918660223174549E-4</v>
      </c>
      <c r="F13" s="12">
        <f>1/(F4*About!$B$54)*About!$B$55</f>
        <v>5.9089311988269383E-4</v>
      </c>
      <c r="G13" s="12">
        <f>1/(G4*About!$B$54)*About!$B$55</f>
        <v>6.3576692822773465E-4</v>
      </c>
      <c r="H13" s="12">
        <f>1/(H4*About!$B$54)*About!$B$55</f>
        <v>6.8404855874506143E-4</v>
      </c>
      <c r="I13" s="12">
        <f>1/(I4*About!$B$54)*About!$B$55</f>
        <v>7.3599680943703285E-4</v>
      </c>
      <c r="J13" s="12">
        <f>1/(J4*About!$B$54)*About!$B$55</f>
        <v>7.9189013203282733E-4</v>
      </c>
      <c r="K13" s="12">
        <f>1/(K4*About!$B$54)*About!$B$55</f>
        <v>8.5202812453851894E-4</v>
      </c>
      <c r="L13" s="12">
        <f>1/(L4*About!$B$54)*About!$B$55</f>
        <v>9.1673313713490237E-4</v>
      </c>
      <c r="M13" s="12"/>
      <c r="N13" s="12"/>
      <c r="O13" cm="1">
        <f t="array" ref="O13">TREND(F13:G13,$F$12:$G$12,$O$12)</f>
        <v>5.9986788155170015E-4</v>
      </c>
    </row>
    <row r="14" spans="1:24">
      <c r="B14" t="s">
        <v>92</v>
      </c>
      <c r="C14" t="s">
        <v>70</v>
      </c>
      <c r="D14" s="12">
        <f>1/(D5*About!$B$54)*About!$B$55</f>
        <v>-1.6722842143665757E-11</v>
      </c>
      <c r="E14" s="12">
        <f>1/(E5*About!$B$54)*About!$B$55</f>
        <v>3.7345317940180959E-4</v>
      </c>
      <c r="F14" s="12">
        <f>1/(F5*About!$B$54)*About!$B$55</f>
        <v>3.9495888834995539E-4</v>
      </c>
      <c r="G14" s="12">
        <f>1/(G5*About!$B$54)*About!$B$55</f>
        <v>4.1770302702067889E-4</v>
      </c>
      <c r="H14" s="12">
        <f>1/(H5*About!$B$54)*About!$B$55</f>
        <v>4.417569117412615E-4</v>
      </c>
      <c r="I14" s="12">
        <f>1/(I5*About!$B$54)*About!$B$55</f>
        <v>4.671959656675307E-4</v>
      </c>
      <c r="J14" s="12">
        <f>1/(J5*About!$B$54)*About!$B$55</f>
        <v>4.9409995528006394E-4</v>
      </c>
      <c r="K14" s="12">
        <f>1/(K5*About!$B$54)*About!$B$55</f>
        <v>5.2255324049928589E-4</v>
      </c>
      <c r="L14" s="12">
        <f>1/(L5*About!$B$54)*About!$B$55</f>
        <v>5.5264503920371432E-4</v>
      </c>
      <c r="M14" s="12"/>
      <c r="N14" s="12"/>
      <c r="O14" cm="1">
        <f t="array" ref="O14">TREND(F14:G14,$F$12:$G$12,$O$12)</f>
        <v>3.995077160840986E-4</v>
      </c>
    </row>
    <row r="15" spans="1:24">
      <c r="A15" t="s">
        <v>81</v>
      </c>
      <c r="C15" t="s">
        <v>70</v>
      </c>
      <c r="D15" s="12">
        <f>1/(D6*About!$B$54)*About!$B$55</f>
        <v>-4.5227379337034961E-11</v>
      </c>
      <c r="E15" s="12">
        <f>1/(E6*About!$B$54)*About!$B$55</f>
        <v>3.5238977382783202E-3</v>
      </c>
      <c r="F15" s="12">
        <f>1/(F6*About!$B$54)*About!$B$55</f>
        <v>3.5963024361802876E-3</v>
      </c>
      <c r="G15" s="12">
        <f>1/(G6*About!$B$54)*About!$B$55</f>
        <v>3.6701948163782904E-3</v>
      </c>
      <c r="H15" s="12">
        <f>1/(H6*About!$B$54)*About!$B$55</f>
        <v>3.7456054459305173E-3</v>
      </c>
      <c r="I15" s="12">
        <f>1/(I6*About!$B$54)*About!$B$55</f>
        <v>3.8225655199493115E-3</v>
      </c>
      <c r="J15" s="12">
        <f>1/(J6*About!$B$54)*About!$B$55</f>
        <v>3.901106874505652E-3</v>
      </c>
      <c r="K15" s="12">
        <f>1/(K6*About!$B$54)*About!$B$55</f>
        <v>3.9812619997987809E-3</v>
      </c>
      <c r="L15" s="12">
        <f>1/(L6*About!$B$54)*About!$B$55</f>
        <v>4.0630640535964171E-3</v>
      </c>
      <c r="M15" s="12"/>
      <c r="N15" s="12"/>
      <c r="O15" cm="1">
        <f t="array" ref="O15">TREND(F15:G15,$F$12:$G$12,$O$12)</f>
        <v>3.6110809122198856E-3</v>
      </c>
    </row>
    <row r="16" spans="1:24">
      <c r="C16" t="s">
        <v>72</v>
      </c>
      <c r="D16" s="12">
        <f>1/(D7*About!$B$54)*About!$B$55</f>
        <v>-1.6198092042889651E-11</v>
      </c>
      <c r="E16" s="12">
        <f>1/(E7*About!$B$54)*About!$B$55</f>
        <v>1.2518611009476287E-2</v>
      </c>
      <c r="F16" s="12">
        <f>1/(F7*About!$B$54)*About!$B$55</f>
        <v>1.3264253981674043E-2</v>
      </c>
      <c r="G16" s="12">
        <f>1/(G7*About!$B$54)*About!$B$55</f>
        <v>1.405430950423917E-2</v>
      </c>
      <c r="H16" s="12">
        <f>1/(H7*About!$B$54)*About!$B$55</f>
        <v>1.4891422911069634E-2</v>
      </c>
      <c r="I16" s="12">
        <f>1/(I7*About!$B$54)*About!$B$55</f>
        <v>1.5778397099440733E-2</v>
      </c>
      <c r="J16" s="12">
        <f>1/(J7*About!$B$54)*About!$B$55</f>
        <v>1.6718201914914077E-2</v>
      </c>
      <c r="K16" s="12">
        <f>1/(K7*About!$B$54)*About!$B$55</f>
        <v>1.7713984095237629E-2</v>
      </c>
      <c r="L16" s="12">
        <f>1/(L7*About!$B$54)*About!$B$55</f>
        <v>1.8769077806531833E-2</v>
      </c>
      <c r="M16" s="12"/>
      <c r="N16" s="12"/>
      <c r="O16" cm="1">
        <f t="array" ref="O16">TREND(F16:G16,$F$12:$G$12,$O$12)</f>
        <v>1.3422265086187046E-2</v>
      </c>
    </row>
    <row r="17" spans="1:17">
      <c r="A17" t="s">
        <v>82</v>
      </c>
      <c r="C17" t="s">
        <v>82</v>
      </c>
      <c r="D17" s="12">
        <f>1/(D8*About!$B$54)*About!$B$55</f>
        <v>-7.2845369284878465E-11</v>
      </c>
      <c r="E17" s="12">
        <f>1/(E8*About!$B$54)*About!$B$55</f>
        <v>7.3636245852003602E-5</v>
      </c>
      <c r="F17" s="12">
        <f>1/(F8*About!$B$54)*About!$B$55</f>
        <v>7.4568350229877036E-5</v>
      </c>
      <c r="G17" s="12">
        <f>1/(G8*About!$B$54)*About!$B$55</f>
        <v>7.5512253397343816E-5</v>
      </c>
      <c r="H17" s="12">
        <f>1/(H8*About!$B$54)*About!$B$55</f>
        <v>7.6468104706170953E-5</v>
      </c>
      <c r="I17" s="12">
        <f>1/(I8*About!$B$54)*About!$B$55</f>
        <v>7.7436055398654111E-5</v>
      </c>
      <c r="J17" s="12">
        <f>1/(J8*About!$B$54)*About!$B$55</f>
        <v>7.8416258631548431E-5</v>
      </c>
      <c r="K17" s="12">
        <f>1/(K8*About!$B$54)*About!$B$55</f>
        <v>7.9408869500302185E-5</v>
      </c>
      <c r="L17" s="12">
        <f>1/(L8*About!$B$54)*About!$B$55</f>
        <v>8.0414045063597134E-5</v>
      </c>
      <c r="M17" s="12"/>
      <c r="N17" s="12"/>
      <c r="O17" cm="1">
        <f t="array" ref="O17">TREND(F17:G17,$F$12:$G$12,$O$12)</f>
        <v>7.4757130863370381E-5</v>
      </c>
    </row>
    <row r="18" spans="1:17">
      <c r="E18" s="12"/>
      <c r="F18" s="12"/>
      <c r="G18" s="12"/>
      <c r="H18" s="12"/>
      <c r="I18" s="12"/>
      <c r="J18" s="12"/>
      <c r="K18" s="12"/>
      <c r="L18" s="12"/>
      <c r="M18" s="12"/>
      <c r="N18" s="12"/>
    </row>
    <row r="19" spans="1:17">
      <c r="E19" s="12"/>
      <c r="F19" s="12"/>
      <c r="G19" s="12"/>
      <c r="H19" s="12"/>
      <c r="I19" s="12"/>
      <c r="J19" s="12"/>
      <c r="K19" s="12"/>
      <c r="L19" s="12"/>
      <c r="M19" s="12"/>
      <c r="N19" s="12"/>
      <c r="Q19" s="15"/>
    </row>
    <row r="20" spans="1:17">
      <c r="E20" s="12"/>
      <c r="F20" s="12"/>
      <c r="G20" s="12"/>
      <c r="H20" s="12"/>
      <c r="I20" s="12"/>
      <c r="J20" s="12"/>
      <c r="K20" s="12"/>
      <c r="L20" s="12"/>
      <c r="M20" s="12"/>
      <c r="N20" s="12"/>
    </row>
    <row r="21" spans="1:17">
      <c r="E21" s="12"/>
      <c r="F21" s="12"/>
      <c r="G21" s="12"/>
      <c r="H21" s="12"/>
      <c r="I21" s="12"/>
      <c r="J21" s="12"/>
      <c r="K21" s="12"/>
      <c r="L21" s="12"/>
      <c r="M21" s="12"/>
      <c r="N21" s="12"/>
    </row>
    <row r="22" spans="1:17">
      <c r="E22" s="12"/>
      <c r="F22" s="12"/>
      <c r="G22" s="12"/>
      <c r="H22" s="12"/>
      <c r="I22" s="12"/>
      <c r="J22" s="12"/>
      <c r="K22" s="12"/>
      <c r="L22" s="12"/>
      <c r="M22" s="12"/>
      <c r="N22" s="12"/>
      <c r="Q22" s="15"/>
    </row>
    <row r="23" spans="1:17">
      <c r="E23" s="12"/>
      <c r="F23" s="12"/>
      <c r="G23" s="12"/>
      <c r="H23" s="12"/>
      <c r="I23" s="12"/>
      <c r="J23" s="12"/>
      <c r="K23" s="12"/>
      <c r="L23" s="12"/>
      <c r="M23" s="12"/>
      <c r="N23" s="12"/>
      <c r="Q23" s="15"/>
    </row>
    <row r="24" spans="1:17">
      <c r="E24" s="12"/>
      <c r="F24" s="12"/>
      <c r="G24" s="12"/>
      <c r="H24" s="12"/>
      <c r="I24" s="12"/>
      <c r="J24" s="12"/>
      <c r="K24" s="12"/>
      <c r="L24" s="12"/>
      <c r="M24" s="12"/>
      <c r="N24" s="12"/>
    </row>
    <row r="25" spans="1:17">
      <c r="E25" s="12"/>
      <c r="F25" s="12"/>
      <c r="G25" s="12"/>
      <c r="H25" s="12"/>
      <c r="I25" s="12"/>
      <c r="J25" s="12"/>
      <c r="K25" s="12"/>
      <c r="L25" s="12"/>
      <c r="M25" s="12"/>
      <c r="N25" s="12"/>
      <c r="Q25" s="15"/>
    </row>
    <row r="26" spans="1:17">
      <c r="E26" s="12"/>
      <c r="F26" s="12"/>
      <c r="G26" s="12"/>
      <c r="H26" s="12"/>
      <c r="I26" s="12"/>
      <c r="J26" s="12"/>
      <c r="K26" s="12"/>
      <c r="L26" s="12"/>
      <c r="M26" s="12"/>
      <c r="N26" s="12"/>
      <c r="Q26" s="15"/>
    </row>
    <row r="27" spans="1:17">
      <c r="E27" s="12"/>
      <c r="F27" s="12"/>
      <c r="G27" s="12"/>
      <c r="H27" s="12"/>
      <c r="I27" s="12"/>
      <c r="J27" s="12"/>
      <c r="K27" s="12"/>
      <c r="L27" s="12"/>
      <c r="M27" s="12"/>
      <c r="N27" s="12"/>
      <c r="Q27" s="15"/>
    </row>
    <row r="28" spans="1:17">
      <c r="E28" s="12"/>
      <c r="F28" s="12"/>
      <c r="G28" s="12"/>
      <c r="H28" s="12"/>
      <c r="I28" s="12"/>
      <c r="J28" s="12"/>
      <c r="K28" s="12"/>
      <c r="L28" s="12"/>
      <c r="M28" s="12"/>
      <c r="N28" s="12"/>
      <c r="Q28" s="15"/>
    </row>
    <row r="29" spans="1:17">
      <c r="E29" s="12"/>
      <c r="F29" s="12"/>
      <c r="G29" s="12"/>
      <c r="H29" s="12"/>
      <c r="I29" s="12"/>
      <c r="J29" s="12"/>
      <c r="K29" s="12"/>
      <c r="L29" s="12"/>
      <c r="M29" s="12"/>
      <c r="N29" s="12"/>
      <c r="Q29" s="15"/>
    </row>
    <row r="30" spans="1:17">
      <c r="E30" s="12"/>
      <c r="F30" s="12"/>
      <c r="G30" s="12"/>
      <c r="H30" s="12"/>
      <c r="I30" s="12"/>
      <c r="J30" s="12"/>
      <c r="K30" s="12"/>
      <c r="L30" s="12"/>
      <c r="M30" s="12"/>
      <c r="N30" s="12"/>
      <c r="Q30" s="15"/>
    </row>
    <row r="31" spans="1:17">
      <c r="E31" s="12"/>
      <c r="F31" s="12"/>
      <c r="G31" s="12"/>
      <c r="H31" s="12"/>
      <c r="I31" s="12"/>
      <c r="J31" s="12"/>
      <c r="K31" s="12"/>
      <c r="L31" s="12"/>
      <c r="M31" s="12"/>
      <c r="N31" s="12"/>
      <c r="Q31" s="15"/>
    </row>
    <row r="32" spans="1:17">
      <c r="E32" s="12"/>
      <c r="F32" s="12"/>
      <c r="G32" s="12"/>
      <c r="H32" s="12"/>
      <c r="I32" s="12"/>
      <c r="J32" s="12"/>
      <c r="K32" s="12"/>
      <c r="L32" s="12"/>
      <c r="M32" s="12"/>
      <c r="N32" s="12"/>
      <c r="Q32" s="15"/>
    </row>
    <row r="33" spans="5:17">
      <c r="E33" s="12"/>
      <c r="F33" s="12"/>
      <c r="G33" s="12"/>
      <c r="H33" s="12"/>
      <c r="I33" s="12"/>
      <c r="J33" s="12"/>
      <c r="K33" s="12"/>
      <c r="L33" s="12"/>
      <c r="M33" s="12"/>
      <c r="N33" s="12"/>
      <c r="Q33" s="15"/>
    </row>
    <row r="34" spans="5:17">
      <c r="E34" s="12"/>
      <c r="F34" s="12"/>
      <c r="G34" s="12"/>
      <c r="H34" s="12"/>
      <c r="I34" s="12"/>
      <c r="J34" s="12"/>
      <c r="K34" s="12"/>
      <c r="L34" s="12"/>
      <c r="M34" s="12"/>
      <c r="N34" s="12"/>
      <c r="Q34" s="15"/>
    </row>
    <row r="35" spans="5:17">
      <c r="E35" s="12"/>
      <c r="F35" s="12"/>
      <c r="G35" s="12"/>
      <c r="H35" s="12"/>
      <c r="I35" s="12"/>
      <c r="J35" s="12"/>
      <c r="K35" s="12"/>
      <c r="L35" s="12"/>
      <c r="M35" s="12"/>
      <c r="N35" s="12"/>
      <c r="Q35" s="15"/>
    </row>
    <row r="36" spans="5:17">
      <c r="E36" s="12"/>
      <c r="F36" s="12"/>
      <c r="G36" s="12"/>
      <c r="H36" s="12"/>
      <c r="I36" s="12"/>
      <c r="J36" s="12"/>
      <c r="K36" s="12"/>
      <c r="L36" s="12"/>
      <c r="M36" s="12"/>
      <c r="N36" s="12"/>
      <c r="Q36" s="15"/>
    </row>
    <row r="37" spans="5:17">
      <c r="E37" s="12"/>
      <c r="F37" s="12"/>
      <c r="G37" s="12"/>
      <c r="H37" s="12"/>
      <c r="I37" s="12"/>
      <c r="J37" s="12"/>
      <c r="K37" s="12"/>
      <c r="L37" s="12"/>
      <c r="M37" s="12"/>
      <c r="N37" s="12"/>
      <c r="Q37" s="15"/>
    </row>
    <row r="38" spans="5:17">
      <c r="E38" s="12"/>
      <c r="F38" s="12"/>
      <c r="G38" s="12"/>
      <c r="H38" s="12"/>
      <c r="I38" s="12"/>
      <c r="J38" s="12"/>
      <c r="K38" s="12"/>
      <c r="L38" s="12"/>
      <c r="M38" s="12"/>
      <c r="N38" s="12"/>
      <c r="Q38" s="15"/>
    </row>
    <row r="39" spans="5:17">
      <c r="E39" s="12"/>
      <c r="F39" s="12"/>
      <c r="G39" s="12"/>
      <c r="H39" s="12"/>
      <c r="I39" s="12"/>
      <c r="J39" s="12"/>
      <c r="K39" s="12"/>
      <c r="L39" s="12"/>
      <c r="M39" s="12"/>
      <c r="N39" s="12"/>
      <c r="Q39" s="15"/>
    </row>
    <row r="40" spans="5:17">
      <c r="E40" s="12"/>
      <c r="F40" s="12"/>
      <c r="G40" s="12"/>
      <c r="H40" s="12"/>
      <c r="I40" s="12"/>
      <c r="J40" s="12"/>
      <c r="K40" s="12"/>
      <c r="L40" s="12"/>
      <c r="M40" s="12"/>
      <c r="N40" s="12"/>
      <c r="Q40" s="15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3"/>
  <sheetViews>
    <sheetView workbookViewId="0">
      <selection activeCell="J27" sqref="J27"/>
    </sheetView>
  </sheetViews>
  <sheetFormatPr defaultRowHeight="15"/>
  <cols>
    <col min="1" max="1" width="12.28515625" customWidth="1"/>
    <col min="2" max="2" width="21.7109375" customWidth="1"/>
    <col min="3" max="3" width="18.28515625" customWidth="1"/>
    <col min="4" max="5" width="16.7109375" customWidth="1"/>
    <col min="6" max="6" width="20.5703125" customWidth="1"/>
    <col min="7" max="7" width="16.7109375" customWidth="1"/>
    <col min="8" max="8" width="16.28515625" customWidth="1"/>
  </cols>
  <sheetData>
    <row r="1" spans="1:1">
      <c r="A1" t="s">
        <v>20</v>
      </c>
    </row>
    <row r="2" spans="1:1">
      <c r="A2" t="s">
        <v>21</v>
      </c>
    </row>
    <row r="3" spans="1:1">
      <c r="A3" t="s">
        <v>22</v>
      </c>
    </row>
    <row r="4" spans="1:1">
      <c r="A4" t="s">
        <v>23</v>
      </c>
    </row>
    <row r="5" spans="1:1">
      <c r="A5" t="s">
        <v>24</v>
      </c>
    </row>
    <row r="6" spans="1:1">
      <c r="A6" t="s">
        <v>25</v>
      </c>
    </row>
    <row r="7" spans="1:1">
      <c r="A7" t="s">
        <v>26</v>
      </c>
    </row>
    <row r="8" spans="1:1">
      <c r="A8" t="s">
        <v>27</v>
      </c>
    </row>
    <row r="10" spans="1:1">
      <c r="A10" t="s">
        <v>30</v>
      </c>
    </row>
    <row r="11" spans="1:1">
      <c r="A11" t="s">
        <v>31</v>
      </c>
    </row>
    <row r="12" spans="1:1">
      <c r="A12" t="s">
        <v>32</v>
      </c>
    </row>
    <row r="13" spans="1:1">
      <c r="A13" t="s">
        <v>33</v>
      </c>
    </row>
    <row r="14" spans="1:1">
      <c r="A14" t="s">
        <v>39</v>
      </c>
    </row>
    <row r="15" spans="1:1">
      <c r="A15" t="s">
        <v>38</v>
      </c>
    </row>
    <row r="17" spans="1:8">
      <c r="A17" s="2" t="s">
        <v>28</v>
      </c>
      <c r="B17" s="3"/>
      <c r="C17" s="3"/>
      <c r="D17" s="3"/>
      <c r="E17" s="3"/>
      <c r="F17" s="3"/>
      <c r="G17" s="3"/>
      <c r="H17" s="3"/>
    </row>
    <row r="18" spans="1:8">
      <c r="B18" s="7" t="s">
        <v>3</v>
      </c>
      <c r="C18" s="7" t="s">
        <v>4</v>
      </c>
      <c r="D18" s="7" t="s">
        <v>5</v>
      </c>
      <c r="E18" s="7" t="s">
        <v>6</v>
      </c>
      <c r="F18" s="7" t="s">
        <v>7</v>
      </c>
      <c r="G18" s="7" t="s">
        <v>46</v>
      </c>
      <c r="H18" t="s">
        <v>47</v>
      </c>
    </row>
    <row r="19" spans="1:8">
      <c r="A19" t="s">
        <v>16</v>
      </c>
      <c r="B19" s="8">
        <v>1</v>
      </c>
      <c r="C19" s="8">
        <v>1</v>
      </c>
      <c r="D19" s="14">
        <v>1</v>
      </c>
      <c r="E19" s="8">
        <v>1</v>
      </c>
      <c r="F19" s="8">
        <v>1</v>
      </c>
      <c r="G19">
        <v>1</v>
      </c>
      <c r="H19">
        <v>1</v>
      </c>
    </row>
    <row r="20" spans="1:8">
      <c r="A20" t="s">
        <v>9</v>
      </c>
      <c r="B20" s="8">
        <v>1</v>
      </c>
      <c r="C20" s="8">
        <v>1</v>
      </c>
      <c r="D20" s="8">
        <v>1</v>
      </c>
      <c r="E20" s="8">
        <v>1</v>
      </c>
      <c r="F20" s="8">
        <v>1</v>
      </c>
      <c r="G20">
        <v>1</v>
      </c>
      <c r="H20">
        <v>1</v>
      </c>
    </row>
    <row r="21" spans="1:8">
      <c r="A21" t="s">
        <v>8</v>
      </c>
      <c r="B21">
        <v>1</v>
      </c>
      <c r="C21">
        <v>1</v>
      </c>
      <c r="D21">
        <v>1</v>
      </c>
      <c r="E21">
        <v>1</v>
      </c>
      <c r="F21">
        <v>0</v>
      </c>
      <c r="G21" s="8">
        <v>0</v>
      </c>
      <c r="H21">
        <v>1</v>
      </c>
    </row>
    <row r="22" spans="1:8">
      <c r="A22" t="s">
        <v>17</v>
      </c>
      <c r="B22">
        <v>1</v>
      </c>
      <c r="C22">
        <v>1</v>
      </c>
      <c r="D22">
        <v>1</v>
      </c>
      <c r="E22">
        <v>1</v>
      </c>
      <c r="F22">
        <v>0</v>
      </c>
      <c r="G22" s="8">
        <v>0</v>
      </c>
      <c r="H22">
        <v>1</v>
      </c>
    </row>
    <row r="23" spans="1:8">
      <c r="A23" t="s">
        <v>18</v>
      </c>
      <c r="B23">
        <v>1</v>
      </c>
      <c r="C23">
        <v>1</v>
      </c>
      <c r="D23">
        <v>1</v>
      </c>
      <c r="E23">
        <v>1</v>
      </c>
      <c r="F23">
        <v>0</v>
      </c>
      <c r="G23" s="8">
        <v>0</v>
      </c>
      <c r="H23">
        <v>1</v>
      </c>
    </row>
    <row r="24" spans="1:8">
      <c r="A24" t="s">
        <v>19</v>
      </c>
      <c r="B24" s="8">
        <v>1</v>
      </c>
      <c r="C24" s="8">
        <v>1</v>
      </c>
      <c r="D24" s="8">
        <v>1</v>
      </c>
      <c r="E24" s="8">
        <v>1</v>
      </c>
      <c r="F24" s="8">
        <v>1</v>
      </c>
      <c r="G24">
        <v>1</v>
      </c>
      <c r="H24">
        <v>1</v>
      </c>
    </row>
    <row r="26" spans="1:8">
      <c r="A26" s="2" t="s">
        <v>29</v>
      </c>
      <c r="B26" s="3"/>
      <c r="C26" s="3"/>
      <c r="D26" s="3"/>
      <c r="E26" s="3"/>
      <c r="F26" s="3"/>
      <c r="G26" s="3"/>
      <c r="H26" s="3"/>
    </row>
    <row r="27" spans="1:8">
      <c r="B27" s="7" t="s">
        <v>3</v>
      </c>
      <c r="C27" s="7" t="s">
        <v>4</v>
      </c>
      <c r="D27" s="7" t="s">
        <v>5</v>
      </c>
      <c r="E27" s="7" t="s">
        <v>6</v>
      </c>
      <c r="F27" s="7" t="s">
        <v>7</v>
      </c>
      <c r="G27" s="7" t="s">
        <v>46</v>
      </c>
      <c r="H27" s="7" t="s">
        <v>47</v>
      </c>
    </row>
    <row r="28" spans="1:8">
      <c r="A28" t="s">
        <v>16</v>
      </c>
      <c r="B28" s="8">
        <v>1</v>
      </c>
      <c r="C28" s="8">
        <v>1</v>
      </c>
      <c r="D28" s="14">
        <v>1</v>
      </c>
      <c r="E28" s="8">
        <v>1</v>
      </c>
      <c r="F28" s="8">
        <v>1</v>
      </c>
      <c r="G28" s="8">
        <v>1</v>
      </c>
      <c r="H28" s="8">
        <v>1</v>
      </c>
    </row>
    <row r="29" spans="1:8">
      <c r="A29" t="s">
        <v>9</v>
      </c>
      <c r="B29" s="8">
        <v>1</v>
      </c>
      <c r="C29" s="8">
        <v>1</v>
      </c>
      <c r="D29" s="8">
        <v>1</v>
      </c>
      <c r="E29" s="8">
        <v>1</v>
      </c>
      <c r="F29" s="8">
        <v>1</v>
      </c>
      <c r="G29" s="8">
        <v>1</v>
      </c>
      <c r="H29" s="8">
        <v>1</v>
      </c>
    </row>
    <row r="30" spans="1:8">
      <c r="A30" t="s">
        <v>8</v>
      </c>
      <c r="B30" s="8">
        <v>1</v>
      </c>
      <c r="C30" s="8">
        <v>1</v>
      </c>
      <c r="D30" s="8">
        <v>1</v>
      </c>
      <c r="E30" s="8">
        <v>1</v>
      </c>
      <c r="F30">
        <v>0</v>
      </c>
      <c r="G30">
        <v>0</v>
      </c>
      <c r="H30" s="8">
        <v>1</v>
      </c>
    </row>
    <row r="31" spans="1:8">
      <c r="A31" t="s">
        <v>17</v>
      </c>
      <c r="B31" s="8">
        <v>1</v>
      </c>
      <c r="C31" s="8">
        <v>1</v>
      </c>
      <c r="D31" s="8">
        <v>1</v>
      </c>
      <c r="E31" s="8">
        <v>1</v>
      </c>
      <c r="F31">
        <v>0</v>
      </c>
      <c r="G31">
        <v>0</v>
      </c>
      <c r="H31" s="8">
        <v>1</v>
      </c>
    </row>
    <row r="32" spans="1:8">
      <c r="A32" t="s">
        <v>18</v>
      </c>
      <c r="B32" s="8">
        <v>1</v>
      </c>
      <c r="C32" s="8">
        <v>1</v>
      </c>
      <c r="D32" s="8">
        <v>1</v>
      </c>
      <c r="E32" s="8">
        <v>1</v>
      </c>
      <c r="F32">
        <v>0</v>
      </c>
      <c r="G32">
        <v>0</v>
      </c>
      <c r="H32" s="8">
        <v>1</v>
      </c>
    </row>
    <row r="33" spans="1:8">
      <c r="A33" t="s">
        <v>19</v>
      </c>
      <c r="B33" s="8">
        <v>1</v>
      </c>
      <c r="C33" s="8">
        <v>1</v>
      </c>
      <c r="D33" s="8">
        <v>1</v>
      </c>
      <c r="E33" s="8">
        <v>1</v>
      </c>
      <c r="F33" s="8">
        <v>1</v>
      </c>
      <c r="G33" s="8">
        <v>1</v>
      </c>
      <c r="H33" s="8">
        <v>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3"/>
  </sheetPr>
  <dimension ref="A1:H11"/>
  <sheetViews>
    <sheetView workbookViewId="0">
      <selection activeCell="E19" sqref="E19"/>
    </sheetView>
  </sheetViews>
  <sheetFormatPr defaultRowHeight="15"/>
  <cols>
    <col min="1" max="1" width="17.85546875" customWidth="1"/>
    <col min="2" max="2" width="21.7109375" customWidth="1"/>
    <col min="3" max="3" width="18.28515625" customWidth="1"/>
    <col min="4" max="5" width="16.7109375" customWidth="1"/>
    <col min="6" max="6" width="20.5703125" customWidth="1"/>
    <col min="7" max="7" width="16.7109375" customWidth="1"/>
    <col min="8" max="8" width="16.5703125" customWidth="1"/>
  </cols>
  <sheetData>
    <row r="1" spans="1:8" ht="45">
      <c r="A1" s="13" t="s">
        <v>45</v>
      </c>
      <c r="B1" s="7" t="s">
        <v>3</v>
      </c>
      <c r="C1" s="7" t="s">
        <v>4</v>
      </c>
      <c r="D1" s="7" t="s">
        <v>5</v>
      </c>
      <c r="E1" s="7" t="s">
        <v>6</v>
      </c>
      <c r="F1" s="7" t="s">
        <v>7</v>
      </c>
      <c r="G1" s="7" t="s">
        <v>46</v>
      </c>
      <c r="H1" s="7" t="s">
        <v>47</v>
      </c>
    </row>
    <row r="2" spans="1:8">
      <c r="A2" t="s">
        <v>16</v>
      </c>
      <c r="B2" s="11">
        <f>'IESS passenger'!P46</f>
        <v>6.8830241953761664E-3</v>
      </c>
      <c r="C2" s="11">
        <f>'IESS passenger'!P44</f>
        <v>8.3703393561665798E-4</v>
      </c>
      <c r="D2" s="139">
        <f>Calcs!D3</f>
        <v>6.665507600111248E-4</v>
      </c>
      <c r="E2" s="139">
        <f>Calcs!E3</f>
        <v>6.3407151239121111E-4</v>
      </c>
      <c r="F2" s="11">
        <f>$D2/(1-'Calculations Etc'!$B$2)*'Calculations Etc'!$B$6+$D2*(1-'Calculations Etc'!$B$6)*'Calibration Adjustments'!F19</f>
        <v>1.4672887124981733E-3</v>
      </c>
      <c r="G2" s="139">
        <f>Calcs!G3</f>
        <v>3.6400433265554818E-3</v>
      </c>
      <c r="H2" s="11">
        <f>D2*'Calculations Etc'!$B$11</f>
        <v>1.6663769000278121E-3</v>
      </c>
    </row>
    <row r="3" spans="1:8">
      <c r="A3" t="s">
        <v>9</v>
      </c>
      <c r="B3" s="11">
        <f>IFERROR(INDEX('IESS passenger'!$P$36:$P$38,MATCH('SYFAFE-psgr'!B$1,'IESS passenger'!$Q$36:$Q$38,0)),0)</f>
        <v>6.8830241953761664E-3</v>
      </c>
      <c r="C3" s="11">
        <f>('IESS passenger'!P37*'IESS passenger'!AG4+'IESS passenger'!P41*'IESS passenger'!AG8)/SUM('IESS passenger'!AG4,'IESS passenger'!AG8)</f>
        <v>2.8547204093302241E-3</v>
      </c>
      <c r="D3" s="11">
        <f>$E3*'Calibration Adjustments'!D20</f>
        <v>3.9637789717742308E-3</v>
      </c>
      <c r="E3" s="139">
        <f>Calcs!E4</f>
        <v>3.9637789717742308E-3</v>
      </c>
      <c r="F3" s="11">
        <f>$E3/(1-'Calculations Etc'!$B$3)*'Calculations Etc'!$B$6+$E3*(1-'Calculations Etc'!$B$6)*'Calibration Adjustments'!F20</f>
        <v>8.7893273006215567E-3</v>
      </c>
      <c r="G3" s="11">
        <f>$E3*'Calibration Adjustments'!G20</f>
        <v>3.9637789717742308E-3</v>
      </c>
      <c r="H3" s="11">
        <f>D3*'Calculations Etc'!$B$11</f>
        <v>9.9094474294355774E-3</v>
      </c>
    </row>
    <row r="4" spans="1:8">
      <c r="A4" t="s">
        <v>8</v>
      </c>
      <c r="B4">
        <v>0</v>
      </c>
      <c r="C4">
        <v>0</v>
      </c>
      <c r="D4">
        <v>0</v>
      </c>
      <c r="E4" s="139">
        <f>Calcs!E5</f>
        <v>2.0662507983065391E-4</v>
      </c>
      <c r="F4">
        <v>0</v>
      </c>
      <c r="G4">
        <v>0</v>
      </c>
      <c r="H4">
        <v>0</v>
      </c>
    </row>
    <row r="5" spans="1:8">
      <c r="A5" t="s">
        <v>17</v>
      </c>
      <c r="B5" s="12">
        <f>'Rail Calcs'!C17</f>
        <v>1.8620475256763733E-2</v>
      </c>
      <c r="C5">
        <v>0</v>
      </c>
      <c r="D5">
        <v>0</v>
      </c>
      <c r="E5" s="139">
        <f>Calcs!E6</f>
        <v>8.1484755223861487E-3</v>
      </c>
      <c r="F5">
        <v>0</v>
      </c>
      <c r="G5">
        <v>0</v>
      </c>
      <c r="H5">
        <v>0</v>
      </c>
    </row>
    <row r="6" spans="1:8">
      <c r="A6" t="s">
        <v>18</v>
      </c>
      <c r="B6">
        <f>'IESS passenger'!P60</f>
        <v>6.8830241953761664E-3</v>
      </c>
      <c r="C6">
        <f>'IESS passenger'!P57</f>
        <v>5.7219121855658938E-4</v>
      </c>
      <c r="D6" s="11">
        <f>D2</f>
        <v>6.665507600111248E-4</v>
      </c>
      <c r="E6" s="139">
        <f>Calcs!E7</f>
        <v>4.6395749891345816E-4</v>
      </c>
      <c r="F6" s="11">
        <f>F2</f>
        <v>1.4672887124981733E-3</v>
      </c>
      <c r="G6">
        <f>'IESS passenger'!P58</f>
        <v>7.9226476415527767E-4</v>
      </c>
      <c r="H6" s="11">
        <f>H2</f>
        <v>1.6663769000278121E-3</v>
      </c>
    </row>
    <row r="7" spans="1:8">
      <c r="A7" t="s">
        <v>19</v>
      </c>
      <c r="B7" s="11">
        <f>IFERROR(INDEX('IESS passenger'!$P$48:$P$51,MATCH('SYFAFE-psgr'!B$1,'IESS passenger'!$Q$48:$Q$51,0)),0)</f>
        <v>2.1413853052281405E-2</v>
      </c>
      <c r="C7" s="11">
        <f>$D7*'Calibration Adjustments'!C24</f>
        <v>1.2205149683114798E-3</v>
      </c>
      <c r="D7" s="139">
        <f>Calcs!D8</f>
        <v>1.2205149683114798E-3</v>
      </c>
      <c r="E7" s="11">
        <f>$D7*'Calibration Adjustments'!E24</f>
        <v>1.2205149683114798E-3</v>
      </c>
      <c r="F7" s="11">
        <f>$D7/(1-'Calculations Etc'!$B$2)*'Calculations Etc'!$B$6+$D7*(1-'Calculations Etc'!$B$6)*'Calibration Adjustments'!F24</f>
        <v>2.686738871033034E-3</v>
      </c>
      <c r="G7" s="11">
        <f>$E7*'Calibration Adjustments'!G24</f>
        <v>1.2205149683114798E-3</v>
      </c>
      <c r="H7" s="11">
        <f>D7*'Calculations Etc'!$B$11</f>
        <v>3.0512874207786998E-3</v>
      </c>
    </row>
    <row r="11" spans="1:8">
      <c r="D11" s="1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H7"/>
  <sheetViews>
    <sheetView workbookViewId="0">
      <selection activeCell="I5" sqref="I5"/>
    </sheetView>
  </sheetViews>
  <sheetFormatPr defaultRowHeight="15"/>
  <cols>
    <col min="1" max="1" width="17.42578125" customWidth="1"/>
    <col min="2" max="2" width="21.7109375" customWidth="1"/>
    <col min="3" max="3" width="18.28515625" customWidth="1"/>
    <col min="4" max="5" width="16.7109375" customWidth="1"/>
    <col min="6" max="6" width="20.5703125" customWidth="1"/>
    <col min="7" max="8" width="16.7109375" customWidth="1"/>
  </cols>
  <sheetData>
    <row r="1" spans="1:8" ht="45">
      <c r="A1" s="13" t="s">
        <v>48</v>
      </c>
      <c r="B1" s="7" t="s">
        <v>3</v>
      </c>
      <c r="C1" s="7" t="s">
        <v>4</v>
      </c>
      <c r="D1" s="7" t="s">
        <v>5</v>
      </c>
      <c r="E1" s="7" t="s">
        <v>6</v>
      </c>
      <c r="F1" s="7" t="s">
        <v>7</v>
      </c>
      <c r="G1" s="7" t="s">
        <v>46</v>
      </c>
      <c r="H1" s="7" t="s">
        <v>47</v>
      </c>
    </row>
    <row r="2" spans="1:8">
      <c r="A2" t="s">
        <v>16</v>
      </c>
      <c r="B2" s="11">
        <f>$D2/(1-'Calculations Etc'!$B$2)*'Calibration Adjustments'!B28</f>
        <v>1.0660529827955442E-3</v>
      </c>
      <c r="C2" s="11">
        <f>$D2*'Calibration Adjustments'!C28</f>
        <v>3.3479349872917922E-4</v>
      </c>
      <c r="D2" s="11">
        <f>E2</f>
        <v>3.3479349872917922E-4</v>
      </c>
      <c r="E2" s="139">
        <f>Calcs!E12</f>
        <v>3.3479349872917922E-4</v>
      </c>
      <c r="F2" s="11">
        <f>$D2/(1-'Calculations Etc'!$B$2)*'Calculations Etc'!$B$6+$D2*(1-'Calculations Etc'!$B$6)*'Calibration Adjustments'!F28</f>
        <v>7.3698621496568004E-4</v>
      </c>
      <c r="G2" s="11">
        <f>$D2*'Calibration Adjustments'!G28</f>
        <v>3.3479349872917922E-4</v>
      </c>
      <c r="H2" s="11">
        <f>D2*'Calculations Etc'!$B$11</f>
        <v>8.3698374682294801E-4</v>
      </c>
    </row>
    <row r="3" spans="1:8">
      <c r="A3" t="s">
        <v>9</v>
      </c>
      <c r="B3" s="11">
        <f>$E3/(1-'Calculations Etc'!$B$3)*'Calibration Adjustments'!B29</f>
        <v>1.8856077473395187E-3</v>
      </c>
      <c r="C3" s="11">
        <f>$E3*'Calibration Adjustments'!C29</f>
        <v>5.8678158639234492E-4</v>
      </c>
      <c r="D3" s="11">
        <f>$E3*'Calibration Adjustments'!D29</f>
        <v>5.8678158639234492E-4</v>
      </c>
      <c r="E3" s="139">
        <f>Calcs!E13</f>
        <v>5.8678158639234492E-4</v>
      </c>
      <c r="F3" s="11">
        <f>$E3/(1-'Calculations Etc'!$B$3)*'Calculations Etc'!$B$6+$E3*(1-'Calculations Etc'!$B$6)*'Calibration Adjustments'!F29</f>
        <v>1.3011359749132906E-3</v>
      </c>
      <c r="G3" s="11">
        <f>$E3*'Calibration Adjustments'!G29</f>
        <v>5.8678158639234492E-4</v>
      </c>
      <c r="H3" s="11">
        <f>D3*'Calculations Etc'!$B$11</f>
        <v>1.4669539659808624E-3</v>
      </c>
    </row>
    <row r="4" spans="1:8">
      <c r="A4" t="s">
        <v>8</v>
      </c>
      <c r="B4">
        <v>0</v>
      </c>
      <c r="C4">
        <v>0</v>
      </c>
      <c r="D4">
        <v>0</v>
      </c>
      <c r="E4" s="139">
        <f>Calcs!E14</f>
        <v>2.9993595807335471E-5</v>
      </c>
      <c r="F4">
        <v>0</v>
      </c>
      <c r="G4">
        <v>0</v>
      </c>
      <c r="H4" s="11">
        <f>E4*'Calculations Etc'!$B$11</f>
        <v>7.498398951833867E-5</v>
      </c>
    </row>
    <row r="5" spans="1:8">
      <c r="A5" t="s">
        <v>17</v>
      </c>
      <c r="B5" s="12">
        <f>'Rail Calcs'!C18</f>
        <v>1.1664791329226596E-2</v>
      </c>
      <c r="C5">
        <v>0</v>
      </c>
      <c r="D5">
        <v>0</v>
      </c>
      <c r="E5" s="139">
        <f>Calcs!E15</f>
        <v>3.3871441849751228E-3</v>
      </c>
      <c r="F5">
        <v>0</v>
      </c>
      <c r="G5">
        <v>0</v>
      </c>
      <c r="H5" s="11">
        <f>E5*'Calculations Etc'!$B$11</f>
        <v>8.4678604624378075E-3</v>
      </c>
    </row>
    <row r="6" spans="1:8">
      <c r="A6" t="s">
        <v>18</v>
      </c>
      <c r="B6">
        <v>0</v>
      </c>
      <c r="C6">
        <v>0</v>
      </c>
      <c r="D6">
        <v>0</v>
      </c>
      <c r="E6" s="139">
        <f>Calcs!E16</f>
        <v>1.2265908259130031E-2</v>
      </c>
      <c r="F6">
        <v>0</v>
      </c>
      <c r="G6">
        <v>0</v>
      </c>
      <c r="H6" s="11">
        <f>E6*'Calculations Etc'!$B$11</f>
        <v>3.0664770647825076E-2</v>
      </c>
    </row>
    <row r="7" spans="1:8">
      <c r="A7" t="s">
        <v>19</v>
      </c>
      <c r="B7" s="11">
        <f>IFERROR(INDEX('IESS passenger'!$P$52:$P$56,MATCH('SYFAFE-psgr'!B$1,'IESS passenger'!$Q$52:$Q$56,0)),0)</f>
        <v>1.0706926526140702E-2</v>
      </c>
      <c r="C7" s="11">
        <f>IFERROR(INDEX('IESS passenger'!$P$52:$P$56,MATCH('SYFAFE-psgr'!C$1,'IESS passenger'!$Q$52:$Q$56,0)),0)</f>
        <v>1.1297108674065996E-3</v>
      </c>
      <c r="D7" s="139">
        <f>Calcs!D17</f>
        <v>8.7358849535455882E-4</v>
      </c>
      <c r="E7" s="139">
        <f>Calcs!E17</f>
        <v>8.8659368556303253E-4</v>
      </c>
      <c r="F7" s="11">
        <f>$D7/(1-'Calculations Etc'!$B$2)*'Calculations Etc'!$B$6+$D7*(1-'Calculations Etc'!$B$6)*'Calibration Adjustments'!F24</f>
        <v>1.9230441483265484E-3</v>
      </c>
      <c r="G7" s="139">
        <f>Calcs!G17</f>
        <v>4.2669514853712733E-3</v>
      </c>
      <c r="H7" s="11">
        <f>D7*'Calculations Etc'!$B$11</f>
        <v>2.1839712383863973E-3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1</vt:i4>
      </vt:variant>
    </vt:vector>
  </HeadingPairs>
  <TitlesOfParts>
    <vt:vector size="17" baseType="lpstr">
      <vt:lpstr>About</vt:lpstr>
      <vt:lpstr>Unit Conversions</vt:lpstr>
      <vt:lpstr>Calculations Etc</vt:lpstr>
      <vt:lpstr>AVLo</vt:lpstr>
      <vt:lpstr>SYVbT</vt:lpstr>
      <vt:lpstr>BAADTbVT</vt:lpstr>
      <vt:lpstr>Cargo Distance Transported</vt:lpstr>
      <vt:lpstr>Min. of Petr. &amp; NG</vt:lpstr>
      <vt:lpstr>IESS Energy</vt:lpstr>
      <vt:lpstr>Calcs</vt:lpstr>
      <vt:lpstr>Rail Calcs</vt:lpstr>
      <vt:lpstr>IESS passenger</vt:lpstr>
      <vt:lpstr>IESS freight</vt:lpstr>
      <vt:lpstr>Calibration Adjustments</vt:lpstr>
      <vt:lpstr>SYFAFE-psgr</vt:lpstr>
      <vt:lpstr>SYFAFE-frgt</vt:lpstr>
      <vt:lpstr>BTU_per_TOE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2017-06-26T22:04:22Z</dcterms:created>
  <dcterms:modified xsi:type="dcterms:W3CDTF">2022-02-04T00:47:42Z</dcterms:modified>
</cp:coreProperties>
</file>