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trans\SYVbT\"/>
    </mc:Choice>
  </mc:AlternateContent>
  <xr:revisionPtr revIDLastSave="0" documentId="13_ncr:1_{33DCC66E-E534-476E-A9AD-D173EECC5D7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About" sheetId="1" r:id="rId1"/>
    <sheet name="India Ships" sheetId="8" r:id="rId2"/>
    <sheet name="India Rail" sheetId="7" r:id="rId3"/>
    <sheet name="India Aircraft" sheetId="6" r:id="rId4"/>
    <sheet name="India Road" sheetId="5" r:id="rId5"/>
    <sheet name="2018 Calcs" sheetId="10" r:id="rId6"/>
    <sheet name="India AVLo" sheetId="9" r:id="rId7"/>
    <sheet name="SYVbT-passenger" sheetId="2" r:id="rId8"/>
    <sheet name="SYVbT-freight" sheetId="4" r:id="rId9"/>
  </sheets>
  <externalReferences>
    <externalReference r:id="rId10"/>
    <externalReference r:id="rId11"/>
  </externalReferences>
  <definedNames>
    <definedName name="BTU_to_PJ">[1]Notes!$A$11</definedName>
    <definedName name="Eno_TM">'[2]1997  Table 1a Modified'!#REF!</definedName>
    <definedName name="Eno_Tons">'[2]1997  Table 1a Modified'!#REF!</definedName>
    <definedName name="MWh_to_PJ">[1]Notes!$A$12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  <definedName name="TWh_to_PJ">[1]Notes!$A$15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0" l="1"/>
  <c r="L5" i="10" l="1"/>
  <c r="B18" i="7" l="1"/>
  <c r="J3" i="10" l="1"/>
  <c r="K3" i="10"/>
  <c r="L3" i="10"/>
  <c r="M3" i="10"/>
  <c r="N3" i="10"/>
  <c r="B46" i="5" s="1"/>
  <c r="O3" i="10"/>
  <c r="P3" i="10"/>
  <c r="Q3" i="10"/>
  <c r="P13" i="10"/>
  <c r="J4" i="10"/>
  <c r="K4" i="10"/>
  <c r="L4" i="10"/>
  <c r="M4" i="10"/>
  <c r="N4" i="10"/>
  <c r="C46" i="5" s="1"/>
  <c r="O4" i="10"/>
  <c r="P4" i="10"/>
  <c r="Q4" i="10"/>
  <c r="J5" i="10"/>
  <c r="J15" i="10" s="1"/>
  <c r="K5" i="10"/>
  <c r="N5" i="10"/>
  <c r="O5" i="10"/>
  <c r="P5" i="10"/>
  <c r="Q5" i="10"/>
  <c r="G6" i="10"/>
  <c r="J6" i="10"/>
  <c r="J16" i="10" s="1"/>
  <c r="K6" i="10"/>
  <c r="L6" i="10"/>
  <c r="M6" i="10"/>
  <c r="N6" i="10"/>
  <c r="B45" i="5" s="1"/>
  <c r="O6" i="10"/>
  <c r="P6" i="10"/>
  <c r="Q6" i="10"/>
  <c r="G8" i="10"/>
  <c r="J7" i="10"/>
  <c r="K7" i="10"/>
  <c r="L7" i="10"/>
  <c r="M7" i="10"/>
  <c r="N7" i="10"/>
  <c r="O7" i="10"/>
  <c r="P7" i="10"/>
  <c r="Q7" i="10"/>
  <c r="J8" i="10"/>
  <c r="K8" i="10"/>
  <c r="P8" i="10"/>
  <c r="G10" i="10"/>
  <c r="J9" i="10"/>
  <c r="K9" i="10"/>
  <c r="L9" i="10"/>
  <c r="M9" i="10"/>
  <c r="N9" i="10"/>
  <c r="B44" i="5" s="1"/>
  <c r="O9" i="10"/>
  <c r="P9" i="10"/>
  <c r="Q9" i="10"/>
  <c r="M16" i="10"/>
  <c r="J10" i="10"/>
  <c r="J20" i="10" s="1"/>
  <c r="K10" i="10"/>
  <c r="L10" i="10"/>
  <c r="M10" i="10"/>
  <c r="N10" i="10"/>
  <c r="C44" i="5" s="1"/>
  <c r="O10" i="10"/>
  <c r="P10" i="10"/>
  <c r="Q10" i="10"/>
  <c r="G12" i="10"/>
  <c r="J11" i="10"/>
  <c r="J21" i="10" s="1"/>
  <c r="K11" i="10"/>
  <c r="L11" i="10"/>
  <c r="M11" i="10"/>
  <c r="C36" i="10" s="1"/>
  <c r="N11" i="10"/>
  <c r="O11" i="10"/>
  <c r="P11" i="10"/>
  <c r="Q11" i="10"/>
  <c r="K12" i="10"/>
  <c r="L12" i="10"/>
  <c r="L14" i="10" s="1"/>
  <c r="M12" i="10"/>
  <c r="M19" i="10" s="1"/>
  <c r="N12" i="10"/>
  <c r="O12" i="10"/>
  <c r="O16" i="10" s="1"/>
  <c r="P12" i="10"/>
  <c r="G14" i="10"/>
  <c r="J13" i="10"/>
  <c r="J14" i="10"/>
  <c r="K14" i="10"/>
  <c r="P14" i="10"/>
  <c r="N19" i="10"/>
  <c r="L19" i="10"/>
  <c r="K16" i="10"/>
  <c r="K20" i="10"/>
  <c r="J17" i="10"/>
  <c r="G18" i="10"/>
  <c r="J18" i="10"/>
  <c r="G24" i="10"/>
  <c r="J19" i="10"/>
  <c r="K19" i="10"/>
  <c r="P19" i="10"/>
  <c r="L20" i="10"/>
  <c r="P20" i="10"/>
  <c r="G22" i="10"/>
  <c r="D23" i="10"/>
  <c r="Q8" i="10" s="1"/>
  <c r="G23" i="10"/>
  <c r="B24" i="10"/>
  <c r="D24" i="10"/>
  <c r="F24" i="10"/>
  <c r="F25" i="10" s="1"/>
  <c r="B25" i="10"/>
  <c r="D25" i="10"/>
  <c r="F35" i="10"/>
  <c r="D36" i="10" l="1"/>
  <c r="F36" i="10" s="1"/>
  <c r="M20" i="10"/>
  <c r="L8" i="10"/>
  <c r="O8" i="10"/>
  <c r="C37" i="10"/>
  <c r="E37" i="10" s="1"/>
  <c r="C33" i="10"/>
  <c r="E33" i="10" s="1"/>
  <c r="M13" i="10"/>
  <c r="K13" i="10"/>
  <c r="H25" i="10"/>
  <c r="P18" i="10" s="1"/>
  <c r="L13" i="10"/>
  <c r="G25" i="10"/>
  <c r="E36" i="10"/>
  <c r="G20" i="10"/>
  <c r="O19" i="10"/>
  <c r="L16" i="10"/>
  <c r="N20" i="10"/>
  <c r="D33" i="10" s="1"/>
  <c r="F33" i="10" s="1"/>
  <c r="O20" i="10"/>
  <c r="H24" i="10"/>
  <c r="L18" i="10" s="1"/>
  <c r="P16" i="10"/>
  <c r="O13" i="10"/>
  <c r="N16" i="10"/>
  <c r="C34" i="10" s="1"/>
  <c r="E34" i="10" s="1"/>
  <c r="N13" i="10"/>
  <c r="K18" i="10"/>
  <c r="O14" i="10"/>
  <c r="N8" i="10"/>
  <c r="C45" i="5" s="1"/>
  <c r="C3" i="4" s="1"/>
  <c r="N14" i="10"/>
  <c r="D37" i="10" s="1"/>
  <c r="M8" i="10"/>
  <c r="M14" i="10"/>
  <c r="F7" i="4"/>
  <c r="C2" i="4"/>
  <c r="D2" i="4"/>
  <c r="F2" i="4"/>
  <c r="E7" i="2"/>
  <c r="F7" i="2"/>
  <c r="C7" i="2"/>
  <c r="B2" i="8"/>
  <c r="E6" i="2" s="1"/>
  <c r="Q18" i="8"/>
  <c r="J18" i="8"/>
  <c r="R18" i="8" s="1"/>
  <c r="B3" i="8" s="1"/>
  <c r="E6" i="4" s="1"/>
  <c r="F3" i="4" l="1"/>
  <c r="O18" i="10"/>
  <c r="D3" i="4"/>
  <c r="F37" i="10"/>
  <c r="N18" i="10"/>
  <c r="D34" i="10" s="1"/>
  <c r="F34" i="10" s="1"/>
  <c r="M18" i="10"/>
  <c r="D3" i="2" l="1"/>
  <c r="F3" i="2"/>
  <c r="G3" i="2"/>
  <c r="F2" i="2"/>
  <c r="G52" i="5"/>
  <c r="C7" i="4" s="1"/>
  <c r="F52" i="5"/>
  <c r="I45" i="5"/>
  <c r="E3" i="2" s="1"/>
  <c r="G45" i="5"/>
  <c r="C3" i="2" s="1"/>
  <c r="F45" i="5"/>
  <c r="I50" i="5"/>
  <c r="E2" i="4" s="1"/>
  <c r="I51" i="5"/>
  <c r="E3" i="4" s="1"/>
  <c r="K51" i="5"/>
  <c r="G3" i="4" s="1"/>
  <c r="K50" i="5"/>
  <c r="G2" i="4" s="1"/>
  <c r="L52" i="5"/>
  <c r="H7" i="4" s="1"/>
  <c r="K52" i="5"/>
  <c r="G7" i="4" s="1"/>
  <c r="H52" i="5"/>
  <c r="D7" i="4" s="1"/>
  <c r="K46" i="5"/>
  <c r="G7" i="2" s="1"/>
  <c r="K45" i="5"/>
  <c r="L45" i="5" s="1"/>
  <c r="H3" i="2" s="1"/>
  <c r="L44" i="5"/>
  <c r="H2" i="2" s="1"/>
  <c r="K44" i="5"/>
  <c r="G2" i="2" s="1"/>
  <c r="I44" i="5"/>
  <c r="E2" i="2" s="1"/>
  <c r="H44" i="5"/>
  <c r="D2" i="2" s="1"/>
  <c r="G44" i="5"/>
  <c r="C2" i="2" s="1"/>
  <c r="F44" i="5"/>
  <c r="L46" i="5" l="1"/>
  <c r="H7" i="2" s="1"/>
  <c r="L50" i="5"/>
  <c r="H2" i="4" s="1"/>
  <c r="L51" i="5"/>
  <c r="H3" i="4" s="1"/>
  <c r="B13" i="6"/>
  <c r="B12" i="6"/>
  <c r="B8" i="6" l="1"/>
  <c r="B5" i="6"/>
  <c r="B5" i="7"/>
  <c r="B19" i="7" l="1"/>
  <c r="B23" i="7" s="1"/>
  <c r="B3" i="4"/>
  <c r="B2" i="4"/>
  <c r="I52" i="5"/>
  <c r="E7" i="4" s="1"/>
  <c r="B7" i="4"/>
  <c r="H46" i="5"/>
  <c r="D7" i="2" s="1"/>
  <c r="F46" i="5"/>
  <c r="B7" i="2" s="1"/>
  <c r="B3" i="2"/>
  <c r="B2" i="2"/>
  <c r="B17" i="6"/>
  <c r="B16" i="6"/>
  <c r="B20" i="6" l="1"/>
  <c r="N15" i="10" s="1"/>
  <c r="C35" i="10" s="1"/>
  <c r="E35" i="10" s="1"/>
  <c r="G16" i="7"/>
  <c r="B5" i="2" s="1"/>
  <c r="G15" i="7"/>
  <c r="E5" i="2" s="1"/>
  <c r="B21" i="6"/>
  <c r="E4" i="4" s="1"/>
  <c r="B24" i="7"/>
  <c r="G19" i="7" l="1"/>
  <c r="B5" i="4" s="1"/>
  <c r="G18" i="7"/>
  <c r="E5" i="4" s="1"/>
  <c r="E4" i="2"/>
</calcChain>
</file>

<file path=xl/sharedStrings.xml><?xml version="1.0" encoding="utf-8"?>
<sst xmlns="http://schemas.openxmlformats.org/spreadsheetml/2006/main" count="391" uniqueCount="224">
  <si>
    <t>SYVbT Start Year Vehicles by Technology</t>
  </si>
  <si>
    <t>Sources:</t>
  </si>
  <si>
    <t>Road transport Year Book 2015-2016</t>
  </si>
  <si>
    <t>http://morth.nic.in/showfile.asp?lid=3141</t>
  </si>
  <si>
    <t>aircraft</t>
  </si>
  <si>
    <t>Ships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</si>
  <si>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</si>
  <si>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</si>
  <si>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</si>
  <si>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</si>
  <si>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</si>
  <si>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</si>
  <si>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</si>
  <si>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rail</t>
  </si>
  <si>
    <t>ships</t>
  </si>
  <si>
    <t>motorbikes</t>
  </si>
  <si>
    <t>Freight Transported (MT)</t>
  </si>
  <si>
    <t>Psgr/aircraft</t>
  </si>
  <si>
    <t>(from AVLo)</t>
  </si>
  <si>
    <t>Freight MT/aircraft</t>
  </si>
  <si>
    <t>Psr aircraft scaling factor</t>
  </si>
  <si>
    <t>Frgt aircraft scaling factor</t>
  </si>
  <si>
    <t>Psrg aircraft (est.)</t>
  </si>
  <si>
    <t>Freight aircraft (est.)</t>
  </si>
  <si>
    <t>Directorate General of Civil Aviation (DGCA)</t>
  </si>
  <si>
    <t>Table 8 (aircraft), Tables 1 and 5 (psgr vs. freight)</t>
  </si>
  <si>
    <t>aircraft (count, and psgr traffic vs. freight traffic)</t>
  </si>
  <si>
    <t>See AVLo</t>
  </si>
  <si>
    <t>Vehicle Km by type of Vehicle under Chosen Scenario</t>
  </si>
  <si>
    <t>Mode</t>
  </si>
  <si>
    <t>Sub-mode</t>
  </si>
  <si>
    <t>Technology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</si>
  <si>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</si>
  <si>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</si>
  <si>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</si>
  <si>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</si>
  <si>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</si>
  <si>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</si>
  <si>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</si>
  <si>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</si>
  <si>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</si>
  <si>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</si>
  <si>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</si>
  <si>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</si>
  <si>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</si>
  <si>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Passenger</t>
  </si>
  <si>
    <t>Freight</t>
  </si>
  <si>
    <t>Passenger Vehcile Technology Shares</t>
  </si>
  <si>
    <t>Freight Vehicle Technology Shares</t>
  </si>
  <si>
    <t>Type</t>
  </si>
  <si>
    <t>HCV</t>
  </si>
  <si>
    <t>LCV</t>
  </si>
  <si>
    <t>Freight Vehcile Breakdown by Technology ("Modal Share")</t>
  </si>
  <si>
    <t>Passenger Cars</t>
  </si>
  <si>
    <t>Freight Cars</t>
  </si>
  <si>
    <t>Number of Cars per Train</t>
  </si>
  <si>
    <t>Assumption:</t>
  </si>
  <si>
    <t>Ministry of Railways Data:</t>
  </si>
  <si>
    <t>Steam locomotives</t>
  </si>
  <si>
    <t>Diesel locomotives</t>
  </si>
  <si>
    <t>Electric locomotives</t>
  </si>
  <si>
    <t>Number of Locomotives by Type:</t>
  </si>
  <si>
    <t>Passenger locomotives</t>
  </si>
  <si>
    <t>Freight locomotives</t>
  </si>
  <si>
    <t>Number of Trains that could be supplied with these cars</t>
  </si>
  <si>
    <t>Calculations</t>
  </si>
  <si>
    <t>Ministry of Railways</t>
  </si>
  <si>
    <t>Page 34, Annex 2.2</t>
  </si>
  <si>
    <t>All on-road modes (vehicle count, not by technology)</t>
  </si>
  <si>
    <t>Ministry of Road Transport and Highways</t>
  </si>
  <si>
    <t>Division of on-road modes by technology</t>
  </si>
  <si>
    <t>http://indiaenergy.gov.in/iess/docs/IESS_Version2.2.xlsx</t>
  </si>
  <si>
    <t>India Energy Security Scenarios 2047 downloadable Excel model</t>
  </si>
  <si>
    <t>NITI Aayog, Government of India</t>
  </si>
  <si>
    <t>Categories: all other categories</t>
  </si>
  <si>
    <t>Totals</t>
  </si>
  <si>
    <t>Frgt HDV</t>
  </si>
  <si>
    <t>Frgt LDV</t>
  </si>
  <si>
    <t>Frgt Mtrbk</t>
  </si>
  <si>
    <t>Psgr HDV</t>
  </si>
  <si>
    <t>Psgr LDV</t>
  </si>
  <si>
    <t>Number from table</t>
  </si>
  <si>
    <t>EPS Classification</t>
  </si>
  <si>
    <t>not used</t>
  </si>
  <si>
    <t>Psgr Mtrbk</t>
  </si>
  <si>
    <t>taxis</t>
  </si>
  <si>
    <t>buses</t>
  </si>
  <si>
    <t>psgr rickshaws</t>
  </si>
  <si>
    <t>frgt rickshaws</t>
  </si>
  <si>
    <t>light truck</t>
  </si>
  <si>
    <t>heavy 2-axle truck</t>
  </si>
  <si>
    <t>heavy 3+ axle truck</t>
  </si>
  <si>
    <t>hired 2-whl mtrbks</t>
  </si>
  <si>
    <t>2-whl motorbikes</t>
  </si>
  <si>
    <t>cars</t>
  </si>
  <si>
    <t>omnibuses</t>
  </si>
  <si>
    <t>Number of Vehicles</t>
  </si>
  <si>
    <t>LPG vehicle</t>
  </si>
  <si>
    <t>hydrogen vehicle</t>
  </si>
  <si>
    <t>total</t>
  </si>
  <si>
    <t>Railway Year Book 2017-18</t>
  </si>
  <si>
    <t>http://www.indianrailways.gov.in/railwayboard/uploads/directorate/stat_econ/pdf_annual_report/Railway%20Year%20Book_2017_18.pdf</t>
  </si>
  <si>
    <t>Page 3, Key Statistics; P4, Other important statistics</t>
  </si>
  <si>
    <t>http://www.dgca.nic.in/pub/HANDBOOK%202017-18/HANDBOOK%202017-18.pdf</t>
  </si>
  <si>
    <t xml:space="preserve">Vehicle Loading </t>
  </si>
  <si>
    <t>(passengers)</t>
  </si>
  <si>
    <t>(tons)</t>
  </si>
  <si>
    <t>Rail</t>
  </si>
  <si>
    <t>Aircraft Statistics - 2018</t>
  </si>
  <si>
    <t>Ministry of Railways Data (2018):</t>
  </si>
  <si>
    <t>Total Fleet (Passenger + Freight)</t>
  </si>
  <si>
    <t>Total Passengers</t>
  </si>
  <si>
    <t>(Domestic &amp; Intnl.)</t>
  </si>
  <si>
    <t>(excluded)</t>
  </si>
  <si>
    <t>Passenger Vehicle Breakdown by Technology (Vehicle KM)</t>
  </si>
  <si>
    <t>Source: IESS</t>
  </si>
  <si>
    <t>Rail Fleet Breakdown by Technology (Vehicle KM)</t>
  </si>
  <si>
    <t>RAIL</t>
  </si>
  <si>
    <t>RAIL-Passenger</t>
  </si>
  <si>
    <t>RAIL-frieght</t>
  </si>
  <si>
    <t>Passenger electric rail</t>
  </si>
  <si>
    <t>Passenger diesel rail</t>
  </si>
  <si>
    <t>Freight diesel rail</t>
  </si>
  <si>
    <t>Freight electric rail</t>
  </si>
  <si>
    <t>Tabs XIIa and XIIb (Table 12.1)</t>
  </si>
  <si>
    <t xml:space="preserve">   SHIPPING</t>
  </si>
  <si>
    <t xml:space="preserve"> Table 22.1 - STRENGTH OF INDIAN MERCHANT SHIPPING FLEET</t>
  </si>
  <si>
    <t xml:space="preserve">  (As on 31st December)</t>
  </si>
  <si>
    <t xml:space="preserve"> </t>
  </si>
  <si>
    <t>Year</t>
  </si>
  <si>
    <t>Item</t>
  </si>
  <si>
    <t xml:space="preserve">                  Coastal Shipping</t>
  </si>
  <si>
    <t xml:space="preserve">                  Overseas  Shipping</t>
  </si>
  <si>
    <t>Total</t>
  </si>
  <si>
    <t>Type of Vessels</t>
  </si>
  <si>
    <r>
      <t xml:space="preserve">Dry Cargo Liner </t>
    </r>
    <r>
      <rPr>
        <b/>
        <vertAlign val="superscript"/>
        <sz val="10"/>
        <rFont val="Times New Roman"/>
        <family val="1"/>
      </rPr>
      <t>(1)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</si>
  <si>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(2)</t>
    </r>
  </si>
  <si>
    <r>
      <t>Oil Tanker</t>
    </r>
    <r>
      <rPr>
        <b/>
        <vertAlign val="superscript"/>
        <sz val="10"/>
        <rFont val="Times New Roman"/>
        <family val="1"/>
      </rPr>
      <t xml:space="preserve"> (3)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</si>
  <si>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(4)</t>
    </r>
  </si>
  <si>
    <t>Off-shore Supply</t>
  </si>
  <si>
    <r>
      <t xml:space="preserve">Specialised for Off-shore Services </t>
    </r>
    <r>
      <rPr>
        <b/>
        <vertAlign val="superscript"/>
        <sz val="10"/>
        <rFont val="Times New Roman"/>
        <family val="1"/>
      </rPr>
      <t>(5)</t>
    </r>
  </si>
  <si>
    <t>Timber Carrier</t>
  </si>
  <si>
    <r>
      <t xml:space="preserve">Dry Cargo Liner </t>
    </r>
    <r>
      <rPr>
        <b/>
        <vertAlign val="superscript"/>
        <sz val="10"/>
        <rFont val="Times New Roman"/>
        <family val="1"/>
      </rPr>
      <t>(6)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</si>
  <si>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(7)</t>
    </r>
  </si>
  <si>
    <r>
      <t>Oil Tanker</t>
    </r>
    <r>
      <rPr>
        <b/>
        <vertAlign val="superscript"/>
        <sz val="10"/>
        <rFont val="Times New Roman"/>
        <family val="1"/>
      </rPr>
      <t xml:space="preserve"> (8)</t>
    </r>
  </si>
  <si>
    <r>
      <t xml:space="preserve">Ore/Oil Bulk Carrier </t>
    </r>
    <r>
      <rPr>
        <b/>
        <vertAlign val="superscript"/>
        <sz val="10"/>
        <rFont val="Times New Roman"/>
        <family val="1"/>
      </rPr>
      <t>(9)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</si>
  <si>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(10)</t>
    </r>
  </si>
  <si>
    <t>No. Of Vessels</t>
  </si>
  <si>
    <t>-</t>
  </si>
  <si>
    <t>Categories: Passenger cum cargo</t>
  </si>
  <si>
    <t>Number of Ships (2016 - latest year available)*</t>
  </si>
  <si>
    <t>*Includes both coastal and overseas</t>
  </si>
  <si>
    <t>Ministry of Shipping/Ministry of Statistics &amp; Programme Implementation</t>
  </si>
  <si>
    <t>SHIPPING - Statistical Year Book India 2018</t>
  </si>
  <si>
    <t>http://www.mospi.gov.in/statistical-year-book-india/2018/191</t>
  </si>
  <si>
    <t>Sr. No 22.1 - Strength of Indian Merchant Shipping Fleet</t>
  </si>
  <si>
    <t>We assume maritime heavy fuel oil to be closest to diesel, and apportion ships to diesel technology type.</t>
  </si>
  <si>
    <t>We assume jet fuel to be most similar to diesel, and apportion aircrafts to diesel technology type.</t>
  </si>
  <si>
    <t>Handbook of Civil Aviation Statistics 2017-18</t>
  </si>
  <si>
    <t xml:space="preserve">Notes: </t>
  </si>
  <si>
    <t>Fleet sizes for each vehicle type are updated for latest available sources in govt. sources.</t>
  </si>
  <si>
    <t xml:space="preserve">The govt. reports don't give a breakdown of the vehicle fleet by technology type, so </t>
  </si>
  <si>
    <t>and applied to the base year fleet of each vehicle type to disaggregate by technology.</t>
  </si>
  <si>
    <t>There are no hydrogen technology vehicle types for the base year, and values are zero.</t>
  </si>
  <si>
    <t xml:space="preserve">we use IESS Level 2 (BAU) trajectory values on "Vehicle Km by type of Vehicle" to determine </t>
  </si>
  <si>
    <t xml:space="preserve">the ratios for various technologies like diesel, electric, CNG etc. The ratios are for year 2017, </t>
  </si>
  <si>
    <t>mile</t>
  </si>
  <si>
    <t>km</t>
  </si>
  <si>
    <t>Passenger ships- Canada model; Freight shipes - US model, Freight aircraft - IESS v2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</si>
  <si>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model does not include passenger &amp; freight ships, and freight aircraft for which following sources are used:</t>
    </r>
  </si>
  <si>
    <t>BAADTbVT-
freight</t>
  </si>
  <si>
    <t>BAADTbVT-
passengers</t>
  </si>
  <si>
    <t>BAADTbVT-freight</t>
  </si>
  <si>
    <t>BAADTbVT-passengers</t>
  </si>
  <si>
    <t>vehicle - miles</t>
  </si>
  <si>
    <t>vehicle - kms</t>
  </si>
  <si>
    <t>ICCT reports two types of freight HDVs - they are combined together in the same EPS category.</t>
  </si>
  <si>
    <t>passenger: aricraft, HDVs, rail; freight: rail, LDVs, HDVs.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</si>
  <si>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vehicle types are mapped to EPS vehice types. AVLo is used for estimating vehicle distance traveled for the following vehicle types:</t>
    </r>
  </si>
  <si>
    <t>hence we use the corresponding values from variable trans/SYVbT for these vehicle types.</t>
  </si>
  <si>
    <t>In case of passenger aircraft, freight and passenger rail, ICCT does not report stock &amp; sales numbers,</t>
  </si>
  <si>
    <t>Vehicle fleet for most types is assumed to be the sum of stock (at beginning of year) + sales (during the year).</t>
  </si>
  <si>
    <t>Stock+sales_million</t>
  </si>
  <si>
    <t>Combined freight HDVs</t>
  </si>
  <si>
    <r>
      <t xml:space="preserve">Note: </t>
    </r>
    <r>
      <rPr>
        <i/>
        <sz val="10.5"/>
        <color theme="1"/>
        <rFont val="Calibri"/>
        <family val="2"/>
        <scheme val="minor"/>
      </rPr>
      <t>ICCT model results are interpolated between 2015-2020 to estimate 2017 values</t>
    </r>
    <r>
      <rPr>
        <b/>
        <i/>
        <sz val="10.5"/>
        <color theme="1"/>
        <rFont val="Calibri"/>
        <family val="2"/>
        <scheme val="minor"/>
      </rPr>
      <t>.</t>
    </r>
  </si>
  <si>
    <t>n/a</t>
  </si>
  <si>
    <t>passenger rail</t>
  </si>
  <si>
    <t>Passenger Rail</t>
  </si>
  <si>
    <t>nos.</t>
  </si>
  <si>
    <t>Million</t>
  </si>
  <si>
    <t>freight HDVs</t>
  </si>
  <si>
    <t>MHDT_HHDT</t>
  </si>
  <si>
    <t>freight LDVs</t>
  </si>
  <si>
    <t>LHDT</t>
  </si>
  <si>
    <t>passenger LDVs</t>
  </si>
  <si>
    <t>LDV</t>
  </si>
  <si>
    <t>Unit</t>
  </si>
  <si>
    <t>Interpolated Stock+Sales</t>
  </si>
  <si>
    <t>freight rail</t>
  </si>
  <si>
    <t>Freight Rail</t>
  </si>
  <si>
    <t>passenger HDVs</t>
  </si>
  <si>
    <t>Bus</t>
  </si>
  <si>
    <t>passenger aircraft</t>
  </si>
  <si>
    <t>Aviation</t>
  </si>
  <si>
    <t>freight motorbikes</t>
  </si>
  <si>
    <t>2W_3W</t>
  </si>
  <si>
    <t>passenger motorbikes</t>
  </si>
  <si>
    <t>Interpolated VKT/TKM/PKM</t>
  </si>
  <si>
    <t>Stock + 
Sales_million</t>
  </si>
  <si>
    <t>AVLo</t>
  </si>
  <si>
    <t>EPS Vehicle Type</t>
  </si>
  <si>
    <t>PKM_billion</t>
  </si>
  <si>
    <t>TKM_billion</t>
  </si>
  <si>
    <t>VKT_billion</t>
  </si>
  <si>
    <t>ICCT model results - 2015 to 2020</t>
  </si>
  <si>
    <t>Vehicle loading</t>
  </si>
  <si>
    <t>The International Council on Clean Transportation</t>
  </si>
  <si>
    <t>Roadmap Model baseline results (August 2017)</t>
  </si>
  <si>
    <t>https://theicct.org/transportation-roadmap</t>
  </si>
  <si>
    <t>Filter by column "Roadmap_Region" = India</t>
  </si>
  <si>
    <t>Interpolations (2015-20) for estimating 2018 values</t>
  </si>
  <si>
    <t xml:space="preserve">2018 - BAADTbVT </t>
  </si>
  <si>
    <t>2018 Values</t>
  </si>
  <si>
    <t>Correction factor for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</si>
</sst>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###0.00_)"/>
    <numFmt numFmtId="168" formatCode="#,##0_)"/>
    <numFmt numFmtId="169" formatCode="0.0%"/>
    <numFmt numFmtId="170" formatCode="#,##0_);\(#,##0\);&quot;-&quot;_);@"/>
    <numFmt numFmtId="171" formatCode="0.00000"/>
    <numFmt numFmtId="172" formatCode="0.0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9" tint="0.79998168889431442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sz val="10"/>
      <name val="Calibri"/>
      <family val="1"/>
      <scheme val="minor"/>
    </font>
    <font>
      <sz val="10"/>
      <color theme="1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165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17" fillId="0" borderId="6" applyNumberFormat="0" applyFill="0">
      <alignment horizontal="right"/>
    </xf>
    <xf numFmtId="168" fontId="18" fillId="0" borderId="6">
      <alignment horizontal="right" vertical="center"/>
    </xf>
    <xf numFmtId="49" fontId="19" fillId="0" borderId="6">
      <alignment horizontal="left" vertical="center"/>
    </xf>
    <xf numFmtId="167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7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44" fillId="0" borderId="0" applyFont="0" applyFill="0" applyBorder="0" applyAlignment="0" applyProtection="0"/>
  </cellStyleXfs>
  <cellXfs count="19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37" fillId="0" borderId="0" xfId="140" applyAlignment="1">
      <alignment horizontal="left"/>
    </xf>
    <xf numFmtId="0" fontId="1" fillId="28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169" fontId="0" fillId="0" borderId="0" xfId="142" applyNumberFormat="1" applyFont="1"/>
    <xf numFmtId="0" fontId="38" fillId="0" borderId="0" xfId="0" applyFont="1"/>
    <xf numFmtId="0" fontId="39" fillId="29" borderId="0" xfId="0" applyNumberFormat="1" applyFont="1" applyFill="1" applyBorder="1" applyAlignment="1">
      <alignment vertical="center"/>
    </xf>
    <xf numFmtId="0" fontId="0" fillId="29" borderId="0" xfId="0" applyFill="1" applyBorder="1" applyAlignment="1">
      <alignment vertical="center"/>
    </xf>
    <xf numFmtId="9" fontId="0" fillId="29" borderId="0" xfId="0" applyNumberForma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0" fontId="0" fillId="29" borderId="0" xfId="0" applyFill="1"/>
    <xf numFmtId="0" fontId="41" fillId="29" borderId="18" xfId="0" applyFont="1" applyFill="1" applyBorder="1" applyAlignment="1">
      <alignment vertical="center"/>
    </xf>
    <xf numFmtId="0" fontId="42" fillId="29" borderId="18" xfId="0" applyNumberFormat="1" applyFont="1" applyFill="1" applyBorder="1" applyAlignment="1">
      <alignment horizontal="right" vertical="center"/>
    </xf>
    <xf numFmtId="0" fontId="41" fillId="29" borderId="19" xfId="0" applyNumberFormat="1" applyFont="1" applyFill="1" applyBorder="1" applyAlignment="1">
      <alignment horizontal="right" vertical="center"/>
    </xf>
    <xf numFmtId="0" fontId="0" fillId="29" borderId="0" xfId="0" applyNumberFormat="1" applyFill="1" applyBorder="1" applyAlignment="1">
      <alignment vertical="center"/>
    </xf>
    <xf numFmtId="2" fontId="40" fillId="29" borderId="0" xfId="0" applyNumberFormat="1" applyFont="1" applyFill="1" applyBorder="1"/>
    <xf numFmtId="2" fontId="0" fillId="29" borderId="0" xfId="0" applyNumberFormat="1" applyFill="1" applyBorder="1"/>
    <xf numFmtId="170" fontId="43" fillId="29" borderId="0" xfId="141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10" fontId="0" fillId="0" borderId="0" xfId="142" applyNumberFormat="1" applyFont="1"/>
    <xf numFmtId="2" fontId="0" fillId="30" borderId="0" xfId="0" applyNumberFormat="1" applyFill="1" applyBorder="1"/>
    <xf numFmtId="9" fontId="40" fillId="29" borderId="0" xfId="143" applyNumberFormat="1" applyFont="1" applyFill="1" applyBorder="1" applyAlignment="1">
      <alignment vertical="center"/>
    </xf>
    <xf numFmtId="169" fontId="43" fillId="29" borderId="0" xfId="143" applyNumberFormat="1" applyFont="1" applyFill="1" applyBorder="1" applyAlignment="1">
      <alignment vertical="center"/>
    </xf>
    <xf numFmtId="169" fontId="43" fillId="29" borderId="0" xfId="143" applyNumberFormat="1" applyFont="1" applyFill="1" applyBorder="1" applyAlignment="1">
      <alignment horizontal="right" vertical="center"/>
    </xf>
    <xf numFmtId="0" fontId="0" fillId="31" borderId="0" xfId="0" applyFill="1"/>
    <xf numFmtId="0" fontId="0" fillId="32" borderId="0" xfId="0" applyFill="1"/>
    <xf numFmtId="0" fontId="1" fillId="32" borderId="0" xfId="0" applyFont="1" applyFill="1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Alignment="1">
      <alignment wrapText="1"/>
    </xf>
    <xf numFmtId="0" fontId="37" fillId="0" borderId="0" xfId="140" applyAlignment="1">
      <alignment horizontal="left" wrapText="1"/>
    </xf>
    <xf numFmtId="0" fontId="1" fillId="0" borderId="0" xfId="0" applyFont="1" applyFill="1"/>
    <xf numFmtId="0" fontId="1" fillId="0" borderId="0" xfId="0" applyNumberFormat="1" applyFont="1"/>
    <xf numFmtId="171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9" borderId="20" xfId="0" applyNumberFormat="1" applyFill="1" applyBorder="1" applyAlignment="1">
      <alignment vertical="center"/>
    </xf>
    <xf numFmtId="0" fontId="0" fillId="29" borderId="20" xfId="0" applyFill="1" applyBorder="1" applyAlignment="1">
      <alignment vertical="center"/>
    </xf>
    <xf numFmtId="9" fontId="0" fillId="29" borderId="20" xfId="0" applyNumberFormat="1" applyFill="1" applyBorder="1" applyAlignment="1">
      <alignment vertical="center"/>
    </xf>
    <xf numFmtId="0" fontId="0" fillId="29" borderId="21" xfId="0" applyNumberFormat="1" applyFill="1" applyBorder="1" applyAlignment="1">
      <alignment vertical="center"/>
    </xf>
    <xf numFmtId="9" fontId="0" fillId="29" borderId="21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33" borderId="22" xfId="0" applyFill="1" applyBorder="1"/>
    <xf numFmtId="0" fontId="45" fillId="33" borderId="23" xfId="0" applyFont="1" applyFill="1" applyBorder="1" applyAlignment="1" applyProtection="1">
      <alignment horizontal="left"/>
    </xf>
    <xf numFmtId="0" fontId="45" fillId="33" borderId="23" xfId="0" applyFont="1" applyFill="1" applyBorder="1"/>
    <xf numFmtId="0" fontId="45" fillId="33" borderId="22" xfId="0" applyFont="1" applyFill="1" applyBorder="1" applyAlignment="1" applyProtection="1">
      <alignment horizontal="left"/>
    </xf>
    <xf numFmtId="0" fontId="45" fillId="33" borderId="24" xfId="0" applyFont="1" applyFill="1" applyBorder="1"/>
    <xf numFmtId="0" fontId="0" fillId="33" borderId="25" xfId="0" applyFill="1" applyBorder="1"/>
    <xf numFmtId="0" fontId="46" fillId="33" borderId="0" xfId="0" applyFont="1" applyFill="1" applyBorder="1" applyAlignment="1" applyProtection="1"/>
    <xf numFmtId="0" fontId="46" fillId="33" borderId="25" xfId="0" applyFont="1" applyFill="1" applyBorder="1" applyAlignment="1" applyProtection="1"/>
    <xf numFmtId="0" fontId="46" fillId="33" borderId="26" xfId="0" applyFont="1" applyFill="1" applyBorder="1" applyAlignment="1" applyProtection="1"/>
    <xf numFmtId="0" fontId="46" fillId="33" borderId="0" xfId="0" applyFont="1" applyFill="1" applyBorder="1" applyAlignment="1" applyProtection="1">
      <alignment horizontal="center"/>
    </xf>
    <xf numFmtId="0" fontId="46" fillId="33" borderId="0" xfId="0" applyFont="1" applyFill="1" applyBorder="1" applyAlignment="1">
      <alignment horizontal="center"/>
    </xf>
    <xf numFmtId="0" fontId="0" fillId="33" borderId="0" xfId="0" applyFill="1" applyBorder="1"/>
    <xf numFmtId="0" fontId="46" fillId="33" borderId="25" xfId="0" applyFont="1" applyFill="1" applyBorder="1" applyAlignment="1" applyProtection="1">
      <alignment horizontal="center"/>
    </xf>
    <xf numFmtId="0" fontId="46" fillId="33" borderId="26" xfId="0" applyFont="1" applyFill="1" applyBorder="1" applyAlignment="1">
      <alignment horizontal="center"/>
    </xf>
    <xf numFmtId="0" fontId="47" fillId="33" borderId="0" xfId="0" applyFont="1" applyFill="1" applyBorder="1" applyAlignment="1" applyProtection="1"/>
    <xf numFmtId="0" fontId="47" fillId="33" borderId="25" xfId="0" applyFont="1" applyFill="1" applyBorder="1" applyAlignment="1" applyProtection="1"/>
    <xf numFmtId="0" fontId="47" fillId="33" borderId="26" xfId="0" applyFont="1" applyFill="1" applyBorder="1" applyAlignment="1" applyProtection="1"/>
    <xf numFmtId="0" fontId="0" fillId="33" borderId="27" xfId="0" applyFill="1" applyBorder="1"/>
    <xf numFmtId="0" fontId="48" fillId="33" borderId="28" xfId="0" applyFont="1" applyFill="1" applyBorder="1" applyAlignment="1" applyProtection="1">
      <alignment horizontal="left"/>
    </xf>
    <xf numFmtId="0" fontId="48" fillId="33" borderId="28" xfId="0" applyFont="1" applyFill="1" applyBorder="1"/>
    <xf numFmtId="0" fontId="48" fillId="33" borderId="27" xfId="0" applyFont="1" applyFill="1" applyBorder="1" applyAlignment="1" applyProtection="1">
      <alignment horizontal="left"/>
    </xf>
    <xf numFmtId="0" fontId="48" fillId="33" borderId="26" xfId="0" applyFont="1" applyFill="1" applyBorder="1"/>
    <xf numFmtId="0" fontId="49" fillId="33" borderId="37" xfId="0" applyFont="1" applyFill="1" applyBorder="1" applyAlignment="1">
      <alignment horizontal="center" vertical="top"/>
    </xf>
    <xf numFmtId="0" fontId="49" fillId="33" borderId="30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>
      <alignment horizontal="center" vertical="top"/>
    </xf>
    <xf numFmtId="0" fontId="49" fillId="33" borderId="35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/>
    </xf>
    <xf numFmtId="0" fontId="49" fillId="33" borderId="40" xfId="0" quotePrefix="1" applyFont="1" applyFill="1" applyBorder="1" applyAlignment="1" applyProtection="1">
      <alignment horizontal="center" vertical="top"/>
    </xf>
    <xf numFmtId="0" fontId="49" fillId="33" borderId="39" xfId="0" applyFont="1" applyFill="1" applyBorder="1" applyAlignment="1">
      <alignment horizontal="center" vertical="top" wrapText="1"/>
    </xf>
    <xf numFmtId="0" fontId="49" fillId="33" borderId="39" xfId="0" quotePrefix="1" applyFont="1" applyFill="1" applyBorder="1" applyAlignment="1" applyProtection="1">
      <alignment horizontal="center" vertical="top"/>
    </xf>
    <xf numFmtId="0" fontId="49" fillId="33" borderId="42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top" wrapText="1"/>
    </xf>
    <xf numFmtId="0" fontId="49" fillId="33" borderId="43" xfId="0" applyFont="1" applyFill="1" applyBorder="1" applyAlignment="1" applyProtection="1">
      <alignment horizontal="center" vertical="top" wrapText="1"/>
    </xf>
    <xf numFmtId="0" fontId="49" fillId="33" borderId="43" xfId="0" quotePrefix="1" applyFont="1" applyFill="1" applyBorder="1" applyAlignment="1" applyProtection="1">
      <alignment horizontal="center" vertical="top"/>
    </xf>
    <xf numFmtId="0" fontId="49" fillId="33" borderId="44" xfId="0" applyFont="1" applyFill="1" applyBorder="1" applyAlignment="1" applyProtection="1">
      <alignment horizontal="center" vertical="center"/>
    </xf>
    <xf numFmtId="0" fontId="49" fillId="33" borderId="25" xfId="0" applyFont="1" applyFill="1" applyBorder="1" applyAlignment="1">
      <alignment horizontal="center"/>
    </xf>
    <xf numFmtId="0" fontId="49" fillId="33" borderId="0" xfId="0" applyFont="1" applyFill="1" applyBorder="1"/>
    <xf numFmtId="49" fontId="48" fillId="34" borderId="32" xfId="0" applyNumberFormat="1" applyFont="1" applyFill="1" applyBorder="1" applyAlignment="1" applyProtection="1">
      <alignment horizontal="right"/>
    </xf>
    <xf numFmtId="49" fontId="48" fillId="34" borderId="33" xfId="0" applyNumberFormat="1" applyFont="1" applyFill="1" applyBorder="1" applyAlignment="1" applyProtection="1">
      <alignment horizontal="right"/>
    </xf>
    <xf numFmtId="49" fontId="48" fillId="34" borderId="44" xfId="0" applyNumberFormat="1" applyFont="1" applyFill="1" applyBorder="1" applyAlignment="1" applyProtection="1">
      <alignment horizontal="right"/>
    </xf>
    <xf numFmtId="49" fontId="0" fillId="0" borderId="0" xfId="0" applyNumberFormat="1"/>
    <xf numFmtId="3" fontId="0" fillId="0" borderId="0" xfId="0" applyNumberFormat="1" applyFill="1"/>
    <xf numFmtId="0" fontId="51" fillId="0" borderId="0" xfId="0" applyFont="1"/>
    <xf numFmtId="0" fontId="51" fillId="31" borderId="0" xfId="0" applyFont="1" applyFill="1"/>
    <xf numFmtId="0" fontId="52" fillId="0" borderId="0" xfId="0" applyFont="1"/>
    <xf numFmtId="1" fontId="51" fillId="35" borderId="39" xfId="0" applyNumberFormat="1" applyFont="1" applyFill="1" applyBorder="1"/>
    <xf numFmtId="1" fontId="51" fillId="0" borderId="39" xfId="0" applyNumberFormat="1" applyFont="1" applyBorder="1"/>
    <xf numFmtId="1" fontId="51" fillId="0" borderId="45" xfId="0" applyNumberFormat="1" applyFont="1" applyBorder="1"/>
    <xf numFmtId="0" fontId="51" fillId="0" borderId="39" xfId="0" applyFont="1" applyBorder="1" applyAlignment="1"/>
    <xf numFmtId="1" fontId="51" fillId="35" borderId="35" xfId="0" applyNumberFormat="1" applyFont="1" applyFill="1" applyBorder="1"/>
    <xf numFmtId="1" fontId="51" fillId="0" borderId="35" xfId="0" applyNumberFormat="1" applyFont="1" applyBorder="1"/>
    <xf numFmtId="1" fontId="51" fillId="0" borderId="0" xfId="0" applyNumberFormat="1" applyFont="1" applyBorder="1"/>
    <xf numFmtId="0" fontId="51" fillId="0" borderId="35" xfId="0" applyFont="1" applyBorder="1" applyAlignment="1"/>
    <xf numFmtId="0" fontId="0" fillId="0" borderId="0" xfId="0" applyAlignment="1"/>
    <xf numFmtId="1" fontId="51" fillId="35" borderId="30" xfId="0" applyNumberFormat="1" applyFont="1" applyFill="1" applyBorder="1"/>
    <xf numFmtId="0" fontId="54" fillId="0" borderId="43" xfId="0" applyFont="1" applyBorder="1" applyAlignment="1">
      <alignment wrapText="1"/>
    </xf>
    <xf numFmtId="0" fontId="54" fillId="0" borderId="32" xfId="0" applyFont="1" applyBorder="1" applyAlignment="1">
      <alignment wrapText="1"/>
    </xf>
    <xf numFmtId="0" fontId="54" fillId="0" borderId="43" xfId="0" applyFont="1" applyBorder="1"/>
    <xf numFmtId="0" fontId="54" fillId="0" borderId="32" xfId="0" applyFont="1" applyBorder="1"/>
    <xf numFmtId="172" fontId="0" fillId="0" borderId="0" xfId="0" applyNumberFormat="1"/>
    <xf numFmtId="1" fontId="0" fillId="2" borderId="0" xfId="0" applyNumberFormat="1" applyFill="1"/>
    <xf numFmtId="172" fontId="51" fillId="0" borderId="40" xfId="0" applyNumberFormat="1" applyFont="1" applyBorder="1"/>
    <xf numFmtId="172" fontId="51" fillId="0" borderId="39" xfId="0" applyNumberFormat="1" applyFont="1" applyBorder="1"/>
    <xf numFmtId="0" fontId="51" fillId="0" borderId="39" xfId="0" applyFont="1" applyBorder="1"/>
    <xf numFmtId="0" fontId="51" fillId="0" borderId="45" xfId="0" applyFont="1" applyBorder="1"/>
    <xf numFmtId="0" fontId="51" fillId="0" borderId="46" xfId="0" applyFont="1" applyBorder="1"/>
    <xf numFmtId="172" fontId="51" fillId="0" borderId="37" xfId="0" applyNumberFormat="1" applyFont="1" applyBorder="1"/>
    <xf numFmtId="172" fontId="51" fillId="0" borderId="30" xfId="0" applyNumberFormat="1" applyFont="1" applyBorder="1"/>
    <xf numFmtId="0" fontId="51" fillId="0" borderId="30" xfId="0" applyFont="1" applyBorder="1"/>
    <xf numFmtId="0" fontId="51" fillId="0" borderId="20" xfId="0" applyFont="1" applyBorder="1"/>
    <xf numFmtId="1" fontId="51" fillId="0" borderId="30" xfId="0" applyNumberFormat="1" applyFont="1" applyBorder="1"/>
    <xf numFmtId="0" fontId="51" fillId="0" borderId="47" xfId="0" applyFont="1" applyBorder="1"/>
    <xf numFmtId="0" fontId="54" fillId="0" borderId="30" xfId="0" applyFont="1" applyBorder="1"/>
    <xf numFmtId="0" fontId="54" fillId="0" borderId="20" xfId="0" applyFont="1" applyBorder="1"/>
    <xf numFmtId="0" fontId="54" fillId="0" borderId="47" xfId="0" applyFont="1" applyBorder="1"/>
    <xf numFmtId="0" fontId="53" fillId="0" borderId="0" xfId="0" applyFont="1"/>
    <xf numFmtId="172" fontId="51" fillId="0" borderId="39" xfId="0" applyNumberFormat="1" applyFont="1" applyBorder="1" applyAlignment="1">
      <alignment horizontal="center"/>
    </xf>
    <xf numFmtId="0" fontId="51" fillId="0" borderId="39" xfId="0" applyFont="1" applyBorder="1" applyAlignment="1">
      <alignment horizontal="center"/>
    </xf>
    <xf numFmtId="1" fontId="51" fillId="0" borderId="39" xfId="0" applyNumberFormat="1" applyFont="1" applyBorder="1" applyAlignment="1">
      <alignment horizontal="center"/>
    </xf>
    <xf numFmtId="1" fontId="51" fillId="0" borderId="0" xfId="0" applyNumberFormat="1" applyFont="1"/>
    <xf numFmtId="1" fontId="51" fillId="0" borderId="40" xfId="0" applyNumberFormat="1" applyFont="1" applyBorder="1"/>
    <xf numFmtId="1" fontId="51" fillId="0" borderId="46" xfId="0" applyNumberFormat="1" applyFont="1" applyBorder="1"/>
    <xf numFmtId="172" fontId="51" fillId="0" borderId="35" xfId="0" applyNumberFormat="1" applyFont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1" fillId="0" borderId="35" xfId="0" applyFont="1" applyBorder="1"/>
    <xf numFmtId="1" fontId="51" fillId="0" borderId="35" xfId="0" applyNumberFormat="1" applyFont="1" applyBorder="1" applyAlignment="1">
      <alignment horizontal="center"/>
    </xf>
    <xf numFmtId="172" fontId="51" fillId="0" borderId="0" xfId="0" applyNumberFormat="1" applyFont="1" applyBorder="1"/>
    <xf numFmtId="172" fontId="51" fillId="31" borderId="0" xfId="0" applyNumberFormat="1" applyFont="1" applyFill="1" applyBorder="1"/>
    <xf numFmtId="172" fontId="51" fillId="0" borderId="48" xfId="0" applyNumberFormat="1" applyFont="1" applyBorder="1"/>
    <xf numFmtId="1" fontId="51" fillId="31" borderId="0" xfId="0" applyNumberFormat="1" applyFont="1" applyFill="1" applyBorder="1"/>
    <xf numFmtId="0" fontId="51" fillId="0" borderId="37" xfId="0" applyFont="1" applyBorder="1"/>
    <xf numFmtId="0" fontId="51" fillId="0" borderId="48" xfId="0" applyFont="1" applyBorder="1"/>
    <xf numFmtId="1" fontId="51" fillId="0" borderId="37" xfId="0" applyNumberFormat="1" applyFont="1" applyBorder="1"/>
    <xf numFmtId="1" fontId="51" fillId="0" borderId="48" xfId="0" applyNumberFormat="1" applyFont="1" applyBorder="1"/>
    <xf numFmtId="1" fontId="51" fillId="0" borderId="49" xfId="0" applyNumberFormat="1" applyFont="1" applyBorder="1"/>
    <xf numFmtId="1" fontId="51" fillId="0" borderId="20" xfId="0" applyNumberFormat="1" applyFont="1" applyBorder="1"/>
    <xf numFmtId="1" fontId="51" fillId="31" borderId="20" xfId="0" applyNumberFormat="1" applyFont="1" applyFill="1" applyBorder="1"/>
    <xf numFmtId="1" fontId="51" fillId="0" borderId="47" xfId="0" applyNumberFormat="1" applyFont="1" applyBorder="1"/>
    <xf numFmtId="0" fontId="54" fillId="0" borderId="0" xfId="0" applyFont="1"/>
    <xf numFmtId="0" fontId="54" fillId="0" borderId="33" xfId="0" applyFont="1" applyBorder="1"/>
    <xf numFmtId="0" fontId="54" fillId="31" borderId="32" xfId="0" applyFont="1" applyFill="1" applyBorder="1"/>
    <xf numFmtId="0" fontId="54" fillId="0" borderId="31" xfId="0" applyFont="1" applyBorder="1"/>
    <xf numFmtId="0" fontId="51" fillId="31" borderId="45" xfId="0" applyFont="1" applyFill="1" applyBorder="1"/>
    <xf numFmtId="0" fontId="51" fillId="0" borderId="39" xfId="0" applyFont="1" applyFill="1" applyBorder="1"/>
    <xf numFmtId="0" fontId="51" fillId="0" borderId="35" xfId="0" applyFont="1" applyFill="1" applyBorder="1"/>
    <xf numFmtId="172" fontId="51" fillId="0" borderId="30" xfId="0" applyNumberFormat="1" applyFont="1" applyBorder="1" applyAlignment="1">
      <alignment horizontal="center"/>
    </xf>
    <xf numFmtId="0" fontId="51" fillId="0" borderId="30" xfId="0" applyFont="1" applyBorder="1" applyAlignment="1">
      <alignment horizontal="center"/>
    </xf>
    <xf numFmtId="1" fontId="51" fillId="0" borderId="30" xfId="0" applyNumberFormat="1" applyFont="1" applyBorder="1" applyAlignment="1">
      <alignment horizontal="center"/>
    </xf>
    <xf numFmtId="0" fontId="55" fillId="0" borderId="0" xfId="0" applyFont="1"/>
    <xf numFmtId="0" fontId="54" fillId="0" borderId="32" xfId="0" applyFont="1" applyFill="1" applyBorder="1"/>
    <xf numFmtId="1" fontId="51" fillId="0" borderId="20" xfId="0" applyNumberFormat="1" applyFont="1" applyFill="1" applyBorder="1"/>
    <xf numFmtId="1" fontId="51" fillId="0" borderId="0" xfId="0" applyNumberFormat="1" applyFont="1" applyFill="1" applyBorder="1"/>
    <xf numFmtId="0" fontId="51" fillId="0" borderId="45" xfId="0" applyFont="1" applyFill="1" applyBorder="1"/>
    <xf numFmtId="172" fontId="51" fillId="0" borderId="0" xfId="0" applyNumberFormat="1" applyFont="1" applyFill="1" applyBorder="1"/>
    <xf numFmtId="1" fontId="51" fillId="31" borderId="35" xfId="0" applyNumberFormat="1" applyFont="1" applyFill="1" applyBorder="1"/>
    <xf numFmtId="1" fontId="51" fillId="31" borderId="45" xfId="0" applyNumberFormat="1" applyFont="1" applyFill="1" applyBorder="1"/>
    <xf numFmtId="0" fontId="37" fillId="0" borderId="0" xfId="140"/>
    <xf numFmtId="0" fontId="49" fillId="33" borderId="30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 wrapText="1"/>
    </xf>
    <xf numFmtId="0" fontId="49" fillId="33" borderId="39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 applyProtection="1">
      <alignment horizontal="center" vertical="top" wrapText="1"/>
    </xf>
    <xf numFmtId="0" fontId="49" fillId="33" borderId="35" xfId="0" applyFont="1" applyFill="1" applyBorder="1" applyAlignment="1" applyProtection="1">
      <alignment horizontal="center" vertical="top" wrapText="1"/>
    </xf>
    <xf numFmtId="0" fontId="49" fillId="33" borderId="39" xfId="0" applyFont="1" applyFill="1" applyBorder="1" applyAlignment="1" applyProtection="1">
      <alignment horizontal="center" vertical="top" wrapText="1"/>
    </xf>
    <xf numFmtId="0" fontId="47" fillId="33" borderId="29" xfId="0" applyFont="1" applyFill="1" applyBorder="1" applyAlignment="1">
      <alignment horizontal="center" vertical="center"/>
    </xf>
    <xf numFmtId="0" fontId="47" fillId="33" borderId="38" xfId="0" applyFont="1" applyFill="1" applyBorder="1" applyAlignment="1">
      <alignment horizontal="center" vertical="center"/>
    </xf>
    <xf numFmtId="0" fontId="47" fillId="33" borderId="30" xfId="0" applyFont="1" applyFill="1" applyBorder="1" applyAlignment="1">
      <alignment horizontal="center" vertical="center"/>
    </xf>
    <xf numFmtId="0" fontId="47" fillId="33" borderId="35" xfId="0" applyFont="1" applyFill="1" applyBorder="1" applyAlignment="1">
      <alignment horizontal="center" vertical="center"/>
    </xf>
    <xf numFmtId="0" fontId="47" fillId="33" borderId="39" xfId="0" applyFont="1" applyFill="1" applyBorder="1" applyAlignment="1">
      <alignment horizontal="center" vertical="center"/>
    </xf>
    <xf numFmtId="0" fontId="47" fillId="33" borderId="31" xfId="0" applyFont="1" applyFill="1" applyBorder="1" applyAlignment="1" applyProtection="1">
      <alignment horizontal="center"/>
    </xf>
    <xf numFmtId="0" fontId="47" fillId="33" borderId="32" xfId="0" applyFont="1" applyFill="1" applyBorder="1" applyAlignment="1" applyProtection="1">
      <alignment horizontal="center"/>
    </xf>
    <xf numFmtId="0" fontId="47" fillId="33" borderId="33" xfId="0" applyFont="1" applyFill="1" applyBorder="1" applyAlignment="1" applyProtection="1">
      <alignment horizontal="center"/>
    </xf>
    <xf numFmtId="0" fontId="47" fillId="33" borderId="34" xfId="0" applyFont="1" applyFill="1" applyBorder="1" applyAlignment="1" applyProtection="1">
      <alignment horizontal="center" vertical="center"/>
    </xf>
    <xf numFmtId="0" fontId="47" fillId="33" borderId="36" xfId="0" applyFont="1" applyFill="1" applyBorder="1" applyAlignment="1" applyProtection="1">
      <alignment horizontal="center" vertical="center"/>
    </xf>
    <xf numFmtId="0" fontId="47" fillId="33" borderId="41" xfId="0" applyFont="1" applyFill="1" applyBorder="1" applyAlignment="1" applyProtection="1">
      <alignment horizontal="center" vertical="center"/>
    </xf>
    <xf numFmtId="0" fontId="49" fillId="33" borderId="31" xfId="0" applyFont="1" applyFill="1" applyBorder="1" applyAlignment="1" applyProtection="1">
      <alignment horizontal="center"/>
    </xf>
    <xf numFmtId="0" fontId="49" fillId="33" borderId="32" xfId="0" applyFont="1" applyFill="1" applyBorder="1" applyAlignment="1" applyProtection="1">
      <alignment horizontal="center"/>
    </xf>
    <xf numFmtId="0" fontId="49" fillId="33" borderId="33" xfId="0" applyFont="1" applyFill="1" applyBorder="1" applyAlignment="1" applyProtection="1">
      <alignment horizontal="center"/>
    </xf>
    <xf numFmtId="0" fontId="52" fillId="0" borderId="31" xfId="0" applyFont="1" applyBorder="1" applyAlignment="1">
      <alignment horizontal="center"/>
    </xf>
    <xf numFmtId="0" fontId="52" fillId="0" borderId="33" xfId="0" applyFont="1" applyBorder="1" applyAlignment="1">
      <alignment horizontal="center"/>
    </xf>
  </cellXfs>
  <cellStyles count="144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" xfId="141" builtinId="3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2 4" xfId="143" xr:uid="{00000000-0005-0000-0000-000022000000}"/>
    <cellStyle name="Comma 3" xfId="46" xr:uid="{00000000-0005-0000-0000-000023000000}"/>
    <cellStyle name="Comma 4" xfId="47" xr:uid="{00000000-0005-0000-0000-000024000000}"/>
    <cellStyle name="Comma 5" xfId="48" xr:uid="{00000000-0005-0000-0000-000025000000}"/>
    <cellStyle name="Comma 6" xfId="49" xr:uid="{00000000-0005-0000-0000-000026000000}"/>
    <cellStyle name="Comma 7" xfId="50" xr:uid="{00000000-0005-0000-0000-000027000000}"/>
    <cellStyle name="Currency 2" xfId="51" xr:uid="{00000000-0005-0000-0000-000028000000}"/>
    <cellStyle name="Currency 3" xfId="52" xr:uid="{00000000-0005-0000-0000-000029000000}"/>
    <cellStyle name="Currency 3 2" xfId="53" xr:uid="{00000000-0005-0000-0000-00002A000000}"/>
    <cellStyle name="Data" xfId="54" xr:uid="{00000000-0005-0000-0000-00002B000000}"/>
    <cellStyle name="Data no deci" xfId="55" xr:uid="{00000000-0005-0000-0000-00002C000000}"/>
    <cellStyle name="Data Superscript" xfId="56" xr:uid="{00000000-0005-0000-0000-00002D000000}"/>
    <cellStyle name="Data_1-1A-Regular" xfId="57" xr:uid="{00000000-0005-0000-0000-00002E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D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" xfId="142" builtinId="5"/>
    <cellStyle name="Percent 2" xfId="118" xr:uid="{00000000-0005-0000-0000-000077000000}"/>
    <cellStyle name="Percent 2 2" xfId="119" xr:uid="{00000000-0005-0000-0000-000078000000}"/>
    <cellStyle name="Percent 3" xfId="120" xr:uid="{00000000-0005-0000-0000-000079000000}"/>
    <cellStyle name="Percent 3 2" xfId="121" xr:uid="{00000000-0005-0000-0000-00007A000000}"/>
    <cellStyle name="Source Hed" xfId="122" xr:uid="{00000000-0005-0000-0000-00007B000000}"/>
    <cellStyle name="Source Superscript" xfId="123" xr:uid="{00000000-0005-0000-0000-00007C000000}"/>
    <cellStyle name="Source Text" xfId="9" xr:uid="{00000000-0005-0000-0000-00007D000000}"/>
    <cellStyle name="State" xfId="124" xr:uid="{00000000-0005-0000-0000-00007E000000}"/>
    <cellStyle name="Superscript" xfId="125" xr:uid="{00000000-0005-0000-0000-00007F000000}"/>
    <cellStyle name="Table Data" xfId="126" xr:uid="{00000000-0005-0000-0000-000080000000}"/>
    <cellStyle name="Table Head Top" xfId="127" xr:uid="{00000000-0005-0000-0000-000081000000}"/>
    <cellStyle name="Table Hed Side" xfId="128" xr:uid="{00000000-0005-0000-0000-000082000000}"/>
    <cellStyle name="Table title" xfId="7" xr:uid="{00000000-0005-0000-0000-000083000000}"/>
    <cellStyle name="Title 2" xfId="129" xr:uid="{00000000-0005-0000-0000-000084000000}"/>
    <cellStyle name="Title Text" xfId="130" xr:uid="{00000000-0005-0000-0000-000085000000}"/>
    <cellStyle name="Title Text 1" xfId="131" xr:uid="{00000000-0005-0000-0000-000086000000}"/>
    <cellStyle name="Title Text 2" xfId="132" xr:uid="{00000000-0005-0000-0000-000087000000}"/>
    <cellStyle name="Title-1" xfId="14" xr:uid="{00000000-0005-0000-0000-000088000000}"/>
    <cellStyle name="Title-2" xfId="133" xr:uid="{00000000-0005-0000-0000-000089000000}"/>
    <cellStyle name="Title-3" xfId="134" xr:uid="{00000000-0005-0000-0000-00008A000000}"/>
    <cellStyle name="Total 2" xfId="135" xr:uid="{00000000-0005-0000-0000-00008B000000}"/>
    <cellStyle name="Warning Text 2" xfId="136" xr:uid="{00000000-0005-0000-0000-00008C000000}"/>
    <cellStyle name="Wrap" xfId="137" xr:uid="{00000000-0005-0000-0000-00008D000000}"/>
    <cellStyle name="Wrap Bold" xfId="138" xr:uid="{00000000-0005-0000-0000-00008E000000}"/>
    <cellStyle name="Wrap Title" xfId="139" xr:uid="{00000000-0005-0000-0000-00008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6</xdr:col>
      <xdr:colOff>526213</xdr:colOff>
      <xdr:row>39</xdr:row>
      <xdr:rowOff>130169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991533" cy="72548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ept\AppData\Local\Microsoft\Windows\INetCache\Content.Outlook\7NT1W3G9\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gca.nic.in/pub/HANDBOOK%202017-18/HANDBOOK%202017-18.pdf" TargetMode="External"/><Relationship Id="rId2" Type="http://schemas.openxmlformats.org/officeDocument/2006/relationships/hyperlink" Target="http://www.indianrailways.gov.in/railwayboard/uploads/directorate/stat_econ/pdf_annual_report/Railway%20Year%20Book_2017_18.pdf" TargetMode="External"/><Relationship Id="rId1" Type="http://schemas.openxmlformats.org/officeDocument/2006/relationships/hyperlink" Target="http://morth.nic.in/showfile.asp?lid=314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K4" sqref="K4"/>
    </sheetView>
  </sheetViews>
  <sheetFormatPr defaultRowHeight="14.4"/>
  <cols>
    <col min="2" max="2" width="73.109375" customWidth="1"/>
  </cols>
  <sheetData>
    <row r="1" spans="1:7">
      <c r="A1" s="1" t="s">
        <v>0</v>
      </c>
    </row>
    <row r="3" spans="1:7">
      <c r="A3" s="1" t="s">
        <v>1</v>
      </c>
      <c r="B3" s="2" t="s">
        <v>68</v>
      </c>
      <c r="D3" s="2" t="s">
        <v>223</v>
      </c>
      <c r="E3" s="4"/>
      <c r="F3" s="4"/>
      <c r="G3" s="4"/>
    </row>
    <row r="4" spans="1:7">
      <c r="B4" t="s">
        <v>69</v>
      </c>
      <c r="D4" t="s">
        <v>216</v>
      </c>
    </row>
    <row r="5" spans="1:7">
      <c r="B5" s="3">
        <v>2016</v>
      </c>
      <c r="D5" s="3">
        <v>2017</v>
      </c>
    </row>
    <row r="6" spans="1:7">
      <c r="B6" t="s">
        <v>2</v>
      </c>
      <c r="D6" t="s">
        <v>217</v>
      </c>
    </row>
    <row r="7" spans="1:7">
      <c r="B7" s="8" t="s">
        <v>3</v>
      </c>
      <c r="D7" s="8" t="s">
        <v>218</v>
      </c>
    </row>
    <row r="8" spans="1:7">
      <c r="B8" t="s">
        <v>67</v>
      </c>
      <c r="D8" t="s">
        <v>219</v>
      </c>
    </row>
    <row r="9" spans="1:7" s="10" customFormat="1">
      <c r="B9" s="11"/>
    </row>
    <row r="10" spans="1:7">
      <c r="B10" s="2" t="s">
        <v>70</v>
      </c>
    </row>
    <row r="11" spans="1:7">
      <c r="B11" t="s">
        <v>73</v>
      </c>
    </row>
    <row r="12" spans="1:7">
      <c r="B12" s="3">
        <v>2015</v>
      </c>
    </row>
    <row r="13" spans="1:7">
      <c r="B13" t="s">
        <v>72</v>
      </c>
    </row>
    <row r="14" spans="1:7">
      <c r="B14" t="s">
        <v>71</v>
      </c>
    </row>
    <row r="15" spans="1:7">
      <c r="B15" t="s">
        <v>124</v>
      </c>
    </row>
    <row r="17" spans="2:2">
      <c r="B17" s="2" t="s">
        <v>107</v>
      </c>
    </row>
    <row r="18" spans="2:2">
      <c r="B18" t="s">
        <v>66</v>
      </c>
    </row>
    <row r="19" spans="2:2">
      <c r="B19" s="3">
        <v>2018</v>
      </c>
    </row>
    <row r="20" spans="2:2">
      <c r="B20" t="s">
        <v>100</v>
      </c>
    </row>
    <row r="21" spans="2:2" ht="28.8">
      <c r="B21" s="38" t="s">
        <v>101</v>
      </c>
    </row>
    <row r="22" spans="2:2">
      <c r="B22" t="s">
        <v>102</v>
      </c>
    </row>
    <row r="24" spans="2:2">
      <c r="B24" s="2" t="s">
        <v>26</v>
      </c>
    </row>
    <row r="25" spans="2:2">
      <c r="B25" t="s">
        <v>24</v>
      </c>
    </row>
    <row r="26" spans="2:2">
      <c r="B26" s="3">
        <v>2018</v>
      </c>
    </row>
    <row r="27" spans="2:2">
      <c r="B27" t="s">
        <v>158</v>
      </c>
    </row>
    <row r="28" spans="2:2">
      <c r="B28" s="167" t="s">
        <v>103</v>
      </c>
    </row>
    <row r="29" spans="2:2">
      <c r="B29" t="s">
        <v>25</v>
      </c>
    </row>
    <row r="31" spans="2:2">
      <c r="B31" s="2" t="s">
        <v>215</v>
      </c>
    </row>
    <row r="32" spans="2:2">
      <c r="B32" s="13" t="s">
        <v>27</v>
      </c>
    </row>
    <row r="34" spans="1:2">
      <c r="B34" s="9" t="s">
        <v>5</v>
      </c>
    </row>
    <row r="35" spans="1:2">
      <c r="B35" t="s">
        <v>152</v>
      </c>
    </row>
    <row r="36" spans="1:2">
      <c r="B36" s="3">
        <v>2018</v>
      </c>
    </row>
    <row r="37" spans="1:2">
      <c r="A37" s="1"/>
      <c r="B37" t="s">
        <v>153</v>
      </c>
    </row>
    <row r="38" spans="1:2">
      <c r="B38" t="s">
        <v>154</v>
      </c>
    </row>
    <row r="39" spans="1:2">
      <c r="B39" t="s">
        <v>155</v>
      </c>
    </row>
    <row r="42" spans="1:2">
      <c r="A42" s="1" t="s">
        <v>159</v>
      </c>
    </row>
    <row r="43" spans="1:2">
      <c r="A43" t="s">
        <v>160</v>
      </c>
    </row>
    <row r="44" spans="1:2">
      <c r="A44" t="s">
        <v>161</v>
      </c>
    </row>
    <row r="45" spans="1:2">
      <c r="A45" t="s">
        <v>164</v>
      </c>
    </row>
    <row r="46" spans="1:2">
      <c r="A46" t="s">
        <v>165</v>
      </c>
    </row>
    <row r="47" spans="1:2">
      <c r="A47" t="s">
        <v>162</v>
      </c>
    </row>
    <row r="49" spans="1:1">
      <c r="A49" t="s">
        <v>157</v>
      </c>
    </row>
    <row r="50" spans="1:1">
      <c r="A50" t="s">
        <v>156</v>
      </c>
    </row>
    <row r="52" spans="1:1">
      <c r="A52" t="s">
        <v>163</v>
      </c>
    </row>
  </sheetData>
  <hyperlinks>
    <hyperlink ref="B7" r:id="rId1" xr:uid="{00000000-0004-0000-0000-000000000000}"/>
    <hyperlink ref="B21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workbookViewId="0">
      <selection activeCell="D3" sqref="D3"/>
    </sheetView>
  </sheetViews>
  <sheetFormatPr defaultRowHeight="14.4"/>
  <cols>
    <col min="1" max="1" width="12.5546875" customWidth="1"/>
    <col min="2" max="2" width="14.5546875" customWidth="1"/>
    <col min="8" max="8" width="10.88671875" customWidth="1"/>
  </cols>
  <sheetData>
    <row r="1" spans="1:18">
      <c r="A1" s="1" t="s">
        <v>150</v>
      </c>
    </row>
    <row r="2" spans="1:18">
      <c r="A2" t="s">
        <v>45</v>
      </c>
      <c r="B2" s="91">
        <f>F18+O18</f>
        <v>101</v>
      </c>
      <c r="C2" t="s">
        <v>149</v>
      </c>
    </row>
    <row r="3" spans="1:18">
      <c r="A3" t="s">
        <v>46</v>
      </c>
      <c r="B3" s="91">
        <f>R18-B2</f>
        <v>1200</v>
      </c>
      <c r="C3" t="s">
        <v>74</v>
      </c>
    </row>
    <row r="4" spans="1:18">
      <c r="A4" s="13" t="s">
        <v>151</v>
      </c>
    </row>
    <row r="5" spans="1:18" ht="15" thickBot="1"/>
    <row r="6" spans="1:18" ht="15.6">
      <c r="A6" s="50"/>
      <c r="B6" s="51"/>
      <c r="C6" s="51"/>
      <c r="D6" s="52"/>
      <c r="E6" s="52"/>
      <c r="F6" s="52"/>
      <c r="G6" s="52"/>
      <c r="H6" s="52"/>
      <c r="I6" s="52"/>
      <c r="J6" s="52"/>
      <c r="K6" s="53"/>
      <c r="L6" s="52"/>
      <c r="M6" s="52"/>
      <c r="N6" s="52"/>
      <c r="O6" s="52"/>
      <c r="P6" s="52"/>
      <c r="Q6" s="52"/>
      <c r="R6" s="54"/>
    </row>
    <row r="7" spans="1:18" ht="15.6">
      <c r="A7" s="55"/>
      <c r="B7" s="56"/>
      <c r="C7" s="56" t="s">
        <v>125</v>
      </c>
      <c r="D7" s="56"/>
      <c r="E7" s="56"/>
      <c r="F7" s="56"/>
      <c r="G7" s="56"/>
      <c r="H7" s="56"/>
      <c r="I7" s="56"/>
      <c r="J7" s="56"/>
      <c r="K7" s="57" t="s">
        <v>125</v>
      </c>
      <c r="L7" s="56"/>
      <c r="M7" s="56"/>
      <c r="N7" s="56"/>
      <c r="O7" s="56"/>
      <c r="P7" s="56"/>
      <c r="Q7" s="56"/>
      <c r="R7" s="58"/>
    </row>
    <row r="8" spans="1:18" ht="15.6">
      <c r="A8" s="55"/>
      <c r="B8" s="59"/>
      <c r="C8" s="59"/>
      <c r="D8" s="60"/>
      <c r="E8" s="60"/>
      <c r="F8" s="60"/>
      <c r="G8" s="60"/>
      <c r="H8" s="61"/>
      <c r="I8" s="60"/>
      <c r="J8" s="60"/>
      <c r="K8" s="62"/>
      <c r="L8" s="60"/>
      <c r="M8" s="60"/>
      <c r="N8" s="60"/>
      <c r="O8" s="60"/>
      <c r="P8" s="60"/>
      <c r="Q8" s="60"/>
      <c r="R8" s="63"/>
    </row>
    <row r="9" spans="1:18" ht="15.6">
      <c r="A9" s="55"/>
      <c r="B9" s="56"/>
      <c r="C9" s="56" t="s">
        <v>126</v>
      </c>
      <c r="D9" s="56"/>
      <c r="E9" s="56"/>
      <c r="F9" s="56"/>
      <c r="G9" s="56"/>
      <c r="H9" s="56"/>
      <c r="I9" s="56"/>
      <c r="J9" s="56"/>
      <c r="K9" s="57" t="s">
        <v>126</v>
      </c>
      <c r="L9" s="56"/>
      <c r="M9" s="56"/>
      <c r="N9" s="56"/>
      <c r="O9" s="56"/>
      <c r="P9" s="56"/>
      <c r="Q9" s="56"/>
      <c r="R9" s="58"/>
    </row>
    <row r="10" spans="1:18">
      <c r="A10" s="55"/>
      <c r="B10" s="64"/>
      <c r="C10" s="64" t="s">
        <v>127</v>
      </c>
      <c r="D10" s="64"/>
      <c r="E10" s="64"/>
      <c r="F10" s="64"/>
      <c r="G10" s="64"/>
      <c r="H10" s="64"/>
      <c r="I10" s="64"/>
      <c r="J10" s="64"/>
      <c r="K10" s="65" t="s">
        <v>127</v>
      </c>
      <c r="L10" s="64"/>
      <c r="M10" s="64"/>
      <c r="N10" s="64"/>
      <c r="O10" s="64"/>
      <c r="P10" s="64"/>
      <c r="Q10" s="64"/>
      <c r="R10" s="66"/>
    </row>
    <row r="11" spans="1:18">
      <c r="A11" s="67"/>
      <c r="B11" s="68"/>
      <c r="C11" s="68" t="s">
        <v>128</v>
      </c>
      <c r="D11" s="69"/>
      <c r="E11" s="69"/>
      <c r="F11" s="69"/>
      <c r="G11" s="69"/>
      <c r="H11" s="69"/>
      <c r="I11" s="69"/>
      <c r="J11" s="69"/>
      <c r="K11" s="70" t="s">
        <v>128</v>
      </c>
      <c r="L11" s="69"/>
      <c r="M11" s="69"/>
      <c r="N11" s="69"/>
      <c r="O11" s="69"/>
      <c r="P11" s="69"/>
      <c r="Q11" s="69"/>
      <c r="R11" s="71"/>
    </row>
    <row r="12" spans="1:18">
      <c r="A12" s="174" t="s">
        <v>129</v>
      </c>
      <c r="B12" s="176" t="s">
        <v>130</v>
      </c>
      <c r="C12" s="179" t="s">
        <v>131</v>
      </c>
      <c r="D12" s="180"/>
      <c r="E12" s="180"/>
      <c r="F12" s="180"/>
      <c r="G12" s="180"/>
      <c r="H12" s="180"/>
      <c r="I12" s="180"/>
      <c r="J12" s="181"/>
      <c r="K12" s="179" t="s">
        <v>132</v>
      </c>
      <c r="L12" s="180"/>
      <c r="M12" s="180"/>
      <c r="N12" s="180"/>
      <c r="O12" s="180"/>
      <c r="P12" s="180"/>
      <c r="Q12" s="181"/>
      <c r="R12" s="182" t="s">
        <v>133</v>
      </c>
    </row>
    <row r="13" spans="1:18">
      <c r="A13" s="174"/>
      <c r="B13" s="177"/>
      <c r="C13" s="185" t="s">
        <v>134</v>
      </c>
      <c r="D13" s="186"/>
      <c r="E13" s="186"/>
      <c r="F13" s="186"/>
      <c r="G13" s="186"/>
      <c r="H13" s="186"/>
      <c r="I13" s="186"/>
      <c r="J13" s="187"/>
      <c r="K13" s="185" t="s">
        <v>134</v>
      </c>
      <c r="L13" s="186"/>
      <c r="M13" s="186"/>
      <c r="N13" s="186"/>
      <c r="O13" s="186"/>
      <c r="P13" s="186"/>
      <c r="Q13" s="187"/>
      <c r="R13" s="183"/>
    </row>
    <row r="14" spans="1:18" ht="26.4">
      <c r="A14" s="174"/>
      <c r="B14" s="177"/>
      <c r="C14" s="168" t="s">
        <v>135</v>
      </c>
      <c r="D14" s="171" t="s">
        <v>136</v>
      </c>
      <c r="E14" s="171" t="s">
        <v>137</v>
      </c>
      <c r="F14" s="171" t="s">
        <v>138</v>
      </c>
      <c r="G14" s="168" t="s">
        <v>139</v>
      </c>
      <c r="H14" s="168" t="s">
        <v>140</v>
      </c>
      <c r="I14" s="168" t="s">
        <v>141</v>
      </c>
      <c r="J14" s="72" t="s">
        <v>133</v>
      </c>
      <c r="K14" s="168" t="s">
        <v>142</v>
      </c>
      <c r="L14" s="171" t="s">
        <v>143</v>
      </c>
      <c r="M14" s="171" t="s">
        <v>144</v>
      </c>
      <c r="N14" s="168" t="s">
        <v>145</v>
      </c>
      <c r="O14" s="171" t="s">
        <v>146</v>
      </c>
      <c r="P14" s="73" t="s">
        <v>141</v>
      </c>
      <c r="Q14" s="74" t="s">
        <v>133</v>
      </c>
      <c r="R14" s="183"/>
    </row>
    <row r="15" spans="1:18">
      <c r="A15" s="174"/>
      <c r="B15" s="177"/>
      <c r="C15" s="169"/>
      <c r="D15" s="172"/>
      <c r="E15" s="172"/>
      <c r="F15" s="172"/>
      <c r="G15" s="169"/>
      <c r="H15" s="169"/>
      <c r="I15" s="169"/>
      <c r="J15" s="72"/>
      <c r="K15" s="169"/>
      <c r="L15" s="172"/>
      <c r="M15" s="172"/>
      <c r="N15" s="169"/>
      <c r="O15" s="172"/>
      <c r="P15" s="75"/>
      <c r="Q15" s="76"/>
      <c r="R15" s="183"/>
    </row>
    <row r="16" spans="1:18">
      <c r="A16" s="175"/>
      <c r="B16" s="178"/>
      <c r="C16" s="170"/>
      <c r="D16" s="173"/>
      <c r="E16" s="173"/>
      <c r="F16" s="173"/>
      <c r="G16" s="170"/>
      <c r="H16" s="170"/>
      <c r="I16" s="170"/>
      <c r="J16" s="77"/>
      <c r="K16" s="170"/>
      <c r="L16" s="173"/>
      <c r="M16" s="173"/>
      <c r="N16" s="170"/>
      <c r="O16" s="173"/>
      <c r="P16" s="78"/>
      <c r="Q16" s="79"/>
      <c r="R16" s="184"/>
    </row>
    <row r="17" spans="1:18">
      <c r="A17" s="80">
        <v>1</v>
      </c>
      <c r="B17" s="81">
        <v>2</v>
      </c>
      <c r="C17" s="82">
        <v>3</v>
      </c>
      <c r="D17" s="83">
        <v>4</v>
      </c>
      <c r="E17" s="83">
        <v>5</v>
      </c>
      <c r="F17" s="83">
        <v>6</v>
      </c>
      <c r="G17" s="82">
        <v>7</v>
      </c>
      <c r="H17" s="82">
        <v>8</v>
      </c>
      <c r="I17" s="82">
        <v>9</v>
      </c>
      <c r="J17" s="84">
        <v>10</v>
      </c>
      <c r="K17" s="82">
        <v>11</v>
      </c>
      <c r="L17" s="83">
        <v>12</v>
      </c>
      <c r="M17" s="83">
        <v>13</v>
      </c>
      <c r="N17" s="82">
        <v>14</v>
      </c>
      <c r="O17" s="83">
        <v>15</v>
      </c>
      <c r="P17" s="82">
        <v>16</v>
      </c>
      <c r="Q17" s="84">
        <v>17</v>
      </c>
      <c r="R17" s="85">
        <v>18</v>
      </c>
    </row>
    <row r="18" spans="1:18">
      <c r="A18" s="86">
        <v>2016</v>
      </c>
      <c r="B18" s="87" t="s">
        <v>147</v>
      </c>
      <c r="C18" s="88">
        <v>586</v>
      </c>
      <c r="D18" s="88">
        <v>37</v>
      </c>
      <c r="E18" s="88">
        <v>22</v>
      </c>
      <c r="F18" s="88">
        <v>96</v>
      </c>
      <c r="G18" s="88">
        <v>100</v>
      </c>
      <c r="H18" s="88">
        <v>57</v>
      </c>
      <c r="I18" s="88" t="s">
        <v>148</v>
      </c>
      <c r="J18" s="89">
        <f>SUM(C18:I18)</f>
        <v>898</v>
      </c>
      <c r="K18" s="88">
        <v>155</v>
      </c>
      <c r="L18" s="88">
        <v>85</v>
      </c>
      <c r="M18" s="88">
        <v>128</v>
      </c>
      <c r="N18" s="88">
        <v>30</v>
      </c>
      <c r="O18" s="88">
        <v>5</v>
      </c>
      <c r="P18" s="88">
        <v>0</v>
      </c>
      <c r="Q18" s="88">
        <f>SUM(K18:P18)</f>
        <v>403</v>
      </c>
      <c r="R18" s="90">
        <f>(J18+Q18)</f>
        <v>1301</v>
      </c>
    </row>
    <row r="20" spans="1:18">
      <c r="C20" s="91"/>
      <c r="J20" s="91"/>
    </row>
  </sheetData>
  <mergeCells count="19">
    <mergeCell ref="R12:R16"/>
    <mergeCell ref="C13:J13"/>
    <mergeCell ref="K13:Q13"/>
    <mergeCell ref="C14:C16"/>
    <mergeCell ref="D14:D16"/>
    <mergeCell ref="E14:E16"/>
    <mergeCell ref="M14:M16"/>
    <mergeCell ref="N14:N16"/>
    <mergeCell ref="O14:O16"/>
    <mergeCell ref="F14:F16"/>
    <mergeCell ref="G14:G16"/>
    <mergeCell ref="H14:H16"/>
    <mergeCell ref="I14:I16"/>
    <mergeCell ref="K14:K16"/>
    <mergeCell ref="L14:L16"/>
    <mergeCell ref="A12:A16"/>
    <mergeCell ref="B12:B16"/>
    <mergeCell ref="C12:J12"/>
    <mergeCell ref="K12:Q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H22" sqref="H22"/>
    </sheetView>
  </sheetViews>
  <sheetFormatPr defaultRowHeight="14.4"/>
  <cols>
    <col min="1" max="1" width="22" customWidth="1"/>
    <col min="4" max="4" width="21.77734375" customWidth="1"/>
    <col min="6" max="6" width="18" customWidth="1"/>
    <col min="7" max="7" width="15" customWidth="1"/>
    <col min="8" max="8" width="17.77734375" customWidth="1"/>
  </cols>
  <sheetData>
    <row r="1" spans="1:8">
      <c r="A1" s="2" t="s">
        <v>109</v>
      </c>
      <c r="B1" s="4"/>
    </row>
    <row r="2" spans="1:8">
      <c r="A2" t="s">
        <v>58</v>
      </c>
      <c r="B2">
        <v>39</v>
      </c>
    </row>
    <row r="3" spans="1:8">
      <c r="A3" t="s">
        <v>59</v>
      </c>
      <c r="B3">
        <v>6086</v>
      </c>
    </row>
    <row r="4" spans="1:8">
      <c r="A4" t="s">
        <v>60</v>
      </c>
      <c r="B4">
        <v>5639</v>
      </c>
    </row>
    <row r="5" spans="1:8">
      <c r="A5" t="s">
        <v>99</v>
      </c>
      <c r="B5">
        <f>SUM(B2:B4)</f>
        <v>11764</v>
      </c>
    </row>
    <row r="7" spans="1:8">
      <c r="A7" s="2" t="s">
        <v>57</v>
      </c>
      <c r="B7" s="4"/>
      <c r="E7" s="2" t="s">
        <v>116</v>
      </c>
      <c r="F7" s="4"/>
      <c r="G7" s="4"/>
      <c r="H7" s="4"/>
    </row>
    <row r="8" spans="1:8">
      <c r="A8" t="s">
        <v>53</v>
      </c>
      <c r="B8">
        <v>65326</v>
      </c>
      <c r="E8" s="14" t="s">
        <v>28</v>
      </c>
      <c r="F8" s="15"/>
      <c r="G8" s="16"/>
      <c r="H8" s="18"/>
    </row>
    <row r="9" spans="1:8">
      <c r="A9" t="s">
        <v>54</v>
      </c>
      <c r="B9">
        <v>279308</v>
      </c>
      <c r="E9" s="19" t="s">
        <v>29</v>
      </c>
      <c r="F9" s="19" t="s">
        <v>30</v>
      </c>
      <c r="G9" s="19" t="s">
        <v>31</v>
      </c>
      <c r="H9" s="21">
        <v>2017</v>
      </c>
    </row>
    <row r="10" spans="1:8">
      <c r="E10" s="44" t="s">
        <v>117</v>
      </c>
      <c r="F10" s="45" t="s">
        <v>118</v>
      </c>
      <c r="G10" s="46" t="s">
        <v>34</v>
      </c>
      <c r="H10" s="41">
        <v>0.65629747428493324</v>
      </c>
    </row>
    <row r="11" spans="1:8">
      <c r="A11" s="2" t="s">
        <v>56</v>
      </c>
      <c r="B11" s="4"/>
      <c r="E11" s="22" t="s">
        <v>117</v>
      </c>
      <c r="F11" s="15" t="s">
        <v>118</v>
      </c>
      <c r="G11" s="16" t="s">
        <v>36</v>
      </c>
      <c r="H11" s="41">
        <v>0.68582415001963382</v>
      </c>
    </row>
    <row r="12" spans="1:8">
      <c r="A12" s="1" t="s">
        <v>55</v>
      </c>
      <c r="E12" s="22" t="s">
        <v>117</v>
      </c>
      <c r="F12" s="22" t="s">
        <v>119</v>
      </c>
      <c r="G12" s="16" t="s">
        <v>34</v>
      </c>
      <c r="H12" s="41">
        <v>0.10063870297760362</v>
      </c>
    </row>
    <row r="13" spans="1:8">
      <c r="A13" t="s">
        <v>45</v>
      </c>
      <c r="B13" s="32">
        <v>10</v>
      </c>
      <c r="E13" s="47" t="s">
        <v>117</v>
      </c>
      <c r="F13" s="47" t="s">
        <v>119</v>
      </c>
      <c r="G13" s="48" t="s">
        <v>36</v>
      </c>
      <c r="H13" s="41">
        <v>0.20371221328531078</v>
      </c>
    </row>
    <row r="14" spans="1:8">
      <c r="A14" t="s">
        <v>46</v>
      </c>
      <c r="B14" s="32">
        <v>50</v>
      </c>
    </row>
    <row r="15" spans="1:8">
      <c r="E15" s="49" t="s">
        <v>121</v>
      </c>
      <c r="G15" s="6">
        <f>B23*(H10/SUM(H10:H11))</f>
        <v>3100.928529783575</v>
      </c>
    </row>
    <row r="16" spans="1:8">
      <c r="A16" s="34" t="s">
        <v>65</v>
      </c>
      <c r="B16" s="33"/>
      <c r="E16" s="49" t="s">
        <v>120</v>
      </c>
      <c r="G16" s="6">
        <f>B23*(H11/SUM(H10:H11))</f>
        <v>3240.4386067881537</v>
      </c>
      <c r="H16" s="6"/>
    </row>
    <row r="17" spans="1:7">
      <c r="A17" s="1" t="s">
        <v>64</v>
      </c>
      <c r="E17" s="10"/>
    </row>
    <row r="18" spans="1:7">
      <c r="A18" t="s">
        <v>45</v>
      </c>
      <c r="B18" s="6">
        <f>B8/B13</f>
        <v>6532.6</v>
      </c>
      <c r="E18" s="49" t="s">
        <v>122</v>
      </c>
      <c r="G18" s="6">
        <f>B24*(H12/SUM(H12:H13))</f>
        <v>1793.083933506947</v>
      </c>
    </row>
    <row r="19" spans="1:7">
      <c r="A19" t="s">
        <v>46</v>
      </c>
      <c r="B19" s="6">
        <f>B9/B14</f>
        <v>5586.16</v>
      </c>
      <c r="E19" s="49" t="s">
        <v>123</v>
      </c>
      <c r="G19" s="6">
        <f>B24*(H13/SUM(H12:H13))</f>
        <v>3629.5489299213236</v>
      </c>
    </row>
    <row r="20" spans="1:7">
      <c r="G20" s="6"/>
    </row>
    <row r="22" spans="1:7">
      <c r="A22" s="1" t="s">
        <v>61</v>
      </c>
    </row>
    <row r="23" spans="1:7">
      <c r="A23" t="s">
        <v>62</v>
      </c>
      <c r="B23" s="6">
        <f>SUM(B2:B4)*B18/SUM(B18:B19)</f>
        <v>6341.3671365717291</v>
      </c>
    </row>
    <row r="24" spans="1:7">
      <c r="A24" t="s">
        <v>63</v>
      </c>
      <c r="B24" s="6">
        <f>SUM(B2:B4)*B19/SUM(B18:B19)</f>
        <v>5422.6328634282709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topLeftCell="A6" workbookViewId="0">
      <selection activeCell="B5" sqref="B5"/>
    </sheetView>
  </sheetViews>
  <sheetFormatPr defaultRowHeight="14.4"/>
  <cols>
    <col min="1" max="1" width="27.21875" customWidth="1"/>
    <col min="2" max="2" width="10" bestFit="1" customWidth="1"/>
  </cols>
  <sheetData>
    <row r="1" spans="1:3">
      <c r="A1" t="s">
        <v>108</v>
      </c>
    </row>
    <row r="2" spans="1:3">
      <c r="A2" t="s">
        <v>110</v>
      </c>
      <c r="B2">
        <v>620</v>
      </c>
    </row>
    <row r="5" spans="1:3">
      <c r="A5" t="s">
        <v>111</v>
      </c>
      <c r="B5">
        <f>183.9*10^6</f>
        <v>183900000</v>
      </c>
    </row>
    <row r="6" spans="1:3">
      <c r="A6" t="s">
        <v>112</v>
      </c>
    </row>
    <row r="8" spans="1:3">
      <c r="A8" t="s">
        <v>16</v>
      </c>
      <c r="B8">
        <f>(6.97+15.13)*10^5</f>
        <v>2210000</v>
      </c>
    </row>
    <row r="12" spans="1:3">
      <c r="A12" t="s">
        <v>17</v>
      </c>
      <c r="B12">
        <f>'India AVLo'!B4</f>
        <v>180</v>
      </c>
      <c r="C12" t="s">
        <v>18</v>
      </c>
    </row>
    <row r="13" spans="1:3">
      <c r="A13" t="s">
        <v>19</v>
      </c>
      <c r="B13">
        <f>'India AVLo'!C4</f>
        <v>17.34</v>
      </c>
      <c r="C13" t="s">
        <v>18</v>
      </c>
    </row>
    <row r="16" spans="1:3">
      <c r="A16" t="s">
        <v>20</v>
      </c>
      <c r="B16">
        <f>B5/B12</f>
        <v>1021666.6666666666</v>
      </c>
    </row>
    <row r="17" spans="1:4">
      <c r="A17" t="s">
        <v>21</v>
      </c>
      <c r="B17" s="6">
        <f>B8/B13</f>
        <v>127450.98039215687</v>
      </c>
    </row>
    <row r="20" spans="1:4">
      <c r="A20" t="s">
        <v>22</v>
      </c>
      <c r="B20" s="6">
        <f>B2*(B16/SUM(B16:B17))</f>
        <v>551.23453630236327</v>
      </c>
    </row>
    <row r="21" spans="1:4">
      <c r="A21" t="s">
        <v>23</v>
      </c>
      <c r="B21" s="6">
        <f>B2*(B17/SUM(B16:B17))</f>
        <v>68.765463697636719</v>
      </c>
      <c r="D2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2"/>
  <sheetViews>
    <sheetView topLeftCell="A51" workbookViewId="0">
      <selection activeCell="O34" sqref="O34"/>
    </sheetView>
  </sheetViews>
  <sheetFormatPr defaultRowHeight="14.4"/>
  <cols>
    <col min="1" max="1" width="11.77734375" customWidth="1"/>
    <col min="2" max="2" width="10" bestFit="1" customWidth="1"/>
    <col min="6" max="9" width="16.77734375" customWidth="1"/>
    <col min="10" max="10" width="20.109375" customWidth="1"/>
    <col min="11" max="11" width="14.109375" customWidth="1"/>
    <col min="12" max="12" width="17.109375" customWidth="1"/>
    <col min="14" max="14" width="10.44140625" customWidth="1"/>
  </cols>
  <sheetData>
    <row r="1" spans="8:16">
      <c r="K1" s="2" t="s">
        <v>114</v>
      </c>
      <c r="L1" s="4"/>
      <c r="M1" s="4"/>
      <c r="N1" s="4"/>
      <c r="O1" s="4"/>
    </row>
    <row r="2" spans="8:16">
      <c r="K2" s="14" t="s">
        <v>28</v>
      </c>
      <c r="L2" s="15"/>
      <c r="M2" s="16"/>
      <c r="N2" s="17"/>
      <c r="O2" s="18"/>
    </row>
    <row r="3" spans="8:16">
      <c r="K3" s="19" t="s">
        <v>29</v>
      </c>
      <c r="L3" s="19" t="s">
        <v>30</v>
      </c>
      <c r="M3" s="19" t="s">
        <v>31</v>
      </c>
      <c r="N3" s="20">
        <v>2007</v>
      </c>
      <c r="O3" s="21">
        <v>2017</v>
      </c>
    </row>
    <row r="4" spans="8:16">
      <c r="K4" s="22" t="s">
        <v>32</v>
      </c>
      <c r="L4" s="15" t="s">
        <v>33</v>
      </c>
      <c r="M4" s="16" t="s">
        <v>34</v>
      </c>
      <c r="N4" s="23"/>
      <c r="O4" s="24">
        <v>120.12796522751495</v>
      </c>
    </row>
    <row r="5" spans="8:16">
      <c r="K5" s="22"/>
      <c r="L5" s="15"/>
      <c r="M5" s="16" t="s">
        <v>35</v>
      </c>
      <c r="N5" s="23"/>
      <c r="O5" s="24">
        <v>1.6620534541752214</v>
      </c>
    </row>
    <row r="6" spans="8:16">
      <c r="K6" s="22"/>
      <c r="L6" s="15"/>
      <c r="M6" s="16" t="s">
        <v>36</v>
      </c>
      <c r="N6" s="23"/>
      <c r="O6" s="24">
        <v>0.57448122019665182</v>
      </c>
    </row>
    <row r="7" spans="8:16">
      <c r="K7" s="22"/>
      <c r="L7" s="15"/>
      <c r="M7" s="16" t="s">
        <v>37</v>
      </c>
      <c r="N7" s="23"/>
      <c r="O7" s="28">
        <v>0.19149374006555059</v>
      </c>
      <c r="P7" t="s">
        <v>113</v>
      </c>
    </row>
    <row r="8" spans="8:16">
      <c r="H8" s="5" t="s">
        <v>81</v>
      </c>
      <c r="I8" s="5" t="s">
        <v>82</v>
      </c>
      <c r="K8" s="22"/>
      <c r="L8" s="15" t="s">
        <v>38</v>
      </c>
      <c r="M8" s="16" t="s">
        <v>34</v>
      </c>
      <c r="N8" s="23"/>
      <c r="O8" s="24">
        <v>11.675069952487402</v>
      </c>
    </row>
    <row r="9" spans="8:16">
      <c r="H9">
        <v>1597938</v>
      </c>
      <c r="I9" s="35" t="s">
        <v>76</v>
      </c>
      <c r="J9" s="36" t="s">
        <v>91</v>
      </c>
      <c r="K9" s="22"/>
      <c r="L9" s="15"/>
      <c r="M9" s="16" t="s">
        <v>35</v>
      </c>
      <c r="N9" s="23"/>
      <c r="O9" s="24">
        <v>0.1605092059381063</v>
      </c>
    </row>
    <row r="10" spans="8:16">
      <c r="H10">
        <v>3900933</v>
      </c>
      <c r="I10" s="35" t="s">
        <v>76</v>
      </c>
      <c r="J10" t="s">
        <v>90</v>
      </c>
      <c r="K10" s="22"/>
      <c r="L10" s="15" t="s">
        <v>39</v>
      </c>
      <c r="M10" s="16" t="s">
        <v>40</v>
      </c>
      <c r="N10" s="23"/>
      <c r="O10" s="24">
        <v>132.94648143816963</v>
      </c>
    </row>
    <row r="11" spans="8:16">
      <c r="H11">
        <v>2757639</v>
      </c>
      <c r="I11" s="35" t="s">
        <v>77</v>
      </c>
      <c r="J11" t="s">
        <v>89</v>
      </c>
      <c r="K11" s="22"/>
      <c r="L11" s="15"/>
      <c r="M11" s="16" t="s">
        <v>34</v>
      </c>
      <c r="N11" s="23"/>
      <c r="O11" s="24">
        <v>41.809229497548799</v>
      </c>
    </row>
    <row r="12" spans="8:16">
      <c r="H12">
        <v>1817717</v>
      </c>
      <c r="I12" s="35" t="s">
        <v>78</v>
      </c>
      <c r="J12" t="s">
        <v>88</v>
      </c>
      <c r="K12" s="22"/>
      <c r="L12" s="15"/>
      <c r="M12" s="16" t="s">
        <v>35</v>
      </c>
      <c r="N12" s="23"/>
      <c r="O12" s="24">
        <v>4.9231882560519438</v>
      </c>
    </row>
    <row r="13" spans="8:16">
      <c r="H13">
        <v>5017285</v>
      </c>
      <c r="I13" s="35" t="s">
        <v>83</v>
      </c>
      <c r="K13" s="22"/>
      <c r="L13" s="15"/>
      <c r="M13" s="16" t="s">
        <v>41</v>
      </c>
      <c r="N13" s="23"/>
      <c r="O13" s="24">
        <v>4.9231882560519438</v>
      </c>
    </row>
    <row r="14" spans="8:16">
      <c r="H14">
        <v>341841</v>
      </c>
      <c r="I14" s="35" t="s">
        <v>83</v>
      </c>
      <c r="K14" s="22"/>
      <c r="L14" s="15"/>
      <c r="M14" s="16" t="s">
        <v>36</v>
      </c>
      <c r="N14" s="23"/>
      <c r="O14" s="24">
        <v>3.5678483003168031</v>
      </c>
    </row>
    <row r="15" spans="8:16">
      <c r="H15">
        <v>312301</v>
      </c>
      <c r="I15" s="35" t="s">
        <v>83</v>
      </c>
      <c r="K15" s="22"/>
      <c r="L15" s="15"/>
      <c r="M15" s="16" t="s">
        <v>37</v>
      </c>
      <c r="N15" s="23"/>
      <c r="O15" s="24">
        <v>1.1834587153971015</v>
      </c>
    </row>
    <row r="16" spans="8:16">
      <c r="H16">
        <v>163210</v>
      </c>
      <c r="I16" s="35" t="s">
        <v>83</v>
      </c>
      <c r="K16" s="22"/>
      <c r="L16" s="15" t="s">
        <v>42</v>
      </c>
      <c r="M16" s="16" t="s">
        <v>40</v>
      </c>
      <c r="N16" s="23"/>
      <c r="O16" s="24">
        <v>68.701651435946445</v>
      </c>
    </row>
    <row r="17" spans="8:15">
      <c r="H17">
        <v>285118</v>
      </c>
      <c r="I17" s="35" t="s">
        <v>83</v>
      </c>
      <c r="K17" s="22"/>
      <c r="L17" s="15"/>
      <c r="M17" s="16" t="s">
        <v>40</v>
      </c>
      <c r="N17" s="23"/>
      <c r="O17" s="24">
        <v>543.70694754374654</v>
      </c>
    </row>
    <row r="18" spans="8:15">
      <c r="H18">
        <v>1384740</v>
      </c>
      <c r="I18" s="35" t="s">
        <v>79</v>
      </c>
      <c r="J18" t="s">
        <v>86</v>
      </c>
      <c r="K18" s="22"/>
      <c r="L18" s="15"/>
      <c r="M18" s="16" t="s">
        <v>40</v>
      </c>
      <c r="N18" s="23"/>
      <c r="O18" s="24">
        <v>2.8921560843513205</v>
      </c>
    </row>
    <row r="19" spans="8:15">
      <c r="H19">
        <v>1034957</v>
      </c>
      <c r="I19" s="35" t="s">
        <v>83</v>
      </c>
      <c r="K19" s="22"/>
      <c r="L19" s="15"/>
      <c r="M19" s="16" t="s">
        <v>36</v>
      </c>
      <c r="N19" s="23"/>
      <c r="O19" s="24">
        <v>25.330309666348402</v>
      </c>
    </row>
    <row r="20" spans="8:15">
      <c r="H20">
        <v>640831</v>
      </c>
      <c r="I20" s="35" t="s">
        <v>83</v>
      </c>
      <c r="K20" s="22"/>
      <c r="L20" s="15" t="s">
        <v>43</v>
      </c>
      <c r="M20" s="16" t="s">
        <v>35</v>
      </c>
      <c r="N20" s="23"/>
      <c r="O20" s="24">
        <v>19.527683200500949</v>
      </c>
    </row>
    <row r="21" spans="8:15">
      <c r="H21">
        <v>182531</v>
      </c>
      <c r="I21" s="35" t="s">
        <v>83</v>
      </c>
      <c r="K21" s="22"/>
      <c r="L21" s="15"/>
      <c r="M21" s="16" t="s">
        <v>41</v>
      </c>
      <c r="N21" s="23"/>
      <c r="O21" s="24">
        <v>14.96467050675858</v>
      </c>
    </row>
    <row r="22" spans="8:15">
      <c r="H22">
        <v>2341375</v>
      </c>
      <c r="I22" s="35" t="s">
        <v>80</v>
      </c>
      <c r="J22" t="s">
        <v>85</v>
      </c>
      <c r="K22" s="22"/>
      <c r="L22" s="15"/>
      <c r="M22" s="16" t="s">
        <v>40</v>
      </c>
      <c r="N22" s="23"/>
      <c r="O22" s="24">
        <v>69.082254208422739</v>
      </c>
    </row>
    <row r="23" spans="8:15">
      <c r="H23">
        <v>2429135</v>
      </c>
      <c r="I23" s="35" t="s">
        <v>83</v>
      </c>
      <c r="K23" s="22"/>
      <c r="L23" s="15"/>
      <c r="M23" s="16" t="s">
        <v>34</v>
      </c>
      <c r="N23" s="23"/>
      <c r="O23" s="24">
        <v>63.302212406538928</v>
      </c>
    </row>
    <row r="24" spans="8:15">
      <c r="H24">
        <v>1354689</v>
      </c>
      <c r="I24" s="35" t="s">
        <v>83</v>
      </c>
      <c r="K24" s="22"/>
      <c r="L24" s="15"/>
      <c r="M24" s="16" t="s">
        <v>36</v>
      </c>
      <c r="N24" s="23"/>
      <c r="O24" s="24">
        <v>5.8288151988356685</v>
      </c>
    </row>
    <row r="25" spans="8:15">
      <c r="H25">
        <v>6392010</v>
      </c>
      <c r="I25" s="35" t="s">
        <v>78</v>
      </c>
      <c r="J25" t="s">
        <v>87</v>
      </c>
      <c r="K25" s="22"/>
      <c r="L25" s="15" t="s">
        <v>44</v>
      </c>
      <c r="M25" s="16" t="s">
        <v>35</v>
      </c>
      <c r="N25" s="23"/>
      <c r="O25" s="24">
        <v>1.9471697273915227</v>
      </c>
    </row>
    <row r="26" spans="8:15">
      <c r="H26">
        <v>26744</v>
      </c>
      <c r="I26" s="35" t="s">
        <v>84</v>
      </c>
      <c r="J26" t="s">
        <v>92</v>
      </c>
      <c r="K26" s="22"/>
      <c r="L26" s="15"/>
      <c r="M26" s="16" t="s">
        <v>41</v>
      </c>
      <c r="N26" s="23"/>
      <c r="O26" s="24">
        <v>1.1530348885574313</v>
      </c>
    </row>
    <row r="27" spans="8:15">
      <c r="H27">
        <v>21090119</v>
      </c>
      <c r="I27" s="35" t="s">
        <v>83</v>
      </c>
      <c r="K27" s="22"/>
      <c r="L27" s="15"/>
      <c r="M27" s="25" t="s">
        <v>34</v>
      </c>
      <c r="N27" s="23"/>
      <c r="O27" s="24">
        <v>64.707103083172527</v>
      </c>
    </row>
    <row r="28" spans="8:15">
      <c r="H28">
        <v>50482957</v>
      </c>
      <c r="I28" s="35" t="s">
        <v>83</v>
      </c>
      <c r="K28" s="22"/>
      <c r="L28" s="15"/>
      <c r="M28" s="25" t="s">
        <v>36</v>
      </c>
      <c r="N28" s="23"/>
      <c r="O28" s="24">
        <v>2.1873325064232736</v>
      </c>
    </row>
    <row r="29" spans="8:15">
      <c r="H29">
        <v>11394919</v>
      </c>
      <c r="I29" s="35" t="s">
        <v>83</v>
      </c>
    </row>
    <row r="30" spans="8:15">
      <c r="H30">
        <v>79512467</v>
      </c>
      <c r="I30" s="35" t="s">
        <v>83</v>
      </c>
    </row>
    <row r="31" spans="8:15">
      <c r="H31">
        <v>168975300</v>
      </c>
      <c r="I31" s="35" t="s">
        <v>84</v>
      </c>
      <c r="J31" t="s">
        <v>93</v>
      </c>
      <c r="K31" s="2" t="s">
        <v>52</v>
      </c>
      <c r="L31" s="4"/>
      <c r="M31" s="4"/>
      <c r="N31" s="4"/>
      <c r="O31" s="4"/>
    </row>
    <row r="32" spans="8:15">
      <c r="H32">
        <v>25612559</v>
      </c>
      <c r="I32" s="35" t="s">
        <v>80</v>
      </c>
      <c r="J32" t="s">
        <v>94</v>
      </c>
      <c r="K32" s="19" t="s">
        <v>29</v>
      </c>
      <c r="L32" s="19" t="s">
        <v>49</v>
      </c>
      <c r="M32" s="19" t="s">
        <v>31</v>
      </c>
      <c r="N32" s="20">
        <v>2007</v>
      </c>
      <c r="O32" s="21">
        <v>2017</v>
      </c>
    </row>
    <row r="33" spans="1:15">
      <c r="H33">
        <v>2287753</v>
      </c>
      <c r="I33" s="35" t="s">
        <v>83</v>
      </c>
      <c r="K33" s="22" t="s">
        <v>32</v>
      </c>
      <c r="L33" s="15" t="s">
        <v>50</v>
      </c>
      <c r="M33" s="16" t="s">
        <v>34</v>
      </c>
      <c r="N33" s="29">
        <v>0.91127970346733433</v>
      </c>
      <c r="O33" s="30">
        <v>0.90269186616874042</v>
      </c>
    </row>
    <row r="34" spans="1:15">
      <c r="H34">
        <v>371927</v>
      </c>
      <c r="I34" s="35" t="s">
        <v>79</v>
      </c>
      <c r="J34" t="s">
        <v>95</v>
      </c>
      <c r="K34" s="22"/>
      <c r="L34" s="15" t="s">
        <v>51</v>
      </c>
      <c r="M34" s="16" t="s">
        <v>34</v>
      </c>
      <c r="N34" s="29">
        <v>8.8720296532665791E-2</v>
      </c>
      <c r="O34" s="31">
        <v>9.7308133831259525E-2</v>
      </c>
    </row>
    <row r="35" spans="1:15">
      <c r="H35">
        <v>7086239</v>
      </c>
      <c r="I35" s="35" t="s">
        <v>83</v>
      </c>
    </row>
    <row r="36" spans="1:15">
      <c r="H36">
        <v>1821775</v>
      </c>
      <c r="I36" s="35" t="s">
        <v>83</v>
      </c>
      <c r="K36" t="s">
        <v>115</v>
      </c>
    </row>
    <row r="37" spans="1:15">
      <c r="H37">
        <v>2768121</v>
      </c>
      <c r="I37" s="35" t="s">
        <v>83</v>
      </c>
    </row>
    <row r="38" spans="1:15">
      <c r="H38">
        <v>208923674</v>
      </c>
      <c r="I38" s="35" t="s">
        <v>83</v>
      </c>
    </row>
    <row r="39" spans="1:15">
      <c r="H39">
        <v>230030598</v>
      </c>
      <c r="I39" s="35" t="s">
        <v>83</v>
      </c>
    </row>
    <row r="42" spans="1:15">
      <c r="A42" s="2" t="s">
        <v>75</v>
      </c>
      <c r="B42" s="4"/>
      <c r="C42" s="4"/>
      <c r="E42" s="2" t="s">
        <v>47</v>
      </c>
      <c r="F42" s="4"/>
      <c r="G42" s="4"/>
      <c r="H42" s="4"/>
      <c r="I42" s="4"/>
      <c r="J42" s="4"/>
      <c r="K42" s="4"/>
      <c r="L42" s="4"/>
    </row>
    <row r="43" spans="1:15">
      <c r="B43" s="1" t="s">
        <v>45</v>
      </c>
      <c r="C43" s="1" t="s">
        <v>46</v>
      </c>
      <c r="F43" s="26" t="s">
        <v>6</v>
      </c>
      <c r="G43" s="26" t="s">
        <v>7</v>
      </c>
      <c r="H43" s="26" t="s">
        <v>8</v>
      </c>
      <c r="I43" s="26" t="s">
        <v>9</v>
      </c>
      <c r="J43" s="26" t="s">
        <v>10</v>
      </c>
      <c r="K43" s="26" t="s">
        <v>97</v>
      </c>
      <c r="L43" s="26" t="s">
        <v>98</v>
      </c>
    </row>
    <row r="44" spans="1:15">
      <c r="A44" s="1" t="s">
        <v>11</v>
      </c>
      <c r="B44">
        <f>SUMIFS($H$9:$H$39,$I$9:$I$39,"Psgr LDV")*('2018 Calcs'!N9/'2018 Calcs'!L9)</f>
        <v>32480113.15341441</v>
      </c>
      <c r="C44">
        <f>SUMIFS($H$9:$H$39,$I$9:$I$39,"Frgt LDV")*('2018 Calcs'!N10/'2018 Calcs'!L10)</f>
        <v>3091878.5080698477</v>
      </c>
      <c r="E44" s="1" t="s">
        <v>11</v>
      </c>
      <c r="F44" s="27">
        <f>O14/SUM(O10:O14)</f>
        <v>1.8960777587192681E-2</v>
      </c>
      <c r="G44" s="27">
        <f>O12/SUM(O10:O14)</f>
        <v>2.6163522012578627E-2</v>
      </c>
      <c r="H44" s="27">
        <f>O10/SUM(O10:O14)</f>
        <v>0.70652349914236701</v>
      </c>
      <c r="I44" s="27">
        <f>O11/SUM(O10:O14)</f>
        <v>0.22218867924528302</v>
      </c>
      <c r="J44" s="27">
        <v>0</v>
      </c>
      <c r="K44" s="27">
        <f>O13/SUM(O10:O14)</f>
        <v>2.6163522012578627E-2</v>
      </c>
      <c r="L44" s="43">
        <f>J44</f>
        <v>0</v>
      </c>
      <c r="M44" s="43"/>
    </row>
    <row r="45" spans="1:15">
      <c r="A45" s="1" t="s">
        <v>12</v>
      </c>
      <c r="B45">
        <f>SUMIFS($H$9:$H$39,$I$9:$I$39,"Psgr HDV")*('2018 Calcs'!N6/'2018 Calcs'!L6)</f>
        <v>1963849.7564864086</v>
      </c>
      <c r="C45">
        <f>SUMIFS($H$9:$H$39,$I$9:$I$39,"Frgt HDV")*('2018 Calcs'!N8/'2018 Calcs'!L8)</f>
        <v>6177534.8826565482</v>
      </c>
      <c r="E45" s="1" t="s">
        <v>12</v>
      </c>
      <c r="F45" s="27">
        <f>O6/SUM(O4:O6,O8:O9)</f>
        <v>4.2807815332095893E-3</v>
      </c>
      <c r="G45" s="27">
        <f>(O5+O9)/SUM(O4:O6,O8:O9)</f>
        <v>1.3580935815203435E-2</v>
      </c>
      <c r="H45" s="27">
        <v>0</v>
      </c>
      <c r="I45" s="27">
        <f>(O4+O8)/SUM(O4:O6,O8:O9)</f>
        <v>0.9821382826515872</v>
      </c>
      <c r="J45" s="27">
        <v>0</v>
      </c>
      <c r="K45" s="43">
        <f>J45</f>
        <v>0</v>
      </c>
      <c r="L45" s="43">
        <f>K45</f>
        <v>0</v>
      </c>
      <c r="M45" s="43"/>
    </row>
    <row r="46" spans="1:15">
      <c r="A46" s="1" t="s">
        <v>15</v>
      </c>
      <c r="B46">
        <f>SUMIFS($H$9:$H$39,$I$9:$I$39,"Psgr Mtrbk")*('2018 Calcs'!N3/'2018 Calcs'!L3)</f>
        <v>189358987.83958492</v>
      </c>
      <c r="C46">
        <f>SUMIFS($H$9:$H$39,$I$9:$I$39,"Frgt Mtrbk")*('2018 Calcs'!N4/'2018 Calcs'!L4)</f>
        <v>8707670.341915898</v>
      </c>
      <c r="E46" s="1" t="s">
        <v>15</v>
      </c>
      <c r="F46" s="27">
        <f>O19/SUM(O16:O19)</f>
        <v>3.9539621259247822E-2</v>
      </c>
      <c r="G46" s="27">
        <v>0</v>
      </c>
      <c r="H46" s="27">
        <f>SUM(O16:O18)/SUM(O16:O19)</f>
        <v>0.96046037874075219</v>
      </c>
      <c r="I46" s="27">
        <v>0</v>
      </c>
      <c r="J46" s="27">
        <v>0</v>
      </c>
      <c r="K46" s="43">
        <f>J46</f>
        <v>0</v>
      </c>
      <c r="L46" s="43">
        <f>K46</f>
        <v>0</v>
      </c>
      <c r="M46" s="43"/>
    </row>
    <row r="47" spans="1:15">
      <c r="M47" s="43"/>
    </row>
    <row r="48" spans="1:15">
      <c r="E48" s="2" t="s">
        <v>48</v>
      </c>
      <c r="F48" s="4"/>
      <c r="G48" s="4"/>
      <c r="H48" s="4"/>
      <c r="I48" s="4"/>
      <c r="J48" s="4"/>
      <c r="K48" s="4"/>
      <c r="L48" s="4"/>
      <c r="M48" s="43"/>
    </row>
    <row r="49" spans="5:13">
      <c r="F49" s="26" t="s">
        <v>6</v>
      </c>
      <c r="G49" s="26" t="s">
        <v>7</v>
      </c>
      <c r="H49" s="26" t="s">
        <v>8</v>
      </c>
      <c r="I49" s="26" t="s">
        <v>9</v>
      </c>
      <c r="J49" s="26" t="s">
        <v>10</v>
      </c>
      <c r="K49" s="26" t="s">
        <v>97</v>
      </c>
      <c r="L49" s="26" t="s">
        <v>98</v>
      </c>
      <c r="M49" s="43"/>
    </row>
    <row r="50" spans="5:13">
      <c r="E50" s="1" t="s">
        <v>11</v>
      </c>
      <c r="F50" s="27">
        <v>0</v>
      </c>
      <c r="G50" s="27">
        <v>0</v>
      </c>
      <c r="H50" s="27">
        <v>0</v>
      </c>
      <c r="I50" s="27">
        <f>SUM(O33:O34)</f>
        <v>1</v>
      </c>
      <c r="J50" s="27">
        <v>0</v>
      </c>
      <c r="K50" s="43">
        <f>J50</f>
        <v>0</v>
      </c>
      <c r="L50" s="43">
        <f>K50</f>
        <v>0</v>
      </c>
      <c r="M50" s="43"/>
    </row>
    <row r="51" spans="5:13">
      <c r="E51" s="1" t="s">
        <v>12</v>
      </c>
      <c r="F51" s="27">
        <v>0</v>
      </c>
      <c r="G51" s="27">
        <v>0</v>
      </c>
      <c r="H51" s="27">
        <v>0</v>
      </c>
      <c r="I51" s="27">
        <f>SUM(O33:O34)</f>
        <v>1</v>
      </c>
      <c r="J51" s="27">
        <v>0</v>
      </c>
      <c r="K51" s="43">
        <f>J51</f>
        <v>0</v>
      </c>
      <c r="L51" s="43">
        <f>K51</f>
        <v>0</v>
      </c>
      <c r="M51" s="43"/>
    </row>
    <row r="52" spans="5:13">
      <c r="E52" s="1" t="s">
        <v>15</v>
      </c>
      <c r="F52" s="27">
        <f>O24/SUM(O20:O24)</f>
        <v>3.3750000000000002E-2</v>
      </c>
      <c r="G52" s="27">
        <f>O20/SUM(O20:O24)</f>
        <v>0.1130691719560018</v>
      </c>
      <c r="H52" s="27">
        <f>O22/SUM(O20:O24)</f>
        <v>0.4</v>
      </c>
      <c r="I52" s="27">
        <f>O23/SUM(O20:O24)</f>
        <v>0.36653240767479711</v>
      </c>
      <c r="J52" s="27">
        <v>0</v>
      </c>
      <c r="K52" s="27">
        <f>O21/SUM(O20:O24)</f>
        <v>8.6648420369201201E-2</v>
      </c>
      <c r="L52" s="43">
        <f>J52</f>
        <v>0</v>
      </c>
      <c r="M52" s="4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2"/>
  <sheetViews>
    <sheetView tabSelected="1" topLeftCell="A21" zoomScale="90" zoomScaleNormal="90" workbookViewId="0">
      <selection activeCell="H37" sqref="H37"/>
    </sheetView>
  </sheetViews>
  <sheetFormatPr defaultRowHeight="14.4"/>
  <cols>
    <col min="2" max="2" width="13.88671875" bestFit="1" customWidth="1"/>
    <col min="3" max="3" width="21.44140625" bestFit="1" customWidth="1"/>
    <col min="4" max="4" width="17.44140625" bestFit="1" customWidth="1"/>
    <col min="5" max="5" width="13.77734375" bestFit="1" customWidth="1"/>
    <col min="6" max="6" width="18.5546875" bestFit="1" customWidth="1"/>
    <col min="7" max="7" width="6" bestFit="1" customWidth="1"/>
    <col min="8" max="8" width="16" bestFit="1" customWidth="1"/>
    <col min="9" max="9" width="8.5546875" customWidth="1"/>
    <col min="10" max="10" width="25.109375" customWidth="1"/>
    <col min="11" max="11" width="10.88671875" customWidth="1"/>
    <col min="17" max="17" width="11.77734375" customWidth="1"/>
  </cols>
  <sheetData>
    <row r="1" spans="1:17">
      <c r="A1" s="2" t="s">
        <v>214</v>
      </c>
      <c r="B1" s="2"/>
      <c r="C1" s="2"/>
      <c r="D1" s="2"/>
      <c r="E1" s="2"/>
      <c r="F1" s="2"/>
      <c r="G1" s="2"/>
      <c r="H1" s="2"/>
      <c r="J1" s="2" t="s">
        <v>220</v>
      </c>
      <c r="K1" s="4"/>
      <c r="L1" s="4"/>
      <c r="M1" s="4"/>
      <c r="N1" s="4"/>
      <c r="O1" s="4"/>
      <c r="P1" s="4"/>
    </row>
    <row r="2" spans="1:17" ht="28.8">
      <c r="A2" s="108" t="s">
        <v>129</v>
      </c>
      <c r="B2" s="108" t="s">
        <v>29</v>
      </c>
      <c r="C2" s="108" t="s">
        <v>213</v>
      </c>
      <c r="D2" s="108" t="s">
        <v>212</v>
      </c>
      <c r="E2" s="108" t="s">
        <v>211</v>
      </c>
      <c r="F2" s="108" t="s">
        <v>210</v>
      </c>
      <c r="G2" s="108" t="s">
        <v>209</v>
      </c>
      <c r="H2" s="106" t="s">
        <v>208</v>
      </c>
      <c r="I2" s="159"/>
      <c r="J2" s="108" t="s">
        <v>207</v>
      </c>
      <c r="K2" s="152">
        <v>2015</v>
      </c>
      <c r="L2" s="109">
        <v>2016</v>
      </c>
      <c r="M2" s="160">
        <v>2017</v>
      </c>
      <c r="N2" s="151">
        <v>2018</v>
      </c>
      <c r="O2" s="109">
        <v>2019</v>
      </c>
      <c r="P2" s="150">
        <v>2020</v>
      </c>
      <c r="Q2" s="149" t="s">
        <v>196</v>
      </c>
    </row>
    <row r="3" spans="1:17">
      <c r="A3" s="119">
        <v>2015</v>
      </c>
      <c r="B3" s="119" t="s">
        <v>205</v>
      </c>
      <c r="C3" s="158">
        <v>628.28258019999998</v>
      </c>
      <c r="D3" s="158">
        <v>0</v>
      </c>
      <c r="E3" s="158">
        <v>753.93909629999996</v>
      </c>
      <c r="F3" s="119" t="s">
        <v>206</v>
      </c>
      <c r="G3" s="157" t="s">
        <v>185</v>
      </c>
      <c r="H3" s="156">
        <v>67.053822167000007</v>
      </c>
      <c r="I3" s="6"/>
      <c r="J3" s="155" t="str">
        <f>F3</f>
        <v>passenger motorbikes</v>
      </c>
      <c r="K3" s="148">
        <f>C3</f>
        <v>628.28258019999998</v>
      </c>
      <c r="L3" s="146">
        <f>FORECAST(L2,$C$3:$C$4,$A$3:$A$4)</f>
        <v>668.54711093999504</v>
      </c>
      <c r="M3" s="161">
        <f>FORECAST(M2,$C$3:$C$4,$A$3:$A$4)</f>
        <v>708.81164167998941</v>
      </c>
      <c r="N3" s="147">
        <f>FORECAST(N2,$C$3:$C$4,$A$3:$A$4)</f>
        <v>749.07617241999833</v>
      </c>
      <c r="O3" s="146">
        <f>FORECAST(O2,$C$3:$C$4,$A$3:$A$4)</f>
        <v>789.3407031599927</v>
      </c>
      <c r="P3" s="145">
        <f>C4</f>
        <v>829.60523389999901</v>
      </c>
      <c r="Q3" s="130" t="str">
        <f>C2</f>
        <v>VKT_billion</v>
      </c>
    </row>
    <row r="4" spans="1:17">
      <c r="A4" s="135">
        <v>2020</v>
      </c>
      <c r="B4" s="135" t="s">
        <v>205</v>
      </c>
      <c r="C4" s="136">
        <v>829.60523389999901</v>
      </c>
      <c r="D4" s="136">
        <v>0</v>
      </c>
      <c r="E4" s="136">
        <v>995.52628070000003</v>
      </c>
      <c r="F4" s="135" t="s">
        <v>206</v>
      </c>
      <c r="G4" s="134" t="s">
        <v>185</v>
      </c>
      <c r="H4" s="133">
        <v>87.995845989999992</v>
      </c>
      <c r="I4" s="6"/>
      <c r="J4" s="155" t="str">
        <f>F5</f>
        <v>freight motorbikes</v>
      </c>
      <c r="K4" s="144">
        <f>C5</f>
        <v>165.18811169999901</v>
      </c>
      <c r="L4" s="102">
        <f>FORECAST(L2,$C$5:$C$6,$A$5:$A$6)</f>
        <v>170.35435013999813</v>
      </c>
      <c r="M4" s="162">
        <f>FORECAST(M2,$C$5:$C$6,$A$5:$A$6)</f>
        <v>175.52058857999873</v>
      </c>
      <c r="N4" s="140">
        <f>FORECAST(N2,$C$5:$C$6,$A$5:$A$6)</f>
        <v>180.68682701999933</v>
      </c>
      <c r="O4" s="102">
        <f>FORECAST(O2,$C$5:$C$6,$A$5:$A$6)</f>
        <v>185.85306545999811</v>
      </c>
      <c r="P4" s="143">
        <f>C6</f>
        <v>191.01930390000001</v>
      </c>
      <c r="Q4" s="130" t="str">
        <f>C2</f>
        <v>VKT_billion</v>
      </c>
    </row>
    <row r="5" spans="1:17">
      <c r="A5" s="135">
        <v>2015</v>
      </c>
      <c r="B5" s="135" t="s">
        <v>205</v>
      </c>
      <c r="C5" s="136">
        <v>165.18811169999901</v>
      </c>
      <c r="D5" s="136">
        <v>0</v>
      </c>
      <c r="E5" s="136">
        <v>330.37622339999899</v>
      </c>
      <c r="F5" s="135" t="s">
        <v>204</v>
      </c>
      <c r="G5" s="134" t="s">
        <v>185</v>
      </c>
      <c r="H5" s="133">
        <v>5.7529710309999897</v>
      </c>
      <c r="I5" s="6"/>
      <c r="J5" s="155" t="str">
        <f>F7</f>
        <v>passenger aircraft</v>
      </c>
      <c r="K5" s="144">
        <f>E7</f>
        <v>252.6677497</v>
      </c>
      <c r="L5" s="102">
        <f>FORECAST(L2,$E$7:$E$8,$A$7:$A$8)</f>
        <v>268.89283111999612</v>
      </c>
      <c r="M5" s="162">
        <f>FORECAST(M2,$E$7:$E$8,$A$7:$A$8)</f>
        <v>285.11791253999763</v>
      </c>
      <c r="N5" s="140">
        <f>FORECAST(N2,$E$7:$E$8,$A$7:$A$8)</f>
        <v>301.34299395999551</v>
      </c>
      <c r="O5" s="102">
        <f>FORECAST(O2,$E$7:$E$8,$A$7:$A$8)</f>
        <v>317.56807537999703</v>
      </c>
      <c r="P5" s="143">
        <f>E8</f>
        <v>333.79315680000002</v>
      </c>
      <c r="Q5" s="130" t="str">
        <f>E2</f>
        <v>PKM_billion</v>
      </c>
    </row>
    <row r="6" spans="1:17">
      <c r="A6" s="135">
        <v>2020</v>
      </c>
      <c r="B6" s="135" t="s">
        <v>205</v>
      </c>
      <c r="C6" s="136">
        <v>191.01930390000001</v>
      </c>
      <c r="D6" s="136">
        <v>0</v>
      </c>
      <c r="E6" s="136">
        <v>382.03860780000002</v>
      </c>
      <c r="F6" s="135" t="s">
        <v>204</v>
      </c>
      <c r="G6" s="134" t="str">
        <f>G5</f>
        <v>n/a</v>
      </c>
      <c r="H6" s="133">
        <v>6.6430319409999985</v>
      </c>
      <c r="I6" s="6"/>
      <c r="J6" s="155" t="str">
        <f>F9</f>
        <v>passenger HDVs</v>
      </c>
      <c r="K6" s="144">
        <f>E9</f>
        <v>3092.0060579999999</v>
      </c>
      <c r="L6" s="102">
        <f>FORECAST(L2,$E$9:$E$10,$A$9:$A$10)</f>
        <v>3285.7692258000025</v>
      </c>
      <c r="M6" s="162">
        <f>FORECAST(M2,$E$9:$E$10,$A$9:$A$10)</f>
        <v>3479.5323935999768</v>
      </c>
      <c r="N6" s="140">
        <f>FORECAST(N2,$E$9:$E$10,$A$9:$A$10)</f>
        <v>3673.2955614000093</v>
      </c>
      <c r="O6" s="102">
        <f>FORECAST(O2,$E$9:$E$10,$A$9:$A$10)</f>
        <v>3867.0587291999836</v>
      </c>
      <c r="P6" s="143">
        <f>E10</f>
        <v>4060.8218969999998</v>
      </c>
      <c r="Q6" s="130" t="str">
        <f>E2</f>
        <v>PKM_billion</v>
      </c>
    </row>
    <row r="7" spans="1:17">
      <c r="A7" s="135">
        <v>2015</v>
      </c>
      <c r="B7" s="135" t="s">
        <v>203</v>
      </c>
      <c r="C7" s="136">
        <v>0</v>
      </c>
      <c r="D7" s="136">
        <v>0</v>
      </c>
      <c r="E7" s="136">
        <v>252.6677497</v>
      </c>
      <c r="F7" s="135" t="s">
        <v>202</v>
      </c>
      <c r="G7" s="134">
        <v>180</v>
      </c>
      <c r="H7" s="133" t="s">
        <v>185</v>
      </c>
      <c r="I7" s="6"/>
      <c r="J7" s="155" t="str">
        <f>F11</f>
        <v>freight rail</v>
      </c>
      <c r="K7" s="142">
        <f>D11</f>
        <v>761</v>
      </c>
      <c r="L7" s="102">
        <f>FORECAST(L2,$D$11:$D$12,$A$11:$A$12)</f>
        <v>808.20000000001164</v>
      </c>
      <c r="M7" s="162">
        <f>FORECAST(M2,$D$11:$D$12,$A$11:$A$12)</f>
        <v>855.40000000000873</v>
      </c>
      <c r="N7" s="140">
        <f>FORECAST(N2,$D$11:$D$12,$A$11:$A$12)</f>
        <v>902.60000000000582</v>
      </c>
      <c r="O7" s="102">
        <f>FORECAST(O2,$D$11:$D$12,$A$11:$A$12)</f>
        <v>949.80000000000291</v>
      </c>
      <c r="P7" s="141">
        <f>D12</f>
        <v>997</v>
      </c>
      <c r="Q7" s="130" t="str">
        <f>D2</f>
        <v>TKM_billion</v>
      </c>
    </row>
    <row r="8" spans="1:17">
      <c r="A8" s="135">
        <v>2020</v>
      </c>
      <c r="B8" s="135" t="s">
        <v>203</v>
      </c>
      <c r="C8" s="136">
        <v>0</v>
      </c>
      <c r="D8" s="136">
        <v>0</v>
      </c>
      <c r="E8" s="136">
        <v>333.79315680000002</v>
      </c>
      <c r="F8" s="135" t="s">
        <v>202</v>
      </c>
      <c r="G8" s="134">
        <f>G7</f>
        <v>180</v>
      </c>
      <c r="H8" s="133" t="s">
        <v>185</v>
      </c>
      <c r="I8" s="6"/>
      <c r="J8" s="155" t="str">
        <f>F13</f>
        <v>freight HDVs</v>
      </c>
      <c r="K8" s="144">
        <f>D13+D19</f>
        <v>1084.7488480999989</v>
      </c>
      <c r="L8" s="102">
        <f>FORECAST(L2,$D$24:$D$25,$A$24:$A$25)</f>
        <v>1156.0904792599904</v>
      </c>
      <c r="M8" s="162">
        <f>FORECAST(M2,$D$24:$D$25,$A$24:$A$25)</f>
        <v>1227.4321104199917</v>
      </c>
      <c r="N8" s="140">
        <f>FORECAST(N2,$D$24:$D$25,$A$24:$A$25)</f>
        <v>1298.7737415799929</v>
      </c>
      <c r="O8" s="102">
        <f>FORECAST(O2,$D$24:$D$25,$A$24:$A$25)</f>
        <v>1370.1153727399942</v>
      </c>
      <c r="P8" s="143">
        <f>D14+D20</f>
        <v>1441.4570039</v>
      </c>
      <c r="Q8" s="130" t="str">
        <f>D23</f>
        <v>TKM_billion</v>
      </c>
    </row>
    <row r="9" spans="1:17">
      <c r="A9" s="135">
        <v>2015</v>
      </c>
      <c r="B9" s="135" t="s">
        <v>201</v>
      </c>
      <c r="C9" s="136">
        <v>91.614994299999907</v>
      </c>
      <c r="D9" s="136">
        <v>0</v>
      </c>
      <c r="E9" s="136">
        <v>3092.0060579999999</v>
      </c>
      <c r="F9" s="135" t="s">
        <v>200</v>
      </c>
      <c r="G9" s="134">
        <v>45</v>
      </c>
      <c r="H9" s="133">
        <v>1.1112206179999999</v>
      </c>
      <c r="I9" s="6"/>
      <c r="J9" s="155" t="str">
        <f>F15</f>
        <v>passenger LDVs</v>
      </c>
      <c r="K9" s="144">
        <f>C15</f>
        <v>284.130248399999</v>
      </c>
      <c r="L9" s="102">
        <f>FORECAST(L2,$C$15:$C$16,$A$15:$A$16)</f>
        <v>309.15909497999382</v>
      </c>
      <c r="M9" s="162">
        <f>FORECAST(M2,$C$15:$C$16,$A$15:$A$16)</f>
        <v>334.18794155999058</v>
      </c>
      <c r="N9" s="140">
        <f>FORECAST(N2,$C$15:$C$16,$A$15:$A$16)</f>
        <v>359.21678813999461</v>
      </c>
      <c r="O9" s="102">
        <f>FORECAST(O2,$C$15:$C$16,$A$15:$A$16)</f>
        <v>384.24563471999136</v>
      </c>
      <c r="P9" s="143">
        <f>C16</f>
        <v>409.27448129999999</v>
      </c>
      <c r="Q9" s="130" t="str">
        <f>C2</f>
        <v>VKT_billion</v>
      </c>
    </row>
    <row r="10" spans="1:17">
      <c r="A10" s="135">
        <v>2020</v>
      </c>
      <c r="B10" s="135" t="s">
        <v>201</v>
      </c>
      <c r="C10" s="136">
        <v>120.32064879999901</v>
      </c>
      <c r="D10" s="136">
        <v>0</v>
      </c>
      <c r="E10" s="136">
        <v>4060.8218969999998</v>
      </c>
      <c r="F10" s="135" t="s">
        <v>200</v>
      </c>
      <c r="G10" s="134">
        <f>G9</f>
        <v>45</v>
      </c>
      <c r="H10" s="133">
        <v>1.454767151999989</v>
      </c>
      <c r="I10" s="6"/>
      <c r="J10" s="155" t="str">
        <f>F17</f>
        <v>freight LDVs</v>
      </c>
      <c r="K10" s="144">
        <f>D17</f>
        <v>127.53005229999999</v>
      </c>
      <c r="L10" s="102">
        <f>FORECAST(L2,$D$17:$D$18,$A$17:$A$18)</f>
        <v>135.75727972000459</v>
      </c>
      <c r="M10" s="162">
        <f>FORECAST(M2,$D$17:$D$18,$A$17:$A$18)</f>
        <v>143.98450714000501</v>
      </c>
      <c r="N10" s="140">
        <f>FORECAST(N2,$D$17:$D$18,$A$17:$A$18)</f>
        <v>152.21173456000179</v>
      </c>
      <c r="O10" s="102">
        <f>FORECAST(O2,$D$17:$D$18,$A$17:$A$18)</f>
        <v>160.4389619800022</v>
      </c>
      <c r="P10" s="143">
        <f>D18</f>
        <v>168.66618940000001</v>
      </c>
      <c r="Q10" s="130" t="str">
        <f>D2</f>
        <v>TKM_billion</v>
      </c>
    </row>
    <row r="11" spans="1:17">
      <c r="A11" s="135">
        <v>2015</v>
      </c>
      <c r="B11" s="135" t="s">
        <v>199</v>
      </c>
      <c r="C11" s="136">
        <v>0</v>
      </c>
      <c r="D11" s="136">
        <v>761</v>
      </c>
      <c r="E11" s="136">
        <v>0</v>
      </c>
      <c r="F11" s="135" t="s">
        <v>198</v>
      </c>
      <c r="G11" s="134">
        <v>2830</v>
      </c>
      <c r="H11" s="133" t="s">
        <v>185</v>
      </c>
      <c r="I11" s="6"/>
      <c r="J11" s="154" t="str">
        <f>F21</f>
        <v>passenger rail</v>
      </c>
      <c r="K11" s="132">
        <f>E21</f>
        <v>1128</v>
      </c>
      <c r="L11" s="115">
        <f>FORECAST(L2,$E$21:$E$22,$A$21:$A$22)</f>
        <v>1188</v>
      </c>
      <c r="M11" s="163">
        <f>FORECAST(M2,$E$21:$E$22,$A$21:$A$22)</f>
        <v>1248</v>
      </c>
      <c r="N11" s="153">
        <f>FORECAST(N2,$E$21:$E$22,$A$21:$A$22)</f>
        <v>1308</v>
      </c>
      <c r="O11" s="115">
        <f>FORECAST(O2,$E$21:$E$22,$A$21:$A$22)</f>
        <v>1368</v>
      </c>
      <c r="P11" s="131">
        <f>E22</f>
        <v>1428</v>
      </c>
      <c r="Q11" s="93" t="str">
        <f>E2</f>
        <v>PKM_billion</v>
      </c>
    </row>
    <row r="12" spans="1:17">
      <c r="A12" s="135">
        <v>2020</v>
      </c>
      <c r="B12" s="135" t="s">
        <v>199</v>
      </c>
      <c r="C12" s="136">
        <v>0</v>
      </c>
      <c r="D12" s="136">
        <v>997</v>
      </c>
      <c r="E12" s="136">
        <v>0</v>
      </c>
      <c r="F12" s="135" t="s">
        <v>198</v>
      </c>
      <c r="G12" s="134">
        <f>G11</f>
        <v>2830</v>
      </c>
      <c r="H12" s="133" t="s">
        <v>185</v>
      </c>
      <c r="I12" s="6"/>
      <c r="J12" s="108" t="s">
        <v>197</v>
      </c>
      <c r="K12" s="152">
        <f t="shared" ref="K12:P12" si="0">K2</f>
        <v>2015</v>
      </c>
      <c r="L12" s="109">
        <f t="shared" si="0"/>
        <v>2016</v>
      </c>
      <c r="M12" s="160">
        <f t="shared" si="0"/>
        <v>2017</v>
      </c>
      <c r="N12" s="151">
        <f t="shared" si="0"/>
        <v>2018</v>
      </c>
      <c r="O12" s="109">
        <f t="shared" si="0"/>
        <v>2019</v>
      </c>
      <c r="P12" s="150">
        <f t="shared" si="0"/>
        <v>2020</v>
      </c>
      <c r="Q12" s="149" t="s">
        <v>196</v>
      </c>
    </row>
    <row r="13" spans="1:17">
      <c r="A13" s="135">
        <v>2015</v>
      </c>
      <c r="B13" s="135" t="s">
        <v>191</v>
      </c>
      <c r="C13" s="136">
        <v>92.543236980000003</v>
      </c>
      <c r="D13" s="136">
        <v>842.14345649999996</v>
      </c>
      <c r="E13" s="136">
        <v>0</v>
      </c>
      <c r="F13" s="135" t="s">
        <v>190</v>
      </c>
      <c r="G13" s="134">
        <v>6.0999999999999979</v>
      </c>
      <c r="H13" s="133">
        <v>2.7916088079999999</v>
      </c>
      <c r="I13" s="6"/>
      <c r="J13" s="135" t="str">
        <f t="shared" ref="J13:J21" si="1">J3</f>
        <v>passenger motorbikes</v>
      </c>
      <c r="K13" s="148">
        <f>H3</f>
        <v>67.053822167000007</v>
      </c>
      <c r="L13" s="146">
        <f>FORECAST(L2,$H$3:$H$4,$A$3:$A$4)</f>
        <v>71.242226931599362</v>
      </c>
      <c r="M13" s="161">
        <f>FORECAST(M2,$H$3:$H$4,$A$3:$A$4)</f>
        <v>75.43063169620109</v>
      </c>
      <c r="N13" s="147">
        <f>FORECAST(N2,$H$3:$H$4,$A$3:$A$4)</f>
        <v>79.619036460800999</v>
      </c>
      <c r="O13" s="146">
        <f>FORECAST(O2,$H$3:$H$4,$A$3:$A$4)</f>
        <v>83.807441225400908</v>
      </c>
      <c r="P13" s="145">
        <f>H4</f>
        <v>87.995845989999992</v>
      </c>
      <c r="Q13" s="130" t="s">
        <v>189</v>
      </c>
    </row>
    <row r="14" spans="1:17">
      <c r="A14" s="135">
        <v>2020</v>
      </c>
      <c r="B14" s="135" t="s">
        <v>191</v>
      </c>
      <c r="C14" s="136">
        <v>116.89049199999999</v>
      </c>
      <c r="D14" s="136">
        <v>1145.526822</v>
      </c>
      <c r="E14" s="136">
        <v>0</v>
      </c>
      <c r="F14" s="135" t="s">
        <v>190</v>
      </c>
      <c r="G14" s="134">
        <f>G13</f>
        <v>6.0999999999999979</v>
      </c>
      <c r="H14" s="133">
        <v>3.5207716059999887</v>
      </c>
      <c r="I14" s="6"/>
      <c r="J14" s="135" t="str">
        <f t="shared" si="1"/>
        <v>freight motorbikes</v>
      </c>
      <c r="K14" s="139">
        <f>H5</f>
        <v>5.7529710309999897</v>
      </c>
      <c r="L14" s="137">
        <f>FORECAST(L12,$H$5:$H$6,$A$5:$A$6)</f>
        <v>5.9309832129999904</v>
      </c>
      <c r="M14" s="164">
        <f>FORECAST(M12,$H$5:$H$6,$A$5:$A$6)</f>
        <v>6.1089953949999654</v>
      </c>
      <c r="N14" s="138">
        <f>FORECAST(N12,$H$5:$H$6,$A$5:$A$6)</f>
        <v>6.2870075769999971</v>
      </c>
      <c r="O14" s="137">
        <f>FORECAST(O12,$H$5:$H$6,$A$5:$A$6)</f>
        <v>6.4650197589999721</v>
      </c>
      <c r="P14" s="117">
        <f>H6</f>
        <v>6.6430319409999985</v>
      </c>
      <c r="Q14" s="130" t="s">
        <v>189</v>
      </c>
    </row>
    <row r="15" spans="1:17">
      <c r="A15" s="135">
        <v>2015</v>
      </c>
      <c r="B15" s="135" t="s">
        <v>195</v>
      </c>
      <c r="C15" s="136">
        <v>284.130248399999</v>
      </c>
      <c r="D15" s="136">
        <v>0</v>
      </c>
      <c r="E15" s="136">
        <v>631.82213149999995</v>
      </c>
      <c r="F15" s="135" t="s">
        <v>194</v>
      </c>
      <c r="G15" s="134" t="s">
        <v>185</v>
      </c>
      <c r="H15" s="133">
        <v>28.031563311999989</v>
      </c>
      <c r="I15" s="6"/>
      <c r="J15" s="135" t="str">
        <f t="shared" si="1"/>
        <v>passenger aircraft</v>
      </c>
      <c r="K15" s="144"/>
      <c r="L15" s="102"/>
      <c r="N15" s="140">
        <f>'India Aircraft'!B20</f>
        <v>551.23453630236327</v>
      </c>
      <c r="O15" s="102"/>
      <c r="P15" s="143"/>
      <c r="Q15" s="130" t="s">
        <v>188</v>
      </c>
    </row>
    <row r="16" spans="1:17">
      <c r="A16" s="135">
        <v>2020</v>
      </c>
      <c r="B16" s="135" t="s">
        <v>195</v>
      </c>
      <c r="C16" s="136">
        <v>409.27448129999999</v>
      </c>
      <c r="D16" s="136">
        <v>0</v>
      </c>
      <c r="E16" s="136">
        <v>868.96368129999996</v>
      </c>
      <c r="F16" s="135" t="s">
        <v>194</v>
      </c>
      <c r="G16" s="134" t="s">
        <v>185</v>
      </c>
      <c r="H16" s="133">
        <v>40.143727241000001</v>
      </c>
      <c r="I16" s="6"/>
      <c r="J16" s="135" t="str">
        <f t="shared" si="1"/>
        <v>passenger HDVs</v>
      </c>
      <c r="K16" s="139">
        <f>H9</f>
        <v>1.1112206179999999</v>
      </c>
      <c r="L16" s="137">
        <f>FORECAST(L12,$H$9:$H$10,$A$9:$A$10)</f>
        <v>1.1799299248000068</v>
      </c>
      <c r="M16" s="164">
        <f>FORECAST(M12,$H$9:$H$10,$A$9:$A$10)</f>
        <v>1.2486392316000092</v>
      </c>
      <c r="N16" s="138">
        <f>FORECAST(N12,$H$9:$H$10,$A$9:$A$10)</f>
        <v>1.3173485384000116</v>
      </c>
      <c r="O16" s="137">
        <f>FORECAST(O12,$H$9:$H$10,$A$9:$A$10)</f>
        <v>1.3860578452000141</v>
      </c>
      <c r="P16" s="117">
        <f>H10</f>
        <v>1.454767151999989</v>
      </c>
      <c r="Q16" s="130" t="s">
        <v>189</v>
      </c>
    </row>
    <row r="17" spans="1:17">
      <c r="A17" s="135">
        <v>2015</v>
      </c>
      <c r="B17" s="135" t="s">
        <v>193</v>
      </c>
      <c r="C17" s="136">
        <v>66.769660920000007</v>
      </c>
      <c r="D17" s="136">
        <v>127.53005229999999</v>
      </c>
      <c r="E17" s="136">
        <v>0</v>
      </c>
      <c r="F17" s="135" t="s">
        <v>192</v>
      </c>
      <c r="G17" s="134">
        <v>1.7</v>
      </c>
      <c r="H17" s="133">
        <v>3.3305768930000004</v>
      </c>
      <c r="I17" s="6"/>
      <c r="J17" s="135" t="str">
        <f t="shared" si="1"/>
        <v>freight rail</v>
      </c>
      <c r="K17" s="142"/>
      <c r="L17" s="102"/>
      <c r="N17" s="140">
        <v>5422.6328634282709</v>
      </c>
      <c r="O17" s="102"/>
      <c r="P17" s="141"/>
      <c r="Q17" s="130" t="s">
        <v>188</v>
      </c>
    </row>
    <row r="18" spans="1:17">
      <c r="A18" s="135">
        <v>2020</v>
      </c>
      <c r="B18" s="135" t="s">
        <v>193</v>
      </c>
      <c r="C18" s="136">
        <v>88.30690543</v>
      </c>
      <c r="D18" s="136">
        <v>168.66618940000001</v>
      </c>
      <c r="E18" s="136">
        <v>0</v>
      </c>
      <c r="F18" s="135" t="s">
        <v>192</v>
      </c>
      <c r="G18" s="134">
        <f>G17</f>
        <v>1.7</v>
      </c>
      <c r="H18" s="133">
        <v>4.3545614009999998</v>
      </c>
      <c r="I18" s="6"/>
      <c r="J18" s="135" t="str">
        <f t="shared" si="1"/>
        <v>freight HDVs</v>
      </c>
      <c r="K18" s="139">
        <f>H24</f>
        <v>3.559276273</v>
      </c>
      <c r="L18" s="137">
        <f>FORECAST(L12,$H$24:$H$25,$A$24:$A$25)</f>
        <v>3.7224350172000413</v>
      </c>
      <c r="M18" s="164">
        <f>FORECAST(M12,$H$24:$H$25,$A$24:$A$25)</f>
        <v>3.8855937614000027</v>
      </c>
      <c r="N18" s="138">
        <f>FORECAST(N12,$H$24:$H$25,$A$24:$A$25)</f>
        <v>4.0487525056000209</v>
      </c>
      <c r="O18" s="137">
        <f>FORECAST(O12,$H$24:$H$25,$A$24:$A$25)</f>
        <v>4.2119112497999822</v>
      </c>
      <c r="P18" s="117">
        <f>H25</f>
        <v>4.3750699939999889</v>
      </c>
      <c r="Q18" s="130" t="s">
        <v>189</v>
      </c>
    </row>
    <row r="19" spans="1:17">
      <c r="A19" s="135">
        <v>2015</v>
      </c>
      <c r="B19" s="135" t="s">
        <v>191</v>
      </c>
      <c r="C19" s="136">
        <v>26.65993314</v>
      </c>
      <c r="D19" s="136">
        <v>242.605391599999</v>
      </c>
      <c r="E19" s="136">
        <v>0</v>
      </c>
      <c r="F19" s="135" t="s">
        <v>190</v>
      </c>
      <c r="G19" s="134">
        <v>6.0999999999999979</v>
      </c>
      <c r="H19" s="133">
        <v>0.76766746500000005</v>
      </c>
      <c r="I19" s="6"/>
      <c r="J19" s="135" t="str">
        <f t="shared" si="1"/>
        <v>passenger LDVs</v>
      </c>
      <c r="K19" s="139">
        <f>H15</f>
        <v>28.031563311999989</v>
      </c>
      <c r="L19" s="102">
        <f>FORECAST(L12,$H$15:$H$16,$A$15:$A$16)</f>
        <v>30.453996097799973</v>
      </c>
      <c r="M19" s="162">
        <f>FORECAST(M12,$H$15:$H$16,$A$15:$A$16)</f>
        <v>32.876428883600056</v>
      </c>
      <c r="N19" s="140">
        <f>FORECAST(N12,$H$15:$H$16,$A$15:$A$16)</f>
        <v>35.298861669400139</v>
      </c>
      <c r="O19" s="102">
        <f>FORECAST(O12,$H$15:$H$16,$A$15:$A$16)</f>
        <v>37.721294455200223</v>
      </c>
      <c r="P19" s="117">
        <f>H16</f>
        <v>40.143727241000001</v>
      </c>
      <c r="Q19" s="130" t="s">
        <v>189</v>
      </c>
    </row>
    <row r="20" spans="1:17">
      <c r="A20" s="135">
        <v>2020</v>
      </c>
      <c r="B20" s="135" t="s">
        <v>191</v>
      </c>
      <c r="C20" s="136">
        <v>30.196957340000001</v>
      </c>
      <c r="D20" s="136">
        <v>295.93018189999998</v>
      </c>
      <c r="E20" s="136">
        <v>0</v>
      </c>
      <c r="F20" s="135" t="s">
        <v>190</v>
      </c>
      <c r="G20" s="134">
        <f>G19</f>
        <v>6.0999999999999979</v>
      </c>
      <c r="H20" s="133">
        <v>0.85429838800000002</v>
      </c>
      <c r="I20" s="6"/>
      <c r="J20" s="135" t="str">
        <f t="shared" si="1"/>
        <v>freight LDVs</v>
      </c>
      <c r="K20" s="139">
        <f>H17</f>
        <v>3.3305768930000004</v>
      </c>
      <c r="L20" s="137">
        <f>FORECAST(L12,$H$17:$H$18,$A$17:$A$18)</f>
        <v>3.535373794599991</v>
      </c>
      <c r="M20" s="164">
        <f>FORECAST(M12,$H$17:$H$18,$A$17:$A$18)</f>
        <v>3.7401706961999821</v>
      </c>
      <c r="N20" s="138">
        <f>FORECAST(N12,$H$17:$H$18,$A$17:$A$18)</f>
        <v>3.9449675977999732</v>
      </c>
      <c r="O20" s="137">
        <f>FORECAST(O12,$H$17:$H$18,$A$17:$A$18)</f>
        <v>4.1497644994000211</v>
      </c>
      <c r="P20" s="117">
        <f>H18</f>
        <v>4.3545614009999998</v>
      </c>
      <c r="Q20" s="130" t="s">
        <v>189</v>
      </c>
    </row>
    <row r="21" spans="1:17">
      <c r="A21" s="135">
        <v>2015</v>
      </c>
      <c r="B21" s="135" t="s">
        <v>187</v>
      </c>
      <c r="C21" s="136">
        <v>0</v>
      </c>
      <c r="D21" s="136">
        <v>0</v>
      </c>
      <c r="E21" s="136">
        <v>1128</v>
      </c>
      <c r="F21" s="135" t="s">
        <v>186</v>
      </c>
      <c r="G21" s="134">
        <v>1000</v>
      </c>
      <c r="H21" s="133" t="s">
        <v>185</v>
      </c>
      <c r="I21" s="6"/>
      <c r="J21" s="114" t="str">
        <f t="shared" si="1"/>
        <v>passenger rail</v>
      </c>
      <c r="K21" s="132"/>
      <c r="L21" s="115"/>
      <c r="N21" s="166">
        <v>6341.3671365717291</v>
      </c>
      <c r="O21" s="115"/>
      <c r="P21" s="131"/>
      <c r="Q21" s="130" t="s">
        <v>188</v>
      </c>
    </row>
    <row r="22" spans="1:17">
      <c r="A22" s="114">
        <v>2020</v>
      </c>
      <c r="B22" s="114" t="s">
        <v>187</v>
      </c>
      <c r="C22" s="129">
        <v>0</v>
      </c>
      <c r="D22" s="129">
        <v>0</v>
      </c>
      <c r="E22" s="129">
        <v>1428</v>
      </c>
      <c r="F22" s="114" t="s">
        <v>186</v>
      </c>
      <c r="G22" s="128">
        <f>G21</f>
        <v>1000</v>
      </c>
      <c r="H22" s="127" t="s">
        <v>185</v>
      </c>
      <c r="I22" s="6"/>
      <c r="J22" s="126" t="s">
        <v>184</v>
      </c>
    </row>
    <row r="23" spans="1:17">
      <c r="A23" s="125" t="s">
        <v>183</v>
      </c>
      <c r="B23" s="120"/>
      <c r="C23" s="120"/>
      <c r="D23" s="123" t="str">
        <f>D2</f>
        <v>TKM_billion</v>
      </c>
      <c r="E23" s="124"/>
      <c r="F23" s="124"/>
      <c r="G23" s="123" t="str">
        <f>G2</f>
        <v>AVLo</v>
      </c>
      <c r="H23" s="108" t="s">
        <v>182</v>
      </c>
      <c r="J23" s="95" t="s">
        <v>181</v>
      </c>
      <c r="K23" s="1"/>
    </row>
    <row r="24" spans="1:17">
      <c r="A24" s="122">
        <v>2015</v>
      </c>
      <c r="B24" s="119" t="str">
        <f>B19</f>
        <v>MHDT_HHDT</v>
      </c>
      <c r="C24" s="120"/>
      <c r="D24" s="121">
        <f>D13+D19</f>
        <v>1084.7488480999989</v>
      </c>
      <c r="E24" s="120"/>
      <c r="F24" s="119" t="str">
        <f>F19</f>
        <v>freight HDVs</v>
      </c>
      <c r="G24" s="118">
        <f>G19</f>
        <v>6.0999999999999979</v>
      </c>
      <c r="H24" s="117">
        <f>H13+H19</f>
        <v>3.559276273</v>
      </c>
      <c r="J24" s="95" t="s">
        <v>180</v>
      </c>
      <c r="K24" s="6"/>
    </row>
    <row r="25" spans="1:17">
      <c r="A25" s="116">
        <v>2020</v>
      </c>
      <c r="B25" s="114" t="str">
        <f>B19</f>
        <v>MHDT_HHDT</v>
      </c>
      <c r="C25" s="115"/>
      <c r="D25" s="97">
        <f>D14+D20</f>
        <v>1441.4570039</v>
      </c>
      <c r="E25" s="115"/>
      <c r="F25" s="114" t="str">
        <f>F24</f>
        <v>freight HDVs</v>
      </c>
      <c r="G25" s="113">
        <f>G19</f>
        <v>6.0999999999999979</v>
      </c>
      <c r="H25" s="112">
        <f>H14+H20</f>
        <v>4.3750699939999889</v>
      </c>
      <c r="J25" s="95" t="s">
        <v>179</v>
      </c>
      <c r="K25" s="6"/>
    </row>
    <row r="26" spans="1:17">
      <c r="A26" s="95" t="s">
        <v>178</v>
      </c>
      <c r="D26" s="6"/>
      <c r="G26" s="6"/>
      <c r="H26" s="110"/>
      <c r="J26" s="104"/>
      <c r="K26" s="6"/>
    </row>
    <row r="27" spans="1:17">
      <c r="A27" s="95" t="s">
        <v>177</v>
      </c>
      <c r="D27" s="6"/>
      <c r="G27" s="6"/>
      <c r="H27" s="110"/>
      <c r="J27" s="104"/>
      <c r="K27" s="6"/>
    </row>
    <row r="28" spans="1:17">
      <c r="A28" s="95" t="s">
        <v>176</v>
      </c>
      <c r="D28" s="6"/>
      <c r="G28" s="6"/>
      <c r="H28" s="110"/>
      <c r="J28" s="104"/>
      <c r="K28" s="6"/>
    </row>
    <row r="29" spans="1:17">
      <c r="A29" s="95"/>
      <c r="D29" s="6"/>
      <c r="G29" s="6"/>
      <c r="H29" s="110"/>
      <c r="J29" s="104"/>
      <c r="K29" s="6"/>
    </row>
    <row r="30" spans="1:17">
      <c r="B30" s="2" t="s">
        <v>221</v>
      </c>
      <c r="C30" s="4"/>
      <c r="D30" s="111"/>
      <c r="E30" s="4"/>
      <c r="F30" s="4"/>
      <c r="G30" s="6"/>
      <c r="H30" s="110"/>
      <c r="J30" s="104"/>
      <c r="K30" s="6"/>
    </row>
    <row r="31" spans="1:17">
      <c r="B31" s="93"/>
      <c r="C31" s="188" t="s">
        <v>175</v>
      </c>
      <c r="D31" s="189"/>
      <c r="E31" s="188" t="s">
        <v>174</v>
      </c>
      <c r="F31" s="189"/>
      <c r="J31" s="104"/>
      <c r="K31" s="6"/>
    </row>
    <row r="32" spans="1:17" ht="28.8">
      <c r="B32" s="106" t="s">
        <v>222</v>
      </c>
      <c r="C32" s="109" t="s">
        <v>173</v>
      </c>
      <c r="D32" s="108" t="s">
        <v>172</v>
      </c>
      <c r="E32" s="107" t="s">
        <v>171</v>
      </c>
      <c r="F32" s="106" t="s">
        <v>170</v>
      </c>
      <c r="J32" s="104"/>
      <c r="K32" s="6"/>
    </row>
    <row r="33" spans="1:11">
      <c r="B33" s="103" t="s">
        <v>11</v>
      </c>
      <c r="C33" s="102">
        <f>((N9*10^9)/(N19*10^6))</f>
        <v>10176.441141482823</v>
      </c>
      <c r="D33" s="101">
        <f>((N10*10^9)/G17)/(N20*10^6)</f>
        <v>22696.337099699485</v>
      </c>
      <c r="E33" s="105">
        <f t="shared" ref="E33:F37" si="2">C33*$A$42</f>
        <v>6323.3454085243229</v>
      </c>
      <c r="F33" s="105">
        <f t="shared" si="2"/>
        <v>14102.845679977368</v>
      </c>
      <c r="J33" s="104"/>
    </row>
    <row r="34" spans="1:11">
      <c r="B34" s="103" t="s">
        <v>12</v>
      </c>
      <c r="C34" s="102">
        <f>((N6*10^9)/G10)/(N16*10^6)</f>
        <v>61964.459574590604</v>
      </c>
      <c r="D34" s="101">
        <f>((N8*10^9)/G13)/(N18*10^6)</f>
        <v>52587.489068145493</v>
      </c>
      <c r="E34" s="100">
        <f t="shared" si="2"/>
        <v>38502.91821032294</v>
      </c>
      <c r="F34" s="100">
        <f t="shared" si="2"/>
        <v>32676.340669762634</v>
      </c>
      <c r="J34" s="104"/>
      <c r="K34" s="6"/>
    </row>
    <row r="35" spans="1:11">
      <c r="B35" s="103" t="s">
        <v>4</v>
      </c>
      <c r="C35" s="140">
        <f>((M5*10^9)/G7)/N15</f>
        <v>2873528.9585178266</v>
      </c>
      <c r="D35" s="165">
        <v>15377464.7887324</v>
      </c>
      <c r="E35" s="100">
        <f t="shared" si="2"/>
        <v>1785527.5624831805</v>
      </c>
      <c r="F35" s="100">
        <f t="shared" si="2"/>
        <v>9555110.6732394397</v>
      </c>
    </row>
    <row r="36" spans="1:11">
      <c r="B36" s="103" t="s">
        <v>13</v>
      </c>
      <c r="C36" s="140">
        <f>((M11*10^9)/G21)/N21</f>
        <v>196802.98792394064</v>
      </c>
      <c r="D36" s="165">
        <f>((N7*10^9)/G11)/N17</f>
        <v>58816.434260125308</v>
      </c>
      <c r="E36" s="100">
        <f t="shared" si="2"/>
        <v>122287.66940928693</v>
      </c>
      <c r="F36" s="100">
        <f t="shared" si="2"/>
        <v>36546.826572648322</v>
      </c>
    </row>
    <row r="37" spans="1:11">
      <c r="B37" s="99" t="s">
        <v>15</v>
      </c>
      <c r="C37" s="98">
        <f>(N3*10^9)/(N13*10^6)</f>
        <v>9408.2546802584384</v>
      </c>
      <c r="D37" s="97">
        <f>(N4*10^9)/(N14*10^6)</f>
        <v>28739.718348839429</v>
      </c>
      <c r="E37" s="96">
        <f t="shared" si="2"/>
        <v>5846.0166189268666</v>
      </c>
      <c r="F37" s="96">
        <f t="shared" si="2"/>
        <v>17858.027530136704</v>
      </c>
    </row>
    <row r="38" spans="1:11">
      <c r="B38" s="95" t="s">
        <v>169</v>
      </c>
    </row>
    <row r="39" spans="1:11">
      <c r="B39" s="95" t="s">
        <v>168</v>
      </c>
    </row>
    <row r="41" spans="1:11">
      <c r="A41" s="93">
        <v>1</v>
      </c>
      <c r="B41" s="93" t="s">
        <v>167</v>
      </c>
    </row>
    <row r="42" spans="1:11">
      <c r="A42" s="94">
        <v>0.62137100000000001</v>
      </c>
      <c r="B42" s="93" t="s">
        <v>166</v>
      </c>
    </row>
  </sheetData>
  <mergeCells count="2">
    <mergeCell ref="C31:D31"/>
    <mergeCell ref="E31:F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C9" sqref="C9"/>
    </sheetView>
  </sheetViews>
  <sheetFormatPr defaultRowHeight="14.4"/>
  <cols>
    <col min="1" max="1" width="12.44140625" customWidth="1"/>
    <col min="2" max="2" width="15.21875" customWidth="1"/>
  </cols>
  <sheetData>
    <row r="1" spans="1:3" ht="28.8">
      <c r="A1" s="37" t="s">
        <v>104</v>
      </c>
      <c r="B1" t="s">
        <v>105</v>
      </c>
      <c r="C1" t="s">
        <v>106</v>
      </c>
    </row>
    <row r="2" spans="1:3">
      <c r="A2" s="1" t="s">
        <v>11</v>
      </c>
      <c r="B2">
        <v>2.1633908129876787</v>
      </c>
      <c r="C2">
        <v>1.7</v>
      </c>
    </row>
    <row r="3" spans="1:3">
      <c r="A3" s="39" t="s">
        <v>12</v>
      </c>
      <c r="B3">
        <v>45</v>
      </c>
      <c r="C3">
        <v>6.0999999999999979</v>
      </c>
    </row>
    <row r="4" spans="1:3">
      <c r="A4" s="1" t="s">
        <v>4</v>
      </c>
      <c r="B4">
        <v>180</v>
      </c>
      <c r="C4">
        <v>17.34</v>
      </c>
    </row>
    <row r="5" spans="1:3">
      <c r="A5" s="39" t="s">
        <v>13</v>
      </c>
      <c r="B5">
        <v>1000</v>
      </c>
      <c r="C5">
        <v>2830</v>
      </c>
    </row>
    <row r="6" spans="1:3">
      <c r="A6" s="40" t="s">
        <v>14</v>
      </c>
      <c r="B6" s="42">
        <v>756.78378378378375</v>
      </c>
      <c r="C6" s="42">
        <v>1974.4736422180429</v>
      </c>
    </row>
    <row r="7" spans="1:3">
      <c r="A7" s="1" t="s">
        <v>15</v>
      </c>
      <c r="B7">
        <v>1.6</v>
      </c>
      <c r="C7">
        <v>1.76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J10"/>
  <sheetViews>
    <sheetView workbookViewId="0">
      <selection activeCell="B5" sqref="B5"/>
    </sheetView>
  </sheetViews>
  <sheetFormatPr defaultRowHeight="14.4"/>
  <cols>
    <col min="1" max="1" width="16.88671875" customWidth="1"/>
    <col min="2" max="2" width="24.5546875" customWidth="1"/>
    <col min="3" max="3" width="20.88671875" customWidth="1"/>
    <col min="4" max="4" width="18.21875" customWidth="1"/>
    <col min="5" max="5" width="17.109375" customWidth="1"/>
    <col min="6" max="6" width="23.21875" customWidth="1"/>
    <col min="7" max="7" width="19.21875" customWidth="1"/>
    <col min="8" max="8" width="16.44140625" bestFit="1" customWidth="1"/>
  </cols>
  <sheetData>
    <row r="1" spans="1:10" ht="28.8">
      <c r="A1" s="37" t="s">
        <v>96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97</v>
      </c>
      <c r="H1" s="5" t="s">
        <v>98</v>
      </c>
    </row>
    <row r="2" spans="1:10">
      <c r="A2" s="1" t="s">
        <v>11</v>
      </c>
      <c r="B2" s="6">
        <f>'India Road'!$B44*'India Road'!F44</f>
        <v>615848.20150874218</v>
      </c>
      <c r="C2" s="6">
        <f>'India Road'!$B44*'India Road'!G44</f>
        <v>849794.15546040249</v>
      </c>
      <c r="D2" s="6">
        <f>'India Road'!$B44*'India Road'!H44</f>
        <v>22947963.197690368</v>
      </c>
      <c r="E2" s="6">
        <f>'India Road'!$B44*'India Road'!I44</f>
        <v>7216713.4432944926</v>
      </c>
      <c r="F2" s="6">
        <f>'India Road'!$B44*'India Road'!J44</f>
        <v>0</v>
      </c>
      <c r="G2" s="6">
        <f>'India Road'!$B44*'India Road'!K44</f>
        <v>849794.15546040249</v>
      </c>
      <c r="H2" s="6">
        <f>'India Road'!$B44*'India Road'!L44</f>
        <v>0</v>
      </c>
      <c r="J2" s="6"/>
    </row>
    <row r="3" spans="1:10">
      <c r="A3" s="1" t="s">
        <v>12</v>
      </c>
      <c r="B3" s="6">
        <f>'India Road'!$B45*'India Road'!F45</f>
        <v>8406.8117715651679</v>
      </c>
      <c r="C3" s="6">
        <f>'India Road'!$B45*'India Road'!G45</f>
        <v>26670.91749354481</v>
      </c>
      <c r="D3" s="6">
        <f>'India Road'!$B45*'India Road'!H45</f>
        <v>0</v>
      </c>
      <c r="E3" s="6">
        <f>'India Road'!$B45*'India Road'!I45</f>
        <v>1928772.027221299</v>
      </c>
      <c r="F3" s="6">
        <f>'India Road'!$B45*'India Road'!J45</f>
        <v>0</v>
      </c>
      <c r="G3" s="6">
        <f>'India Road'!$B45*'India Road'!K45</f>
        <v>0</v>
      </c>
      <c r="H3" s="6">
        <f>'India Road'!$B45*'India Road'!L45</f>
        <v>0</v>
      </c>
      <c r="J3" s="6"/>
    </row>
    <row r="4" spans="1:10">
      <c r="A4" s="1" t="s">
        <v>4</v>
      </c>
      <c r="B4" s="7">
        <v>0</v>
      </c>
      <c r="C4" s="7">
        <v>0</v>
      </c>
      <c r="D4" s="7">
        <v>0</v>
      </c>
      <c r="E4" s="7">
        <f>'India Aircraft'!B20</f>
        <v>551.23453630236327</v>
      </c>
      <c r="F4" s="7">
        <v>0</v>
      </c>
      <c r="G4" s="7">
        <v>0</v>
      </c>
      <c r="H4" s="7">
        <v>0</v>
      </c>
      <c r="J4" s="6"/>
    </row>
    <row r="5" spans="1:10">
      <c r="A5" s="1" t="s">
        <v>13</v>
      </c>
      <c r="B5" s="7">
        <f>'India Rail'!G16</f>
        <v>3240.4386067881537</v>
      </c>
      <c r="C5" s="7">
        <v>0</v>
      </c>
      <c r="D5" s="7">
        <v>0</v>
      </c>
      <c r="E5" s="7">
        <f>'India Rail'!G15</f>
        <v>3100.928529783575</v>
      </c>
      <c r="F5" s="7">
        <v>0</v>
      </c>
      <c r="G5" s="7">
        <v>0</v>
      </c>
      <c r="H5" s="7">
        <v>0</v>
      </c>
      <c r="J5" s="6"/>
    </row>
    <row r="6" spans="1:10">
      <c r="A6" s="1" t="s">
        <v>14</v>
      </c>
      <c r="B6" s="7">
        <v>0</v>
      </c>
      <c r="C6" s="7">
        <v>0</v>
      </c>
      <c r="D6" s="7">
        <v>0</v>
      </c>
      <c r="E6" s="7">
        <f>'India Ships'!B2</f>
        <v>101</v>
      </c>
      <c r="F6" s="7">
        <v>0</v>
      </c>
      <c r="G6" s="7">
        <v>0</v>
      </c>
      <c r="H6" s="7">
        <v>0</v>
      </c>
      <c r="J6" s="6"/>
    </row>
    <row r="7" spans="1:10">
      <c r="A7" s="1" t="s">
        <v>15</v>
      </c>
      <c r="B7" s="7">
        <f>'India Road'!$B46*'India Road'!F46</f>
        <v>7487182.6612117011</v>
      </c>
      <c r="C7" s="7">
        <f>'India Road'!$B46*'India Road'!G46</f>
        <v>0</v>
      </c>
      <c r="D7" s="7">
        <f>'India Road'!$B46*'India Road'!H46</f>
        <v>181871805.17837322</v>
      </c>
      <c r="E7" s="7">
        <f>'India Road'!$B46*'India Road'!I46</f>
        <v>0</v>
      </c>
      <c r="F7" s="7">
        <f>'India Road'!$B46*'India Road'!J46</f>
        <v>0</v>
      </c>
      <c r="G7" s="7">
        <f>'India Road'!$B46*'India Road'!K46</f>
        <v>0</v>
      </c>
      <c r="H7" s="7">
        <f>'India Road'!$B46*'India Road'!L46</f>
        <v>0</v>
      </c>
      <c r="J7" s="6"/>
    </row>
    <row r="8" spans="1:10">
      <c r="B8" s="10"/>
      <c r="C8" s="10"/>
      <c r="D8" s="10"/>
      <c r="E8" s="10"/>
      <c r="F8" s="10"/>
      <c r="G8" s="10"/>
      <c r="H8" s="10"/>
    </row>
    <row r="9" spans="1:10">
      <c r="B9" s="10"/>
      <c r="C9" s="10"/>
      <c r="D9" s="10"/>
      <c r="E9" s="10"/>
      <c r="F9" s="10"/>
      <c r="G9" s="10"/>
      <c r="H9" s="10"/>
    </row>
    <row r="10" spans="1:10">
      <c r="B10" s="6"/>
      <c r="C1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E6" sqref="E6"/>
    </sheetView>
  </sheetViews>
  <sheetFormatPr defaultRowHeight="14.4"/>
  <cols>
    <col min="1" max="1" width="16.88671875" customWidth="1"/>
    <col min="2" max="2" width="24.5546875" customWidth="1"/>
    <col min="3" max="3" width="20.88671875" customWidth="1"/>
    <col min="4" max="4" width="18.21875" customWidth="1"/>
    <col min="5" max="5" width="17.109375" customWidth="1"/>
    <col min="6" max="6" width="23.21875" customWidth="1"/>
    <col min="7" max="7" width="15.77734375" customWidth="1"/>
    <col min="8" max="8" width="16.44140625" bestFit="1" customWidth="1"/>
  </cols>
  <sheetData>
    <row r="1" spans="1:8" ht="28.8">
      <c r="A1" s="37" t="s">
        <v>96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97</v>
      </c>
      <c r="H1" s="5" t="s">
        <v>98</v>
      </c>
    </row>
    <row r="2" spans="1:8">
      <c r="A2" s="1" t="s">
        <v>11</v>
      </c>
      <c r="B2" s="10">
        <f>'India Road'!$C44*'India Road'!F50</f>
        <v>0</v>
      </c>
      <c r="C2" s="10">
        <f>'India Road'!$C44*'India Road'!G50</f>
        <v>0</v>
      </c>
      <c r="D2" s="10">
        <f>'India Road'!$C44*'India Road'!H50</f>
        <v>0</v>
      </c>
      <c r="E2" s="10">
        <f>'India Road'!$C44*'India Road'!I50</f>
        <v>3091878.5080698477</v>
      </c>
      <c r="F2" s="10">
        <f>'India Road'!$C44*'India Road'!J50</f>
        <v>0</v>
      </c>
      <c r="G2" s="10">
        <f>'India Road'!$C44*'India Road'!K50</f>
        <v>0</v>
      </c>
      <c r="H2" s="10">
        <f>'India Road'!$C44*'India Road'!L50</f>
        <v>0</v>
      </c>
    </row>
    <row r="3" spans="1:8">
      <c r="A3" s="1" t="s">
        <v>12</v>
      </c>
      <c r="B3" s="10">
        <f>'India Road'!$C45*'India Road'!F51</f>
        <v>0</v>
      </c>
      <c r="C3" s="10">
        <f>'India Road'!$C45*'India Road'!G51</f>
        <v>0</v>
      </c>
      <c r="D3" s="10">
        <f>'India Road'!$C45*'India Road'!H51</f>
        <v>0</v>
      </c>
      <c r="E3" s="10">
        <f>'India Road'!$C45*'India Road'!I51</f>
        <v>6177534.8826565482</v>
      </c>
      <c r="F3" s="10">
        <f>'India Road'!$C45*'India Road'!J51</f>
        <v>0</v>
      </c>
      <c r="G3" s="10">
        <f>'India Road'!$C45*'India Road'!K51</f>
        <v>0</v>
      </c>
      <c r="H3" s="10">
        <f>'India Road'!$C45*'India Road'!L51</f>
        <v>0</v>
      </c>
    </row>
    <row r="4" spans="1:8">
      <c r="A4" s="1" t="s">
        <v>4</v>
      </c>
      <c r="B4" s="10">
        <v>0</v>
      </c>
      <c r="C4" s="10">
        <v>0</v>
      </c>
      <c r="D4" s="10">
        <v>0</v>
      </c>
      <c r="E4" s="7">
        <f>'India Aircraft'!B21</f>
        <v>68.765463697636719</v>
      </c>
      <c r="F4" s="10">
        <v>0</v>
      </c>
      <c r="G4" s="92">
        <v>0</v>
      </c>
      <c r="H4" s="10">
        <v>0</v>
      </c>
    </row>
    <row r="5" spans="1:8">
      <c r="A5" s="1" t="s">
        <v>13</v>
      </c>
      <c r="B5" s="7">
        <f>'India Rail'!G19</f>
        <v>3629.5489299213236</v>
      </c>
      <c r="C5" s="10">
        <v>0</v>
      </c>
      <c r="D5" s="10">
        <v>0</v>
      </c>
      <c r="E5" s="7">
        <f>'India Rail'!G18</f>
        <v>1793.083933506947</v>
      </c>
      <c r="F5" s="10">
        <v>0</v>
      </c>
      <c r="G5" s="7">
        <v>0</v>
      </c>
      <c r="H5" s="10">
        <v>0</v>
      </c>
    </row>
    <row r="6" spans="1:8">
      <c r="A6" s="1" t="s">
        <v>14</v>
      </c>
      <c r="B6" s="10">
        <v>0</v>
      </c>
      <c r="C6" s="10">
        <v>0</v>
      </c>
      <c r="D6" s="10">
        <v>0</v>
      </c>
      <c r="E6" s="7">
        <f>'India Ships'!B3</f>
        <v>1200</v>
      </c>
      <c r="F6" s="10">
        <v>0</v>
      </c>
      <c r="G6" s="7">
        <v>0</v>
      </c>
      <c r="H6" s="10">
        <v>0</v>
      </c>
    </row>
    <row r="7" spans="1:8">
      <c r="A7" s="1" t="s">
        <v>15</v>
      </c>
      <c r="B7" s="7">
        <f>'India Road'!$C46*'India Road'!F52</f>
        <v>293883.8740396616</v>
      </c>
      <c r="C7" s="7">
        <f>'India Road'!$C46*'India Road'!G52</f>
        <v>984569.0752262657</v>
      </c>
      <c r="D7" s="7">
        <f>'India Road'!$C46*'India Road'!H52</f>
        <v>3483068.1367663592</v>
      </c>
      <c r="E7" s="7">
        <f>'India Road'!$C46*'India Road'!I52</f>
        <v>3191643.3756608581</v>
      </c>
      <c r="F7" s="7">
        <f>'India Road'!$C46*'India Road'!J52</f>
        <v>0</v>
      </c>
      <c r="G7" s="7">
        <f>'India Road'!$C46*'India Road'!K52</f>
        <v>754505.88022275467</v>
      </c>
      <c r="H7" s="7">
        <f>'India Road'!$C46*'India Road'!L52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India Ships</vt:lpstr>
      <vt:lpstr>India Rail</vt:lpstr>
      <vt:lpstr>India Aircraft</vt:lpstr>
      <vt:lpstr>India Road</vt:lpstr>
      <vt:lpstr>2018 Calcs</vt:lpstr>
      <vt:lpstr>India AVLo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Siddharth Mohapatra</cp:lastModifiedBy>
  <cp:revision/>
  <dcterms:created xsi:type="dcterms:W3CDTF">2017-06-22T21:46:10Z</dcterms:created>
  <dcterms:modified xsi:type="dcterms:W3CDTF">2021-09-21T22:18:30Z</dcterms:modified>
  <cp:category/>
  <cp:contentStatus/>
</cp:coreProperties>
</file>