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fuels\BFPIaE\"/>
    </mc:Choice>
  </mc:AlternateContent>
  <xr:revisionPtr revIDLastSave="0" documentId="8_{0E4B700C-506C-42DD-A0E0-4E5E693C88C5}" xr6:coauthVersionLast="47" xr6:coauthVersionMax="47" xr10:uidLastSave="{00000000-0000-0000-0000-000000000000}"/>
  <bookViews>
    <workbookView xWindow="-28920" yWindow="855" windowWidth="29040" windowHeight="15840" tabRatio="684" xr2:uid="{00000000-000D-0000-FFFF-FFFF00000000}"/>
  </bookViews>
  <sheets>
    <sheet name="About" sheetId="4" r:id="rId1"/>
    <sheet name="Conversion Factors" sheetId="20" r:id="rId2"/>
    <sheet name="Heat content of coal" sheetId="32" r:id="rId3"/>
    <sheet name="BAU Total Primary Fuel Use" sheetId="31" r:id="rId4"/>
    <sheet name="Crude Oil" sheetId="21" r:id="rId5"/>
    <sheet name="Natural Gas" sheetId="22" r:id="rId6"/>
    <sheet name="Petroleum Products" sheetId="23" r:id="rId7"/>
    <sheet name="Coal &amp; Lignite" sheetId="26" r:id="rId8"/>
    <sheet name="Biofuels" sheetId="27" r:id="rId9"/>
    <sheet name="MSW" sheetId="28" r:id="rId10"/>
    <sheet name="Biomass" sheetId="29" r:id="rId11"/>
    <sheet name="Nuclear" sheetId="30" r:id="rId12"/>
    <sheet name="AEO Table 73" sheetId="15" r:id="rId13"/>
    <sheet name="BFPIaE-production" sheetId="12" r:id="rId14"/>
    <sheet name="BFPIaE-imports" sheetId="19" r:id="rId15"/>
    <sheet name="BFPIaE-exports" sheetId="13" r:id="rId16"/>
  </sheets>
  <externalReferences>
    <externalReference r:id="rId17"/>
    <externalReference r:id="rId18"/>
  </externalReferences>
  <definedNames>
    <definedName name="gal_per_barrel">[1]About!$A$63</definedName>
    <definedName name="preferences.energyunits">[2]Preferences!$C$3</definedName>
    <definedName name="Preferences.PowerUnits">[2]Preferences!$C$5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2" l="1"/>
  <c r="B5" i="22"/>
  <c r="C4" i="22"/>
  <c r="B4" i="22"/>
  <c r="AA14" i="13"/>
  <c r="AB14" i="13"/>
  <c r="AC14" i="13"/>
  <c r="AD14" i="13"/>
  <c r="AE14" i="13"/>
  <c r="AF14" i="13"/>
  <c r="AG14" i="13"/>
  <c r="AH14" i="13"/>
  <c r="AI14" i="13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D14" i="19"/>
  <c r="B14" i="19" s="1"/>
  <c r="C14" i="19" l="1"/>
  <c r="B3" i="26" l="1"/>
  <c r="B7" i="32"/>
  <c r="B6" i="32"/>
  <c r="B9" i="32" s="1"/>
  <c r="B62" i="20" s="1"/>
  <c r="B18" i="13" l="1"/>
  <c r="C18" i="13" s="1"/>
  <c r="D18" i="13" s="1"/>
  <c r="E18" i="13" s="1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C13" i="13"/>
  <c r="D13" i="13" s="1"/>
  <c r="E13" i="13" s="1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AB13" i="13" s="1"/>
  <c r="AC13" i="13" s="1"/>
  <c r="AD13" i="13" s="1"/>
  <c r="AE13" i="13" s="1"/>
  <c r="AF13" i="13" s="1"/>
  <c r="AG13" i="13" s="1"/>
  <c r="AH13" i="13" s="1"/>
  <c r="AI13" i="13" s="1"/>
  <c r="C9" i="13"/>
  <c r="D9" i="13" s="1"/>
  <c r="E9" i="13" s="1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AB9" i="13" s="1"/>
  <c r="AC9" i="13" s="1"/>
  <c r="AD9" i="13" s="1"/>
  <c r="AE9" i="13" s="1"/>
  <c r="AF9" i="13" s="1"/>
  <c r="AG9" i="13" s="1"/>
  <c r="AH9" i="13" s="1"/>
  <c r="AI9" i="13" s="1"/>
  <c r="C5" i="13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AI5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C21" i="19"/>
  <c r="D21" i="19" s="1"/>
  <c r="E21" i="19" s="1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Q21" i="19" s="1"/>
  <c r="R21" i="19" s="1"/>
  <c r="S21" i="19" s="1"/>
  <c r="T21" i="19" s="1"/>
  <c r="U21" i="19" s="1"/>
  <c r="V21" i="19" s="1"/>
  <c r="W21" i="19" s="1"/>
  <c r="X21" i="19" s="1"/>
  <c r="Y21" i="19" s="1"/>
  <c r="Z21" i="19" s="1"/>
  <c r="AA21" i="19" s="1"/>
  <c r="AB21" i="19" s="1"/>
  <c r="AC21" i="19" s="1"/>
  <c r="AD21" i="19" s="1"/>
  <c r="AE21" i="19" s="1"/>
  <c r="AF21" i="19" s="1"/>
  <c r="AG21" i="19" s="1"/>
  <c r="AH21" i="19" s="1"/>
  <c r="AI21" i="19" s="1"/>
  <c r="C13" i="19"/>
  <c r="D13" i="19" s="1"/>
  <c r="E13" i="19" s="1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Q13" i="19" s="1"/>
  <c r="R13" i="19" s="1"/>
  <c r="S13" i="19" s="1"/>
  <c r="T13" i="19" s="1"/>
  <c r="U13" i="19" s="1"/>
  <c r="V13" i="19" s="1"/>
  <c r="W13" i="19" s="1"/>
  <c r="X13" i="19" s="1"/>
  <c r="Y13" i="19" s="1"/>
  <c r="Z13" i="19" s="1"/>
  <c r="AA13" i="19" s="1"/>
  <c r="AB13" i="19" s="1"/>
  <c r="AC13" i="19" s="1"/>
  <c r="AD13" i="19" s="1"/>
  <c r="AE13" i="19" s="1"/>
  <c r="AF13" i="19" s="1"/>
  <c r="AG13" i="19" s="1"/>
  <c r="AH13" i="19" s="1"/>
  <c r="AI13" i="19" s="1"/>
  <c r="C12" i="19"/>
  <c r="D12" i="19" s="1"/>
  <c r="E12" i="19" s="1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Q12" i="19" s="1"/>
  <c r="R12" i="19" s="1"/>
  <c r="S12" i="19" s="1"/>
  <c r="T12" i="19" s="1"/>
  <c r="U12" i="19" s="1"/>
  <c r="V12" i="19" s="1"/>
  <c r="W12" i="19" s="1"/>
  <c r="X12" i="19" s="1"/>
  <c r="Y12" i="19" s="1"/>
  <c r="Z12" i="19" s="1"/>
  <c r="AA12" i="19" s="1"/>
  <c r="AB12" i="19" s="1"/>
  <c r="AC12" i="19" s="1"/>
  <c r="AD12" i="19" s="1"/>
  <c r="AE12" i="19" s="1"/>
  <c r="AF12" i="19" s="1"/>
  <c r="AG12" i="19" s="1"/>
  <c r="AH12" i="19" s="1"/>
  <c r="AI12" i="19" s="1"/>
  <c r="C9" i="19"/>
  <c r="D9" i="19" s="1"/>
  <c r="E9" i="19" s="1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W9" i="19" s="1"/>
  <c r="X9" i="19" s="1"/>
  <c r="Y9" i="19" s="1"/>
  <c r="Z9" i="19" s="1"/>
  <c r="AA9" i="19" s="1"/>
  <c r="AB9" i="19" s="1"/>
  <c r="AC9" i="19" s="1"/>
  <c r="AD9" i="19" s="1"/>
  <c r="AE9" i="19" s="1"/>
  <c r="AF9" i="19" s="1"/>
  <c r="AG9" i="19" s="1"/>
  <c r="AH9" i="19" s="1"/>
  <c r="AI9" i="19" s="1"/>
  <c r="C22" i="19"/>
  <c r="D22" i="19" s="1"/>
  <c r="E22" i="19" s="1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Q22" i="19" s="1"/>
  <c r="R22" i="19" s="1"/>
  <c r="S22" i="19" s="1"/>
  <c r="T22" i="19" s="1"/>
  <c r="U22" i="19" s="1"/>
  <c r="V22" i="19" s="1"/>
  <c r="W22" i="19" s="1"/>
  <c r="X22" i="19" s="1"/>
  <c r="Y22" i="19" s="1"/>
  <c r="Z22" i="19" s="1"/>
  <c r="AA22" i="19" s="1"/>
  <c r="AB22" i="19" s="1"/>
  <c r="AC22" i="19" s="1"/>
  <c r="AD22" i="19" s="1"/>
  <c r="AE22" i="19" s="1"/>
  <c r="AF22" i="19" s="1"/>
  <c r="AG22" i="19" s="1"/>
  <c r="AH22" i="19" s="1"/>
  <c r="AI22" i="19" s="1"/>
  <c r="C16" i="19"/>
  <c r="D16" i="19" s="1"/>
  <c r="E16" i="19" s="1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Q16" i="19" s="1"/>
  <c r="R16" i="19" s="1"/>
  <c r="S16" i="19" s="1"/>
  <c r="T16" i="19" s="1"/>
  <c r="U16" i="19" s="1"/>
  <c r="V16" i="19" s="1"/>
  <c r="W16" i="19" s="1"/>
  <c r="X16" i="19" s="1"/>
  <c r="Y16" i="19" s="1"/>
  <c r="Z16" i="19" s="1"/>
  <c r="AA16" i="19" s="1"/>
  <c r="AB16" i="19" s="1"/>
  <c r="AC16" i="19" s="1"/>
  <c r="AD16" i="19" s="1"/>
  <c r="AE16" i="19" s="1"/>
  <c r="AF16" i="19" s="1"/>
  <c r="AG16" i="19" s="1"/>
  <c r="AH16" i="19" s="1"/>
  <c r="AI16" i="19" s="1"/>
  <c r="C15" i="19"/>
  <c r="D15" i="19" s="1"/>
  <c r="E15" i="19" s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Q15" i="19" s="1"/>
  <c r="R15" i="19" s="1"/>
  <c r="S15" i="19" s="1"/>
  <c r="T15" i="19" s="1"/>
  <c r="U15" i="19" s="1"/>
  <c r="V15" i="19" s="1"/>
  <c r="W15" i="19" s="1"/>
  <c r="X15" i="19" s="1"/>
  <c r="Y15" i="19" s="1"/>
  <c r="Z15" i="19" s="1"/>
  <c r="AA15" i="19" s="1"/>
  <c r="AB15" i="19" s="1"/>
  <c r="AC15" i="19" s="1"/>
  <c r="AD15" i="19" s="1"/>
  <c r="AE15" i="19" s="1"/>
  <c r="AF15" i="19" s="1"/>
  <c r="AG15" i="19" s="1"/>
  <c r="AH15" i="19" s="1"/>
  <c r="AI15" i="19" s="1"/>
  <c r="C8" i="19"/>
  <c r="D8" i="19" s="1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AI8" i="19" s="1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AH7" i="19" s="1"/>
  <c r="AI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AH6" i="19" s="1"/>
  <c r="AI6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AH2" i="19" s="1"/>
  <c r="AI2" i="19" s="1"/>
  <c r="C28" i="27" l="1"/>
  <c r="D28" i="27" s="1"/>
  <c r="E28" i="27" s="1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Q28" i="27" s="1"/>
  <c r="R28" i="27" s="1"/>
  <c r="S28" i="27" s="1"/>
  <c r="T28" i="27" s="1"/>
  <c r="U28" i="27" s="1"/>
  <c r="V28" i="27" s="1"/>
  <c r="W28" i="27" s="1"/>
  <c r="X28" i="27" s="1"/>
  <c r="Y28" i="27" s="1"/>
  <c r="Z28" i="27" s="1"/>
  <c r="AA28" i="27" s="1"/>
  <c r="AB28" i="27" s="1"/>
  <c r="AC28" i="27" s="1"/>
  <c r="AD28" i="27" s="1"/>
  <c r="AE28" i="27" s="1"/>
  <c r="AF28" i="27" s="1"/>
  <c r="AG28" i="27" s="1"/>
  <c r="AH28" i="27" s="1"/>
  <c r="AI28" i="27" s="1"/>
  <c r="C23" i="27"/>
  <c r="D23" i="27"/>
  <c r="E23" i="27"/>
  <c r="E24" i="27" s="1"/>
  <c r="E25" i="27" s="1"/>
  <c r="F23" i="27"/>
  <c r="F24" i="27" s="1"/>
  <c r="F25" i="27" s="1"/>
  <c r="G23" i="27"/>
  <c r="G24" i="27" s="1"/>
  <c r="G25" i="27" s="1"/>
  <c r="H23" i="27"/>
  <c r="B23" i="27"/>
  <c r="D24" i="27" l="1"/>
  <c r="D25" i="27" s="1"/>
  <c r="C24" i="27"/>
  <c r="C25" i="27" s="1"/>
  <c r="H24" i="27"/>
  <c r="H25" i="27" s="1"/>
  <c r="B90" i="20"/>
  <c r="B92" i="20" s="1"/>
  <c r="C10" i="30"/>
  <c r="D10" i="30" s="1"/>
  <c r="E10" i="30" s="1"/>
  <c r="F10" i="30" s="1"/>
  <c r="G10" i="30" s="1"/>
  <c r="H10" i="30" s="1"/>
  <c r="I10" i="30" s="1"/>
  <c r="J10" i="30" s="1"/>
  <c r="K10" i="30" s="1"/>
  <c r="L10" i="30" s="1"/>
  <c r="M10" i="30" s="1"/>
  <c r="N10" i="30" s="1"/>
  <c r="O10" i="30" s="1"/>
  <c r="P10" i="30" s="1"/>
  <c r="Q10" i="30" s="1"/>
  <c r="R10" i="30" s="1"/>
  <c r="S10" i="30" s="1"/>
  <c r="T10" i="30" s="1"/>
  <c r="U10" i="30" s="1"/>
  <c r="V10" i="30" s="1"/>
  <c r="W10" i="30" s="1"/>
  <c r="X10" i="30" s="1"/>
  <c r="Y10" i="30" s="1"/>
  <c r="Z10" i="30" s="1"/>
  <c r="AA10" i="30" s="1"/>
  <c r="AB10" i="30" s="1"/>
  <c r="AC10" i="30" s="1"/>
  <c r="AD10" i="30" s="1"/>
  <c r="AE10" i="30" s="1"/>
  <c r="AF10" i="30" s="1"/>
  <c r="AG10" i="30" s="1"/>
  <c r="AH10" i="30" s="1"/>
  <c r="AI10" i="30" s="1"/>
  <c r="D6" i="30" l="1"/>
  <c r="L12" i="30" s="1"/>
  <c r="L5" i="19" s="1"/>
  <c r="H6" i="30"/>
  <c r="AF12" i="30" s="1"/>
  <c r="D5" i="30"/>
  <c r="H5" i="30"/>
  <c r="F5" i="30"/>
  <c r="C6" i="30"/>
  <c r="G12" i="30" s="1"/>
  <c r="G5" i="19" s="1"/>
  <c r="G5" i="30"/>
  <c r="E6" i="30"/>
  <c r="Q12" i="30" s="1"/>
  <c r="Q5" i="19" s="1"/>
  <c r="B6" i="30"/>
  <c r="B12" i="30" s="1"/>
  <c r="B5" i="19" s="1"/>
  <c r="E5" i="30"/>
  <c r="F6" i="30"/>
  <c r="V12" i="30" s="1"/>
  <c r="V5" i="19" s="1"/>
  <c r="G6" i="30"/>
  <c r="AA12" i="30" s="1"/>
  <c r="AA5" i="19" s="1"/>
  <c r="B5" i="30"/>
  <c r="B11" i="30" s="1"/>
  <c r="C5" i="30"/>
  <c r="Z12" i="30"/>
  <c r="Z5" i="19" s="1"/>
  <c r="C12" i="30"/>
  <c r="C5" i="19" s="1"/>
  <c r="J12" i="30"/>
  <c r="J5" i="19" s="1"/>
  <c r="O12" i="30"/>
  <c r="O5" i="19" s="1"/>
  <c r="T12" i="30"/>
  <c r="T5" i="19" s="1"/>
  <c r="Y12" i="30"/>
  <c r="Y5" i="19" s="1"/>
  <c r="AD12" i="30"/>
  <c r="AD5" i="19" s="1"/>
  <c r="P12" i="30"/>
  <c r="P5" i="19" s="1"/>
  <c r="AE12" i="30"/>
  <c r="AE5" i="19" s="1"/>
  <c r="F12" i="30"/>
  <c r="F5" i="19" s="1"/>
  <c r="I12" i="30"/>
  <c r="I5" i="19" s="1"/>
  <c r="N12" i="30"/>
  <c r="N5" i="19" s="1"/>
  <c r="S12" i="30"/>
  <c r="S5" i="19" s="1"/>
  <c r="X12" i="30"/>
  <c r="X5" i="19" s="1"/>
  <c r="AC12" i="30"/>
  <c r="AC5" i="19" s="1"/>
  <c r="D12" i="30"/>
  <c r="D5" i="19" s="1"/>
  <c r="K12" i="30"/>
  <c r="K5" i="19" s="1"/>
  <c r="U12" i="30"/>
  <c r="U5" i="19" s="1"/>
  <c r="E12" i="30"/>
  <c r="E5" i="19" s="1"/>
  <c r="H12" i="30"/>
  <c r="H5" i="19" s="1"/>
  <c r="M12" i="30"/>
  <c r="M5" i="19" s="1"/>
  <c r="R12" i="30"/>
  <c r="R5" i="19" s="1"/>
  <c r="W12" i="30"/>
  <c r="W5" i="19" s="1"/>
  <c r="AB12" i="30"/>
  <c r="AB5" i="19" s="1"/>
  <c r="K11" i="23"/>
  <c r="K12" i="23" s="1"/>
  <c r="L11" i="23"/>
  <c r="L12" i="23" s="1"/>
  <c r="J11" i="23"/>
  <c r="J12" i="23" s="1"/>
  <c r="K4" i="23"/>
  <c r="K5" i="23" s="1"/>
  <c r="L4" i="23"/>
  <c r="L5" i="23" s="1"/>
  <c r="J4" i="23"/>
  <c r="J5" i="23" s="1"/>
  <c r="C18" i="23"/>
  <c r="C19" i="23" s="1"/>
  <c r="C20" i="23" s="1"/>
  <c r="C21" i="23" s="1"/>
  <c r="D18" i="23"/>
  <c r="D19" i="23" s="1"/>
  <c r="D20" i="23" s="1"/>
  <c r="D21" i="23" s="1"/>
  <c r="B18" i="23"/>
  <c r="B19" i="23" s="1"/>
  <c r="B20" i="23" s="1"/>
  <c r="B21" i="23" s="1"/>
  <c r="C11" i="23"/>
  <c r="C12" i="23" s="1"/>
  <c r="D11" i="23"/>
  <c r="D12" i="23" s="1"/>
  <c r="B11" i="23"/>
  <c r="B12" i="23" s="1"/>
  <c r="B19" i="12" l="1"/>
  <c r="C19" i="12" s="1"/>
  <c r="D19" i="12" s="1"/>
  <c r="B19" i="19"/>
  <c r="C19" i="19" s="1"/>
  <c r="B19" i="13"/>
  <c r="C19" i="13" s="1"/>
  <c r="D19" i="13" s="1"/>
  <c r="E19" i="13" s="1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AF5" i="19"/>
  <c r="AG12" i="30"/>
  <c r="B5" i="12"/>
  <c r="C11" i="30"/>
  <c r="C4" i="23"/>
  <c r="D4" i="23"/>
  <c r="B4" i="23"/>
  <c r="B54" i="20"/>
  <c r="B55" i="20" s="1"/>
  <c r="C14" i="26"/>
  <c r="D14" i="26"/>
  <c r="B14" i="26"/>
  <c r="B82" i="20"/>
  <c r="B84" i="20" s="1"/>
  <c r="B85" i="20" s="1"/>
  <c r="E19" i="12" l="1"/>
  <c r="D19" i="19"/>
  <c r="AG5" i="19"/>
  <c r="AH12" i="30"/>
  <c r="C5" i="12"/>
  <c r="D11" i="30"/>
  <c r="D5" i="23"/>
  <c r="B5" i="23"/>
  <c r="C5" i="23"/>
  <c r="B15" i="26"/>
  <c r="G18" i="26" s="1"/>
  <c r="C15" i="26"/>
  <c r="G19" i="26" s="1"/>
  <c r="D15" i="26"/>
  <c r="B17" i="13" s="1"/>
  <c r="C17" i="13" s="1"/>
  <c r="D17" i="13" s="1"/>
  <c r="E17" i="13" s="1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H13" i="26"/>
  <c r="I13" i="26" s="1"/>
  <c r="J13" i="26" s="1"/>
  <c r="K13" i="26" s="1"/>
  <c r="L13" i="26" s="1"/>
  <c r="M13" i="26" s="1"/>
  <c r="N13" i="26" s="1"/>
  <c r="O13" i="26" s="1"/>
  <c r="P13" i="26" s="1"/>
  <c r="Q13" i="26" s="1"/>
  <c r="R13" i="26" s="1"/>
  <c r="S13" i="26" s="1"/>
  <c r="T13" i="26" s="1"/>
  <c r="U13" i="26" s="1"/>
  <c r="V13" i="26" s="1"/>
  <c r="W13" i="26" s="1"/>
  <c r="X13" i="26" s="1"/>
  <c r="Y13" i="26" s="1"/>
  <c r="Z13" i="26" s="1"/>
  <c r="AA13" i="26" s="1"/>
  <c r="AB13" i="26" s="1"/>
  <c r="AC13" i="26" s="1"/>
  <c r="AD13" i="26" s="1"/>
  <c r="AE13" i="26" s="1"/>
  <c r="AF13" i="26" s="1"/>
  <c r="AG13" i="26" s="1"/>
  <c r="AH13" i="26" s="1"/>
  <c r="AI13" i="26" s="1"/>
  <c r="AJ13" i="26" s="1"/>
  <c r="AK13" i="26" s="1"/>
  <c r="AL13" i="26" s="1"/>
  <c r="AM13" i="26" s="1"/>
  <c r="AN13" i="26" s="1"/>
  <c r="J9" i="26"/>
  <c r="J8" i="26"/>
  <c r="K8" i="26"/>
  <c r="K9" i="26" s="1"/>
  <c r="L8" i="26"/>
  <c r="L9" i="26" s="1"/>
  <c r="M8" i="26"/>
  <c r="M9" i="26" s="1"/>
  <c r="N8" i="26"/>
  <c r="N9" i="26" s="1"/>
  <c r="I8" i="26"/>
  <c r="I9" i="26" s="1"/>
  <c r="J4" i="26"/>
  <c r="J5" i="26" s="1"/>
  <c r="K4" i="26"/>
  <c r="K5" i="26" s="1"/>
  <c r="L4" i="26"/>
  <c r="L5" i="26" s="1"/>
  <c r="M4" i="26"/>
  <c r="M5" i="26" s="1"/>
  <c r="N4" i="26"/>
  <c r="N5" i="26" s="1"/>
  <c r="I4" i="26"/>
  <c r="I5" i="26" s="1"/>
  <c r="I9" i="22"/>
  <c r="M9" i="22"/>
  <c r="I8" i="22"/>
  <c r="J8" i="22"/>
  <c r="J9" i="22" s="1"/>
  <c r="K8" i="22"/>
  <c r="K9" i="22" s="1"/>
  <c r="L8" i="22"/>
  <c r="L9" i="22" s="1"/>
  <c r="M8" i="22"/>
  <c r="H8" i="22"/>
  <c r="H9" i="22" s="1"/>
  <c r="M5" i="22"/>
  <c r="I4" i="22"/>
  <c r="I5" i="22" s="1"/>
  <c r="J4" i="22"/>
  <c r="J5" i="22" s="1"/>
  <c r="K4" i="22"/>
  <c r="K5" i="22" s="1"/>
  <c r="L4" i="22"/>
  <c r="L5" i="22" s="1"/>
  <c r="M4" i="22"/>
  <c r="H4" i="22"/>
  <c r="H5" i="22" s="1"/>
  <c r="C13" i="22"/>
  <c r="D13" i="22" s="1"/>
  <c r="E13" i="22" s="1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Q13" i="22" s="1"/>
  <c r="R13" i="22" s="1"/>
  <c r="S13" i="22" s="1"/>
  <c r="T13" i="22" s="1"/>
  <c r="U13" i="22" s="1"/>
  <c r="V13" i="22" s="1"/>
  <c r="W13" i="22" s="1"/>
  <c r="X13" i="22" s="1"/>
  <c r="Y13" i="22" s="1"/>
  <c r="Z13" i="22" s="1"/>
  <c r="AA13" i="22" s="1"/>
  <c r="AB13" i="22" s="1"/>
  <c r="AC13" i="22" s="1"/>
  <c r="AD13" i="22" s="1"/>
  <c r="AE13" i="22" s="1"/>
  <c r="AF13" i="22" s="1"/>
  <c r="AG13" i="22" s="1"/>
  <c r="AH13" i="22" s="1"/>
  <c r="AI13" i="22" s="1"/>
  <c r="I8" i="21"/>
  <c r="I9" i="21" s="1"/>
  <c r="J8" i="21"/>
  <c r="J9" i="21" s="1"/>
  <c r="K8" i="21"/>
  <c r="K9" i="21" s="1"/>
  <c r="L8" i="21"/>
  <c r="L9" i="21" s="1"/>
  <c r="M8" i="21"/>
  <c r="M9" i="21" s="1"/>
  <c r="H8" i="21"/>
  <c r="H9" i="21" s="1"/>
  <c r="F19" i="12" l="1"/>
  <c r="E19" i="19"/>
  <c r="H18" i="26"/>
  <c r="B17" i="12"/>
  <c r="B20" i="19"/>
  <c r="C20" i="19" s="1"/>
  <c r="E11" i="30"/>
  <c r="D5" i="12"/>
  <c r="B20" i="12"/>
  <c r="C20" i="12" s="1"/>
  <c r="D20" i="12" s="1"/>
  <c r="AI12" i="30"/>
  <c r="AI5" i="19" s="1"/>
  <c r="AH5" i="19"/>
  <c r="H19" i="26"/>
  <c r="B17" i="19"/>
  <c r="B20" i="13"/>
  <c r="C20" i="13" s="1"/>
  <c r="D20" i="13" s="1"/>
  <c r="E20" i="13" s="1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E20" i="12" l="1"/>
  <c r="D20" i="19"/>
  <c r="G19" i="12"/>
  <c r="F19" i="19"/>
  <c r="I19" i="26"/>
  <c r="C17" i="19"/>
  <c r="F11" i="30"/>
  <c r="E5" i="12"/>
  <c r="I18" i="26"/>
  <c r="D17" i="19" s="1"/>
  <c r="C17" i="12"/>
  <c r="C13" i="21"/>
  <c r="D13" i="21" s="1"/>
  <c r="I4" i="21"/>
  <c r="I5" i="21" s="1"/>
  <c r="J4" i="21"/>
  <c r="J5" i="21" s="1"/>
  <c r="K4" i="21"/>
  <c r="K5" i="21" s="1"/>
  <c r="L4" i="21"/>
  <c r="L5" i="21" s="1"/>
  <c r="M4" i="21"/>
  <c r="M5" i="21" s="1"/>
  <c r="H4" i="21"/>
  <c r="H5" i="21" s="1"/>
  <c r="H19" i="12" l="1"/>
  <c r="G19" i="19"/>
  <c r="F20" i="12"/>
  <c r="E20" i="19"/>
  <c r="E13" i="2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Q13" i="21" s="1"/>
  <c r="R13" i="21" s="1"/>
  <c r="S13" i="21" s="1"/>
  <c r="T13" i="21" s="1"/>
  <c r="U13" i="21" s="1"/>
  <c r="V13" i="21" s="1"/>
  <c r="W13" i="21" s="1"/>
  <c r="X13" i="21" s="1"/>
  <c r="Y13" i="21" s="1"/>
  <c r="Z13" i="21" s="1"/>
  <c r="AA13" i="21" s="1"/>
  <c r="AB13" i="21" s="1"/>
  <c r="AC13" i="21" s="1"/>
  <c r="AD13" i="21" s="1"/>
  <c r="AE13" i="21" s="1"/>
  <c r="AF13" i="21" s="1"/>
  <c r="AG13" i="21" s="1"/>
  <c r="AH13" i="21" s="1"/>
  <c r="AI13" i="21" s="1"/>
  <c r="G11" i="30"/>
  <c r="F5" i="12"/>
  <c r="J18" i="26"/>
  <c r="E17" i="19" s="1"/>
  <c r="D17" i="12"/>
  <c r="J19" i="26"/>
  <c r="D3" i="29"/>
  <c r="C3" i="29"/>
  <c r="B3" i="29"/>
  <c r="B15" i="29" s="1"/>
  <c r="B16" i="29" s="1"/>
  <c r="L3" i="29"/>
  <c r="L4" i="29" s="1"/>
  <c r="M3" i="29"/>
  <c r="M4" i="29" s="1"/>
  <c r="N3" i="29"/>
  <c r="N4" i="29" s="1"/>
  <c r="O3" i="29"/>
  <c r="O4" i="29" s="1"/>
  <c r="P3" i="29"/>
  <c r="P4" i="29" s="1"/>
  <c r="Q3" i="29"/>
  <c r="Q4" i="29" s="1"/>
  <c r="K3" i="29"/>
  <c r="K4" i="29" s="1"/>
  <c r="G20" i="12" l="1"/>
  <c r="F20" i="19"/>
  <c r="I19" i="12"/>
  <c r="H19" i="19"/>
  <c r="K19" i="26"/>
  <c r="H11" i="30"/>
  <c r="G5" i="12"/>
  <c r="K18" i="26"/>
  <c r="F17" i="19" s="1"/>
  <c r="E17" i="12"/>
  <c r="C15" i="29"/>
  <c r="C14" i="29"/>
  <c r="D14" i="29" s="1"/>
  <c r="E14" i="29" s="1"/>
  <c r="F14" i="29" s="1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Q14" i="29" s="1"/>
  <c r="R14" i="29" s="1"/>
  <c r="S14" i="29" s="1"/>
  <c r="T14" i="29" s="1"/>
  <c r="U14" i="29" s="1"/>
  <c r="V14" i="29" s="1"/>
  <c r="W14" i="29" s="1"/>
  <c r="X14" i="29" s="1"/>
  <c r="Y14" i="29" s="1"/>
  <c r="Z14" i="29" s="1"/>
  <c r="AA14" i="29" s="1"/>
  <c r="AB14" i="29" s="1"/>
  <c r="AC14" i="29" s="1"/>
  <c r="AD14" i="29" s="1"/>
  <c r="AE14" i="29" s="1"/>
  <c r="AF14" i="29" s="1"/>
  <c r="AG14" i="29" s="1"/>
  <c r="AH14" i="29" s="1"/>
  <c r="AI14" i="29" s="1"/>
  <c r="B78" i="20"/>
  <c r="B79" i="20" s="1"/>
  <c r="J3" i="28"/>
  <c r="J2" i="28"/>
  <c r="J4" i="28" s="1"/>
  <c r="J5" i="28" s="1"/>
  <c r="J7" i="28" s="1"/>
  <c r="K1" i="28"/>
  <c r="K3" i="28" s="1"/>
  <c r="C9" i="28"/>
  <c r="J19" i="12" l="1"/>
  <c r="I19" i="19"/>
  <c r="H20" i="12"/>
  <c r="G20" i="19"/>
  <c r="L1" i="28"/>
  <c r="K2" i="28"/>
  <c r="K4" i="28" s="1"/>
  <c r="K5" i="28" s="1"/>
  <c r="K7" i="28" s="1"/>
  <c r="D15" i="29"/>
  <c r="C16" i="29"/>
  <c r="I11" i="30"/>
  <c r="H5" i="12"/>
  <c r="J6" i="28"/>
  <c r="J8" i="28" s="1"/>
  <c r="L18" i="26"/>
  <c r="G17" i="19" s="1"/>
  <c r="F17" i="12"/>
  <c r="L19" i="26"/>
  <c r="J10" i="28"/>
  <c r="I10" i="27"/>
  <c r="I11" i="27" s="1"/>
  <c r="I12" i="27" s="1"/>
  <c r="I13" i="27" s="1"/>
  <c r="B29" i="27" s="1"/>
  <c r="B4" i="27"/>
  <c r="B5" i="27" s="1"/>
  <c r="B6" i="27" s="1"/>
  <c r="C4" i="26"/>
  <c r="D4" i="26"/>
  <c r="B4" i="26"/>
  <c r="K6" i="28" l="1"/>
  <c r="K8" i="28" s="1"/>
  <c r="K10" i="28" s="1"/>
  <c r="K19" i="12"/>
  <c r="J19" i="19"/>
  <c r="I20" i="12"/>
  <c r="H20" i="19"/>
  <c r="B12" i="12"/>
  <c r="C29" i="27"/>
  <c r="M19" i="26"/>
  <c r="J11" i="30"/>
  <c r="I5" i="12"/>
  <c r="M1" i="28"/>
  <c r="L2" i="28"/>
  <c r="L3" i="28"/>
  <c r="M18" i="26"/>
  <c r="H17" i="19" s="1"/>
  <c r="G17" i="12"/>
  <c r="E15" i="29"/>
  <c r="D16" i="29"/>
  <c r="I14" i="27"/>
  <c r="I15" i="27" s="1"/>
  <c r="I16" i="27" s="1"/>
  <c r="I17" i="27" s="1"/>
  <c r="B30" i="27" s="1"/>
  <c r="C4" i="21"/>
  <c r="C5" i="21" s="1"/>
  <c r="C6" i="21" s="1"/>
  <c r="C7" i="21" s="1"/>
  <c r="B15" i="21" s="1"/>
  <c r="B5" i="21"/>
  <c r="B6" i="21" s="1"/>
  <c r="B4" i="21"/>
  <c r="B68" i="20"/>
  <c r="L4" i="28" l="1"/>
  <c r="J20" i="12"/>
  <c r="I20" i="19"/>
  <c r="L19" i="12"/>
  <c r="K19" i="19"/>
  <c r="F15" i="29"/>
  <c r="E16" i="29"/>
  <c r="C15" i="21"/>
  <c r="B18" i="19"/>
  <c r="N19" i="26"/>
  <c r="B13" i="12"/>
  <c r="C30" i="27"/>
  <c r="N18" i="26"/>
  <c r="I17" i="19" s="1"/>
  <c r="H17" i="12"/>
  <c r="C12" i="12"/>
  <c r="D29" i="27"/>
  <c r="L5" i="28"/>
  <c r="L7" i="28" s="1"/>
  <c r="L6" i="28"/>
  <c r="L8" i="28" s="1"/>
  <c r="L10" i="28" s="1"/>
  <c r="N1" i="28"/>
  <c r="M2" i="28"/>
  <c r="M3" i="28"/>
  <c r="K11" i="30"/>
  <c r="J5" i="12"/>
  <c r="B7" i="21"/>
  <c r="B14" i="21" s="1"/>
  <c r="M19" i="12" l="1"/>
  <c r="L19" i="19"/>
  <c r="K20" i="12"/>
  <c r="J20" i="19"/>
  <c r="O18" i="26"/>
  <c r="J17" i="19" s="1"/>
  <c r="I17" i="12"/>
  <c r="O19" i="26"/>
  <c r="D15" i="21"/>
  <c r="C18" i="19"/>
  <c r="C14" i="21"/>
  <c r="B18" i="12"/>
  <c r="L11" i="30"/>
  <c r="K5" i="12"/>
  <c r="M4" i="28"/>
  <c r="D12" i="12"/>
  <c r="E29" i="27"/>
  <c r="C13" i="12"/>
  <c r="D30" i="27"/>
  <c r="O1" i="28"/>
  <c r="N3" i="28"/>
  <c r="N2" i="28"/>
  <c r="N4" i="28" s="1"/>
  <c r="G15" i="29"/>
  <c r="F16" i="29"/>
  <c r="B63" i="20"/>
  <c r="B64" i="20" s="1"/>
  <c r="B59" i="20"/>
  <c r="B49" i="20"/>
  <c r="B50" i="20" s="1"/>
  <c r="B43" i="20"/>
  <c r="B44" i="20" s="1"/>
  <c r="B45" i="20" s="1"/>
  <c r="B38" i="20"/>
  <c r="B30" i="20"/>
  <c r="B29" i="20"/>
  <c r="L20" i="12" l="1"/>
  <c r="K20" i="19"/>
  <c r="N19" i="12"/>
  <c r="M19" i="19"/>
  <c r="E12" i="12"/>
  <c r="F29" i="27"/>
  <c r="M11" i="30"/>
  <c r="L5" i="12"/>
  <c r="D14" i="21"/>
  <c r="C18" i="12"/>
  <c r="P19" i="26"/>
  <c r="P1" i="28"/>
  <c r="O3" i="28"/>
  <c r="P3" i="28" s="1"/>
  <c r="Q3" i="28" s="1"/>
  <c r="R3" i="28" s="1"/>
  <c r="S3" i="28" s="1"/>
  <c r="T3" i="28" s="1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AE3" i="28" s="1"/>
  <c r="AF3" i="28" s="1"/>
  <c r="AG3" i="28" s="1"/>
  <c r="AH3" i="28" s="1"/>
  <c r="AI3" i="28" s="1"/>
  <c r="AJ3" i="28" s="1"/>
  <c r="AK3" i="28" s="1"/>
  <c r="AL3" i="28" s="1"/>
  <c r="AM3" i="28" s="1"/>
  <c r="AN3" i="28" s="1"/>
  <c r="AO3" i="28" s="1"/>
  <c r="AP3" i="28" s="1"/>
  <c r="AQ3" i="28" s="1"/>
  <c r="O2" i="28"/>
  <c r="O4" i="28" s="1"/>
  <c r="N5" i="28"/>
  <c r="N7" i="28" s="1"/>
  <c r="N6" i="28"/>
  <c r="N8" i="28" s="1"/>
  <c r="N10" i="28" s="1"/>
  <c r="B31" i="20"/>
  <c r="B33" i="20" s="1"/>
  <c r="B34" i="20" s="1"/>
  <c r="L9" i="28" s="1"/>
  <c r="L11" i="28" s="1"/>
  <c r="D21" i="12" s="1"/>
  <c r="H15" i="29"/>
  <c r="G16" i="29"/>
  <c r="E30" i="27"/>
  <c r="D13" i="12"/>
  <c r="M5" i="28"/>
  <c r="M7" i="28" s="1"/>
  <c r="M6" i="28"/>
  <c r="M8" i="28" s="1"/>
  <c r="M10" i="28" s="1"/>
  <c r="E15" i="21"/>
  <c r="D18" i="19"/>
  <c r="P18" i="26"/>
  <c r="K17" i="19" s="1"/>
  <c r="J17" i="12"/>
  <c r="K6" i="23"/>
  <c r="B10" i="19" s="1"/>
  <c r="C10" i="19" s="1"/>
  <c r="L6" i="23"/>
  <c r="J6" i="23"/>
  <c r="J13" i="23"/>
  <c r="K13" i="23"/>
  <c r="L13" i="23"/>
  <c r="C13" i="23"/>
  <c r="D13" i="23"/>
  <c r="B13" i="23"/>
  <c r="C17" i="29"/>
  <c r="C9" i="12" s="1"/>
  <c r="E17" i="29"/>
  <c r="E9" i="12" s="1"/>
  <c r="F17" i="29"/>
  <c r="F9" i="12" s="1"/>
  <c r="M9" i="28"/>
  <c r="M11" i="28" s="1"/>
  <c r="E21" i="12" s="1"/>
  <c r="N9" i="28"/>
  <c r="K9" i="28"/>
  <c r="K11" i="28" s="1"/>
  <c r="C21" i="12" s="1"/>
  <c r="C6" i="22"/>
  <c r="B15" i="22" s="1"/>
  <c r="B6" i="22"/>
  <c r="B14" i="22" s="1"/>
  <c r="C5" i="26"/>
  <c r="G15" i="26" s="1"/>
  <c r="B5" i="26"/>
  <c r="G14" i="26" s="1"/>
  <c r="D5" i="26"/>
  <c r="B3" i="13" s="1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N11" i="28" l="1"/>
  <c r="F21" i="12" s="1"/>
  <c r="C30" i="23"/>
  <c r="C32" i="23" s="1"/>
  <c r="E14" i="13" s="1"/>
  <c r="K30" i="23"/>
  <c r="K32" i="23" s="1"/>
  <c r="M14" i="13" s="1"/>
  <c r="S30" i="23"/>
  <c r="S32" i="23" s="1"/>
  <c r="U14" i="13" s="1"/>
  <c r="AA30" i="23"/>
  <c r="AA31" i="23" s="1"/>
  <c r="AC14" i="19" s="1"/>
  <c r="N30" i="23"/>
  <c r="N32" i="23" s="1"/>
  <c r="P14" i="13" s="1"/>
  <c r="W30" i="23"/>
  <c r="W32" i="23" s="1"/>
  <c r="Y14" i="13" s="1"/>
  <c r="Z30" i="23"/>
  <c r="Z31" i="23" s="1"/>
  <c r="AB14" i="19" s="1"/>
  <c r="D30" i="23"/>
  <c r="D32" i="23" s="1"/>
  <c r="F14" i="13" s="1"/>
  <c r="L30" i="23"/>
  <c r="L32" i="23" s="1"/>
  <c r="N14" i="13" s="1"/>
  <c r="T30" i="23"/>
  <c r="T32" i="23" s="1"/>
  <c r="V14" i="13" s="1"/>
  <c r="AB30" i="23"/>
  <c r="AB31" i="23" s="1"/>
  <c r="AD14" i="19" s="1"/>
  <c r="V30" i="23"/>
  <c r="V32" i="23" s="1"/>
  <c r="X14" i="13" s="1"/>
  <c r="AD30" i="23"/>
  <c r="AD31" i="23" s="1"/>
  <c r="AF14" i="19" s="1"/>
  <c r="O30" i="23"/>
  <c r="O32" i="23" s="1"/>
  <c r="Q14" i="13" s="1"/>
  <c r="AG30" i="23"/>
  <c r="AG31" i="23" s="1"/>
  <c r="AI14" i="19" s="1"/>
  <c r="R30" i="23"/>
  <c r="R32" i="23" s="1"/>
  <c r="T14" i="13" s="1"/>
  <c r="E30" i="23"/>
  <c r="E32" i="23" s="1"/>
  <c r="G14" i="13" s="1"/>
  <c r="M30" i="23"/>
  <c r="M32" i="23" s="1"/>
  <c r="O14" i="13" s="1"/>
  <c r="U30" i="23"/>
  <c r="U32" i="23" s="1"/>
  <c r="W14" i="13" s="1"/>
  <c r="AC30" i="23"/>
  <c r="AC31" i="23" s="1"/>
  <c r="AE14" i="19" s="1"/>
  <c r="G30" i="23"/>
  <c r="G32" i="23" s="1"/>
  <c r="I14" i="13" s="1"/>
  <c r="AE30" i="23"/>
  <c r="AE31" i="23" s="1"/>
  <c r="AG14" i="19" s="1"/>
  <c r="B30" i="23"/>
  <c r="B32" i="23" s="1"/>
  <c r="D14" i="13" s="1"/>
  <c r="C14" i="13" s="1"/>
  <c r="B14" i="13" s="1"/>
  <c r="F30" i="23"/>
  <c r="F32" i="23" s="1"/>
  <c r="H14" i="13" s="1"/>
  <c r="H30" i="23"/>
  <c r="H32" i="23" s="1"/>
  <c r="J14" i="13" s="1"/>
  <c r="P30" i="23"/>
  <c r="P32" i="23" s="1"/>
  <c r="R14" i="13" s="1"/>
  <c r="X30" i="23"/>
  <c r="X32" i="23" s="1"/>
  <c r="Z14" i="13" s="1"/>
  <c r="AF30" i="23"/>
  <c r="AF31" i="23" s="1"/>
  <c r="AH14" i="19" s="1"/>
  <c r="I30" i="23"/>
  <c r="I32" i="23" s="1"/>
  <c r="K14" i="13" s="1"/>
  <c r="Q30" i="23"/>
  <c r="Q32" i="23" s="1"/>
  <c r="S14" i="13" s="1"/>
  <c r="Y30" i="23"/>
  <c r="Y31" i="23" s="1"/>
  <c r="AA14" i="19" s="1"/>
  <c r="J30" i="23"/>
  <c r="J32" i="23" s="1"/>
  <c r="L14" i="13" s="1"/>
  <c r="G17" i="29"/>
  <c r="G9" i="12" s="1"/>
  <c r="O19" i="12"/>
  <c r="N19" i="19"/>
  <c r="M20" i="12"/>
  <c r="L20" i="19"/>
  <c r="H15" i="26"/>
  <c r="B3" i="19"/>
  <c r="B11" i="12"/>
  <c r="C11" i="12" s="1"/>
  <c r="D11" i="12" s="1"/>
  <c r="E11" i="12" s="1"/>
  <c r="F11" i="12" s="1"/>
  <c r="G11" i="12" s="1"/>
  <c r="H11" i="12" s="1"/>
  <c r="I11" i="12" s="1"/>
  <c r="J11" i="12" s="1"/>
  <c r="K11" i="12" s="1"/>
  <c r="L11" i="12" s="1"/>
  <c r="M11" i="12" s="1"/>
  <c r="N11" i="12" s="1"/>
  <c r="O11" i="12" s="1"/>
  <c r="P11" i="12" s="1"/>
  <c r="Q11" i="12" s="1"/>
  <c r="R11" i="12" s="1"/>
  <c r="S11" i="12" s="1"/>
  <c r="T11" i="12" s="1"/>
  <c r="U11" i="12" s="1"/>
  <c r="V11" i="12" s="1"/>
  <c r="W11" i="12" s="1"/>
  <c r="X11" i="12" s="1"/>
  <c r="Y11" i="12" s="1"/>
  <c r="Z11" i="12" s="1"/>
  <c r="AA11" i="12" s="1"/>
  <c r="AB11" i="12" s="1"/>
  <c r="AC11" i="12" s="1"/>
  <c r="AD11" i="12" s="1"/>
  <c r="AE11" i="12" s="1"/>
  <c r="AF11" i="12" s="1"/>
  <c r="AG11" i="12" s="1"/>
  <c r="AH11" i="12" s="1"/>
  <c r="AI11" i="12" s="1"/>
  <c r="C14" i="22"/>
  <c r="B4" i="12"/>
  <c r="B17" i="29"/>
  <c r="B9" i="12" s="1"/>
  <c r="D17" i="29"/>
  <c r="D9" i="12" s="1"/>
  <c r="K25" i="23"/>
  <c r="K23" i="23" s="1"/>
  <c r="B10" i="12"/>
  <c r="C10" i="12" s="1"/>
  <c r="D10" i="12" s="1"/>
  <c r="E10" i="12" s="1"/>
  <c r="F10" i="12" s="1"/>
  <c r="G10" i="12" s="1"/>
  <c r="H10" i="12" s="1"/>
  <c r="I10" i="12" s="1"/>
  <c r="J10" i="12" s="1"/>
  <c r="K10" i="12" s="1"/>
  <c r="L10" i="12" s="1"/>
  <c r="M10" i="12" s="1"/>
  <c r="N10" i="12" s="1"/>
  <c r="O10" i="12" s="1"/>
  <c r="P10" i="12" s="1"/>
  <c r="Q10" i="12" s="1"/>
  <c r="R10" i="12" s="1"/>
  <c r="S10" i="12" s="1"/>
  <c r="T10" i="12" s="1"/>
  <c r="U10" i="12" s="1"/>
  <c r="V10" i="12" s="1"/>
  <c r="W10" i="12" s="1"/>
  <c r="X10" i="12" s="1"/>
  <c r="Y10" i="12" s="1"/>
  <c r="Z10" i="12" s="1"/>
  <c r="AA10" i="12" s="1"/>
  <c r="AB10" i="12" s="1"/>
  <c r="AC10" i="12" s="1"/>
  <c r="AD10" i="12" s="1"/>
  <c r="AE10" i="12" s="1"/>
  <c r="AF10" i="12" s="1"/>
  <c r="AG10" i="12" s="1"/>
  <c r="AH10" i="12" s="1"/>
  <c r="AI10" i="12" s="1"/>
  <c r="Q18" i="26"/>
  <c r="L17" i="19" s="1"/>
  <c r="K17" i="12"/>
  <c r="I15" i="29"/>
  <c r="H16" i="29"/>
  <c r="H17" i="29" s="1"/>
  <c r="H9" i="12" s="1"/>
  <c r="O5" i="28"/>
  <c r="O7" i="28" s="1"/>
  <c r="O9" i="28" s="1"/>
  <c r="O6" i="28"/>
  <c r="O8" i="28" s="1"/>
  <c r="O10" i="28" s="1"/>
  <c r="Q19" i="26"/>
  <c r="N11" i="30"/>
  <c r="M5" i="12"/>
  <c r="B11" i="13"/>
  <c r="C11" i="13" s="1"/>
  <c r="D11" i="13" s="1"/>
  <c r="F12" i="12"/>
  <c r="G29" i="27"/>
  <c r="L25" i="23"/>
  <c r="L23" i="23" s="1"/>
  <c r="C15" i="22"/>
  <c r="B4" i="19"/>
  <c r="B10" i="13"/>
  <c r="C10" i="13" s="1"/>
  <c r="D10" i="13" s="1"/>
  <c r="H14" i="26"/>
  <c r="B3" i="12"/>
  <c r="J9" i="28"/>
  <c r="J11" i="28" s="1"/>
  <c r="B21" i="12" s="1"/>
  <c r="B14" i="12"/>
  <c r="C14" i="12" s="1"/>
  <c r="D14" i="12" s="1"/>
  <c r="E14" i="12" s="1"/>
  <c r="F14" i="12" s="1"/>
  <c r="G14" i="12" s="1"/>
  <c r="H14" i="12" s="1"/>
  <c r="I14" i="12" s="1"/>
  <c r="J14" i="12" s="1"/>
  <c r="K14" i="12" s="1"/>
  <c r="L14" i="12" s="1"/>
  <c r="M14" i="12" s="1"/>
  <c r="N14" i="12" s="1"/>
  <c r="O14" i="12" s="1"/>
  <c r="P14" i="12" s="1"/>
  <c r="Q14" i="12" s="1"/>
  <c r="R14" i="12" s="1"/>
  <c r="S14" i="12" s="1"/>
  <c r="T14" i="12" s="1"/>
  <c r="U14" i="12" s="1"/>
  <c r="V14" i="12" s="1"/>
  <c r="W14" i="12" s="1"/>
  <c r="X14" i="12" s="1"/>
  <c r="Y14" i="12" s="1"/>
  <c r="Z14" i="12" s="1"/>
  <c r="AA14" i="12" s="1"/>
  <c r="AB14" i="12" s="1"/>
  <c r="AC14" i="12" s="1"/>
  <c r="AD14" i="12" s="1"/>
  <c r="AE14" i="12" s="1"/>
  <c r="AF14" i="12" s="1"/>
  <c r="AG14" i="12" s="1"/>
  <c r="AH14" i="12" s="1"/>
  <c r="AI14" i="12" s="1"/>
  <c r="J25" i="23"/>
  <c r="J23" i="23" s="1"/>
  <c r="B11" i="19"/>
  <c r="C11" i="19" s="1"/>
  <c r="F15" i="21"/>
  <c r="E18" i="19"/>
  <c r="E13" i="12"/>
  <c r="F30" i="27"/>
  <c r="Q1" i="28"/>
  <c r="P2" i="28"/>
  <c r="P4" i="28" s="1"/>
  <c r="E14" i="21"/>
  <c r="D18" i="12"/>
  <c r="N20" i="12" l="1"/>
  <c r="M20" i="19"/>
  <c r="K22" i="23"/>
  <c r="L22" i="23"/>
  <c r="L20" i="23"/>
  <c r="P19" i="12"/>
  <c r="O19" i="19"/>
  <c r="E10" i="13"/>
  <c r="D10" i="19"/>
  <c r="E11" i="13"/>
  <c r="D11" i="19"/>
  <c r="F13" i="12"/>
  <c r="G30" i="27"/>
  <c r="F14" i="21"/>
  <c r="E18" i="12"/>
  <c r="I14" i="26"/>
  <c r="D3" i="19" s="1"/>
  <c r="C3" i="12"/>
  <c r="D15" i="22"/>
  <c r="C4" i="19"/>
  <c r="G12" i="12"/>
  <c r="H29" i="27"/>
  <c r="K21" i="23"/>
  <c r="K19" i="23"/>
  <c r="K24" i="23"/>
  <c r="J21" i="23"/>
  <c r="J19" i="23"/>
  <c r="J24" i="23"/>
  <c r="R19" i="26"/>
  <c r="J15" i="29"/>
  <c r="I16" i="29"/>
  <c r="I17" i="29" s="1"/>
  <c r="I9" i="12" s="1"/>
  <c r="J22" i="23"/>
  <c r="P6" i="28"/>
  <c r="P8" i="28" s="1"/>
  <c r="P10" i="28" s="1"/>
  <c r="P5" i="28"/>
  <c r="P7" i="28" s="1"/>
  <c r="P9" i="28" s="1"/>
  <c r="J20" i="23"/>
  <c r="L21" i="23"/>
  <c r="L19" i="23"/>
  <c r="O11" i="30"/>
  <c r="N5" i="12"/>
  <c r="O11" i="28"/>
  <c r="G21" i="12" s="1"/>
  <c r="R18" i="26"/>
  <c r="M17" i="19" s="1"/>
  <c r="L17" i="12"/>
  <c r="K20" i="23"/>
  <c r="R1" i="28"/>
  <c r="Q2" i="28"/>
  <c r="Q4" i="28" s="1"/>
  <c r="G15" i="21"/>
  <c r="F18" i="19"/>
  <c r="D14" i="22"/>
  <c r="C4" i="12"/>
  <c r="I15" i="26"/>
  <c r="C3" i="19"/>
  <c r="P11" i="28" l="1"/>
  <c r="H21" i="12" s="1"/>
  <c r="Q19" i="12"/>
  <c r="P19" i="19"/>
  <c r="O20" i="12"/>
  <c r="N20" i="19"/>
  <c r="F11" i="13"/>
  <c r="E11" i="19"/>
  <c r="F10" i="13"/>
  <c r="E10" i="19"/>
  <c r="K15" i="29"/>
  <c r="J16" i="29"/>
  <c r="J17" i="29" s="1"/>
  <c r="J9" i="12" s="1"/>
  <c r="E15" i="22"/>
  <c r="D4" i="19"/>
  <c r="G14" i="21"/>
  <c r="F18" i="12"/>
  <c r="H15" i="21"/>
  <c r="G18" i="19"/>
  <c r="Q5" i="28"/>
  <c r="Q7" i="28" s="1"/>
  <c r="Q9" i="28" s="1"/>
  <c r="Q6" i="28"/>
  <c r="Q8" i="28" s="1"/>
  <c r="Q10" i="28" s="1"/>
  <c r="S18" i="26"/>
  <c r="N17" i="19" s="1"/>
  <c r="M17" i="12"/>
  <c r="H12" i="12"/>
  <c r="I29" i="27"/>
  <c r="G13" i="12"/>
  <c r="H30" i="27"/>
  <c r="J15" i="26"/>
  <c r="P11" i="30"/>
  <c r="O5" i="12"/>
  <c r="E14" i="22"/>
  <c r="D4" i="12"/>
  <c r="S1" i="28"/>
  <c r="R2" i="28"/>
  <c r="R4" i="28" s="1"/>
  <c r="S19" i="26"/>
  <c r="J14" i="26"/>
  <c r="E3" i="19" s="1"/>
  <c r="D3" i="12"/>
  <c r="P20" i="12" l="1"/>
  <c r="O20" i="19"/>
  <c r="R19" i="12"/>
  <c r="Q19" i="19"/>
  <c r="G10" i="13"/>
  <c r="F10" i="19"/>
  <c r="G11" i="13"/>
  <c r="F11" i="19"/>
  <c r="R5" i="28"/>
  <c r="R7" i="28" s="1"/>
  <c r="R9" i="28" s="1"/>
  <c r="R6" i="28"/>
  <c r="R8" i="28" s="1"/>
  <c r="R10" i="28" s="1"/>
  <c r="H13" i="12"/>
  <c r="I30" i="27"/>
  <c r="K14" i="26"/>
  <c r="F3" i="19" s="1"/>
  <c r="E3" i="12"/>
  <c r="T1" i="28"/>
  <c r="S2" i="28"/>
  <c r="S4" i="28" s="1"/>
  <c r="Q11" i="30"/>
  <c r="P5" i="12"/>
  <c r="T18" i="26"/>
  <c r="O17" i="19" s="1"/>
  <c r="N17" i="12"/>
  <c r="I15" i="21"/>
  <c r="H18" i="19"/>
  <c r="F15" i="22"/>
  <c r="E4" i="19"/>
  <c r="I12" i="12"/>
  <c r="J29" i="27"/>
  <c r="T19" i="26"/>
  <c r="F14" i="22"/>
  <c r="E4" i="12"/>
  <c r="K15" i="26"/>
  <c r="Q11" i="28"/>
  <c r="I21" i="12" s="1"/>
  <c r="H14" i="21"/>
  <c r="G18" i="12"/>
  <c r="L15" i="29"/>
  <c r="K16" i="29"/>
  <c r="K17" i="29" s="1"/>
  <c r="K9" i="12" s="1"/>
  <c r="R11" i="28" l="1"/>
  <c r="J21" i="12" s="1"/>
  <c r="S19" i="12"/>
  <c r="R19" i="19"/>
  <c r="Q20" i="12"/>
  <c r="P20" i="19"/>
  <c r="H11" i="13"/>
  <c r="G11" i="19"/>
  <c r="H10" i="13"/>
  <c r="G10" i="19"/>
  <c r="J30" i="27"/>
  <c r="I13" i="12"/>
  <c r="L15" i="26"/>
  <c r="U19" i="26"/>
  <c r="G15" i="22"/>
  <c r="F4" i="19"/>
  <c r="U18" i="26"/>
  <c r="P17" i="19" s="1"/>
  <c r="O17" i="12"/>
  <c r="U1" i="28"/>
  <c r="T2" i="28"/>
  <c r="T4" i="28" s="1"/>
  <c r="S5" i="28"/>
  <c r="S7" i="28" s="1"/>
  <c r="S9" i="28" s="1"/>
  <c r="S6" i="28"/>
  <c r="S8" i="28" s="1"/>
  <c r="S10" i="28" s="1"/>
  <c r="I14" i="21"/>
  <c r="H18" i="12"/>
  <c r="K29" i="27"/>
  <c r="J12" i="12"/>
  <c r="M15" i="29"/>
  <c r="L16" i="29"/>
  <c r="L17" i="29" s="1"/>
  <c r="L9" i="12" s="1"/>
  <c r="G14" i="22"/>
  <c r="F4" i="12"/>
  <c r="J15" i="21"/>
  <c r="I18" i="19"/>
  <c r="R11" i="30"/>
  <c r="Q5" i="12"/>
  <c r="L14" i="26"/>
  <c r="G3" i="19" s="1"/>
  <c r="F3" i="12"/>
  <c r="S11" i="28" l="1"/>
  <c r="K21" i="12" s="1"/>
  <c r="R20" i="12"/>
  <c r="Q20" i="19"/>
  <c r="T19" i="12"/>
  <c r="S19" i="19"/>
  <c r="I10" i="13"/>
  <c r="H10" i="19"/>
  <c r="I11" i="13"/>
  <c r="H11" i="19"/>
  <c r="K15" i="21"/>
  <c r="J18" i="19"/>
  <c r="N15" i="29"/>
  <c r="M16" i="29"/>
  <c r="M17" i="29" s="1"/>
  <c r="M9" i="12" s="1"/>
  <c r="J14" i="21"/>
  <c r="I18" i="12"/>
  <c r="V1" i="28"/>
  <c r="U2" i="28"/>
  <c r="U4" i="28" s="1"/>
  <c r="H15" i="22"/>
  <c r="G4" i="19"/>
  <c r="M15" i="26"/>
  <c r="M14" i="26"/>
  <c r="H3" i="19" s="1"/>
  <c r="G3" i="12"/>
  <c r="T5" i="28"/>
  <c r="T7" i="28" s="1"/>
  <c r="T9" i="28" s="1"/>
  <c r="T6" i="28"/>
  <c r="T8" i="28" s="1"/>
  <c r="T10" i="28" s="1"/>
  <c r="S11" i="30"/>
  <c r="R5" i="12"/>
  <c r="H14" i="22"/>
  <c r="G4" i="12"/>
  <c r="L29" i="27"/>
  <c r="K12" i="12"/>
  <c r="V18" i="26"/>
  <c r="Q17" i="19" s="1"/>
  <c r="P17" i="12"/>
  <c r="V19" i="26"/>
  <c r="K30" i="27"/>
  <c r="J13" i="12"/>
  <c r="U19" i="12" l="1"/>
  <c r="T19" i="19"/>
  <c r="S20" i="12"/>
  <c r="R20" i="19"/>
  <c r="J11" i="13"/>
  <c r="I11" i="19"/>
  <c r="J10" i="13"/>
  <c r="I10" i="19"/>
  <c r="U5" i="28"/>
  <c r="U7" i="28" s="1"/>
  <c r="U9" i="28" s="1"/>
  <c r="U6" i="28"/>
  <c r="U8" i="28" s="1"/>
  <c r="U10" i="28" s="1"/>
  <c r="T11" i="28"/>
  <c r="L21" i="12" s="1"/>
  <c r="N15" i="26"/>
  <c r="W1" i="28"/>
  <c r="V2" i="28"/>
  <c r="V4" i="28" s="1"/>
  <c r="O15" i="29"/>
  <c r="N16" i="29"/>
  <c r="N17" i="29" s="1"/>
  <c r="N9" i="12" s="1"/>
  <c r="W18" i="26"/>
  <c r="R17" i="19" s="1"/>
  <c r="Q17" i="12"/>
  <c r="L30" i="27"/>
  <c r="K13" i="12"/>
  <c r="I14" i="22"/>
  <c r="H4" i="12"/>
  <c r="W19" i="26"/>
  <c r="L12" i="12"/>
  <c r="M29" i="27"/>
  <c r="T11" i="30"/>
  <c r="S5" i="12"/>
  <c r="N14" i="26"/>
  <c r="I3" i="19" s="1"/>
  <c r="H3" i="12"/>
  <c r="I15" i="22"/>
  <c r="H4" i="19"/>
  <c r="K14" i="21"/>
  <c r="J18" i="12"/>
  <c r="L15" i="21"/>
  <c r="K18" i="19"/>
  <c r="T20" i="12" l="1"/>
  <c r="S20" i="19"/>
  <c r="V19" i="12"/>
  <c r="U19" i="19"/>
  <c r="K10" i="13"/>
  <c r="J10" i="19"/>
  <c r="K11" i="13"/>
  <c r="J11" i="19"/>
  <c r="M15" i="21"/>
  <c r="L18" i="19"/>
  <c r="J15" i="22"/>
  <c r="I4" i="19"/>
  <c r="U11" i="30"/>
  <c r="T5" i="12"/>
  <c r="X19" i="26"/>
  <c r="O15" i="26"/>
  <c r="M12" i="12"/>
  <c r="N29" i="27"/>
  <c r="V5" i="28"/>
  <c r="V7" i="28" s="1"/>
  <c r="V9" i="28" s="1"/>
  <c r="V6" i="28"/>
  <c r="V8" i="28" s="1"/>
  <c r="V10" i="28" s="1"/>
  <c r="M30" i="27"/>
  <c r="L13" i="12"/>
  <c r="L14" i="21"/>
  <c r="K18" i="12"/>
  <c r="O14" i="26"/>
  <c r="J3" i="19" s="1"/>
  <c r="I3" i="12"/>
  <c r="J14" i="22"/>
  <c r="I4" i="12"/>
  <c r="X18" i="26"/>
  <c r="S17" i="19" s="1"/>
  <c r="R17" i="12"/>
  <c r="X1" i="28"/>
  <c r="W2" i="28"/>
  <c r="W4" i="28" s="1"/>
  <c r="P15" i="29"/>
  <c r="O16" i="29"/>
  <c r="O17" i="29" s="1"/>
  <c r="O9" i="12" s="1"/>
  <c r="U11" i="28"/>
  <c r="M21" i="12" s="1"/>
  <c r="V11" i="28" l="1"/>
  <c r="N21" i="12" s="1"/>
  <c r="W19" i="12"/>
  <c r="V19" i="19"/>
  <c r="U20" i="12"/>
  <c r="T20" i="19"/>
  <c r="L11" i="13"/>
  <c r="K11" i="19"/>
  <c r="L10" i="13"/>
  <c r="K10" i="19"/>
  <c r="O29" i="27"/>
  <c r="N12" i="12"/>
  <c r="Q15" i="29"/>
  <c r="P16" i="29"/>
  <c r="P17" i="29" s="1"/>
  <c r="P9" i="12" s="1"/>
  <c r="Y18" i="26"/>
  <c r="T17" i="19" s="1"/>
  <c r="S17" i="12"/>
  <c r="P14" i="26"/>
  <c r="K3" i="19" s="1"/>
  <c r="J3" i="12"/>
  <c r="M13" i="12"/>
  <c r="N30" i="27"/>
  <c r="Y19" i="26"/>
  <c r="K15" i="22"/>
  <c r="J4" i="19"/>
  <c r="W5" i="28"/>
  <c r="W7" i="28" s="1"/>
  <c r="W9" i="28" s="1"/>
  <c r="W6" i="28"/>
  <c r="W8" i="28" s="1"/>
  <c r="W10" i="28" s="1"/>
  <c r="Y1" i="28"/>
  <c r="X2" i="28"/>
  <c r="X4" i="28" s="1"/>
  <c r="K14" i="22"/>
  <c r="J4" i="12"/>
  <c r="M14" i="21"/>
  <c r="L18" i="12"/>
  <c r="P15" i="26"/>
  <c r="V11" i="30"/>
  <c r="U5" i="12"/>
  <c r="N15" i="21"/>
  <c r="M18" i="19"/>
  <c r="V20" i="12" l="1"/>
  <c r="U20" i="19"/>
  <c r="X19" i="12"/>
  <c r="W19" i="19"/>
  <c r="M10" i="13"/>
  <c r="L10" i="19"/>
  <c r="M11" i="13"/>
  <c r="L11" i="19"/>
  <c r="O15" i="21"/>
  <c r="N18" i="19"/>
  <c r="Q15" i="26"/>
  <c r="L14" i="22"/>
  <c r="K4" i="12"/>
  <c r="W11" i="28"/>
  <c r="O21" i="12" s="1"/>
  <c r="Z19" i="26"/>
  <c r="Q14" i="26"/>
  <c r="L3" i="19" s="1"/>
  <c r="K3" i="12"/>
  <c r="R15" i="29"/>
  <c r="Q16" i="29"/>
  <c r="Q17" i="29" s="1"/>
  <c r="Q9" i="12" s="1"/>
  <c r="X6" i="28"/>
  <c r="X8" i="28" s="1"/>
  <c r="X10" i="28" s="1"/>
  <c r="X5" i="28"/>
  <c r="X7" i="28" s="1"/>
  <c r="X9" i="28" s="1"/>
  <c r="X11" i="28" s="1"/>
  <c r="P21" i="12" s="1"/>
  <c r="N13" i="12"/>
  <c r="O30" i="27"/>
  <c r="W11" i="30"/>
  <c r="V5" i="12"/>
  <c r="N14" i="21"/>
  <c r="M18" i="12"/>
  <c r="Z1" i="28"/>
  <c r="Y2" i="28"/>
  <c r="Y4" i="28" s="1"/>
  <c r="L15" i="22"/>
  <c r="K4" i="19"/>
  <c r="Z18" i="26"/>
  <c r="U17" i="19" s="1"/>
  <c r="T17" i="12"/>
  <c r="P29" i="27"/>
  <c r="O12" i="12"/>
  <c r="Y19" i="12" l="1"/>
  <c r="X19" i="19"/>
  <c r="W20" i="12"/>
  <c r="V20" i="19"/>
  <c r="N11" i="13"/>
  <c r="M11" i="19"/>
  <c r="N10" i="13"/>
  <c r="M10" i="19"/>
  <c r="Q29" i="27"/>
  <c r="P12" i="12"/>
  <c r="O14" i="21"/>
  <c r="N18" i="12"/>
  <c r="R15" i="26"/>
  <c r="M15" i="22"/>
  <c r="L4" i="19"/>
  <c r="S15" i="29"/>
  <c r="R16" i="29"/>
  <c r="R17" i="29" s="1"/>
  <c r="R9" i="12" s="1"/>
  <c r="AA19" i="26"/>
  <c r="AA18" i="26"/>
  <c r="V17" i="19" s="1"/>
  <c r="U17" i="12"/>
  <c r="AA1" i="28"/>
  <c r="Z2" i="28"/>
  <c r="Z4" i="28" s="1"/>
  <c r="X11" i="30"/>
  <c r="W5" i="12"/>
  <c r="R14" i="26"/>
  <c r="M3" i="19" s="1"/>
  <c r="L3" i="12"/>
  <c r="Y5" i="28"/>
  <c r="Y7" i="28" s="1"/>
  <c r="Y9" i="28" s="1"/>
  <c r="Y6" i="28"/>
  <c r="Y8" i="28" s="1"/>
  <c r="Y10" i="28" s="1"/>
  <c r="P30" i="27"/>
  <c r="O13" i="12"/>
  <c r="M14" i="22"/>
  <c r="L4" i="12"/>
  <c r="P15" i="21"/>
  <c r="O18" i="19"/>
  <c r="X20" i="12" l="1"/>
  <c r="W20" i="19"/>
  <c r="Z19" i="12"/>
  <c r="Y19" i="19"/>
  <c r="O10" i="13"/>
  <c r="N10" i="19"/>
  <c r="O11" i="13"/>
  <c r="N11" i="19"/>
  <c r="Q15" i="21"/>
  <c r="P18" i="19"/>
  <c r="Q30" i="27"/>
  <c r="P13" i="12"/>
  <c r="S14" i="26"/>
  <c r="N3" i="19" s="1"/>
  <c r="M3" i="12"/>
  <c r="AB1" i="28"/>
  <c r="AA2" i="28"/>
  <c r="AA4" i="28" s="1"/>
  <c r="AB19" i="26"/>
  <c r="N15" i="22"/>
  <c r="M4" i="19"/>
  <c r="P14" i="21"/>
  <c r="O18" i="12"/>
  <c r="Z5" i="28"/>
  <c r="Z7" i="28" s="1"/>
  <c r="Z9" i="28" s="1"/>
  <c r="Z6" i="28"/>
  <c r="Z8" i="28" s="1"/>
  <c r="Z10" i="28" s="1"/>
  <c r="N14" i="22"/>
  <c r="M4" i="12"/>
  <c r="Y11" i="28"/>
  <c r="Q21" i="12" s="1"/>
  <c r="Y11" i="30"/>
  <c r="X5" i="12"/>
  <c r="AB18" i="26"/>
  <c r="W17" i="19" s="1"/>
  <c r="V17" i="12"/>
  <c r="T15" i="29"/>
  <c r="S16" i="29"/>
  <c r="S17" i="29" s="1"/>
  <c r="S9" i="12" s="1"/>
  <c r="S15" i="26"/>
  <c r="Q12" i="12"/>
  <c r="R29" i="27"/>
  <c r="AA19" i="12" l="1"/>
  <c r="Z19" i="19"/>
  <c r="Y20" i="12"/>
  <c r="X20" i="19"/>
  <c r="P11" i="13"/>
  <c r="O11" i="19"/>
  <c r="P10" i="13"/>
  <c r="O10" i="19"/>
  <c r="U15" i="29"/>
  <c r="T16" i="29"/>
  <c r="T17" i="29" s="1"/>
  <c r="T9" i="12" s="1"/>
  <c r="Z11" i="30"/>
  <c r="Y5" i="12"/>
  <c r="Z11" i="28"/>
  <c r="R21" i="12" s="1"/>
  <c r="O15" i="22"/>
  <c r="N4" i="19"/>
  <c r="AC1" i="28"/>
  <c r="AB2" i="28"/>
  <c r="AB4" i="28" s="1"/>
  <c r="R30" i="27"/>
  <c r="Q13" i="12"/>
  <c r="T15" i="26"/>
  <c r="AC18" i="26"/>
  <c r="X17" i="19" s="1"/>
  <c r="W17" i="12"/>
  <c r="AA5" i="28"/>
  <c r="AA7" i="28" s="1"/>
  <c r="AA9" i="28" s="1"/>
  <c r="AA6" i="28"/>
  <c r="AA8" i="28" s="1"/>
  <c r="AA10" i="28" s="1"/>
  <c r="R12" i="12"/>
  <c r="S29" i="27"/>
  <c r="O14" i="22"/>
  <c r="N4" i="12"/>
  <c r="Q14" i="21"/>
  <c r="P18" i="12"/>
  <c r="AC19" i="26"/>
  <c r="T14" i="26"/>
  <c r="O3" i="19" s="1"/>
  <c r="N3" i="12"/>
  <c r="R15" i="21"/>
  <c r="Q18" i="19"/>
  <c r="AA11" i="28" l="1"/>
  <c r="S21" i="12" s="1"/>
  <c r="Z20" i="12"/>
  <c r="Y20" i="19"/>
  <c r="AB19" i="12"/>
  <c r="AA19" i="19"/>
  <c r="Q10" i="13"/>
  <c r="P10" i="19"/>
  <c r="Q11" i="13"/>
  <c r="P11" i="19"/>
  <c r="AD1" i="28"/>
  <c r="AC2" i="28"/>
  <c r="AC4" i="28" s="1"/>
  <c r="S12" i="12"/>
  <c r="T29" i="27"/>
  <c r="AA11" i="30"/>
  <c r="Z5" i="12"/>
  <c r="AD19" i="26"/>
  <c r="P14" i="22"/>
  <c r="O4" i="12"/>
  <c r="U15" i="26"/>
  <c r="U14" i="26"/>
  <c r="P3" i="19" s="1"/>
  <c r="O3" i="12"/>
  <c r="R14" i="21"/>
  <c r="Q18" i="12"/>
  <c r="AD18" i="26"/>
  <c r="Y17" i="19" s="1"/>
  <c r="X17" i="12"/>
  <c r="R13" i="12"/>
  <c r="S30" i="27"/>
  <c r="P15" i="22"/>
  <c r="O4" i="19"/>
  <c r="S15" i="21"/>
  <c r="R18" i="19"/>
  <c r="AB5" i="28"/>
  <c r="AB7" i="28" s="1"/>
  <c r="AB9" i="28" s="1"/>
  <c r="AB6" i="28"/>
  <c r="AB8" i="28" s="1"/>
  <c r="AB10" i="28" s="1"/>
  <c r="V15" i="29"/>
  <c r="U16" i="29"/>
  <c r="U17" i="29" s="1"/>
  <c r="U9" i="12" s="1"/>
  <c r="AC19" i="12" l="1"/>
  <c r="AB19" i="19"/>
  <c r="AA20" i="12"/>
  <c r="Z20" i="19"/>
  <c r="R11" i="13"/>
  <c r="Q11" i="19"/>
  <c r="R10" i="13"/>
  <c r="Q10" i="19"/>
  <c r="U29" i="27"/>
  <c r="T12" i="12"/>
  <c r="W15" i="29"/>
  <c r="V16" i="29"/>
  <c r="V17" i="29" s="1"/>
  <c r="V9" i="12" s="1"/>
  <c r="T15" i="21"/>
  <c r="S18" i="19"/>
  <c r="S14" i="21"/>
  <c r="R18" i="12"/>
  <c r="V15" i="26"/>
  <c r="AE19" i="26"/>
  <c r="T30" i="27"/>
  <c r="S13" i="12"/>
  <c r="AC5" i="28"/>
  <c r="AC7" i="28" s="1"/>
  <c r="AC9" i="28" s="1"/>
  <c r="AC6" i="28"/>
  <c r="AC8" i="28" s="1"/>
  <c r="AC10" i="28" s="1"/>
  <c r="AB11" i="28"/>
  <c r="T21" i="12" s="1"/>
  <c r="Q15" i="22"/>
  <c r="P4" i="19"/>
  <c r="AE18" i="26"/>
  <c r="Z17" i="19" s="1"/>
  <c r="Y17" i="12"/>
  <c r="V14" i="26"/>
  <c r="Q3" i="19" s="1"/>
  <c r="P3" i="12"/>
  <c r="Q14" i="22"/>
  <c r="P4" i="12"/>
  <c r="AB11" i="30"/>
  <c r="AA5" i="12"/>
  <c r="AE1" i="28"/>
  <c r="AD2" i="28"/>
  <c r="AD4" i="28" s="1"/>
  <c r="AB20" i="12" l="1"/>
  <c r="AA20" i="19"/>
  <c r="AD19" i="12"/>
  <c r="AC19" i="19"/>
  <c r="S10" i="13"/>
  <c r="R10" i="19"/>
  <c r="S11" i="13"/>
  <c r="R11" i="19"/>
  <c r="R14" i="22"/>
  <c r="Q4" i="12"/>
  <c r="T14" i="21"/>
  <c r="S18" i="12"/>
  <c r="X15" i="29"/>
  <c r="W16" i="29"/>
  <c r="W17" i="29" s="1"/>
  <c r="W9" i="12" s="1"/>
  <c r="AC11" i="28"/>
  <c r="U21" i="12" s="1"/>
  <c r="AF19" i="26"/>
  <c r="AC11" i="30"/>
  <c r="AB5" i="12"/>
  <c r="W14" i="26"/>
  <c r="R3" i="19" s="1"/>
  <c r="Q3" i="12"/>
  <c r="R15" i="22"/>
  <c r="Q4" i="19"/>
  <c r="AF1" i="28"/>
  <c r="AE2" i="28"/>
  <c r="AE4" i="28" s="1"/>
  <c r="AF18" i="26"/>
  <c r="AA17" i="19" s="1"/>
  <c r="Z17" i="12"/>
  <c r="AD5" i="28"/>
  <c r="AD7" i="28" s="1"/>
  <c r="AD9" i="28" s="1"/>
  <c r="AD6" i="28"/>
  <c r="AD8" i="28" s="1"/>
  <c r="AD10" i="28" s="1"/>
  <c r="U30" i="27"/>
  <c r="T13" i="12"/>
  <c r="W15" i="26"/>
  <c r="U15" i="21"/>
  <c r="T18" i="19"/>
  <c r="V29" i="27"/>
  <c r="U12" i="12"/>
  <c r="AD11" i="28" l="1"/>
  <c r="V21" i="12" s="1"/>
  <c r="AC20" i="12"/>
  <c r="AB20" i="19"/>
  <c r="AE19" i="12"/>
  <c r="AD19" i="19"/>
  <c r="T10" i="13"/>
  <c r="S10" i="19"/>
  <c r="T11" i="13"/>
  <c r="S11" i="19"/>
  <c r="X15" i="26"/>
  <c r="X14" i="26"/>
  <c r="S3" i="19" s="1"/>
  <c r="R3" i="12"/>
  <c r="U14" i="21"/>
  <c r="T18" i="12"/>
  <c r="AG1" i="28"/>
  <c r="AF2" i="28"/>
  <c r="AF4" i="28" s="1"/>
  <c r="AG19" i="26"/>
  <c r="V15" i="21"/>
  <c r="U18" i="19"/>
  <c r="V30" i="27"/>
  <c r="U13" i="12"/>
  <c r="AG18" i="26"/>
  <c r="AB17" i="19" s="1"/>
  <c r="AA17" i="12"/>
  <c r="S15" i="22"/>
  <c r="R4" i="19"/>
  <c r="AD11" i="30"/>
  <c r="AC5" i="12"/>
  <c r="V12" i="12"/>
  <c r="W29" i="27"/>
  <c r="AE5" i="28"/>
  <c r="AE7" i="28" s="1"/>
  <c r="AE9" i="28" s="1"/>
  <c r="AE6" i="28"/>
  <c r="AE8" i="28" s="1"/>
  <c r="AE10" i="28" s="1"/>
  <c r="Y15" i="29"/>
  <c r="X16" i="29"/>
  <c r="X17" i="29" s="1"/>
  <c r="X9" i="12" s="1"/>
  <c r="S14" i="22"/>
  <c r="R4" i="12"/>
  <c r="AF19" i="12" l="1"/>
  <c r="AE19" i="19"/>
  <c r="AD20" i="12"/>
  <c r="AC20" i="19"/>
  <c r="U11" i="13"/>
  <c r="T11" i="19"/>
  <c r="U10" i="13"/>
  <c r="T10" i="19"/>
  <c r="AF6" i="28"/>
  <c r="AF8" i="28" s="1"/>
  <c r="AF10" i="28" s="1"/>
  <c r="AF5" i="28"/>
  <c r="AF7" i="28" s="1"/>
  <c r="AF9" i="28" s="1"/>
  <c r="AF11" i="28" s="1"/>
  <c r="X21" i="12" s="1"/>
  <c r="AE11" i="28"/>
  <c r="W21" i="12" s="1"/>
  <c r="AE11" i="30"/>
  <c r="AD5" i="12"/>
  <c r="AH18" i="26"/>
  <c r="AC17" i="19" s="1"/>
  <c r="AB17" i="12"/>
  <c r="W15" i="21"/>
  <c r="V18" i="19"/>
  <c r="AH1" i="28"/>
  <c r="AG2" i="28"/>
  <c r="AG4" i="28" s="1"/>
  <c r="Y14" i="26"/>
  <c r="T3" i="19" s="1"/>
  <c r="S3" i="12"/>
  <c r="T14" i="22"/>
  <c r="S4" i="12"/>
  <c r="W12" i="12"/>
  <c r="X29" i="27"/>
  <c r="Z15" i="29"/>
  <c r="Y16" i="29"/>
  <c r="Y17" i="29" s="1"/>
  <c r="Y9" i="12" s="1"/>
  <c r="T15" i="22"/>
  <c r="S4" i="19"/>
  <c r="W30" i="27"/>
  <c r="V13" i="12"/>
  <c r="AH19" i="26"/>
  <c r="V14" i="21"/>
  <c r="U18" i="12"/>
  <c r="Y15" i="26"/>
  <c r="AE20" i="12" l="1"/>
  <c r="AD20" i="19"/>
  <c r="AG19" i="12"/>
  <c r="AF19" i="19"/>
  <c r="V11" i="13"/>
  <c r="U11" i="19"/>
  <c r="V10" i="13"/>
  <c r="U10" i="19"/>
  <c r="Z15" i="26"/>
  <c r="AG5" i="28"/>
  <c r="AG7" i="28" s="1"/>
  <c r="AG9" i="28" s="1"/>
  <c r="AG6" i="28"/>
  <c r="AG8" i="28" s="1"/>
  <c r="AG10" i="28" s="1"/>
  <c r="U15" i="22"/>
  <c r="T4" i="19"/>
  <c r="X15" i="21"/>
  <c r="W18" i="19"/>
  <c r="W14" i="21"/>
  <c r="V18" i="12"/>
  <c r="W13" i="12"/>
  <c r="X30" i="27"/>
  <c r="AA15" i="29"/>
  <c r="Z16" i="29"/>
  <c r="Z17" i="29" s="1"/>
  <c r="Z9" i="12" s="1"/>
  <c r="U14" i="22"/>
  <c r="T4" i="12"/>
  <c r="AI1" i="28"/>
  <c r="AH2" i="28"/>
  <c r="AH4" i="28" s="1"/>
  <c r="AI18" i="26"/>
  <c r="AD17" i="19" s="1"/>
  <c r="AC17" i="12"/>
  <c r="AI19" i="26"/>
  <c r="Z14" i="26"/>
  <c r="U3" i="19" s="1"/>
  <c r="T3" i="12"/>
  <c r="AF11" i="30"/>
  <c r="AE5" i="12"/>
  <c r="Y29" i="27"/>
  <c r="X12" i="12"/>
  <c r="AF20" i="12" l="1"/>
  <c r="AE20" i="19"/>
  <c r="AH19" i="12"/>
  <c r="AG19" i="19"/>
  <c r="W10" i="13"/>
  <c r="V10" i="19"/>
  <c r="W11" i="13"/>
  <c r="V11" i="19"/>
  <c r="Y30" i="27"/>
  <c r="X13" i="12"/>
  <c r="Z29" i="27"/>
  <c r="Y12" i="12"/>
  <c r="AA14" i="26"/>
  <c r="V3" i="19" s="1"/>
  <c r="U3" i="12"/>
  <c r="AJ18" i="26"/>
  <c r="AE17" i="19" s="1"/>
  <c r="AD17" i="12"/>
  <c r="V14" i="22"/>
  <c r="U4" i="12"/>
  <c r="Y15" i="21"/>
  <c r="X18" i="19"/>
  <c r="AG11" i="28"/>
  <c r="Y21" i="12" s="1"/>
  <c r="AH5" i="28"/>
  <c r="AH7" i="28" s="1"/>
  <c r="AH9" i="28" s="1"/>
  <c r="AH6" i="28"/>
  <c r="AH8" i="28" s="1"/>
  <c r="AH10" i="28" s="1"/>
  <c r="AG11" i="30"/>
  <c r="AF5" i="12"/>
  <c r="AJ19" i="26"/>
  <c r="AJ1" i="28"/>
  <c r="AI2" i="28"/>
  <c r="AI4" i="28" s="1"/>
  <c r="AB15" i="29"/>
  <c r="AA16" i="29"/>
  <c r="AA17" i="29" s="1"/>
  <c r="AA9" i="12" s="1"/>
  <c r="X14" i="21"/>
  <c r="W18" i="12"/>
  <c r="V15" i="22"/>
  <c r="U4" i="19"/>
  <c r="AA15" i="26"/>
  <c r="AI19" i="12" l="1"/>
  <c r="AI19" i="19" s="1"/>
  <c r="AH19" i="19"/>
  <c r="AG20" i="12"/>
  <c r="AF20" i="19"/>
  <c r="X11" i="13"/>
  <c r="W11" i="19"/>
  <c r="X10" i="13"/>
  <c r="W10" i="19"/>
  <c r="AB15" i="26"/>
  <c r="Y14" i="21"/>
  <c r="X18" i="12"/>
  <c r="AK1" i="28"/>
  <c r="AJ2" i="28"/>
  <c r="AJ4" i="28" s="1"/>
  <c r="AH11" i="30"/>
  <c r="AG5" i="12"/>
  <c r="Z15" i="21"/>
  <c r="Y18" i="19"/>
  <c r="AK18" i="26"/>
  <c r="AF17" i="19" s="1"/>
  <c r="AE17" i="12"/>
  <c r="AA29" i="27"/>
  <c r="Z12" i="12"/>
  <c r="W15" i="22"/>
  <c r="V4" i="19"/>
  <c r="AC15" i="29"/>
  <c r="AB16" i="29"/>
  <c r="AB17" i="29" s="1"/>
  <c r="AB9" i="12" s="1"/>
  <c r="AK19" i="26"/>
  <c r="AH11" i="28"/>
  <c r="Z21" i="12" s="1"/>
  <c r="AI5" i="28"/>
  <c r="AI7" i="28" s="1"/>
  <c r="AI9" i="28" s="1"/>
  <c r="AI6" i="28"/>
  <c r="AI8" i="28" s="1"/>
  <c r="AI10" i="28" s="1"/>
  <c r="W14" i="22"/>
  <c r="V4" i="12"/>
  <c r="AB14" i="26"/>
  <c r="W3" i="19" s="1"/>
  <c r="V3" i="12"/>
  <c r="Z30" i="27"/>
  <c r="Y13" i="12"/>
  <c r="AH20" i="12" l="1"/>
  <c r="AG20" i="19"/>
  <c r="Y10" i="13"/>
  <c r="X10" i="19"/>
  <c r="Y11" i="13"/>
  <c r="X11" i="19"/>
  <c r="AA30" i="27"/>
  <c r="Z13" i="12"/>
  <c r="AL19" i="26"/>
  <c r="AI11" i="28"/>
  <c r="AA21" i="12" s="1"/>
  <c r="X14" i="22"/>
  <c r="W4" i="12"/>
  <c r="X15" i="22"/>
  <c r="W4" i="19"/>
  <c r="AL18" i="26"/>
  <c r="AG17" i="19" s="1"/>
  <c r="AF17" i="12"/>
  <c r="AI11" i="30"/>
  <c r="AI5" i="12" s="1"/>
  <c r="AH5" i="12"/>
  <c r="Z14" i="21"/>
  <c r="Y18" i="12"/>
  <c r="AC14" i="26"/>
  <c r="X3" i="19" s="1"/>
  <c r="W3" i="12"/>
  <c r="AJ5" i="28"/>
  <c r="AJ7" i="28" s="1"/>
  <c r="AJ9" i="28" s="1"/>
  <c r="AJ6" i="28"/>
  <c r="AJ8" i="28" s="1"/>
  <c r="AJ10" i="28" s="1"/>
  <c r="AD15" i="29"/>
  <c r="AC16" i="29"/>
  <c r="AC17" i="29" s="1"/>
  <c r="AC9" i="12" s="1"/>
  <c r="AA12" i="12"/>
  <c r="AB29" i="27"/>
  <c r="AA15" i="21"/>
  <c r="Z18" i="19"/>
  <c r="AL1" i="28"/>
  <c r="AK2" i="28"/>
  <c r="AK4" i="28" s="1"/>
  <c r="AC15" i="26"/>
  <c r="AI20" i="12" l="1"/>
  <c r="AI20" i="19" s="1"/>
  <c r="AH20" i="19"/>
  <c r="Z11" i="13"/>
  <c r="Y11" i="19"/>
  <c r="Z10" i="13"/>
  <c r="Y10" i="19"/>
  <c r="AD15" i="26"/>
  <c r="AE15" i="29"/>
  <c r="AD16" i="29"/>
  <c r="AD17" i="29" s="1"/>
  <c r="AD9" i="12" s="1"/>
  <c r="AK5" i="28"/>
  <c r="AK7" i="28" s="1"/>
  <c r="AK9" i="28" s="1"/>
  <c r="AK6" i="28"/>
  <c r="AK8" i="28" s="1"/>
  <c r="AK10" i="28" s="1"/>
  <c r="AB12" i="12"/>
  <c r="AC29" i="27"/>
  <c r="AJ11" i="28"/>
  <c r="AB21" i="12" s="1"/>
  <c r="AA14" i="21"/>
  <c r="Z18" i="12"/>
  <c r="AM18" i="26"/>
  <c r="AH17" i="19" s="1"/>
  <c r="AG17" i="12"/>
  <c r="Y14" i="22"/>
  <c r="X4" i="12"/>
  <c r="AB15" i="21"/>
  <c r="AA18" i="19"/>
  <c r="AD14" i="26"/>
  <c r="Y3" i="19" s="1"/>
  <c r="X3" i="12"/>
  <c r="Y15" i="22"/>
  <c r="X4" i="19"/>
  <c r="AM19" i="26"/>
  <c r="AM1" i="28"/>
  <c r="AL2" i="28"/>
  <c r="AL4" i="28" s="1"/>
  <c r="AB30" i="27"/>
  <c r="AA13" i="12"/>
  <c r="AA10" i="13" l="1"/>
  <c r="Z10" i="19"/>
  <c r="AA11" i="13"/>
  <c r="Z11" i="19"/>
  <c r="Z15" i="22"/>
  <c r="Y4" i="19"/>
  <c r="AF15" i="29"/>
  <c r="AE16" i="29"/>
  <c r="AE17" i="29" s="1"/>
  <c r="AE9" i="12" s="1"/>
  <c r="AB13" i="12"/>
  <c r="AC30" i="27"/>
  <c r="AN19" i="26"/>
  <c r="AE14" i="26"/>
  <c r="Z3" i="19" s="1"/>
  <c r="Y3" i="12"/>
  <c r="Z14" i="22"/>
  <c r="Y4" i="12"/>
  <c r="AB14" i="21"/>
  <c r="AA18" i="12"/>
  <c r="AN1" i="28"/>
  <c r="AM2" i="28"/>
  <c r="AM4" i="28" s="1"/>
  <c r="AC15" i="21"/>
  <c r="AB18" i="19"/>
  <c r="AN18" i="26"/>
  <c r="AH17" i="12"/>
  <c r="AD29" i="27"/>
  <c r="AC12" i="12"/>
  <c r="AL5" i="28"/>
  <c r="AL7" i="28" s="1"/>
  <c r="AL9" i="28" s="1"/>
  <c r="AL6" i="28"/>
  <c r="AL8" i="28" s="1"/>
  <c r="AL10" i="28" s="1"/>
  <c r="AK11" i="28"/>
  <c r="AC21" i="12" s="1"/>
  <c r="AE15" i="26"/>
  <c r="AI17" i="12" l="1"/>
  <c r="AI17" i="19"/>
  <c r="AB11" i="13"/>
  <c r="AA11" i="19"/>
  <c r="AB10" i="13"/>
  <c r="AA10" i="19"/>
  <c r="AM5" i="28"/>
  <c r="AM7" i="28" s="1"/>
  <c r="AM9" i="28" s="1"/>
  <c r="AM6" i="28"/>
  <c r="AM8" i="28" s="1"/>
  <c r="AM10" i="28" s="1"/>
  <c r="AA14" i="22"/>
  <c r="Z4" i="12"/>
  <c r="AC13" i="12"/>
  <c r="AD30" i="27"/>
  <c r="AL11" i="28"/>
  <c r="AD21" i="12" s="1"/>
  <c r="AO1" i="28"/>
  <c r="AN2" i="28"/>
  <c r="AN4" i="28" s="1"/>
  <c r="AG15" i="29"/>
  <c r="AF16" i="29"/>
  <c r="AF17" i="29" s="1"/>
  <c r="AF9" i="12" s="1"/>
  <c r="AF15" i="26"/>
  <c r="AE29" i="27"/>
  <c r="AD12" i="12"/>
  <c r="AD15" i="21"/>
  <c r="AC18" i="19"/>
  <c r="AC14" i="21"/>
  <c r="AB18" i="12"/>
  <c r="AF14" i="26"/>
  <c r="AA3" i="19" s="1"/>
  <c r="Z3" i="12"/>
  <c r="AA15" i="22"/>
  <c r="Z4" i="19"/>
  <c r="AC10" i="13" l="1"/>
  <c r="AB10" i="19"/>
  <c r="AC11" i="13"/>
  <c r="AB11" i="19"/>
  <c r="AG14" i="26"/>
  <c r="AB3" i="19" s="1"/>
  <c r="AA3" i="12"/>
  <c r="AG15" i="26"/>
  <c r="AB14" i="22"/>
  <c r="AA4" i="12"/>
  <c r="AB15" i="22"/>
  <c r="AA4" i="19"/>
  <c r="AD14" i="21"/>
  <c r="AC18" i="12"/>
  <c r="AF29" i="27"/>
  <c r="AE12" i="12"/>
  <c r="AH15" i="29"/>
  <c r="AG16" i="29"/>
  <c r="AG17" i="29" s="1"/>
  <c r="AG9" i="12" s="1"/>
  <c r="AE30" i="27"/>
  <c r="AD13" i="12"/>
  <c r="AE15" i="21"/>
  <c r="AD18" i="19"/>
  <c r="AP1" i="28"/>
  <c r="AO2" i="28"/>
  <c r="AO4" i="28" s="1"/>
  <c r="AN6" i="28"/>
  <c r="AN8" i="28" s="1"/>
  <c r="AN10" i="28" s="1"/>
  <c r="AN5" i="28"/>
  <c r="AN7" i="28" s="1"/>
  <c r="AN9" i="28" s="1"/>
  <c r="AM11" i="28"/>
  <c r="AE21" i="12" s="1"/>
  <c r="AD11" i="13" l="1"/>
  <c r="AC11" i="19"/>
  <c r="AD10" i="13"/>
  <c r="AC10" i="19"/>
  <c r="AO5" i="28"/>
  <c r="AO7" i="28" s="1"/>
  <c r="AO9" i="28" s="1"/>
  <c r="AO6" i="28"/>
  <c r="AO8" i="28" s="1"/>
  <c r="AO10" i="28" s="1"/>
  <c r="AF30" i="27"/>
  <c r="AE13" i="12"/>
  <c r="AC15" i="22"/>
  <c r="AB4" i="19"/>
  <c r="AH15" i="26"/>
  <c r="AN11" i="28"/>
  <c r="AF21" i="12" s="1"/>
  <c r="AQ1" i="28"/>
  <c r="AQ2" i="28" s="1"/>
  <c r="AQ4" i="28" s="1"/>
  <c r="AP2" i="28"/>
  <c r="AP4" i="28" s="1"/>
  <c r="AF12" i="12"/>
  <c r="AG29" i="27"/>
  <c r="AF15" i="21"/>
  <c r="AE18" i="19"/>
  <c r="AI15" i="29"/>
  <c r="AI16" i="29" s="1"/>
  <c r="AI17" i="29" s="1"/>
  <c r="AI9" i="12" s="1"/>
  <c r="AH16" i="29"/>
  <c r="AH17" i="29" s="1"/>
  <c r="AH9" i="12" s="1"/>
  <c r="AE14" i="21"/>
  <c r="AD18" i="12"/>
  <c r="AC14" i="22"/>
  <c r="AB4" i="12"/>
  <c r="AH14" i="26"/>
  <c r="AC3" i="19" s="1"/>
  <c r="AB3" i="12"/>
  <c r="AE10" i="13" l="1"/>
  <c r="AD10" i="19"/>
  <c r="AE11" i="13"/>
  <c r="AD11" i="19"/>
  <c r="AD14" i="22"/>
  <c r="AC4" i="12"/>
  <c r="AP5" i="28"/>
  <c r="AP7" i="28" s="1"/>
  <c r="AP9" i="28" s="1"/>
  <c r="AP6" i="28"/>
  <c r="AP8" i="28" s="1"/>
  <c r="AP10" i="28" s="1"/>
  <c r="AI15" i="26"/>
  <c r="AF13" i="12"/>
  <c r="AG30" i="27"/>
  <c r="AI14" i="26"/>
  <c r="AD3" i="19" s="1"/>
  <c r="AC3" i="12"/>
  <c r="AF14" i="21"/>
  <c r="AE18" i="12"/>
  <c r="AG15" i="21"/>
  <c r="AF18" i="19"/>
  <c r="AQ5" i="28"/>
  <c r="AQ7" i="28" s="1"/>
  <c r="AQ9" i="28" s="1"/>
  <c r="AQ6" i="28"/>
  <c r="AQ8" i="28" s="1"/>
  <c r="AQ10" i="28" s="1"/>
  <c r="AH29" i="27"/>
  <c r="AG12" i="12"/>
  <c r="AD15" i="22"/>
  <c r="AC4" i="19"/>
  <c r="AO11" i="28"/>
  <c r="AG21" i="12" s="1"/>
  <c r="AF11" i="13" l="1"/>
  <c r="AE11" i="19"/>
  <c r="AF10" i="13"/>
  <c r="AE10" i="19"/>
  <c r="AG14" i="21"/>
  <c r="AF18" i="12"/>
  <c r="AH30" i="27"/>
  <c r="AG13" i="12"/>
  <c r="AQ11" i="28"/>
  <c r="AI21" i="12" s="1"/>
  <c r="AP11" i="28"/>
  <c r="AH21" i="12" s="1"/>
  <c r="AE15" i="22"/>
  <c r="AD4" i="19"/>
  <c r="AI29" i="27"/>
  <c r="AI12" i="12" s="1"/>
  <c r="AH12" i="12"/>
  <c r="AH15" i="21"/>
  <c r="AG18" i="19"/>
  <c r="AJ14" i="26"/>
  <c r="AE3" i="19" s="1"/>
  <c r="AD3" i="12"/>
  <c r="AJ15" i="26"/>
  <c r="AE14" i="22"/>
  <c r="AD4" i="12"/>
  <c r="AG10" i="13" l="1"/>
  <c r="AF10" i="19"/>
  <c r="AG11" i="13"/>
  <c r="AF11" i="19"/>
  <c r="AK15" i="26"/>
  <c r="AI15" i="21"/>
  <c r="AI18" i="19" s="1"/>
  <c r="AH18" i="19"/>
  <c r="AI30" i="27"/>
  <c r="AI13" i="12" s="1"/>
  <c r="AH13" i="12"/>
  <c r="AF15" i="22"/>
  <c r="AE4" i="19"/>
  <c r="AF14" i="22"/>
  <c r="AE4" i="12"/>
  <c r="AK14" i="26"/>
  <c r="AF3" i="19" s="1"/>
  <c r="AE3" i="12"/>
  <c r="AH14" i="21"/>
  <c r="AG18" i="12"/>
  <c r="AH11" i="13" l="1"/>
  <c r="AG11" i="19"/>
  <c r="AH10" i="13"/>
  <c r="AG10" i="19"/>
  <c r="AL14" i="26"/>
  <c r="AG3" i="19" s="1"/>
  <c r="AF3" i="12"/>
  <c r="AG15" i="22"/>
  <c r="AF4" i="19"/>
  <c r="AI14" i="21"/>
  <c r="AI18" i="12" s="1"/>
  <c r="AH18" i="12"/>
  <c r="AG14" i="22"/>
  <c r="AF4" i="12"/>
  <c r="AL15" i="26"/>
  <c r="AI11" i="13" l="1"/>
  <c r="AI11" i="19" s="1"/>
  <c r="AH11" i="19"/>
  <c r="AI10" i="13"/>
  <c r="AI10" i="19" s="1"/>
  <c r="AH10" i="19"/>
  <c r="AH14" i="22"/>
  <c r="AG4" i="12"/>
  <c r="AH15" i="22"/>
  <c r="AG4" i="19"/>
  <c r="AM15" i="26"/>
  <c r="AM14" i="26"/>
  <c r="AH3" i="19" s="1"/>
  <c r="AG3" i="12"/>
  <c r="AI15" i="22" l="1"/>
  <c r="AI4" i="19" s="1"/>
  <c r="AH4" i="19"/>
  <c r="AN14" i="26"/>
  <c r="AH3" i="12"/>
  <c r="AN15" i="26"/>
  <c r="AI14" i="22"/>
  <c r="AI4" i="12" s="1"/>
  <c r="AH4" i="12"/>
  <c r="AI3" i="12" l="1"/>
  <c r="AI3" i="19"/>
</calcChain>
</file>

<file path=xl/sharedStrings.xml><?xml version="1.0" encoding="utf-8"?>
<sst xmlns="http://schemas.openxmlformats.org/spreadsheetml/2006/main" count="814" uniqueCount="572">
  <si>
    <t>Source:</t>
  </si>
  <si>
    <t>Annual Energy Outlook 2019</t>
  </si>
  <si>
    <t>Notes</t>
  </si>
  <si>
    <t>Hydro, wind, solar, and geothermal are neither fuels nor energy carriers</t>
  </si>
  <si>
    <t>and should always contain zeroes in this variable.</t>
  </si>
  <si>
    <t>Electricity and heat are energy carriers and are not handled in this</t>
  </si>
  <si>
    <t>part of the model.  (Electricity imports/exports are exogenous</t>
  </si>
  <si>
    <t>Hydrogen is an energy carrier, but can theoretically be imported</t>
  </si>
  <si>
    <t>Imports</t>
  </si>
  <si>
    <t>Exports</t>
  </si>
  <si>
    <t>Crude Oil</t>
  </si>
  <si>
    <t>Fuel Ethanol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</si>
  <si>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</si>
  <si>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</si>
  <si>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</si>
  <si>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</si>
  <si>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</si>
  <si>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</si>
  <si>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</si>
  <si>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</si>
  <si>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</si>
  <si>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/>
  </si>
  <si>
    <t>2018-</t>
  </si>
  <si>
    <t>- -</t>
  </si>
  <si>
    <t xml:space="preserve">   - - = Not applicable.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</si>
  <si>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</si>
  <si>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</si>
  <si>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natural gas</t>
  </si>
  <si>
    <t>biomass</t>
  </si>
  <si>
    <t>petroleum gasoline</t>
  </si>
  <si>
    <t>jet fuel or kerosene</t>
  </si>
  <si>
    <t>crude oil</t>
  </si>
  <si>
    <t>LPG propane or butane</t>
  </si>
  <si>
    <t>electricity (not used in this variable)</t>
  </si>
  <si>
    <t>hard coal</t>
  </si>
  <si>
    <t>nuclear</t>
  </si>
  <si>
    <t>hydro (is not a fuel)</t>
  </si>
  <si>
    <t>wind (is not a fuel)</t>
  </si>
  <si>
    <t>solar (is not a fuel)</t>
  </si>
  <si>
    <t>petroleum diesel</t>
  </si>
  <si>
    <t>biofuel gasoline</t>
  </si>
  <si>
    <t>biofuel diesel</t>
  </si>
  <si>
    <t>heat (energy carrier)</t>
  </si>
  <si>
    <t>geothermal (is not a fuel)</t>
  </si>
  <si>
    <t>lignite</t>
  </si>
  <si>
    <t>heavy fuel oil</t>
  </si>
  <si>
    <t>municipal solid waste</t>
  </si>
  <si>
    <t>hydrogen</t>
  </si>
  <si>
    <t>Lignite</t>
  </si>
  <si>
    <t>heat (not used in this variable)</t>
  </si>
  <si>
    <t>CNV000</t>
  </si>
  <si>
    <t>73.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</si>
  <si>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</si>
  <si>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</si>
  <si>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</si>
  <si>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</si>
  <si>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</si>
  <si>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</si>
  <si>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</si>
  <si>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</si>
  <si>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</si>
  <si>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</si>
  <si>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</si>
  <si>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</si>
  <si>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</si>
  <si>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</si>
  <si>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</si>
  <si>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</si>
  <si>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</si>
  <si>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</si>
  <si>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</si>
  <si>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</si>
  <si>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</si>
  <si>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</si>
  <si>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</si>
  <si>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</si>
  <si>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</si>
  <si>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</si>
  <si>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</si>
  <si>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</si>
  <si>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</si>
  <si>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</si>
  <si>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</si>
  <si>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</si>
  <si>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</si>
  <si>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</si>
  <si>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</si>
  <si>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</si>
  <si>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</si>
  <si>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</si>
  <si>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</si>
  <si>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</si>
  <si>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</si>
  <si>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</si>
  <si>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</si>
  <si>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</si>
  <si>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</si>
  <si>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</si>
  <si>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</si>
  <si>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</si>
  <si>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</si>
  <si>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</si>
  <si>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</si>
  <si>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</si>
  <si>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</si>
  <si>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</si>
  <si>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</si>
  <si>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</si>
  <si>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</si>
  <si>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</si>
  <si>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</si>
  <si>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</si>
  <si>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</si>
  <si>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</si>
  <si>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</si>
  <si>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</si>
  <si>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</si>
  <si>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</si>
  <si>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</si>
  <si>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</si>
  <si>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</si>
  <si>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</si>
  <si>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</si>
  <si>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</si>
  <si>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</si>
  <si>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</si>
  <si>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</si>
  <si>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</si>
  <si>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</si>
  <si>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</si>
  <si>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</si>
  <si>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</si>
  <si>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</si>
  <si>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</si>
  <si>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</si>
  <si>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</si>
  <si>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</si>
  <si>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</si>
  <si>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</si>
  <si>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</si>
  <si>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</si>
  <si>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</si>
  <si>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</si>
  <si>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</si>
  <si>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</si>
  <si>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</si>
  <si>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</si>
  <si>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</si>
  <si>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</si>
  <si>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</si>
  <si>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</si>
  <si>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</si>
  <si>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</si>
  <si>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</si>
  <si>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</si>
  <si>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</si>
  <si>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</si>
  <si>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</si>
  <si>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</si>
  <si>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</si>
  <si>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</si>
  <si>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</si>
  <si>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</si>
  <si>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>Electricity (Btu per kilowatthour)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</si>
  <si>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</si>
  <si>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</si>
  <si>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</si>
  <si>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Note:  Data for 2017 are model results and may differ from official EIA data reports.</t>
  </si>
  <si>
    <t xml:space="preserve">   Sources:  2017 based on:  U.S. Energy Information Administration (EIA), Monthly Energy Review, September 2018.</t>
  </si>
  <si>
    <t>BTU</t>
  </si>
  <si>
    <t>Energy Information Administration</t>
  </si>
  <si>
    <t>http://www.eia.gov/forecasts/aeo/supplement/excel/suptab_73.xlsx</t>
  </si>
  <si>
    <t>Table 73</t>
  </si>
  <si>
    <t>Unit Conversion for Uranium (U3O8)</t>
  </si>
  <si>
    <t>TradeTech</t>
  </si>
  <si>
    <t>https://www.uranium.info/unit_conversion_table.php</t>
  </si>
  <si>
    <t>Uranium Primer - Price &amp; Unit Conversion Calculator &amp; Table</t>
  </si>
  <si>
    <t>The consolidated data in this variable (production, imports, exports, and domestic use of each fuel)</t>
  </si>
  <si>
    <t>is used in the variable fuels/CiFIaEpUDFS.  Therefore, even though this variable only outputs</t>
  </si>
  <si>
    <t>production and exports, you should also collect data on fuel imports.  (Domestic use data</t>
  </si>
  <si>
    <t>can be calculated from production, imports, and exports.  We ignore changes in fuel stocks,</t>
  </si>
  <si>
    <t>which should average to zero over multi-year timeframes.)</t>
  </si>
  <si>
    <t>Collect Export, Import, and Production Data for Each Fuel</t>
  </si>
  <si>
    <t>Time Series</t>
  </si>
  <si>
    <t>Included Fuels</t>
  </si>
  <si>
    <t>and handled in the power sector.  District heat imports/exports are assumed to be negligible.)</t>
  </si>
  <si>
    <t>or exported in bulk, so is included here.</t>
  </si>
  <si>
    <t>Units</t>
  </si>
  <si>
    <t>In this variable, units are standardized to BTU, the internal working energy unit of the model.</t>
  </si>
  <si>
    <t>Variable fuels/CiFIaEpUDFS is not sensitive to the units used, as long as the same unit is used</t>
  </si>
  <si>
    <t>for all quantities associated with the same fuel (imports, exports, production, use).</t>
  </si>
  <si>
    <t>However, only data from the first year are used in variable fuels/CiFIaEpUDFS.</t>
  </si>
  <si>
    <t>In the future, fuels/CiFIaEpUDFS may be replaced with internal Vensim calculations,</t>
  </si>
  <si>
    <t>making those values sensitive to changes over time.</t>
  </si>
  <si>
    <t>This variable contains time series data.</t>
  </si>
  <si>
    <t>BFPIaE BAU Fuel Production</t>
  </si>
  <si>
    <t>BFPIaE BAU Fuel Imports</t>
  </si>
  <si>
    <t>BFPIaE BAU Fuel Exports</t>
  </si>
  <si>
    <t>Fuel (BTU)</t>
  </si>
  <si>
    <t>Currency</t>
  </si>
  <si>
    <t>India Inflation Rates</t>
  </si>
  <si>
    <t>See scaling-factors.xlsx for source info</t>
  </si>
  <si>
    <t>Year</t>
  </si>
  <si>
    <t>Rate</t>
  </si>
  <si>
    <t>Value Indexed to 2012</t>
  </si>
  <si>
    <t>Ruppees per dollar</t>
  </si>
  <si>
    <t>Fuel-Independent Conversion Factors</t>
  </si>
  <si>
    <t>liters per barrel</t>
  </si>
  <si>
    <t>BTU/kcal</t>
  </si>
  <si>
    <t>BTU/kWh (unit conversion, not a heat rate)</t>
  </si>
  <si>
    <t>Energy in Biomass</t>
  </si>
  <si>
    <t>Wood wastes</t>
  </si>
  <si>
    <t>kcal/kg</t>
  </si>
  <si>
    <t>Cowdung</t>
  </si>
  <si>
    <t>Average of biomass fuels</t>
  </si>
  <si>
    <t>BTU/kg</t>
  </si>
  <si>
    <t>BTU/ton</t>
  </si>
  <si>
    <t>BTU/barrel</t>
  </si>
  <si>
    <t>BTU/liter</t>
  </si>
  <si>
    <t>Energy in Petroleum Gasoline</t>
  </si>
  <si>
    <t>barrels/ton</t>
  </si>
  <si>
    <t>kcal/barrel</t>
  </si>
  <si>
    <t>Energy in Petroleum Diesel</t>
  </si>
  <si>
    <t>million BTU/barrel</t>
  </si>
  <si>
    <t>million BTU/l</t>
  </si>
  <si>
    <t>BTU/l</t>
  </si>
  <si>
    <t>Energy in LPG</t>
  </si>
  <si>
    <t>Natural Gas</t>
  </si>
  <si>
    <t>trillion BTU / billion cubic m</t>
  </si>
  <si>
    <t>BTU / thousand cubic m</t>
  </si>
  <si>
    <t>Coal</t>
  </si>
  <si>
    <t>MMT</t>
  </si>
  <si>
    <t>million BTU / bbl</t>
  </si>
  <si>
    <t>BTU / bbl</t>
  </si>
  <si>
    <t>Energy Contents</t>
  </si>
  <si>
    <t>Biomass &amp; MSW Energy Content</t>
  </si>
  <si>
    <t>Indian Institute for Science, Centre for Ecological Sciences</t>
  </si>
  <si>
    <t>undated</t>
  </si>
  <si>
    <t>http://www.ces.iisc.ernet.in/energy/paper/alternative/calorific.html</t>
  </si>
  <si>
    <t>Gasoline, LPG, Natural Gas Energy Content</t>
  </si>
  <si>
    <t>TERI</t>
  </si>
  <si>
    <t>TERI Energy and Environment Data Diary and Yearbook 2015/16</t>
  </si>
  <si>
    <t>http://bookstore.teri.res.in/books/9788179935835</t>
  </si>
  <si>
    <t>Page 15</t>
  </si>
  <si>
    <t>Diesel, Jet Fuel, Crude Oil Energy Content</t>
  </si>
  <si>
    <t>Annual Energy Outlook 2016</t>
  </si>
  <si>
    <t>Volume Conversions</t>
  </si>
  <si>
    <t>Petroleum Planning &amp; Analysis Cell</t>
  </si>
  <si>
    <t>Snapshot of India's Oil &amp; Gas Data - Oct 2018</t>
  </si>
  <si>
    <t>http://ppac.org.in/WriteReadData/Reports/201811200650439471143SnapshotofIndiasOilandGasData_October2018.pdf</t>
  </si>
  <si>
    <t>Table 25</t>
  </si>
  <si>
    <t xml:space="preserve">Weight to Volume Conversion </t>
  </si>
  <si>
    <t>Product</t>
  </si>
  <si>
    <t>LPG</t>
  </si>
  <si>
    <t>Petrol (MS)</t>
  </si>
  <si>
    <t>Diesel (HSD)</t>
  </si>
  <si>
    <t>Kerosene (SKO)</t>
  </si>
  <si>
    <t>ATF</t>
  </si>
  <si>
    <t>Light Diesel Oil (LDO)</t>
  </si>
  <si>
    <t>Furnace Oil (FO)</t>
  </si>
  <si>
    <t>(MT)</t>
  </si>
  <si>
    <t xml:space="preserve">Weight </t>
  </si>
  <si>
    <t xml:space="preserve">Volume </t>
  </si>
  <si>
    <t>(KL)</t>
  </si>
  <si>
    <t xml:space="preserve">Barrel </t>
  </si>
  <si>
    <t>(bbl)</t>
  </si>
  <si>
    <t>Source: PPAC</t>
  </si>
  <si>
    <t>MT</t>
  </si>
  <si>
    <t>bbl</t>
  </si>
  <si>
    <t>million BTU</t>
  </si>
  <si>
    <t>Crude Oil Production and Imports in India (2017-18)</t>
  </si>
  <si>
    <t xml:space="preserve">Production </t>
  </si>
  <si>
    <t>Source: Snapshot of India's Oil and Gas Data, Oct 2018</t>
  </si>
  <si>
    <t>Table 2</t>
  </si>
  <si>
    <t>Exports*</t>
  </si>
  <si>
    <t>*there are no exports for crude oil in India</t>
  </si>
  <si>
    <t>Natural Gas Production and Imports in India (2017-18)</t>
  </si>
  <si>
    <t>Production (Gross)</t>
  </si>
  <si>
    <t>MMSCM</t>
  </si>
  <si>
    <t>Cubic metre</t>
  </si>
  <si>
    <t>'000 cubic metre</t>
  </si>
  <si>
    <t>Table 16</t>
  </si>
  <si>
    <t>*there are no exports for natural gas in India</t>
  </si>
  <si>
    <t>Crude Oil, Natural Gas Production &amp; Imports</t>
  </si>
  <si>
    <t>Crude Oil (Table 2, p5); Nat Gas (Table 16, p13)</t>
  </si>
  <si>
    <t>Source: Indian Petroleum &amp; Nat Gas Statistics 2017-18, MoPNG</t>
  </si>
  <si>
    <t>Table VI.2, p100</t>
  </si>
  <si>
    <t>Ministry of Petroleum and Natural Gas</t>
  </si>
  <si>
    <t>Indian Petroleum and Natural Gas Statistics 2017-18</t>
  </si>
  <si>
    <t>http://petroleum.nic.in/sites/default/files/ipngstat_0.pdf</t>
  </si>
  <si>
    <t>'000 MT</t>
  </si>
  <si>
    <t>Coal (2017-18)</t>
  </si>
  <si>
    <t>Source: Coal Statistics, 2018; Ministry of Coal</t>
  </si>
  <si>
    <t>Lignite (2017-18)</t>
  </si>
  <si>
    <t>Production - Statement 3.1, p3.1, Import - Statement 7.1, p 7.1,</t>
  </si>
  <si>
    <t>Export - Statement 7.6, p7.2</t>
  </si>
  <si>
    <t>Million tonnes</t>
  </si>
  <si>
    <t>Production - Statement 3.4, p3.2.</t>
  </si>
  <si>
    <t>Import &amp; Export - Tables 7.1, 7.2, p7.5</t>
  </si>
  <si>
    <t>LPG, Jet Fuel, Fuel Oil, Petrol &amp; Diesel - Production, Imports &amp; Exports</t>
  </si>
  <si>
    <t>LPG (2017-18)</t>
  </si>
  <si>
    <t>Aviation Turbine Fuel (ATF/Jet Fuel) (2017-18)</t>
  </si>
  <si>
    <t>Fuel Oils  (2017-18)</t>
  </si>
  <si>
    <t>Petrol (Motor Spirit)  (2017-18)</t>
  </si>
  <si>
    <t>Diesel  (2017-18)</t>
  </si>
  <si>
    <t>Biofuel Production (2017-18)</t>
  </si>
  <si>
    <t>Thousand tonnes of oil equivalent</t>
  </si>
  <si>
    <t>BP Statistical Review of World Energy 2019</t>
  </si>
  <si>
    <t>https://www.bp.com/content/dam/bp/business-sites/en/global/corporate/pdfs/energy-economics/statistical-review/bp-stats-review-2019-full-report.pdf</t>
  </si>
  <si>
    <t>Biofuel Production', Page 53</t>
  </si>
  <si>
    <t>Source: BP Statistical Review of World Energy, 2019</t>
  </si>
  <si>
    <t>Page 53</t>
  </si>
  <si>
    <t>http://www.indiaenvironmentportal.org.in/files/file/Ethanol%20Production.pdf</t>
  </si>
  <si>
    <t>Ethanol production capacity</t>
  </si>
  <si>
    <t>Crore litres</t>
  </si>
  <si>
    <t>OMC tendered ethanol under EBP</t>
  </si>
  <si>
    <t>crore litres</t>
  </si>
  <si>
    <t>Since the tendered quanity is greater than production capacity, we assume</t>
  </si>
  <si>
    <t>that the production is as per full capacity due to assured demand</t>
  </si>
  <si>
    <t>Blending Ratio target for petrol</t>
  </si>
  <si>
    <t>%</t>
  </si>
  <si>
    <t>Blending Ratio target for diesel</t>
  </si>
  <si>
    <t>Ethanol production apportioned to biofeul-gasoline</t>
  </si>
  <si>
    <t>Ethanol production apportioned to biodiesel</t>
  </si>
  <si>
    <t>MBTU</t>
  </si>
  <si>
    <t>bbl/mtoe</t>
  </si>
  <si>
    <t>mtoe</t>
  </si>
  <si>
    <t>Ethanol Fuel conversions</t>
  </si>
  <si>
    <t>Renewable Fuels Association</t>
  </si>
  <si>
    <t>Fuel Ethanol Trade Measurements and Conversions</t>
  </si>
  <si>
    <t>https://ethanolrfa.org/wp-content/uploads/2015/12/Fuel-Ethanol-Trade-Measurements-and-Conversions_RFA.pdf</t>
  </si>
  <si>
    <t>bbl/litre</t>
  </si>
  <si>
    <t>litres</t>
  </si>
  <si>
    <t>Ethanol Production</t>
  </si>
  <si>
    <t>Lok Sabha</t>
  </si>
  <si>
    <t>Unstarred Question No. 4722 - Ethanol Production</t>
  </si>
  <si>
    <t>Source: Lok Sabha Unstarred Q on Ethanol Production</t>
  </si>
  <si>
    <t>Ethanol Production Calculations</t>
  </si>
  <si>
    <t>National Policy on Biofuel</t>
  </si>
  <si>
    <t>Ethanol Blending targets in Biofuels</t>
  </si>
  <si>
    <t>https://pib.gov.in/PressReleasePage.aspx?PRID=1575404</t>
  </si>
  <si>
    <t>Ministry of Petroleum and Natural Gas/ Press Information Bureau</t>
  </si>
  <si>
    <t xml:space="preserve">Organic waste </t>
  </si>
  <si>
    <t>Inert &amp; Non-organic</t>
  </si>
  <si>
    <t xml:space="preserve">Recyclable </t>
  </si>
  <si>
    <t>2017</t>
  </si>
  <si>
    <t>2022</t>
  </si>
  <si>
    <t>2027</t>
  </si>
  <si>
    <t>2032</t>
  </si>
  <si>
    <t>2037</t>
  </si>
  <si>
    <t>2042</t>
  </si>
  <si>
    <t>2047</t>
  </si>
  <si>
    <t>(TWh)</t>
  </si>
  <si>
    <t>Source: IESS v2</t>
  </si>
  <si>
    <t>Table 6, page 37</t>
  </si>
  <si>
    <t>Source: Report of the Task Force on Waste-to-Energy, Planning Commission</t>
  </si>
  <si>
    <t>Avg. Refuse Derived Fuel</t>
  </si>
  <si>
    <t>Projections of MSW generation</t>
  </si>
  <si>
    <t>Page ii; Text Box-1, page 5</t>
  </si>
  <si>
    <t>Collection efficiency</t>
  </si>
  <si>
    <t>Collection Efficiency</t>
  </si>
  <si>
    <t>Collection %</t>
  </si>
  <si>
    <t>MSW generated</t>
  </si>
  <si>
    <t>MSW collected</t>
  </si>
  <si>
    <t>Organic (MMT)</t>
  </si>
  <si>
    <t>RDF (MMT)</t>
  </si>
  <si>
    <t>Refuse Derived Fuel (RDF Grade II minimum)</t>
  </si>
  <si>
    <t>Organic (MT)</t>
  </si>
  <si>
    <t>RDF (MT)</t>
  </si>
  <si>
    <t>Organic (BTU)</t>
  </si>
  <si>
    <t>RDF (BTU)</t>
  </si>
  <si>
    <t>MSW Weighted 
Avg (BTU)</t>
  </si>
  <si>
    <t>Planning Commission</t>
  </si>
  <si>
    <t>Report of the Task Force on Waste to Energy - Vol I</t>
  </si>
  <si>
    <t>http://planningcommission.nic.in/reports/genrep/rep_wte1205.pdf</t>
  </si>
  <si>
    <t>MSW generation projections - pii; Composition of MSW - Text Box-1, page 5;</t>
  </si>
  <si>
    <t>Solid Waste Management Rules, 2016</t>
  </si>
  <si>
    <t>Ministry of Environment, Forest and Climate Change/Central Pollution Control Board</t>
  </si>
  <si>
    <t>http://www.indiaenvironmentportal.org.in/files/file/Solid%20Waste%20Management%20Rules,%202016.pdf</t>
  </si>
  <si>
    <t>Page xii, Net Calorific Value for median grade RDF - Grade II</t>
  </si>
  <si>
    <t>http://cpheeo.gov.in/upload/5bda791e5afb3SBMRDFBook.pdf</t>
  </si>
  <si>
    <t>Guidelines on Usage of RDF in Various Industries</t>
  </si>
  <si>
    <t>Refuse Derived Fuel (RDF) conversions</t>
  </si>
  <si>
    <t>Ministry of Housing &amp; Urban Uffairs/Central Public Health &amp; Environmental Engg. Organisation</t>
  </si>
  <si>
    <t xml:space="preserve">20% blending of ethanol in petrol and 5% blending of bio-diesel in diesel by 2030. </t>
  </si>
  <si>
    <t>The MoPNG does not provide disaggregated data on biofuels for India. The alternate</t>
  </si>
  <si>
    <t>source available (BP Statistical Energy Review) also reports combined biofuel statistics.</t>
  </si>
  <si>
    <t>Hence, we use the data available on ethanol production in the country, and apportion</t>
  </si>
  <si>
    <t xml:space="preserve">it between biofuel-gasoline and biodiesel based on the ratio of its blended component in </t>
  </si>
  <si>
    <t xml:space="preserve">the respective fuels. Since estimating the full volume of biofuel-gasoline and biodiesel </t>
  </si>
  <si>
    <t>based on ethanol production could lead to double counting of petroleum and diesel, we</t>
  </si>
  <si>
    <t>retain the ethanol production values for biofuel-gasoline and biodiesel.</t>
  </si>
  <si>
    <t>The data from BP review is presented for reference only.</t>
  </si>
  <si>
    <t xml:space="preserve">Waste Management Rules, 2016' released by CPCB. A task force set up by the Planning </t>
  </si>
  <si>
    <t xml:space="preserve">Commission in 2014 estimates the current and future projections of MSW generation in </t>
  </si>
  <si>
    <t>the country. We use these values, and apportion the waste into two major waste-to-energy</t>
  </si>
  <si>
    <t>categories based on its composition - biogasification-based technologies (for organic component),</t>
  </si>
  <si>
    <t xml:space="preserve">and combustion-based technologies (inorganic and high calorific value component that can be </t>
  </si>
  <si>
    <t>converted to Refuse-Driven Fuel (RDF)). There is no change in composition assumed as the overall</t>
  </si>
  <si>
    <t>share of organic vs. inorganic components remains relatively constant from 1996-2011.</t>
  </si>
  <si>
    <t xml:space="preserve">The weighted average calorific content is estimated based on the ratios of the two components. </t>
  </si>
  <si>
    <t xml:space="preserve">The base-year collection efficiency is 68%. We assume this improves linearly to reach 100% by 2022 </t>
  </si>
  <si>
    <t>Notes - India</t>
  </si>
  <si>
    <t>As per information provided by Dept. of Food &amp; Public Distribution, the present</t>
  </si>
  <si>
    <t>ethanol production capacity in the country is about 270 crore litres, which has</t>
  </si>
  <si>
    <t>been utilised to produce ethanol for supply to Oil Marketing Companies under</t>
  </si>
  <si>
    <t>the Ethanol Blended Petroleum programme</t>
  </si>
  <si>
    <r>
      <rPr>
        <b/>
        <sz val="11"/>
        <color theme="1"/>
        <rFont val="Calibri"/>
        <family val="2"/>
        <scheme val="minor"/>
      </rPr>
      <t xml:space="preserve">Municial Solid Waste: </t>
    </r>
    <r>
      <rPr>
        <sz val="11"/>
        <color theme="1"/>
        <rFont val="Calibri"/>
        <family val="2"/>
        <scheme val="minor"/>
      </rPr>
      <t>India has a recent policy update on handling of MSW in the 'Solid</t>
    </r>
  </si>
  <si>
    <r>
      <rPr>
        <b/>
        <sz val="11"/>
        <color theme="1"/>
        <rFont val="Calibri"/>
        <family val="2"/>
        <scheme val="minor"/>
      </rPr>
      <t>Biofuels:</t>
    </r>
    <r>
      <rPr>
        <sz val="11"/>
        <color theme="1"/>
        <rFont val="Calibri"/>
        <family val="2"/>
        <scheme val="minor"/>
      </rPr>
      <t xml:space="preserve"> MoPNG has announced the National Policy on Biofuels in 2018 with a target of </t>
    </r>
  </si>
  <si>
    <t xml:space="preserve">(as a conservative alternative to the avg country target of 100% set by the committee for 12th Plan). </t>
  </si>
  <si>
    <t>Table 11, page 54</t>
  </si>
  <si>
    <t>Collection % Target- Table 6, p37; Change in composition of MSW-Table 11, p54</t>
  </si>
  <si>
    <t xml:space="preserve">*In this model, we are only concerned with the amount of MSW that is used as a fuel, </t>
  </si>
  <si>
    <t>and exclude the portion that goes to landfills</t>
  </si>
  <si>
    <t>Composition of MSW in 2013*</t>
  </si>
  <si>
    <t xml:space="preserve">*Apart from fodder and other applications, the net agricultural residue availability for biomass pellets </t>
  </si>
  <si>
    <t>Source: Purohit &amp; Chaturvedi (2017)</t>
  </si>
  <si>
    <t>also takes into account the residue used for biomass power/cogeneration projects</t>
  </si>
  <si>
    <t xml:space="preserve">Biomass generation </t>
  </si>
  <si>
    <t>2012</t>
  </si>
  <si>
    <t>Rate of change(5yr)</t>
  </si>
  <si>
    <t>Rate of change(1yr)</t>
  </si>
  <si>
    <t>Bio Energy Feedstock
for Electricity</t>
  </si>
  <si>
    <t>Sheet V.a, Table V.d (Available feedstock for Bioenergy), Trajectory 2 (BAU)</t>
  </si>
  <si>
    <t>and alternate uses like fodder. This estimate includes the residue used for biomass power/</t>
  </si>
  <si>
    <t>bagasse cogeneration projects, and is projected for 2021 and 2031, starting from 2011.</t>
  </si>
  <si>
    <r>
      <rPr>
        <b/>
        <sz val="11"/>
        <color theme="1"/>
        <rFont val="Calibri"/>
        <family val="2"/>
        <scheme val="minor"/>
      </rPr>
      <t>Biomass:</t>
    </r>
    <r>
      <rPr>
        <sz val="11"/>
        <color theme="1"/>
        <rFont val="Calibri"/>
        <family val="2"/>
        <scheme val="minor"/>
      </rPr>
      <t xml:space="preserve"> Purohit &amp; Chaturvedi estimate the availability of agri, forest and wasteland-based residue for </t>
    </r>
  </si>
  <si>
    <t>converting to pellets for modern bioenergy applications after adjusting for moisture content, losses,</t>
  </si>
  <si>
    <t>All India (MMT)</t>
  </si>
  <si>
    <t>Net residue availability for biomass pellets*</t>
  </si>
  <si>
    <t>alternate uses such as consumption by local population, wood, paper industries etc.</t>
  </si>
  <si>
    <t>(agri-)*</t>
  </si>
  <si>
    <t>(forest, waste-) **</t>
  </si>
  <si>
    <t xml:space="preserve">**Biomass surplus from forest and wasteland is kept constant at 2004 levels due to significant </t>
  </si>
  <si>
    <t>Purohit &amp; Chaturvedi</t>
  </si>
  <si>
    <t>Biomass pellets for power generation in India:a techno-economic evaluation</t>
  </si>
  <si>
    <t>https://link.springer.com/content/pdf/10.1007%2Fs11356-018-2960-8.pdf</t>
  </si>
  <si>
    <t>Environmental Science and Pollution Research(2018) 25:29614–29632</t>
  </si>
  <si>
    <t>Table 2, 3</t>
  </si>
  <si>
    <t>Biomass Production - Start Year</t>
  </si>
  <si>
    <t>India Energy Security Scenarios, v2</t>
  </si>
  <si>
    <t>NITI Aayog</t>
  </si>
  <si>
    <t>http://indiaenergy.gov.in/iess/docs/IESS_Version2.2.xlsx</t>
  </si>
  <si>
    <t>Sheet V.a, Table V.d, Trajectory 2</t>
  </si>
  <si>
    <t xml:space="preserve">Future Scaling factors for Biomass Production </t>
  </si>
  <si>
    <t>Prod</t>
  </si>
  <si>
    <t>Imp</t>
  </si>
  <si>
    <t>5yr growth</t>
  </si>
  <si>
    <t>1yr growth</t>
  </si>
  <si>
    <t>Projections</t>
  </si>
  <si>
    <t>Domestic Oil Production</t>
  </si>
  <si>
    <t>TWh</t>
  </si>
  <si>
    <t>Production (BTU)</t>
  </si>
  <si>
    <t>Gas Supply</t>
  </si>
  <si>
    <t xml:space="preserve">XV.c, XVII.b </t>
  </si>
  <si>
    <t>Oil &amp; Petroleum products oversupply (imports) (Vector Y.05)</t>
  </si>
  <si>
    <t>Gas oversupply (imports) (Vector Y.06)</t>
  </si>
  <si>
    <t xml:space="preserve">XV.a, XVII.b </t>
  </si>
  <si>
    <t xml:space="preserve">XV.b, XVII.b </t>
  </si>
  <si>
    <t>Indigenous production (Vector C.01)</t>
  </si>
  <si>
    <t>Coal oversupply (imports) (Vector Y.04)</t>
  </si>
  <si>
    <t>Imports (BTU)</t>
  </si>
  <si>
    <t>Projections (Coal)</t>
  </si>
  <si>
    <t>Projections (Lignite)</t>
  </si>
  <si>
    <t>Ministry of Coal, Government of India</t>
  </si>
  <si>
    <t>Coal Statistics</t>
  </si>
  <si>
    <t>http://www.coalcontroller.gov.in/writereaddata/files/download/coaldirectory/CoalDirectory2017-18.pdf</t>
  </si>
  <si>
    <t xml:space="preserve">Coal and Lignite </t>
  </si>
  <si>
    <t>mtoe/ton</t>
  </si>
  <si>
    <t>million BTU/mtoe</t>
  </si>
  <si>
    <t>million BTU/ton</t>
  </si>
  <si>
    <t>Lignite Fuel conversions</t>
  </si>
  <si>
    <t>Page 60</t>
  </si>
  <si>
    <t xml:space="preserve">Coal - Production - Statement 3.1, p3.1, Import - Statement 7.1, p 7.1, Export - Statement 7.6, p7.2; </t>
  </si>
  <si>
    <t>Lignite - Production - Statement 3.4, p3.2, Import &amp; Export - Tables 7.1, 7.2, p7.5</t>
  </si>
  <si>
    <t xml:space="preserve">Energy in Jet Fuel </t>
  </si>
  <si>
    <t>kcal/ton</t>
  </si>
  <si>
    <t>Unit Conversions for Heavy Fuel Oil</t>
  </si>
  <si>
    <t>litre</t>
  </si>
  <si>
    <t>Fuel Use (Domestic Nat U)(Te)</t>
  </si>
  <si>
    <t>Fuel Use (Imported Nat U)(Te)</t>
  </si>
  <si>
    <t>Sheet II, Row 'Fuel Use Assumptions'</t>
  </si>
  <si>
    <t>Fuel Use Assumptions 
(Uranium)</t>
  </si>
  <si>
    <t>Uranium U3O8</t>
  </si>
  <si>
    <t>kg/ton</t>
  </si>
  <si>
    <t>lb/kg</t>
  </si>
  <si>
    <t>lb/ton</t>
  </si>
  <si>
    <t>BTU/lb</t>
  </si>
  <si>
    <t>Domestic BTU</t>
  </si>
  <si>
    <t>Imported BTU</t>
  </si>
  <si>
    <t>Imported (BTU)</t>
  </si>
  <si>
    <t>Sheet II, 'Fuel Use Assumptions', Trajectory 2</t>
  </si>
  <si>
    <t xml:space="preserve">due to price and supply uncertainties. Hence, we hold the projections of petroleum products </t>
  </si>
  <si>
    <t>as constant till 2050.</t>
  </si>
  <si>
    <t>Projections:</t>
  </si>
  <si>
    <t xml:space="preserve">Uranium fuel production values for nuclear are not publicly reported, and we use the </t>
  </si>
  <si>
    <t>BAU trajectory values from IESS which were developed in consultation with Nuclear sector.</t>
  </si>
  <si>
    <t xml:space="preserve">Uranium Production </t>
  </si>
  <si>
    <t>Uranium Production and Import Projections</t>
  </si>
  <si>
    <t>Dept. of Atomic Energy</t>
  </si>
  <si>
    <t>https://eparlib.nic.in/bitstream/123456789/777806/1/AU1316.pdf</t>
  </si>
  <si>
    <t>Lok Sabha Starred Question no. 1316</t>
  </si>
  <si>
    <t xml:space="preserve">Crude Oil, Natural Gas, Coal &amp; Lignite and Biomass production and import values are projected </t>
  </si>
  <si>
    <t>Net Production of First Generation Bio Ethanol</t>
  </si>
  <si>
    <t>Net Production fo second generation bioethanol</t>
  </si>
  <si>
    <t>Total Bioethanol</t>
  </si>
  <si>
    <t>Sheet V.b, 'Derived Assumptions', Net Generation from 1st and 2nd gen bioethanol</t>
  </si>
  <si>
    <t>Bioethanol production scaling factors</t>
  </si>
  <si>
    <t>Ethanol prod for bio-gasoline (BTU)</t>
  </si>
  <si>
    <t>Ethanol prod for bio-diesel (BTU)</t>
  </si>
  <si>
    <t>Bio-ethanol is used as the fuel for bio-gasoline and bio-diesel as India has ethanol-blended</t>
  </si>
  <si>
    <t xml:space="preserve">fuel targets in BAU. The production is scaled till 2050 on the basis of IESS BAU projections </t>
  </si>
  <si>
    <t>for 1st and 2nd generation bioethanol production.</t>
  </si>
  <si>
    <t>Since projection basis beyond 2031 is not available in the study for Biomass, we scale as per</t>
  </si>
  <si>
    <t xml:space="preserve"> IESS's projections of bioenergy feedstock till 2047.</t>
  </si>
  <si>
    <t>Future Year Scaling - Coal and Lignite</t>
  </si>
  <si>
    <t xml:space="preserve">Sheet XV.b, XVII.b </t>
  </si>
  <si>
    <t>Future Year Scaling - Crude Oil &amp; Nat Gas</t>
  </si>
  <si>
    <t xml:space="preserve">Oil - Sheet XV.c, XVII.b; Gas - XV.a, XVII.b </t>
  </si>
  <si>
    <t>Municipal Solid Waste (MSW) Projections</t>
  </si>
  <si>
    <t>FO</t>
  </si>
  <si>
    <t>Diesel</t>
  </si>
  <si>
    <t>Petrol</t>
  </si>
  <si>
    <t>Total</t>
  </si>
  <si>
    <t>Relative shares</t>
  </si>
  <si>
    <t>Exp</t>
  </si>
  <si>
    <t>(Oil + Petroleum products basket)</t>
  </si>
  <si>
    <t>as per suitable scaling factors from IESS trajectory 2 projections.</t>
  </si>
  <si>
    <t xml:space="preserve">IESS projections for Oil &amp; Petroleum products are available for all products combined, and </t>
  </si>
  <si>
    <t xml:space="preserve">it would be erroneous to scale individual petro products based on the scaling factors for the </t>
  </si>
  <si>
    <t xml:space="preserve">whole basket, as the relative shares of each product could change during the projection period </t>
  </si>
  <si>
    <t>Biomass, Biofuels and MSW have no imports/exports as they are still very nascent.</t>
  </si>
  <si>
    <t>Start year values:</t>
  </si>
  <si>
    <t>BAU Total Primary Fuel Use[electricity] : MostRecentRun</t>
  </si>
  <si>
    <t>BAU Total Primary Fuel Use[hard coal] : MostRecentRun</t>
  </si>
  <si>
    <t>BAU Total Primary Fuel Use[natural gas] : MostRecentRun</t>
  </si>
  <si>
    <t>BAU Total Primary Fuel Use[nuclear] : MostRecentRun</t>
  </si>
  <si>
    <t>BAU Total Primary Fuel Use[hydro] : MostRecentRun</t>
  </si>
  <si>
    <t>BAU Total Primary Fuel Use[wind] : MostRecentRun</t>
  </si>
  <si>
    <t>BAU Total Primary Fuel Use[solar] : MostRecentRun</t>
  </si>
  <si>
    <t>BAU Total Primary Fuel Use[biomass] : MostRecentRun</t>
  </si>
  <si>
    <t>BAU Total Primary Fuel Use[petroleum gasoline] : MostRecentRun</t>
  </si>
  <si>
    <t>BAU Total Primary Fuel Use[petroleum diesel] : MostRecentRun</t>
  </si>
  <si>
    <t>BAU Total Primary Fuel Use[biofuel gasoline] : MostRecentRun</t>
  </si>
  <si>
    <t>BAU Total Primary Fuel Use[biofuel diesel] : MostRecentRun</t>
  </si>
  <si>
    <t>BAU Total Primary Fuel Use[jet fuel or kerosene] : MostRecentRun</t>
  </si>
  <si>
    <t>BAU Total Primary Fuel Use[heat] : MostRecentRun</t>
  </si>
  <si>
    <t>BAU Total Primary Fuel Use[geothermal] : MostRecentRun</t>
  </si>
  <si>
    <t>BAU Total Primary Fuel Use[lignite] : MostRecentRun</t>
  </si>
  <si>
    <t>BAU Total Primary Fuel Use[crude oil] : MostRecentRun</t>
  </si>
  <si>
    <t>BAU Total Primary Fuel Use[heavy or residual fuel oil] : MostRecentRun</t>
  </si>
  <si>
    <t>BAU Total Primary Fuel Use[LPG propane or butane] : MostRecentRun</t>
  </si>
  <si>
    <t>BAU Total Primary Fuel Use[municipal solid waste] : MostRecentRun</t>
  </si>
  <si>
    <t>BAU Total Primary Fuel Use[hydrogen] : MostRecentRun</t>
  </si>
  <si>
    <t xml:space="preserve">For refined petroleum products, we make the assumption that production and exports are constant, </t>
  </si>
  <si>
    <t xml:space="preserve">and the rising demand estimated by the model ('BAU Total Primary Fuel Use' tab) is met through imports. </t>
  </si>
  <si>
    <t xml:space="preserve">For coal, we assume that exports are constant, and rising demand estimated by the model is met by the </t>
  </si>
  <si>
    <t>IESS-based production projections + imports.</t>
  </si>
  <si>
    <t>Notes - Modifications for EPS India v3.1.3 (2019 onward)</t>
  </si>
  <si>
    <t>Total Coal Consumption</t>
  </si>
  <si>
    <t>http://www.mospi.nic.in/sites/default/files/reports_and_publication/ES/Energy%20Statistics%20India%202021.pdf</t>
  </si>
  <si>
    <t>By mass (million tonnes)</t>
  </si>
  <si>
    <t>By energy (petajoules)</t>
  </si>
  <si>
    <t>2019-20</t>
  </si>
  <si>
    <t>Unit conversions:</t>
  </si>
  <si>
    <t>Petajoule to Kcal</t>
  </si>
  <si>
    <t>Million tonnes to Kg</t>
  </si>
  <si>
    <t>Avg. heat content (Kcal/Kg)</t>
  </si>
  <si>
    <t>Jet fuel</t>
  </si>
  <si>
    <t>production</t>
  </si>
  <si>
    <t>imports</t>
  </si>
  <si>
    <t>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</si>
</sst>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0.0000"/>
    <numFmt numFmtId="166" formatCode="0.0"/>
    <numFmt numFmtId="167" formatCode="#,##0.000"/>
    <numFmt numFmtId="168" formatCode="0.000"/>
    <numFmt numFmtId="169" formatCode="#,##0_);\(#,##0\);&quot;-&quot;_)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0"/>
      <name val="Cambria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  <font>
      <sz val="10"/>
      <color theme="1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43" fontId="10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12" fillId="0" borderId="0" applyNumberFormat="0" applyProtection="0">
      <alignment vertical="top" wrapText="1"/>
    </xf>
    <xf numFmtId="0" fontId="13" fillId="0" borderId="5" applyNumberFormat="0" applyProtection="0">
      <alignment horizontal="left" wrapText="1"/>
    </xf>
    <xf numFmtId="0" fontId="12" fillId="0" borderId="6" applyNumberFormat="0" applyFont="0" applyFill="0" applyProtection="0">
      <alignment wrapText="1"/>
    </xf>
    <xf numFmtId="0" fontId="13" fillId="0" borderId="7" applyNumberFormat="0" applyFill="0" applyProtection="0">
      <alignment wrapText="1"/>
    </xf>
  </cellStyleXfs>
  <cellXfs count="9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2" borderId="0" xfId="0" applyFill="1"/>
    <xf numFmtId="0" fontId="3" fillId="0" borderId="0" xfId="2"/>
    <xf numFmtId="0" fontId="5" fillId="0" borderId="0" xfId="2" applyFont="1"/>
    <xf numFmtId="0" fontId="6" fillId="0" borderId="0" xfId="2" applyFont="1"/>
    <xf numFmtId="0" fontId="3" fillId="0" borderId="0" xfId="2" applyAlignment="1" applyProtection="1">
      <alignment horizontal="left"/>
    </xf>
    <xf numFmtId="0" fontId="8" fillId="0" borderId="0" xfId="2" applyFont="1"/>
    <xf numFmtId="0" fontId="0" fillId="0" borderId="0" xfId="0" applyFill="1"/>
    <xf numFmtId="0" fontId="1" fillId="0" borderId="0" xfId="0" applyFont="1" applyFill="1" applyAlignment="1">
      <alignment wrapText="1"/>
    </xf>
    <xf numFmtId="0" fontId="1" fillId="0" borderId="0" xfId="0" applyFont="1" applyFill="1"/>
    <xf numFmtId="1" fontId="0" fillId="0" borderId="0" xfId="0" applyNumberFormat="1"/>
    <xf numFmtId="0" fontId="0" fillId="0" borderId="0" xfId="0" applyAlignment="1"/>
    <xf numFmtId="2" fontId="0" fillId="0" borderId="0" xfId="0" applyNumberFormat="1"/>
    <xf numFmtId="0" fontId="3" fillId="0" borderId="0" xfId="10" applyFont="1"/>
    <xf numFmtId="0" fontId="4" fillId="0" borderId="1" xfId="11" applyFont="1" applyFill="1" applyBorder="1" applyAlignment="1">
      <alignment wrapText="1"/>
    </xf>
    <xf numFmtId="0" fontId="7" fillId="0" borderId="0" xfId="12" applyFont="1" applyFill="1" applyBorder="1" applyAlignment="1">
      <alignment horizontal="left"/>
    </xf>
    <xf numFmtId="0" fontId="4" fillId="0" borderId="2" xfId="13" applyFont="1" applyFill="1" applyBorder="1" applyAlignment="1">
      <alignment wrapText="1"/>
    </xf>
    <xf numFmtId="0" fontId="0" fillId="0" borderId="3" xfId="14" applyFont="1" applyFill="1" applyBorder="1" applyAlignment="1">
      <alignment wrapText="1"/>
    </xf>
    <xf numFmtId="167" fontId="0" fillId="0" borderId="3" xfId="14" applyNumberFormat="1" applyFont="1" applyFill="1" applyAlignment="1">
      <alignment horizontal="right" wrapText="1"/>
    </xf>
    <xf numFmtId="164" fontId="0" fillId="0" borderId="3" xfId="14" applyNumberFormat="1" applyFont="1" applyFill="1" applyAlignment="1">
      <alignment horizontal="right" wrapText="1"/>
    </xf>
    <xf numFmtId="0" fontId="3" fillId="0" borderId="2" xfId="13" applyFont="1" applyFill="1" applyBorder="1" applyAlignment="1">
      <alignment wrapText="1"/>
    </xf>
    <xf numFmtId="4" fontId="0" fillId="0" borderId="3" xfId="14" applyNumberFormat="1" applyFont="1" applyFill="1" applyAlignment="1">
      <alignment horizontal="right" wrapText="1"/>
    </xf>
    <xf numFmtId="3" fontId="4" fillId="0" borderId="2" xfId="13" applyNumberFormat="1" applyFill="1" applyAlignment="1">
      <alignment horizontal="right" wrapText="1"/>
    </xf>
    <xf numFmtId="164" fontId="4" fillId="0" borderId="2" xfId="13" applyNumberFormat="1" applyFill="1" applyAlignment="1">
      <alignment horizontal="right" wrapText="1"/>
    </xf>
    <xf numFmtId="0" fontId="1" fillId="5" borderId="0" xfId="0" applyFont="1" applyFill="1"/>
    <xf numFmtId="0" fontId="14" fillId="0" borderId="0" xfId="1" applyFont="1" applyAlignment="1" applyProtection="1"/>
    <xf numFmtId="11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1" fillId="6" borderId="0" xfId="0" applyFont="1" applyFill="1"/>
    <xf numFmtId="0" fontId="9" fillId="6" borderId="0" xfId="0" applyFont="1" applyFill="1"/>
    <xf numFmtId="0" fontId="2" fillId="6" borderId="0" xfId="1" applyFill="1" applyAlignment="1" applyProtection="1"/>
    <xf numFmtId="0" fontId="0" fillId="6" borderId="0" xfId="0" applyFill="1" applyAlignment="1">
      <alignment horizontal="right"/>
    </xf>
    <xf numFmtId="0" fontId="0" fillId="6" borderId="0" xfId="0" applyFill="1"/>
    <xf numFmtId="10" fontId="0" fillId="6" borderId="0" xfId="0" applyNumberFormat="1" applyFill="1"/>
    <xf numFmtId="168" fontId="0" fillId="6" borderId="0" xfId="0" applyNumberFormat="1" applyFill="1"/>
    <xf numFmtId="9" fontId="0" fillId="6" borderId="0" xfId="0" applyNumberFormat="1" applyFill="1"/>
    <xf numFmtId="0" fontId="9" fillId="6" borderId="0" xfId="0" applyFont="1" applyFill="1" applyAlignment="1">
      <alignment wrapText="1"/>
    </xf>
    <xf numFmtId="168" fontId="0" fillId="0" borderId="0" xfId="0" applyNumberFormat="1"/>
    <xf numFmtId="11" fontId="0" fillId="2" borderId="0" xfId="0" applyNumberFormat="1" applyFill="1"/>
    <xf numFmtId="11" fontId="0" fillId="6" borderId="0" xfId="0" applyNumberFormat="1" applyFill="1"/>
    <xf numFmtId="0" fontId="1" fillId="7" borderId="0" xfId="0" applyFont="1" applyFill="1" applyAlignment="1"/>
    <xf numFmtId="0" fontId="1" fillId="2" borderId="0" xfId="0" applyFont="1" applyFill="1" applyAlignment="1"/>
    <xf numFmtId="0" fontId="2" fillId="0" borderId="0" xfId="1" applyAlignment="1" applyProtection="1"/>
    <xf numFmtId="0" fontId="0" fillId="6" borderId="0" xfId="0" applyFill="1" applyAlignment="1">
      <alignment horizontal="center"/>
    </xf>
    <xf numFmtId="0" fontId="15" fillId="0" borderId="0" xfId="0" applyFont="1" applyFill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5" fillId="0" borderId="0" xfId="0" applyFont="1"/>
    <xf numFmtId="0" fontId="0" fillId="4" borderId="0" xfId="0" applyFill="1"/>
    <xf numFmtId="0" fontId="0" fillId="0" borderId="0" xfId="0" quotePrefix="1"/>
    <xf numFmtId="0" fontId="16" fillId="0" borderId="0" xfId="0" applyFont="1"/>
    <xf numFmtId="0" fontId="0" fillId="0" borderId="0" xfId="0" quotePrefix="1" applyAlignment="1"/>
    <xf numFmtId="0" fontId="17" fillId="8" borderId="8" xfId="0" applyNumberFormat="1" applyFont="1" applyFill="1" applyBorder="1" applyAlignment="1">
      <alignment horizontal="center" vertical="center"/>
    </xf>
    <xf numFmtId="169" fontId="11" fillId="8" borderId="9" xfId="9" applyNumberFormat="1" applyFont="1" applyFill="1" applyBorder="1"/>
    <xf numFmtId="0" fontId="18" fillId="0" borderId="0" xfId="0" applyFont="1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1" fillId="9" borderId="0" xfId="0" applyFont="1" applyFill="1"/>
    <xf numFmtId="0" fontId="0" fillId="9" borderId="0" xfId="0" applyFill="1"/>
    <xf numFmtId="0" fontId="0" fillId="0" borderId="0" xfId="0" applyFill="1" applyAlignment="1">
      <alignment wrapText="1"/>
    </xf>
    <xf numFmtId="0" fontId="18" fillId="3" borderId="0" xfId="0" applyFont="1" applyFill="1" applyAlignment="1">
      <alignment wrapText="1"/>
    </xf>
    <xf numFmtId="0" fontId="0" fillId="8" borderId="10" xfId="0" applyNumberFormat="1" applyFont="1" applyFill="1" applyBorder="1" applyAlignment="1">
      <alignment vertical="center" wrapText="1"/>
    </xf>
    <xf numFmtId="0" fontId="17" fillId="8" borderId="19" xfId="0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9" fillId="8" borderId="0" xfId="0" applyFont="1" applyFill="1" applyBorder="1"/>
    <xf numFmtId="0" fontId="20" fillId="8" borderId="8" xfId="0" applyNumberFormat="1" applyFont="1" applyFill="1" applyBorder="1" applyAlignment="1">
      <alignment horizontal="right" vertical="center"/>
    </xf>
    <xf numFmtId="0" fontId="0" fillId="8" borderId="0" xfId="0" applyFill="1" applyBorder="1" applyAlignment="1">
      <alignment horizontal="right"/>
    </xf>
    <xf numFmtId="165" fontId="0" fillId="0" borderId="0" xfId="0" applyNumberFormat="1"/>
    <xf numFmtId="0" fontId="0" fillId="5" borderId="0" xfId="0" applyFill="1"/>
    <xf numFmtId="0" fontId="20" fillId="8" borderId="20" xfId="0" applyNumberFormat="1" applyFont="1" applyFill="1" applyBorder="1" applyAlignment="1">
      <alignment horizontal="right" vertical="center"/>
    </xf>
    <xf numFmtId="0" fontId="21" fillId="10" borderId="0" xfId="0" applyFont="1" applyFill="1"/>
    <xf numFmtId="166" fontId="0" fillId="0" borderId="0" xfId="0" applyNumberFormat="1"/>
    <xf numFmtId="168" fontId="0" fillId="5" borderId="0" xfId="0" applyNumberFormat="1" applyFill="1"/>
    <xf numFmtId="0" fontId="0" fillId="3" borderId="0" xfId="0" applyFill="1"/>
    <xf numFmtId="11" fontId="0" fillId="0" borderId="0" xfId="0" applyNumberFormat="1" applyFill="1"/>
    <xf numFmtId="0" fontId="0" fillId="5" borderId="0" xfId="0" applyFont="1" applyFill="1" applyAlignment="1">
      <alignment horizontal="right"/>
    </xf>
    <xf numFmtId="0" fontId="0" fillId="0" borderId="21" xfId="0" applyBorder="1"/>
    <xf numFmtId="2" fontId="0" fillId="5" borderId="0" xfId="0" applyNumberFormat="1" applyFill="1"/>
    <xf numFmtId="0" fontId="0" fillId="0" borderId="21" xfId="0" applyBorder="1" applyAlignment="1">
      <alignment horizontal="center"/>
    </xf>
    <xf numFmtId="0" fontId="3" fillId="0" borderId="4" xfId="15" applyFont="1" applyFill="1" applyBorder="1" applyAlignment="1">
      <alignment wrapText="1"/>
    </xf>
  </cellXfs>
  <cellStyles count="20">
    <cellStyle name="Body: normal cell" xfId="7" xr:uid="{00000000-0005-0000-0000-000000000000}"/>
    <cellStyle name="Body: normal cell 2" xfId="14" xr:uid="{00000000-0005-0000-0000-000001000000}"/>
    <cellStyle name="Comma" xfId="9" builtinId="3"/>
    <cellStyle name="Font: Calibri, 9pt regular" xfId="3" xr:uid="{00000000-0005-0000-0000-000003000000}"/>
    <cellStyle name="Font: Calibri, 9pt regular 2" xfId="10" xr:uid="{00000000-0005-0000-0000-000004000000}"/>
    <cellStyle name="Footnotes: all except top row" xfId="16" xr:uid="{00000000-0005-0000-0000-000005000000}"/>
    <cellStyle name="Footnotes: top row" xfId="8" xr:uid="{00000000-0005-0000-0000-000006000000}"/>
    <cellStyle name="Footnotes: top row 2" xfId="15" xr:uid="{00000000-0005-0000-0000-000007000000}"/>
    <cellStyle name="Header: bottom row" xfId="4" xr:uid="{00000000-0005-0000-0000-000008000000}"/>
    <cellStyle name="Header: bottom row 2" xfId="11" xr:uid="{00000000-0005-0000-0000-000009000000}"/>
    <cellStyle name="Header: top rows" xfId="17" xr:uid="{00000000-0005-0000-0000-00000A000000}"/>
    <cellStyle name="Hyperlink" xfId="1" builtinId="8"/>
    <cellStyle name="Normal" xfId="0" builtinId="0"/>
    <cellStyle name="Normal 2" xfId="2" xr:uid="{00000000-0005-0000-0000-00000D000000}"/>
    <cellStyle name="Parent row" xfId="6" xr:uid="{00000000-0005-0000-0000-00000E000000}"/>
    <cellStyle name="Parent row 2" xfId="13" xr:uid="{00000000-0005-0000-0000-00000F000000}"/>
    <cellStyle name="Section Break" xfId="18" xr:uid="{00000000-0005-0000-0000-000010000000}"/>
    <cellStyle name="Section Break: parent row" xfId="19" xr:uid="{00000000-0005-0000-0000-000011000000}"/>
    <cellStyle name="Table title" xfId="5" xr:uid="{00000000-0005-0000-0000-000012000000}"/>
    <cellStyle name="Table title 2" xfId="12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146050</xdr:colOff>
      <xdr:row>1</xdr:row>
      <xdr:rowOff>146050</xdr:rowOff>
    </xdr:from>
    <xdr:to>
      <xdr:col>12</xdr:col>
      <xdr:colOff>586092</xdr:colOff>
      <xdr:row>25</xdr:row>
      <xdr:rowOff>139929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E0C14-A35C-43BD-9033-FD852FBA4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6188" y="327025"/>
          <a:ext cx="6269342" cy="4337279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1</xdr:row>
      <xdr:rowOff>152400</xdr:rowOff>
    </xdr:from>
    <xdr:to>
      <xdr:col>23</xdr:col>
      <xdr:colOff>265430</xdr:colOff>
      <xdr:row>24</xdr:row>
      <xdr:rowOff>66890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6C69A2-E69C-4BC5-A470-1677FB90C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9538" y="333375"/>
          <a:ext cx="6590030" cy="4076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13</xdr:row>
      <xdr:rowOff>135200</xdr:rowOff>
    </xdr:from>
    <xdr:to>
      <xdr:col>8</xdr:col>
      <xdr:colOff>200025</xdr:colOff>
      <xdr:row>27</xdr:row>
      <xdr:rowOff>24549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F8718F-D7A6-456D-9113-72EECBC9A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9" y="2230700"/>
          <a:ext cx="5410201" cy="254682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15</xdr:row>
      <xdr:rowOff>130990</xdr:rowOff>
    </xdr:from>
    <xdr:to>
      <xdr:col>18</xdr:col>
      <xdr:colOff>210580</xdr:colOff>
      <xdr:row>26</xdr:row>
      <xdr:rowOff>133719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2B1A7-C509-4C14-9492-8D743FA89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0" y="2807515"/>
          <a:ext cx="5849380" cy="20982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-my.sharepoint.com/Users/deept/OneDrive/Desktop/Copy%20of%20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3">
          <cell r="C3" t="str">
            <v>TWh</v>
          </cell>
        </row>
        <row r="5">
          <cell r="C5" t="str">
            <v>GW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alcontroller.gov.in/writereaddata/files/download/coaldirectory/CoalDirectory2017-18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bookstore.teri.res.in/books/9788179935835" TargetMode="External"/><Relationship Id="rId7" Type="http://schemas.openxmlformats.org/officeDocument/2006/relationships/hyperlink" Target="http://indiaenergy.gov.in/iess/docs/IESS_Version2.2.xlsx" TargetMode="External"/><Relationship Id="rId12" Type="http://schemas.openxmlformats.org/officeDocument/2006/relationships/hyperlink" Target="http://indiaenergy.gov.in/iess/docs/IESS_Version2.2.xlsx" TargetMode="External"/><Relationship Id="rId2" Type="http://schemas.openxmlformats.org/officeDocument/2006/relationships/hyperlink" Target="http://www.ces.iisc.ernet.in/energy/paper/alternative/calorific.html" TargetMode="External"/><Relationship Id="rId1" Type="http://schemas.openxmlformats.org/officeDocument/2006/relationships/hyperlink" Target="https://www.uranium.info/unit_conversion_table.php" TargetMode="External"/><Relationship Id="rId6" Type="http://schemas.openxmlformats.org/officeDocument/2006/relationships/hyperlink" Target="http://planningcommission.nic.in/reports/genrep/rep_wte1205.pdf" TargetMode="External"/><Relationship Id="rId11" Type="http://schemas.openxmlformats.org/officeDocument/2006/relationships/hyperlink" Target="http://indiaenergy.gov.in/iess/docs/IESS_Version2.2.xlsx" TargetMode="External"/><Relationship Id="rId5" Type="http://schemas.openxmlformats.org/officeDocument/2006/relationships/hyperlink" Target="http://petroleum.nic.in/sites/default/files/ipngstat_0.pdf" TargetMode="External"/><Relationship Id="rId10" Type="http://schemas.openxmlformats.org/officeDocument/2006/relationships/hyperlink" Target="http://indiaenergy.gov.in/iess/docs/IESS_Version2.2.xlsx" TargetMode="External"/><Relationship Id="rId4" Type="http://schemas.openxmlformats.org/officeDocument/2006/relationships/hyperlink" Target="http://ppac.org.in/WriteReadData/Reports/201811200650439471143SnapshotofIndiasOilandGasData_October2018.pdf" TargetMode="External"/><Relationship Id="rId9" Type="http://schemas.openxmlformats.org/officeDocument/2006/relationships/hyperlink" Target="http://indiaenergy.gov.in/iess/docs/IESS_Version2.2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ospi.nic.in/sites/default/files/reports_and_publication/ES/Energy%20Statistics%20India%20202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8"/>
  <sheetViews>
    <sheetView tabSelected="1" topLeftCell="A19" workbookViewId="0">
      <selection activeCell="C114" sqref="C114"/>
    </sheetView>
  </sheetViews>
  <sheetFormatPr defaultRowHeight="14.5" x14ac:dyDescent="0.35"/>
  <cols>
    <col min="2" max="2" width="76.26953125" customWidth="1"/>
    <col min="4" max="4" width="78.81640625" customWidth="1"/>
  </cols>
  <sheetData>
    <row r="1" spans="1:4" x14ac:dyDescent="0.35">
      <c r="A1" s="1" t="s">
        <v>195</v>
      </c>
    </row>
    <row r="2" spans="1:4" x14ac:dyDescent="0.35">
      <c r="A2" s="1" t="s">
        <v>196</v>
      </c>
    </row>
    <row r="3" spans="1:4" x14ac:dyDescent="0.35">
      <c r="A3" s="1" t="s">
        <v>197</v>
      </c>
    </row>
    <row r="5" spans="1:4" x14ac:dyDescent="0.35">
      <c r="A5" s="1" t="s">
        <v>0</v>
      </c>
      <c r="B5" s="2" t="s">
        <v>283</v>
      </c>
      <c r="D5" s="46" t="s">
        <v>234</v>
      </c>
    </row>
    <row r="6" spans="1:4" x14ac:dyDescent="0.35">
      <c r="B6" t="s">
        <v>247</v>
      </c>
      <c r="D6" s="16"/>
    </row>
    <row r="7" spans="1:4" x14ac:dyDescent="0.35">
      <c r="B7" s="3">
        <v>2018</v>
      </c>
      <c r="D7" s="47" t="s">
        <v>235</v>
      </c>
    </row>
    <row r="8" spans="1:4" x14ac:dyDescent="0.35">
      <c r="B8" t="s">
        <v>248</v>
      </c>
      <c r="D8" t="s">
        <v>236</v>
      </c>
    </row>
    <row r="9" spans="1:4" x14ac:dyDescent="0.35">
      <c r="B9" s="4" t="s">
        <v>249</v>
      </c>
      <c r="D9" t="s">
        <v>237</v>
      </c>
    </row>
    <row r="10" spans="1:4" x14ac:dyDescent="0.35">
      <c r="B10" t="s">
        <v>284</v>
      </c>
      <c r="D10" s="48" t="s">
        <v>238</v>
      </c>
    </row>
    <row r="11" spans="1:4" x14ac:dyDescent="0.35">
      <c r="D11" s="48"/>
    </row>
    <row r="12" spans="1:4" x14ac:dyDescent="0.35">
      <c r="B12" s="2" t="s">
        <v>517</v>
      </c>
      <c r="D12" s="47" t="s">
        <v>239</v>
      </c>
    </row>
    <row r="13" spans="1:4" x14ac:dyDescent="0.35">
      <c r="B13" t="s">
        <v>441</v>
      </c>
      <c r="D13" s="16" t="s">
        <v>240</v>
      </c>
    </row>
    <row r="14" spans="1:4" x14ac:dyDescent="0.35">
      <c r="B14" s="3">
        <v>2015</v>
      </c>
      <c r="D14" s="3">
        <v>2016</v>
      </c>
    </row>
    <row r="15" spans="1:4" x14ac:dyDescent="0.35">
      <c r="B15" t="s">
        <v>440</v>
      </c>
      <c r="D15" s="16" t="s">
        <v>241</v>
      </c>
    </row>
    <row r="16" spans="1:4" x14ac:dyDescent="0.35">
      <c r="B16" s="4" t="s">
        <v>442</v>
      </c>
      <c r="D16" s="48" t="s">
        <v>242</v>
      </c>
    </row>
    <row r="17" spans="2:4" x14ac:dyDescent="0.35">
      <c r="B17" t="s">
        <v>518</v>
      </c>
      <c r="D17" s="16" t="s">
        <v>243</v>
      </c>
    </row>
    <row r="18" spans="2:4" x14ac:dyDescent="0.35">
      <c r="D18" s="16"/>
    </row>
    <row r="19" spans="2:4" x14ac:dyDescent="0.35">
      <c r="B19" s="2" t="s">
        <v>299</v>
      </c>
      <c r="D19" s="47" t="s">
        <v>244</v>
      </c>
    </row>
    <row r="20" spans="2:4" x14ac:dyDescent="0.35">
      <c r="B20" s="16" t="s">
        <v>287</v>
      </c>
      <c r="D20" t="s">
        <v>170</v>
      </c>
    </row>
    <row r="21" spans="2:4" x14ac:dyDescent="0.35">
      <c r="B21" s="3">
        <v>2018</v>
      </c>
      <c r="D21" s="3">
        <v>2016</v>
      </c>
    </row>
    <row r="22" spans="2:4" x14ac:dyDescent="0.35">
      <c r="B22" s="16" t="s">
        <v>288</v>
      </c>
      <c r="D22" t="s">
        <v>245</v>
      </c>
    </row>
    <row r="23" spans="2:4" x14ac:dyDescent="0.35">
      <c r="B23" s="48" t="s">
        <v>289</v>
      </c>
      <c r="D23" s="30" t="s">
        <v>171</v>
      </c>
    </row>
    <row r="24" spans="2:4" x14ac:dyDescent="0.35">
      <c r="B24" s="16" t="s">
        <v>286</v>
      </c>
      <c r="D24" t="s">
        <v>172</v>
      </c>
    </row>
    <row r="26" spans="2:4" x14ac:dyDescent="0.35">
      <c r="B26" s="2" t="s">
        <v>333</v>
      </c>
      <c r="D26" s="47" t="s">
        <v>246</v>
      </c>
    </row>
    <row r="27" spans="2:4" x14ac:dyDescent="0.35">
      <c r="B27" t="s">
        <v>334</v>
      </c>
      <c r="D27" t="s">
        <v>247</v>
      </c>
    </row>
    <row r="28" spans="2:4" x14ac:dyDescent="0.35">
      <c r="B28" s="3">
        <v>2019</v>
      </c>
      <c r="D28" s="3">
        <v>2018</v>
      </c>
    </row>
    <row r="29" spans="2:4" x14ac:dyDescent="0.35">
      <c r="B29" t="s">
        <v>335</v>
      </c>
      <c r="D29" t="s">
        <v>248</v>
      </c>
    </row>
    <row r="30" spans="2:4" x14ac:dyDescent="0.35">
      <c r="B30" s="4" t="s">
        <v>312</v>
      </c>
      <c r="D30" s="30" t="s">
        <v>249</v>
      </c>
    </row>
    <row r="31" spans="2:4" x14ac:dyDescent="0.35">
      <c r="B31" s="57" t="s">
        <v>309</v>
      </c>
      <c r="D31" t="s">
        <v>250</v>
      </c>
    </row>
    <row r="33" spans="2:4" x14ac:dyDescent="0.35">
      <c r="B33" s="2" t="s">
        <v>339</v>
      </c>
      <c r="D33" s="47" t="s">
        <v>327</v>
      </c>
    </row>
    <row r="34" spans="2:4" x14ac:dyDescent="0.35">
      <c r="B34" t="s">
        <v>341</v>
      </c>
      <c r="D34" t="s">
        <v>328</v>
      </c>
    </row>
    <row r="35" spans="2:4" x14ac:dyDescent="0.35">
      <c r="B35" s="3">
        <v>2019</v>
      </c>
      <c r="D35" s="3">
        <v>2015</v>
      </c>
    </row>
    <row r="36" spans="2:4" x14ac:dyDescent="0.35">
      <c r="B36" t="s">
        <v>338</v>
      </c>
      <c r="D36" t="s">
        <v>329</v>
      </c>
    </row>
    <row r="37" spans="2:4" ht="15.75" customHeight="1" x14ac:dyDescent="0.35">
      <c r="B37" s="4" t="s">
        <v>340</v>
      </c>
      <c r="D37" s="30" t="s">
        <v>330</v>
      </c>
    </row>
    <row r="39" spans="2:4" x14ac:dyDescent="0.35">
      <c r="B39" s="2" t="s">
        <v>507</v>
      </c>
      <c r="D39" s="47" t="s">
        <v>382</v>
      </c>
    </row>
    <row r="40" spans="2:4" x14ac:dyDescent="0.35">
      <c r="B40" t="s">
        <v>441</v>
      </c>
      <c r="D40" t="s">
        <v>383</v>
      </c>
    </row>
    <row r="41" spans="2:4" x14ac:dyDescent="0.35">
      <c r="B41" s="3">
        <v>2015</v>
      </c>
      <c r="D41" s="3">
        <v>2018</v>
      </c>
    </row>
    <row r="42" spans="2:4" x14ac:dyDescent="0.35">
      <c r="B42" t="s">
        <v>440</v>
      </c>
      <c r="D42" t="s">
        <v>381</v>
      </c>
    </row>
    <row r="43" spans="2:4" x14ac:dyDescent="0.35">
      <c r="B43" s="4" t="s">
        <v>442</v>
      </c>
      <c r="D43" s="30" t="s">
        <v>380</v>
      </c>
    </row>
    <row r="44" spans="2:4" x14ac:dyDescent="0.35">
      <c r="B44" t="s">
        <v>506</v>
      </c>
      <c r="D44" t="s">
        <v>379</v>
      </c>
    </row>
    <row r="46" spans="2:4" x14ac:dyDescent="0.35">
      <c r="B46" s="2" t="s">
        <v>519</v>
      </c>
      <c r="D46" s="47" t="s">
        <v>471</v>
      </c>
    </row>
    <row r="47" spans="2:4" x14ac:dyDescent="0.35">
      <c r="B47" t="s">
        <v>372</v>
      </c>
      <c r="D47" t="s">
        <v>328</v>
      </c>
    </row>
    <row r="48" spans="2:4" x14ac:dyDescent="0.35">
      <c r="B48" s="3">
        <v>2014</v>
      </c>
      <c r="D48" s="3">
        <v>2019</v>
      </c>
    </row>
    <row r="49" spans="2:4" x14ac:dyDescent="0.35">
      <c r="B49" t="s">
        <v>373</v>
      </c>
      <c r="D49" t="s">
        <v>307</v>
      </c>
    </row>
    <row r="50" spans="2:4" x14ac:dyDescent="0.35">
      <c r="B50" s="4" t="s">
        <v>374</v>
      </c>
      <c r="D50" t="s">
        <v>308</v>
      </c>
    </row>
    <row r="51" spans="2:4" x14ac:dyDescent="0.35">
      <c r="B51" t="s">
        <v>375</v>
      </c>
      <c r="D51" t="s">
        <v>472</v>
      </c>
    </row>
    <row r="52" spans="2:4" x14ac:dyDescent="0.35">
      <c r="B52" t="s">
        <v>411</v>
      </c>
    </row>
    <row r="53" spans="2:4" x14ac:dyDescent="0.35">
      <c r="D53" s="2" t="s">
        <v>477</v>
      </c>
    </row>
    <row r="54" spans="2:4" x14ac:dyDescent="0.35">
      <c r="B54" t="s">
        <v>377</v>
      </c>
      <c r="D54" t="s">
        <v>170</v>
      </c>
    </row>
    <row r="55" spans="2:4" x14ac:dyDescent="0.35">
      <c r="B55" s="3">
        <v>2016</v>
      </c>
      <c r="D55" s="3">
        <v>2019</v>
      </c>
    </row>
    <row r="56" spans="2:4" x14ac:dyDescent="0.35">
      <c r="B56" t="s">
        <v>376</v>
      </c>
      <c r="D56" t="s">
        <v>1</v>
      </c>
    </row>
    <row r="57" spans="2:4" x14ac:dyDescent="0.35">
      <c r="B57" s="4" t="s">
        <v>378</v>
      </c>
      <c r="D57" s="30" t="s">
        <v>171</v>
      </c>
    </row>
    <row r="58" spans="2:4" x14ac:dyDescent="0.35">
      <c r="D58" t="s">
        <v>172</v>
      </c>
    </row>
    <row r="59" spans="2:4" x14ac:dyDescent="0.35">
      <c r="B59" s="2" t="s">
        <v>439</v>
      </c>
    </row>
    <row r="60" spans="2:4" x14ac:dyDescent="0.35">
      <c r="B60" t="s">
        <v>434</v>
      </c>
      <c r="D60" s="2" t="s">
        <v>173</v>
      </c>
    </row>
    <row r="61" spans="2:4" x14ac:dyDescent="0.35">
      <c r="B61" s="3">
        <v>2017</v>
      </c>
      <c r="D61" t="s">
        <v>174</v>
      </c>
    </row>
    <row r="62" spans="2:4" x14ac:dyDescent="0.35">
      <c r="B62" t="s">
        <v>435</v>
      </c>
      <c r="D62" s="3">
        <v>2019</v>
      </c>
    </row>
    <row r="63" spans="2:4" x14ac:dyDescent="0.35">
      <c r="B63" s="4" t="s">
        <v>436</v>
      </c>
      <c r="D63" t="s">
        <v>176</v>
      </c>
    </row>
    <row r="64" spans="2:4" x14ac:dyDescent="0.35">
      <c r="B64" t="s">
        <v>437</v>
      </c>
      <c r="D64" s="4" t="s">
        <v>175</v>
      </c>
    </row>
    <row r="65" spans="2:2" x14ac:dyDescent="0.35">
      <c r="B65" t="s">
        <v>438</v>
      </c>
    </row>
    <row r="67" spans="2:2" x14ac:dyDescent="0.35">
      <c r="B67" s="2" t="s">
        <v>444</v>
      </c>
    </row>
    <row r="68" spans="2:2" x14ac:dyDescent="0.35">
      <c r="B68" t="s">
        <v>441</v>
      </c>
    </row>
    <row r="69" spans="2:2" x14ac:dyDescent="0.35">
      <c r="B69" s="3">
        <v>2015</v>
      </c>
    </row>
    <row r="70" spans="2:2" x14ac:dyDescent="0.35">
      <c r="B70" t="s">
        <v>440</v>
      </c>
    </row>
    <row r="71" spans="2:2" x14ac:dyDescent="0.35">
      <c r="B71" s="4" t="s">
        <v>442</v>
      </c>
    </row>
    <row r="72" spans="2:2" x14ac:dyDescent="0.35">
      <c r="B72" t="s">
        <v>443</v>
      </c>
    </row>
    <row r="74" spans="2:2" x14ac:dyDescent="0.35">
      <c r="B74" s="47" t="s">
        <v>467</v>
      </c>
    </row>
    <row r="75" spans="2:2" x14ac:dyDescent="0.35">
      <c r="B75" s="16" t="s">
        <v>464</v>
      </c>
    </row>
    <row r="76" spans="2:2" x14ac:dyDescent="0.35">
      <c r="B76" s="3">
        <v>2018</v>
      </c>
    </row>
    <row r="77" spans="2:2" x14ac:dyDescent="0.35">
      <c r="B77" s="16" t="s">
        <v>465</v>
      </c>
    </row>
    <row r="78" spans="2:2" x14ac:dyDescent="0.35">
      <c r="B78" s="48" t="s">
        <v>466</v>
      </c>
    </row>
    <row r="79" spans="2:2" x14ac:dyDescent="0.35">
      <c r="B79" s="16" t="s">
        <v>473</v>
      </c>
    </row>
    <row r="80" spans="2:2" x14ac:dyDescent="0.35">
      <c r="B80" s="16" t="s">
        <v>474</v>
      </c>
    </row>
    <row r="81" spans="2:2" x14ac:dyDescent="0.35">
      <c r="B81" s="16"/>
    </row>
    <row r="82" spans="2:2" x14ac:dyDescent="0.35">
      <c r="B82" s="2" t="s">
        <v>515</v>
      </c>
    </row>
    <row r="83" spans="2:2" x14ac:dyDescent="0.35">
      <c r="B83" t="s">
        <v>441</v>
      </c>
    </row>
    <row r="84" spans="2:2" x14ac:dyDescent="0.35">
      <c r="B84" s="3">
        <v>2015</v>
      </c>
    </row>
    <row r="85" spans="2:2" x14ac:dyDescent="0.35">
      <c r="B85" t="s">
        <v>440</v>
      </c>
    </row>
    <row r="86" spans="2:2" x14ac:dyDescent="0.35">
      <c r="B86" s="4" t="s">
        <v>442</v>
      </c>
    </row>
    <row r="87" spans="2:2" x14ac:dyDescent="0.35">
      <c r="B87" t="s">
        <v>516</v>
      </c>
    </row>
    <row r="89" spans="2:2" x14ac:dyDescent="0.35">
      <c r="B89" s="2" t="s">
        <v>497</v>
      </c>
    </row>
    <row r="90" spans="2:2" x14ac:dyDescent="0.35">
      <c r="B90" t="s">
        <v>499</v>
      </c>
    </row>
    <row r="91" spans="2:2" x14ac:dyDescent="0.35">
      <c r="B91" s="3">
        <v>2018</v>
      </c>
    </row>
    <row r="92" spans="2:2" x14ac:dyDescent="0.35">
      <c r="B92" t="s">
        <v>501</v>
      </c>
    </row>
    <row r="93" spans="2:2" x14ac:dyDescent="0.35">
      <c r="B93" s="4" t="s">
        <v>500</v>
      </c>
    </row>
    <row r="95" spans="2:2" x14ac:dyDescent="0.35">
      <c r="B95" s="2" t="s">
        <v>498</v>
      </c>
    </row>
    <row r="96" spans="2:2" x14ac:dyDescent="0.35">
      <c r="B96" t="s">
        <v>441</v>
      </c>
    </row>
    <row r="97" spans="1:5" x14ac:dyDescent="0.35">
      <c r="B97" s="3">
        <v>2015</v>
      </c>
    </row>
    <row r="98" spans="1:5" x14ac:dyDescent="0.35">
      <c r="B98" t="s">
        <v>440</v>
      </c>
    </row>
    <row r="99" spans="1:5" x14ac:dyDescent="0.35">
      <c r="B99" s="4" t="s">
        <v>442</v>
      </c>
    </row>
    <row r="100" spans="1:5" x14ac:dyDescent="0.35">
      <c r="B100" t="s">
        <v>491</v>
      </c>
    </row>
    <row r="102" spans="1:5" x14ac:dyDescent="0.35">
      <c r="A102" s="1" t="s">
        <v>2</v>
      </c>
      <c r="D102" s="1" t="s">
        <v>402</v>
      </c>
      <c r="E102" s="1" t="s">
        <v>558</v>
      </c>
    </row>
    <row r="103" spans="1:5" x14ac:dyDescent="0.35">
      <c r="D103" t="s">
        <v>532</v>
      </c>
      <c r="E103" t="s">
        <v>554</v>
      </c>
    </row>
    <row r="104" spans="1:5" x14ac:dyDescent="0.35">
      <c r="A104" s="1" t="s">
        <v>182</v>
      </c>
      <c r="D104" t="s">
        <v>408</v>
      </c>
      <c r="E104" t="s">
        <v>555</v>
      </c>
    </row>
    <row r="105" spans="1:5" x14ac:dyDescent="0.35">
      <c r="A105" t="s">
        <v>177</v>
      </c>
      <c r="D105" t="s">
        <v>384</v>
      </c>
    </row>
    <row r="106" spans="1:5" x14ac:dyDescent="0.35">
      <c r="A106" t="s">
        <v>178</v>
      </c>
      <c r="E106" t="s">
        <v>556</v>
      </c>
    </row>
    <row r="107" spans="1:5" x14ac:dyDescent="0.35">
      <c r="A107" t="s">
        <v>179</v>
      </c>
      <c r="D107" t="s">
        <v>403</v>
      </c>
      <c r="E107" t="s">
        <v>557</v>
      </c>
    </row>
    <row r="108" spans="1:5" x14ac:dyDescent="0.35">
      <c r="A108" t="s">
        <v>180</v>
      </c>
      <c r="D108" t="s">
        <v>404</v>
      </c>
    </row>
    <row r="109" spans="1:5" x14ac:dyDescent="0.35">
      <c r="A109" t="s">
        <v>181</v>
      </c>
      <c r="D109" s="61" t="s">
        <v>405</v>
      </c>
    </row>
    <row r="110" spans="1:5" x14ac:dyDescent="0.35">
      <c r="D110" s="61" t="s">
        <v>406</v>
      </c>
    </row>
    <row r="111" spans="1:5" x14ac:dyDescent="0.35">
      <c r="A111" s="1" t="s">
        <v>183</v>
      </c>
    </row>
    <row r="112" spans="1:5" x14ac:dyDescent="0.35">
      <c r="A112" t="s">
        <v>194</v>
      </c>
      <c r="D112" t="s">
        <v>385</v>
      </c>
    </row>
    <row r="113" spans="1:4" x14ac:dyDescent="0.35">
      <c r="A113" t="s">
        <v>191</v>
      </c>
      <c r="D113" t="s">
        <v>386</v>
      </c>
    </row>
    <row r="114" spans="1:4" x14ac:dyDescent="0.35">
      <c r="A114" t="s">
        <v>192</v>
      </c>
      <c r="D114" t="s">
        <v>387</v>
      </c>
    </row>
    <row r="115" spans="1:4" x14ac:dyDescent="0.35">
      <c r="A115" t="s">
        <v>193</v>
      </c>
      <c r="D115" t="s">
        <v>388</v>
      </c>
    </row>
    <row r="116" spans="1:4" x14ac:dyDescent="0.35">
      <c r="D116" t="s">
        <v>389</v>
      </c>
    </row>
    <row r="117" spans="1:4" x14ac:dyDescent="0.35">
      <c r="A117" s="1" t="s">
        <v>187</v>
      </c>
      <c r="D117" t="s">
        <v>390</v>
      </c>
    </row>
    <row r="118" spans="1:4" x14ac:dyDescent="0.35">
      <c r="A118" t="s">
        <v>188</v>
      </c>
      <c r="D118" t="s">
        <v>391</v>
      </c>
    </row>
    <row r="119" spans="1:4" x14ac:dyDescent="0.35">
      <c r="A119" t="s">
        <v>189</v>
      </c>
    </row>
    <row r="120" spans="1:4" x14ac:dyDescent="0.35">
      <c r="A120" t="s">
        <v>190</v>
      </c>
      <c r="D120" t="s">
        <v>392</v>
      </c>
    </row>
    <row r="122" spans="1:4" x14ac:dyDescent="0.35">
      <c r="A122" s="1" t="s">
        <v>184</v>
      </c>
      <c r="D122" t="s">
        <v>407</v>
      </c>
    </row>
    <row r="123" spans="1:4" x14ac:dyDescent="0.35">
      <c r="A123" t="s">
        <v>3</v>
      </c>
      <c r="D123" t="s">
        <v>393</v>
      </c>
    </row>
    <row r="124" spans="1:4" x14ac:dyDescent="0.35">
      <c r="A124" t="s">
        <v>4</v>
      </c>
      <c r="D124" t="s">
        <v>394</v>
      </c>
    </row>
    <row r="125" spans="1:4" x14ac:dyDescent="0.35">
      <c r="A125" t="s">
        <v>5</v>
      </c>
      <c r="D125" t="s">
        <v>395</v>
      </c>
    </row>
    <row r="126" spans="1:4" x14ac:dyDescent="0.35">
      <c r="A126" t="s">
        <v>6</v>
      </c>
      <c r="D126" t="s">
        <v>396</v>
      </c>
    </row>
    <row r="127" spans="1:4" x14ac:dyDescent="0.35">
      <c r="A127" t="s">
        <v>185</v>
      </c>
      <c r="D127" t="s">
        <v>397</v>
      </c>
    </row>
    <row r="128" spans="1:4" x14ac:dyDescent="0.35">
      <c r="A128" t="s">
        <v>7</v>
      </c>
      <c r="D128" t="s">
        <v>398</v>
      </c>
    </row>
    <row r="129" spans="1:4" x14ac:dyDescent="0.35">
      <c r="A129" t="s">
        <v>186</v>
      </c>
      <c r="D129" t="s">
        <v>399</v>
      </c>
    </row>
    <row r="130" spans="1:4" x14ac:dyDescent="0.35">
      <c r="D130" t="s">
        <v>400</v>
      </c>
    </row>
    <row r="131" spans="1:4" x14ac:dyDescent="0.35">
      <c r="D131" t="s">
        <v>401</v>
      </c>
    </row>
    <row r="132" spans="1:4" x14ac:dyDescent="0.35">
      <c r="D132" t="s">
        <v>409</v>
      </c>
    </row>
    <row r="134" spans="1:4" x14ac:dyDescent="0.35">
      <c r="D134" t="s">
        <v>426</v>
      </c>
    </row>
    <row r="135" spans="1:4" x14ac:dyDescent="0.35">
      <c r="D135" t="s">
        <v>427</v>
      </c>
    </row>
    <row r="136" spans="1:4" x14ac:dyDescent="0.35">
      <c r="D136" t="s">
        <v>424</v>
      </c>
    </row>
    <row r="137" spans="1:4" x14ac:dyDescent="0.35">
      <c r="D137" t="s">
        <v>425</v>
      </c>
    </row>
    <row r="139" spans="1:4" x14ac:dyDescent="0.35">
      <c r="D139" s="1" t="s">
        <v>494</v>
      </c>
    </row>
    <row r="140" spans="1:4" x14ac:dyDescent="0.35">
      <c r="D140" t="s">
        <v>502</v>
      </c>
    </row>
    <row r="141" spans="1:4" x14ac:dyDescent="0.35">
      <c r="D141" t="s">
        <v>527</v>
      </c>
    </row>
    <row r="142" spans="1:4" x14ac:dyDescent="0.35">
      <c r="D142" t="s">
        <v>528</v>
      </c>
    </row>
    <row r="143" spans="1:4" x14ac:dyDescent="0.35">
      <c r="D143" t="s">
        <v>529</v>
      </c>
    </row>
    <row r="144" spans="1:4" x14ac:dyDescent="0.35">
      <c r="D144" t="s">
        <v>530</v>
      </c>
    </row>
    <row r="145" spans="4:4" x14ac:dyDescent="0.35">
      <c r="D145" t="s">
        <v>492</v>
      </c>
    </row>
    <row r="146" spans="4:4" x14ac:dyDescent="0.35">
      <c r="D146" t="s">
        <v>493</v>
      </c>
    </row>
    <row r="148" spans="4:4" x14ac:dyDescent="0.35">
      <c r="D148" t="s">
        <v>495</v>
      </c>
    </row>
    <row r="149" spans="4:4" x14ac:dyDescent="0.35">
      <c r="D149" t="s">
        <v>496</v>
      </c>
    </row>
    <row r="151" spans="4:4" x14ac:dyDescent="0.35">
      <c r="D151" t="s">
        <v>510</v>
      </c>
    </row>
    <row r="152" spans="4:4" x14ac:dyDescent="0.35">
      <c r="D152" t="s">
        <v>511</v>
      </c>
    </row>
    <row r="153" spans="4:4" x14ac:dyDescent="0.35">
      <c r="D153" t="s">
        <v>512</v>
      </c>
    </row>
    <row r="155" spans="4:4" x14ac:dyDescent="0.35">
      <c r="D155" t="s">
        <v>513</v>
      </c>
    </row>
    <row r="156" spans="4:4" x14ac:dyDescent="0.35">
      <c r="D156" t="s">
        <v>514</v>
      </c>
    </row>
    <row r="158" spans="4:4" x14ac:dyDescent="0.35">
      <c r="D158" t="s">
        <v>531</v>
      </c>
    </row>
  </sheetData>
  <hyperlinks>
    <hyperlink ref="D64" r:id="rId1" xr:uid="{00000000-0004-0000-0000-000000000000}"/>
    <hyperlink ref="D10" r:id="rId2" xr:uid="{00000000-0004-0000-0000-000001000000}"/>
    <hyperlink ref="D16" r:id="rId3" xr:uid="{00000000-0004-0000-0000-000002000000}"/>
    <hyperlink ref="B9" r:id="rId4" xr:uid="{00000000-0004-0000-0000-000003000000}"/>
    <hyperlink ref="B23" r:id="rId5" xr:uid="{00000000-0004-0000-0000-000004000000}"/>
    <hyperlink ref="B50" r:id="rId6" xr:uid="{00000000-0004-0000-0000-000005000000}"/>
    <hyperlink ref="B71" r:id="rId7" xr:uid="{00000000-0004-0000-0000-000006000000}"/>
    <hyperlink ref="B78" r:id="rId8" xr:uid="{00000000-0004-0000-0000-000007000000}"/>
    <hyperlink ref="B99" r:id="rId9" xr:uid="{00000000-0004-0000-0000-000008000000}"/>
    <hyperlink ref="B43" r:id="rId10" xr:uid="{00000000-0004-0000-0000-000009000000}"/>
    <hyperlink ref="B86" r:id="rId11" xr:uid="{00000000-0004-0000-0000-00000A000000}"/>
    <hyperlink ref="B16" r:id="rId12" xr:uid="{00000000-0004-0000-0000-00000B000000}"/>
  </hyperlinks>
  <pageMargins left="0.7" right="0.7" top="0.75" bottom="0.75" header="0.3" footer="0.3"/>
  <pageSetup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30"/>
  <sheetViews>
    <sheetView workbookViewId="0">
      <selection activeCell="E3" sqref="E3"/>
    </sheetView>
  </sheetViews>
  <sheetFormatPr defaultRowHeight="14.5" x14ac:dyDescent="0.35"/>
  <cols>
    <col min="2" max="2" width="14" customWidth="1"/>
    <col min="6" max="6" width="10.7265625" customWidth="1"/>
    <col min="9" max="9" width="18.81640625" customWidth="1"/>
    <col min="10" max="10" width="12" bestFit="1" customWidth="1"/>
  </cols>
  <sheetData>
    <row r="1" spans="1:43" ht="15" thickBot="1" x14ac:dyDescent="0.4">
      <c r="A1" s="1" t="s">
        <v>357</v>
      </c>
      <c r="E1" s="74" t="s">
        <v>360</v>
      </c>
      <c r="F1" s="75"/>
      <c r="J1" s="1">
        <v>2017</v>
      </c>
      <c r="K1" s="1">
        <f>J1+1</f>
        <v>2018</v>
      </c>
      <c r="L1" s="1">
        <f t="shared" ref="L1:AP1" si="0">K1+1</f>
        <v>2019</v>
      </c>
      <c r="M1" s="1">
        <f t="shared" si="0"/>
        <v>2020</v>
      </c>
      <c r="N1" s="1">
        <f t="shared" si="0"/>
        <v>2021</v>
      </c>
      <c r="O1" s="1">
        <f t="shared" si="0"/>
        <v>2022</v>
      </c>
      <c r="P1" s="1">
        <f t="shared" si="0"/>
        <v>2023</v>
      </c>
      <c r="Q1" s="1">
        <f t="shared" si="0"/>
        <v>2024</v>
      </c>
      <c r="R1" s="1">
        <f t="shared" si="0"/>
        <v>2025</v>
      </c>
      <c r="S1" s="1">
        <f t="shared" si="0"/>
        <v>2026</v>
      </c>
      <c r="T1" s="1">
        <f t="shared" si="0"/>
        <v>2027</v>
      </c>
      <c r="U1" s="1">
        <f t="shared" si="0"/>
        <v>2028</v>
      </c>
      <c r="V1" s="1">
        <f t="shared" si="0"/>
        <v>2029</v>
      </c>
      <c r="W1" s="1">
        <f t="shared" si="0"/>
        <v>2030</v>
      </c>
      <c r="X1" s="1">
        <f t="shared" si="0"/>
        <v>2031</v>
      </c>
      <c r="Y1" s="1">
        <f t="shared" si="0"/>
        <v>2032</v>
      </c>
      <c r="Z1" s="1">
        <f t="shared" si="0"/>
        <v>2033</v>
      </c>
      <c r="AA1" s="1">
        <f t="shared" si="0"/>
        <v>2034</v>
      </c>
      <c r="AB1" s="1">
        <f t="shared" si="0"/>
        <v>2035</v>
      </c>
      <c r="AC1" s="1">
        <f t="shared" si="0"/>
        <v>2036</v>
      </c>
      <c r="AD1" s="1">
        <f t="shared" si="0"/>
        <v>2037</v>
      </c>
      <c r="AE1" s="1">
        <f t="shared" si="0"/>
        <v>2038</v>
      </c>
      <c r="AF1" s="1">
        <f t="shared" si="0"/>
        <v>2039</v>
      </c>
      <c r="AG1" s="1">
        <f t="shared" si="0"/>
        <v>2040</v>
      </c>
      <c r="AH1" s="1">
        <f t="shared" si="0"/>
        <v>2041</v>
      </c>
      <c r="AI1" s="1">
        <f t="shared" si="0"/>
        <v>2042</v>
      </c>
      <c r="AJ1" s="1">
        <f t="shared" si="0"/>
        <v>2043</v>
      </c>
      <c r="AK1" s="1">
        <f t="shared" si="0"/>
        <v>2044</v>
      </c>
      <c r="AL1" s="1">
        <f t="shared" si="0"/>
        <v>2045</v>
      </c>
      <c r="AM1" s="1">
        <f t="shared" si="0"/>
        <v>2046</v>
      </c>
      <c r="AN1" s="1">
        <f t="shared" si="0"/>
        <v>2047</v>
      </c>
      <c r="AO1" s="1">
        <f t="shared" si="0"/>
        <v>2048</v>
      </c>
      <c r="AP1" s="1">
        <f t="shared" si="0"/>
        <v>2049</v>
      </c>
      <c r="AQ1" s="1">
        <f>AP1+1</f>
        <v>2050</v>
      </c>
    </row>
    <row r="2" spans="1:43" x14ac:dyDescent="0.35">
      <c r="A2" s="62"/>
      <c r="B2" s="64">
        <v>2013</v>
      </c>
      <c r="C2" s="68">
        <v>2031</v>
      </c>
      <c r="D2" s="65">
        <v>2050</v>
      </c>
      <c r="E2" s="70">
        <v>2013</v>
      </c>
      <c r="F2" s="71">
        <v>2022</v>
      </c>
      <c r="I2" t="s">
        <v>362</v>
      </c>
      <c r="J2" s="17">
        <f>FORECAST(J1,$B$3:$C$3,$B$2:$C$2)</f>
        <v>84.888888888888687</v>
      </c>
      <c r="K2" s="17">
        <f t="shared" ref="K2:X2" si="1">FORECAST(K1,$B$3:$C$3,$B$2:$C$2)</f>
        <v>90.611111111111313</v>
      </c>
      <c r="L2" s="17">
        <f t="shared" si="1"/>
        <v>96.333333333332121</v>
      </c>
      <c r="M2" s="17">
        <f t="shared" si="1"/>
        <v>102.05555555555475</v>
      </c>
      <c r="N2" s="17">
        <f t="shared" si="1"/>
        <v>107.77777777777737</v>
      </c>
      <c r="O2" s="17">
        <f t="shared" si="1"/>
        <v>113.5</v>
      </c>
      <c r="P2" s="17">
        <f t="shared" si="1"/>
        <v>119.22222222222263</v>
      </c>
      <c r="Q2" s="17">
        <f t="shared" si="1"/>
        <v>124.94444444444343</v>
      </c>
      <c r="R2" s="17">
        <f t="shared" si="1"/>
        <v>130.66666666666606</v>
      </c>
      <c r="S2" s="17">
        <f t="shared" si="1"/>
        <v>136.38888888888869</v>
      </c>
      <c r="T2" s="17">
        <f t="shared" si="1"/>
        <v>142.11111111111131</v>
      </c>
      <c r="U2" s="17">
        <f t="shared" si="1"/>
        <v>147.83333333333212</v>
      </c>
      <c r="V2" s="17">
        <f t="shared" si="1"/>
        <v>153.55555555555475</v>
      </c>
      <c r="W2" s="17">
        <f t="shared" si="1"/>
        <v>159.27777777777737</v>
      </c>
      <c r="X2" s="17">
        <f t="shared" si="1"/>
        <v>165</v>
      </c>
      <c r="Y2" s="17">
        <f>FORECAST(Y1,$C$3:$D$3,$C$2:$D$2)</f>
        <v>179.26315789473665</v>
      </c>
      <c r="Z2" s="17">
        <f t="shared" ref="Z2:AQ2" si="2">FORECAST(Z1,$C$3:$D$3,$C$2:$D$2)</f>
        <v>193.5263157894733</v>
      </c>
      <c r="AA2" s="17">
        <f t="shared" si="2"/>
        <v>207.78947368420995</v>
      </c>
      <c r="AB2" s="17">
        <f t="shared" si="2"/>
        <v>222.0526315789466</v>
      </c>
      <c r="AC2" s="17">
        <f t="shared" si="2"/>
        <v>236.31578947368325</v>
      </c>
      <c r="AD2" s="17">
        <f t="shared" si="2"/>
        <v>250.5789473684199</v>
      </c>
      <c r="AE2" s="17">
        <f t="shared" si="2"/>
        <v>264.84210526315655</v>
      </c>
      <c r="AF2" s="17">
        <f t="shared" si="2"/>
        <v>279.10526315789684</v>
      </c>
      <c r="AG2" s="17">
        <f t="shared" si="2"/>
        <v>293.36842105263349</v>
      </c>
      <c r="AH2" s="17">
        <f t="shared" si="2"/>
        <v>307.63157894737014</v>
      </c>
      <c r="AI2" s="17">
        <f t="shared" si="2"/>
        <v>321.89473684210679</v>
      </c>
      <c r="AJ2" s="17">
        <f t="shared" si="2"/>
        <v>336.15789473684345</v>
      </c>
      <c r="AK2" s="17">
        <f t="shared" si="2"/>
        <v>350.4210526315801</v>
      </c>
      <c r="AL2" s="17">
        <f t="shared" si="2"/>
        <v>364.68421052631675</v>
      </c>
      <c r="AM2" s="17">
        <f t="shared" si="2"/>
        <v>378.9473684210534</v>
      </c>
      <c r="AN2" s="17">
        <f t="shared" si="2"/>
        <v>393.21052631579005</v>
      </c>
      <c r="AO2" s="17">
        <f t="shared" si="2"/>
        <v>407.4736842105267</v>
      </c>
      <c r="AP2" s="17">
        <f t="shared" si="2"/>
        <v>421.73684210526335</v>
      </c>
      <c r="AQ2" s="17">
        <f t="shared" si="2"/>
        <v>436</v>
      </c>
    </row>
    <row r="3" spans="1:43" ht="15" thickBot="1" x14ac:dyDescent="0.4">
      <c r="A3" s="63" t="s">
        <v>231</v>
      </c>
      <c r="B3" s="66">
        <v>62</v>
      </c>
      <c r="C3" s="69">
        <v>165</v>
      </c>
      <c r="D3" s="67">
        <v>436</v>
      </c>
      <c r="E3" s="72">
        <v>0.68</v>
      </c>
      <c r="F3" s="73">
        <v>1</v>
      </c>
      <c r="I3" t="s">
        <v>361</v>
      </c>
      <c r="J3" s="17">
        <f>FORECAST(J1,$E$3:$F$3,$E$2:$F$2)</f>
        <v>0.82222222222222285</v>
      </c>
      <c r="K3" s="17">
        <f t="shared" ref="K3:O3" si="3">FORECAST(K1,$E$3:$F$3,$E$2:$F$2)</f>
        <v>0.85777777777778397</v>
      </c>
      <c r="L3" s="17">
        <f t="shared" si="3"/>
        <v>0.89333333333333087</v>
      </c>
      <c r="M3" s="17">
        <f t="shared" si="3"/>
        <v>0.92888888888889198</v>
      </c>
      <c r="N3" s="17">
        <f t="shared" si="3"/>
        <v>0.9644444444444531</v>
      </c>
      <c r="O3" s="17">
        <f t="shared" si="3"/>
        <v>1</v>
      </c>
      <c r="P3" s="17">
        <f>O3</f>
        <v>1</v>
      </c>
      <c r="Q3" s="17">
        <f t="shared" ref="Q3:AQ3" si="4">P3</f>
        <v>1</v>
      </c>
      <c r="R3" s="17">
        <f t="shared" si="4"/>
        <v>1</v>
      </c>
      <c r="S3" s="17">
        <f t="shared" si="4"/>
        <v>1</v>
      </c>
      <c r="T3" s="17">
        <f t="shared" si="4"/>
        <v>1</v>
      </c>
      <c r="U3" s="17">
        <f t="shared" si="4"/>
        <v>1</v>
      </c>
      <c r="V3" s="17">
        <f t="shared" si="4"/>
        <v>1</v>
      </c>
      <c r="W3" s="17">
        <f t="shared" si="4"/>
        <v>1</v>
      </c>
      <c r="X3" s="17">
        <f t="shared" si="4"/>
        <v>1</v>
      </c>
      <c r="Y3" s="17">
        <f t="shared" si="4"/>
        <v>1</v>
      </c>
      <c r="Z3" s="17">
        <f t="shared" si="4"/>
        <v>1</v>
      </c>
      <c r="AA3" s="17">
        <f t="shared" si="4"/>
        <v>1</v>
      </c>
      <c r="AB3" s="17">
        <f t="shared" si="4"/>
        <v>1</v>
      </c>
      <c r="AC3" s="17">
        <f t="shared" si="4"/>
        <v>1</v>
      </c>
      <c r="AD3" s="17">
        <f t="shared" si="4"/>
        <v>1</v>
      </c>
      <c r="AE3" s="17">
        <f t="shared" si="4"/>
        <v>1</v>
      </c>
      <c r="AF3" s="17">
        <f t="shared" si="4"/>
        <v>1</v>
      </c>
      <c r="AG3" s="17">
        <f t="shared" si="4"/>
        <v>1</v>
      </c>
      <c r="AH3" s="17">
        <f t="shared" si="4"/>
        <v>1</v>
      </c>
      <c r="AI3" s="17">
        <f t="shared" si="4"/>
        <v>1</v>
      </c>
      <c r="AJ3" s="17">
        <f t="shared" si="4"/>
        <v>1</v>
      </c>
      <c r="AK3" s="17">
        <f t="shared" si="4"/>
        <v>1</v>
      </c>
      <c r="AL3" s="17">
        <f t="shared" si="4"/>
        <v>1</v>
      </c>
      <c r="AM3" s="17">
        <f t="shared" si="4"/>
        <v>1</v>
      </c>
      <c r="AN3" s="17">
        <f t="shared" si="4"/>
        <v>1</v>
      </c>
      <c r="AO3" s="17">
        <f t="shared" si="4"/>
        <v>1</v>
      </c>
      <c r="AP3" s="17">
        <f t="shared" si="4"/>
        <v>1</v>
      </c>
      <c r="AQ3" s="17">
        <f t="shared" si="4"/>
        <v>1</v>
      </c>
    </row>
    <row r="4" spans="1:43" x14ac:dyDescent="0.35">
      <c r="I4" t="s">
        <v>363</v>
      </c>
      <c r="J4" s="17">
        <f>J2*J3</f>
        <v>69.797530864197412</v>
      </c>
      <c r="K4" s="17">
        <f t="shared" ref="K4:AQ4" si="5">K2*K3</f>
        <v>77.724197530864927</v>
      </c>
      <c r="L4" s="17">
        <f t="shared" si="5"/>
        <v>86.057777777776451</v>
      </c>
      <c r="M4" s="17">
        <f t="shared" si="5"/>
        <v>94.798271604937838</v>
      </c>
      <c r="N4" s="17">
        <f t="shared" si="5"/>
        <v>103.94567901234622</v>
      </c>
      <c r="O4" s="17">
        <f t="shared" si="5"/>
        <v>113.5</v>
      </c>
      <c r="P4" s="17">
        <f t="shared" si="5"/>
        <v>119.22222222222263</v>
      </c>
      <c r="Q4" s="17">
        <f t="shared" si="5"/>
        <v>124.94444444444343</v>
      </c>
      <c r="R4" s="17">
        <f t="shared" si="5"/>
        <v>130.66666666666606</v>
      </c>
      <c r="S4" s="17">
        <f t="shared" si="5"/>
        <v>136.38888888888869</v>
      </c>
      <c r="T4" s="17">
        <f t="shared" si="5"/>
        <v>142.11111111111131</v>
      </c>
      <c r="U4" s="17">
        <f t="shared" si="5"/>
        <v>147.83333333333212</v>
      </c>
      <c r="V4" s="17">
        <f t="shared" si="5"/>
        <v>153.55555555555475</v>
      </c>
      <c r="W4" s="17">
        <f t="shared" si="5"/>
        <v>159.27777777777737</v>
      </c>
      <c r="X4" s="17">
        <f t="shared" si="5"/>
        <v>165</v>
      </c>
      <c r="Y4" s="17">
        <f t="shared" si="5"/>
        <v>179.26315789473665</v>
      </c>
      <c r="Z4" s="17">
        <f t="shared" si="5"/>
        <v>193.5263157894733</v>
      </c>
      <c r="AA4" s="17">
        <f t="shared" si="5"/>
        <v>207.78947368420995</v>
      </c>
      <c r="AB4" s="17">
        <f t="shared" si="5"/>
        <v>222.0526315789466</v>
      </c>
      <c r="AC4" s="17">
        <f t="shared" si="5"/>
        <v>236.31578947368325</v>
      </c>
      <c r="AD4" s="17">
        <f t="shared" si="5"/>
        <v>250.5789473684199</v>
      </c>
      <c r="AE4" s="17">
        <f t="shared" si="5"/>
        <v>264.84210526315655</v>
      </c>
      <c r="AF4" s="17">
        <f t="shared" si="5"/>
        <v>279.10526315789684</v>
      </c>
      <c r="AG4" s="17">
        <f t="shared" si="5"/>
        <v>293.36842105263349</v>
      </c>
      <c r="AH4" s="17">
        <f t="shared" si="5"/>
        <v>307.63157894737014</v>
      </c>
      <c r="AI4" s="17">
        <f t="shared" si="5"/>
        <v>321.89473684210679</v>
      </c>
      <c r="AJ4" s="17">
        <f t="shared" si="5"/>
        <v>336.15789473684345</v>
      </c>
      <c r="AK4" s="17">
        <f t="shared" si="5"/>
        <v>350.4210526315801</v>
      </c>
      <c r="AL4" s="17">
        <f t="shared" si="5"/>
        <v>364.68421052631675</v>
      </c>
      <c r="AM4" s="17">
        <f t="shared" si="5"/>
        <v>378.9473684210534</v>
      </c>
      <c r="AN4" s="17">
        <f t="shared" si="5"/>
        <v>393.21052631579005</v>
      </c>
      <c r="AO4" s="17">
        <f t="shared" si="5"/>
        <v>407.4736842105267</v>
      </c>
      <c r="AP4" s="17">
        <f t="shared" si="5"/>
        <v>421.73684210526335</v>
      </c>
      <c r="AQ4" s="17">
        <f t="shared" si="5"/>
        <v>436</v>
      </c>
    </row>
    <row r="5" spans="1:43" x14ac:dyDescent="0.35">
      <c r="A5" s="1" t="s">
        <v>414</v>
      </c>
      <c r="I5" t="s">
        <v>364</v>
      </c>
      <c r="J5" s="17">
        <f>($C$6/100)*J4</f>
        <v>35.596740740740678</v>
      </c>
      <c r="K5" s="17">
        <f t="shared" ref="K5:AQ5" si="6">($C$6/100)*K4</f>
        <v>39.639340740741112</v>
      </c>
      <c r="L5" s="17">
        <f t="shared" si="6"/>
        <v>43.889466666665989</v>
      </c>
      <c r="M5" s="17">
        <f t="shared" si="6"/>
        <v>48.3471185185183</v>
      </c>
      <c r="N5" s="17">
        <f t="shared" si="6"/>
        <v>53.012296296296576</v>
      </c>
      <c r="O5" s="17">
        <f t="shared" si="6"/>
        <v>57.884999999999998</v>
      </c>
      <c r="P5" s="17">
        <f t="shared" si="6"/>
        <v>60.803333333333541</v>
      </c>
      <c r="Q5" s="17">
        <f t="shared" si="6"/>
        <v>63.721666666666152</v>
      </c>
      <c r="R5" s="17">
        <f t="shared" si="6"/>
        <v>66.639999999999688</v>
      </c>
      <c r="S5" s="17">
        <f t="shared" si="6"/>
        <v>69.558333333333238</v>
      </c>
      <c r="T5" s="17">
        <f t="shared" si="6"/>
        <v>72.476666666666773</v>
      </c>
      <c r="U5" s="17">
        <f t="shared" si="6"/>
        <v>75.394999999999385</v>
      </c>
      <c r="V5" s="17">
        <f t="shared" si="6"/>
        <v>78.31333333333292</v>
      </c>
      <c r="W5" s="17">
        <f t="shared" si="6"/>
        <v>81.231666666666456</v>
      </c>
      <c r="X5" s="17">
        <f t="shared" si="6"/>
        <v>84.15</v>
      </c>
      <c r="Y5" s="17">
        <f t="shared" si="6"/>
        <v>91.42421052631569</v>
      </c>
      <c r="Z5" s="17">
        <f t="shared" si="6"/>
        <v>98.698421052631389</v>
      </c>
      <c r="AA5" s="17">
        <f t="shared" si="6"/>
        <v>105.97263157894707</v>
      </c>
      <c r="AB5" s="17">
        <f t="shared" si="6"/>
        <v>113.24684210526277</v>
      </c>
      <c r="AC5" s="17">
        <f t="shared" si="6"/>
        <v>120.52105263157846</v>
      </c>
      <c r="AD5" s="17">
        <f t="shared" si="6"/>
        <v>127.79526315789415</v>
      </c>
      <c r="AE5" s="17">
        <f t="shared" si="6"/>
        <v>135.06947368420984</v>
      </c>
      <c r="AF5" s="17">
        <f t="shared" si="6"/>
        <v>142.34368421052739</v>
      </c>
      <c r="AG5" s="17">
        <f t="shared" si="6"/>
        <v>149.61789473684308</v>
      </c>
      <c r="AH5" s="17">
        <f t="shared" si="6"/>
        <v>156.89210526315878</v>
      </c>
      <c r="AI5" s="17">
        <f t="shared" si="6"/>
        <v>164.16631578947448</v>
      </c>
      <c r="AJ5" s="17">
        <f t="shared" si="6"/>
        <v>171.44052631579015</v>
      </c>
      <c r="AK5" s="17">
        <f t="shared" si="6"/>
        <v>178.71473684210585</v>
      </c>
      <c r="AL5" s="17">
        <f t="shared" si="6"/>
        <v>185.98894736842155</v>
      </c>
      <c r="AM5" s="17">
        <f t="shared" si="6"/>
        <v>193.26315789473725</v>
      </c>
      <c r="AN5" s="17">
        <f t="shared" si="6"/>
        <v>200.53736842105292</v>
      </c>
      <c r="AO5" s="17">
        <f t="shared" si="6"/>
        <v>207.81157894736862</v>
      </c>
      <c r="AP5" s="17">
        <f t="shared" si="6"/>
        <v>215.08578947368431</v>
      </c>
      <c r="AQ5" s="17">
        <f t="shared" si="6"/>
        <v>222.36</v>
      </c>
    </row>
    <row r="6" spans="1:43" x14ac:dyDescent="0.35">
      <c r="A6" t="s">
        <v>342</v>
      </c>
      <c r="C6">
        <v>51</v>
      </c>
      <c r="D6" t="s">
        <v>320</v>
      </c>
      <c r="E6" t="s">
        <v>359</v>
      </c>
      <c r="G6">
        <v>68</v>
      </c>
      <c r="H6" t="s">
        <v>320</v>
      </c>
      <c r="I6" t="s">
        <v>365</v>
      </c>
      <c r="J6" s="17">
        <f>($C$9/100)*J4</f>
        <v>17.100395061728367</v>
      </c>
      <c r="K6" s="17">
        <f t="shared" ref="K6:AQ6" si="7">($C$9/100)*K4</f>
        <v>19.042428395061908</v>
      </c>
      <c r="L6" s="17">
        <f t="shared" si="7"/>
        <v>21.084155555555231</v>
      </c>
      <c r="M6" s="17">
        <f t="shared" si="7"/>
        <v>23.225576543209769</v>
      </c>
      <c r="N6" s="17">
        <f t="shared" si="7"/>
        <v>25.466691358024821</v>
      </c>
      <c r="O6" s="17">
        <f t="shared" si="7"/>
        <v>27.807500000000001</v>
      </c>
      <c r="P6" s="17">
        <f t="shared" si="7"/>
        <v>29.209444444444543</v>
      </c>
      <c r="Q6" s="17">
        <f t="shared" si="7"/>
        <v>30.611388888888641</v>
      </c>
      <c r="R6" s="17">
        <f t="shared" si="7"/>
        <v>32.013333333333186</v>
      </c>
      <c r="S6" s="17">
        <f t="shared" si="7"/>
        <v>33.415277777777725</v>
      </c>
      <c r="T6" s="17">
        <f t="shared" si="7"/>
        <v>34.81722222222227</v>
      </c>
      <c r="U6" s="17">
        <f t="shared" si="7"/>
        <v>36.219166666666368</v>
      </c>
      <c r="V6" s="17">
        <f t="shared" si="7"/>
        <v>37.621111111110913</v>
      </c>
      <c r="W6" s="17">
        <f t="shared" si="7"/>
        <v>39.023055555555459</v>
      </c>
      <c r="X6" s="17">
        <f t="shared" si="7"/>
        <v>40.424999999999997</v>
      </c>
      <c r="Y6" s="17">
        <f t="shared" si="7"/>
        <v>43.91947368421048</v>
      </c>
      <c r="Z6" s="17">
        <f t="shared" si="7"/>
        <v>47.413947368420956</v>
      </c>
      <c r="AA6" s="17">
        <f t="shared" si="7"/>
        <v>50.908421052631439</v>
      </c>
      <c r="AB6" s="17">
        <f t="shared" si="7"/>
        <v>54.402894736841915</v>
      </c>
      <c r="AC6" s="17">
        <f t="shared" si="7"/>
        <v>57.897368421052398</v>
      </c>
      <c r="AD6" s="17">
        <f t="shared" si="7"/>
        <v>61.391842105262874</v>
      </c>
      <c r="AE6" s="17">
        <f t="shared" si="7"/>
        <v>64.886315789473358</v>
      </c>
      <c r="AF6" s="17">
        <f t="shared" si="7"/>
        <v>68.380789473684729</v>
      </c>
      <c r="AG6" s="17">
        <f t="shared" si="7"/>
        <v>71.875263157895205</v>
      </c>
      <c r="AH6" s="17">
        <f t="shared" si="7"/>
        <v>75.369736842105681</v>
      </c>
      <c r="AI6" s="17">
        <f t="shared" si="7"/>
        <v>78.864210526316157</v>
      </c>
      <c r="AJ6" s="17">
        <f t="shared" si="7"/>
        <v>82.358684210526647</v>
      </c>
      <c r="AK6" s="17">
        <f t="shared" si="7"/>
        <v>85.853157894737123</v>
      </c>
      <c r="AL6" s="17">
        <f t="shared" si="7"/>
        <v>89.347631578947599</v>
      </c>
      <c r="AM6" s="17">
        <f t="shared" si="7"/>
        <v>92.842105263158075</v>
      </c>
      <c r="AN6" s="17">
        <f t="shared" si="7"/>
        <v>96.336578947368565</v>
      </c>
      <c r="AO6" s="17">
        <f t="shared" si="7"/>
        <v>99.831052631579041</v>
      </c>
      <c r="AP6" s="17">
        <f t="shared" si="7"/>
        <v>103.32552631578952</v>
      </c>
      <c r="AQ6" s="17">
        <f t="shared" si="7"/>
        <v>106.82</v>
      </c>
    </row>
    <row r="7" spans="1:43" x14ac:dyDescent="0.35">
      <c r="A7" t="s">
        <v>343</v>
      </c>
      <c r="C7">
        <v>32</v>
      </c>
      <c r="D7" t="s">
        <v>320</v>
      </c>
      <c r="I7" t="s">
        <v>367</v>
      </c>
      <c r="J7">
        <f>J5*10^6</f>
        <v>35596740.740740679</v>
      </c>
      <c r="K7">
        <f t="shared" ref="K7:AQ7" si="8">K5*10^6</f>
        <v>39639340.740741111</v>
      </c>
      <c r="L7">
        <f t="shared" si="8"/>
        <v>43889466.666665986</v>
      </c>
      <c r="M7">
        <f t="shared" si="8"/>
        <v>48347118.518518299</v>
      </c>
      <c r="N7">
        <f t="shared" si="8"/>
        <v>53012296.296296574</v>
      </c>
      <c r="O7">
        <f t="shared" si="8"/>
        <v>57885000</v>
      </c>
      <c r="P7">
        <f t="shared" si="8"/>
        <v>60803333.333333537</v>
      </c>
      <c r="Q7">
        <f t="shared" si="8"/>
        <v>63721666.66666615</v>
      </c>
      <c r="R7">
        <f t="shared" si="8"/>
        <v>66639999.999999687</v>
      </c>
      <c r="S7">
        <f t="shared" si="8"/>
        <v>69558333.333333239</v>
      </c>
      <c r="T7">
        <f t="shared" si="8"/>
        <v>72476666.666666776</v>
      </c>
      <c r="U7">
        <f t="shared" si="8"/>
        <v>75394999.999999389</v>
      </c>
      <c r="V7">
        <f t="shared" si="8"/>
        <v>78313333.333332926</v>
      </c>
      <c r="W7">
        <f t="shared" si="8"/>
        <v>81231666.666666463</v>
      </c>
      <c r="X7">
        <f t="shared" si="8"/>
        <v>84150000</v>
      </c>
      <c r="Y7">
        <f t="shared" si="8"/>
        <v>91424210.526315689</v>
      </c>
      <c r="Z7">
        <f t="shared" si="8"/>
        <v>98698421.052631393</v>
      </c>
      <c r="AA7">
        <f t="shared" si="8"/>
        <v>105972631.57894707</v>
      </c>
      <c r="AB7">
        <f t="shared" si="8"/>
        <v>113246842.10526277</v>
      </c>
      <c r="AC7">
        <f t="shared" si="8"/>
        <v>120521052.63157846</v>
      </c>
      <c r="AD7">
        <f t="shared" si="8"/>
        <v>127795263.15789415</v>
      </c>
      <c r="AE7">
        <f t="shared" si="8"/>
        <v>135069473.68420985</v>
      </c>
      <c r="AF7">
        <f t="shared" si="8"/>
        <v>142343684.21052739</v>
      </c>
      <c r="AG7">
        <f t="shared" si="8"/>
        <v>149617894.73684308</v>
      </c>
      <c r="AH7">
        <f t="shared" si="8"/>
        <v>156892105.26315877</v>
      </c>
      <c r="AI7">
        <f t="shared" si="8"/>
        <v>164166315.78947449</v>
      </c>
      <c r="AJ7">
        <f t="shared" si="8"/>
        <v>171440526.31579015</v>
      </c>
      <c r="AK7">
        <f t="shared" si="8"/>
        <v>178714736.84210584</v>
      </c>
      <c r="AL7">
        <f t="shared" si="8"/>
        <v>185988947.36842155</v>
      </c>
      <c r="AM7">
        <f t="shared" si="8"/>
        <v>193263157.89473724</v>
      </c>
      <c r="AN7">
        <f t="shared" si="8"/>
        <v>200537368.4210529</v>
      </c>
      <c r="AO7">
        <f t="shared" si="8"/>
        <v>207811578.94736862</v>
      </c>
      <c r="AP7">
        <f t="shared" si="8"/>
        <v>215085789.47368431</v>
      </c>
      <c r="AQ7">
        <f t="shared" si="8"/>
        <v>222360000</v>
      </c>
    </row>
    <row r="8" spans="1:43" x14ac:dyDescent="0.35">
      <c r="A8" t="s">
        <v>344</v>
      </c>
      <c r="C8">
        <v>17</v>
      </c>
      <c r="D8" t="s">
        <v>320</v>
      </c>
      <c r="I8" t="s">
        <v>368</v>
      </c>
      <c r="J8">
        <f>J6*10^6</f>
        <v>17100395.061728366</v>
      </c>
      <c r="K8">
        <f t="shared" ref="K8:AQ8" si="9">K6*10^6</f>
        <v>19042428.395061906</v>
      </c>
      <c r="L8">
        <f t="shared" si="9"/>
        <v>21084155.555555232</v>
      </c>
      <c r="M8">
        <f t="shared" si="9"/>
        <v>23225576.543209769</v>
      </c>
      <c r="N8">
        <f t="shared" si="9"/>
        <v>25466691.358024821</v>
      </c>
      <c r="O8">
        <f t="shared" si="9"/>
        <v>27807500</v>
      </c>
      <c r="P8">
        <f t="shared" si="9"/>
        <v>29209444.444444545</v>
      </c>
      <c r="Q8">
        <f t="shared" si="9"/>
        <v>30611388.888888642</v>
      </c>
      <c r="R8">
        <f t="shared" si="9"/>
        <v>32013333.333333187</v>
      </c>
      <c r="S8">
        <f t="shared" si="9"/>
        <v>33415277.777777724</v>
      </c>
      <c r="T8">
        <f t="shared" si="9"/>
        <v>34817222.222222269</v>
      </c>
      <c r="U8">
        <f t="shared" si="9"/>
        <v>36219166.666666366</v>
      </c>
      <c r="V8">
        <f t="shared" si="9"/>
        <v>37621111.111110911</v>
      </c>
      <c r="W8">
        <f t="shared" si="9"/>
        <v>39023055.555555455</v>
      </c>
      <c r="X8">
        <f t="shared" si="9"/>
        <v>40425000</v>
      </c>
      <c r="Y8">
        <f t="shared" si="9"/>
        <v>43919473.684210479</v>
      </c>
      <c r="Z8">
        <f t="shared" si="9"/>
        <v>47413947.368420959</v>
      </c>
      <c r="AA8">
        <f t="shared" si="9"/>
        <v>50908421.052631438</v>
      </c>
      <c r="AB8">
        <f t="shared" si="9"/>
        <v>54402894.736841917</v>
      </c>
      <c r="AC8">
        <f t="shared" si="9"/>
        <v>57897368.421052396</v>
      </c>
      <c r="AD8">
        <f t="shared" si="9"/>
        <v>61391842.105262876</v>
      </c>
      <c r="AE8">
        <f t="shared" si="9"/>
        <v>64886315.789473355</v>
      </c>
      <c r="AF8">
        <f t="shared" si="9"/>
        <v>68380789.473684728</v>
      </c>
      <c r="AG8">
        <f t="shared" si="9"/>
        <v>71875263.157895207</v>
      </c>
      <c r="AH8">
        <f t="shared" si="9"/>
        <v>75369736.842105687</v>
      </c>
      <c r="AI8">
        <f t="shared" si="9"/>
        <v>78864210.526316151</v>
      </c>
      <c r="AJ8">
        <f t="shared" si="9"/>
        <v>82358684.210526645</v>
      </c>
      <c r="AK8">
        <f t="shared" si="9"/>
        <v>85853157.894737124</v>
      </c>
      <c r="AL8">
        <f t="shared" si="9"/>
        <v>89347631.578947604</v>
      </c>
      <c r="AM8">
        <f t="shared" si="9"/>
        <v>92842105.263158068</v>
      </c>
      <c r="AN8">
        <f t="shared" si="9"/>
        <v>96336578.947368562</v>
      </c>
      <c r="AO8">
        <f t="shared" si="9"/>
        <v>99831052.631579041</v>
      </c>
      <c r="AP8">
        <f t="shared" si="9"/>
        <v>103325526.31578952</v>
      </c>
      <c r="AQ8">
        <f t="shared" si="9"/>
        <v>106820000</v>
      </c>
    </row>
    <row r="9" spans="1:43" x14ac:dyDescent="0.35">
      <c r="A9" t="s">
        <v>356</v>
      </c>
      <c r="C9">
        <f>AVERAGE(C7:C8)</f>
        <v>24.5</v>
      </c>
      <c r="D9" t="s">
        <v>320</v>
      </c>
      <c r="I9" t="s">
        <v>369</v>
      </c>
      <c r="J9" s="31">
        <f>J7*'Conversion Factors'!$B$34</f>
        <v>451021941296399.19</v>
      </c>
      <c r="K9" s="31">
        <f>K7*'Conversion Factors'!$B$34</f>
        <v>502242959343094.63</v>
      </c>
      <c r="L9" s="31">
        <f>L7*'Conversion Factors'!$B$34</f>
        <v>556093396376811.31</v>
      </c>
      <c r="M9" s="31">
        <f>M7*'Conversion Factors'!$B$34</f>
        <v>612573252397587.13</v>
      </c>
      <c r="N9" s="31">
        <f>N7*'Conversion Factors'!$B$34</f>
        <v>671682527405403.5</v>
      </c>
      <c r="O9" s="31">
        <f>O7*'Conversion Factors'!$B$34</f>
        <v>733421221400249.88</v>
      </c>
      <c r="P9" s="31">
        <f>P7*'Conversion Factors'!$B$34</f>
        <v>770397425905502.5</v>
      </c>
      <c r="Q9" s="31">
        <f>Q7*'Conversion Factors'!$B$34</f>
        <v>807373630410743.38</v>
      </c>
      <c r="R9" s="31">
        <f>R7*'Conversion Factors'!$B$34</f>
        <v>844349834915995.88</v>
      </c>
      <c r="S9" s="31">
        <f>S7*'Conversion Factors'!$B$34</f>
        <v>881326039421248.75</v>
      </c>
      <c r="T9" s="31">
        <f>T7*'Conversion Factors'!$B$34</f>
        <v>918302243926501.25</v>
      </c>
      <c r="U9" s="31">
        <f>U7*'Conversion Factors'!$B$34</f>
        <v>955278448431742.13</v>
      </c>
      <c r="V9" s="31">
        <f>V7*'Conversion Factors'!$B$34</f>
        <v>992254652936994.75</v>
      </c>
      <c r="W9" s="31">
        <f>W7*'Conversion Factors'!$B$34</f>
        <v>1029230857442247.3</v>
      </c>
      <c r="X9" s="31">
        <f>X7*'Conversion Factors'!$B$34</f>
        <v>1066207061947499.9</v>
      </c>
      <c r="Y9" s="31">
        <f>Y7*'Conversion Factors'!$B$34</f>
        <v>1158373605420472.3</v>
      </c>
      <c r="Z9" s="31">
        <f>Z7*'Conversion Factors'!$B$34</f>
        <v>1250540148893444.8</v>
      </c>
      <c r="AA9" s="31">
        <f>AA7*'Conversion Factors'!$B$34</f>
        <v>1342706692366417</v>
      </c>
      <c r="AB9" s="31">
        <f>AB7*'Conversion Factors'!$B$34</f>
        <v>1434873235839389.8</v>
      </c>
      <c r="AC9" s="31">
        <f>AC7*'Conversion Factors'!$B$34</f>
        <v>1527039779312362</v>
      </c>
      <c r="AD9" s="31">
        <f>AD7*'Conversion Factors'!$B$34</f>
        <v>1619206322785334.5</v>
      </c>
      <c r="AE9" s="31">
        <f>AE7*'Conversion Factors'!$B$34</f>
        <v>1711372866258307</v>
      </c>
      <c r="AF9" s="31">
        <f>AF7*'Conversion Factors'!$B$34</f>
        <v>1803539409731303</v>
      </c>
      <c r="AG9" s="31">
        <f>AG7*'Conversion Factors'!$B$34</f>
        <v>1895705953204275.3</v>
      </c>
      <c r="AH9" s="31">
        <f>AH7*'Conversion Factors'!$B$34</f>
        <v>1987872496677247.8</v>
      </c>
      <c r="AI9" s="31">
        <f>AI7*'Conversion Factors'!$B$34</f>
        <v>2080039040150220.5</v>
      </c>
      <c r="AJ9" s="31">
        <f>AJ7*'Conversion Factors'!$B$34</f>
        <v>2172205583623192.5</v>
      </c>
      <c r="AK9" s="31">
        <f>AK7*'Conversion Factors'!$B$34</f>
        <v>2264372127096165</v>
      </c>
      <c r="AL9" s="31">
        <f>AL7*'Conversion Factors'!$B$34</f>
        <v>2356538670569137.5</v>
      </c>
      <c r="AM9" s="31">
        <f>AM7*'Conversion Factors'!$B$34</f>
        <v>2448705214042110</v>
      </c>
      <c r="AN9" s="31">
        <f>AN7*'Conversion Factors'!$B$34</f>
        <v>2540871757515082</v>
      </c>
      <c r="AO9" s="31">
        <f>AO7*'Conversion Factors'!$B$34</f>
        <v>2633038300988055</v>
      </c>
      <c r="AP9" s="31">
        <f>AP7*'Conversion Factors'!$B$34</f>
        <v>2725204844461027.5</v>
      </c>
      <c r="AQ9" s="31">
        <f>AQ7*'Conversion Factors'!$B$34</f>
        <v>2817371387933999.5</v>
      </c>
    </row>
    <row r="10" spans="1:43" x14ac:dyDescent="0.35">
      <c r="A10" s="53" t="s">
        <v>355</v>
      </c>
      <c r="I10" t="s">
        <v>370</v>
      </c>
      <c r="J10">
        <f>J8*'Conversion Factors'!$B$79</f>
        <v>254304463816666.19</v>
      </c>
      <c r="K10">
        <f>K8*'Conversion Factors'!$B$79</f>
        <v>283184951300419.25</v>
      </c>
      <c r="L10">
        <f>L8*'Conversion Factors'!$B$79</f>
        <v>313548011857495.13</v>
      </c>
      <c r="M10">
        <f>M8*'Conversion Factors'!$B$79</f>
        <v>345393645487915</v>
      </c>
      <c r="N10">
        <f>N8*'Conversion Factors'!$B$79</f>
        <v>378721852191668.56</v>
      </c>
      <c r="O10">
        <f>O8*'Conversion Factors'!$B$79</f>
        <v>413532631968749.94</v>
      </c>
      <c r="P10">
        <f>P8*'Conversion Factors'!$B$79</f>
        <v>434381315812501.44</v>
      </c>
      <c r="Q10">
        <f>Q8*'Conversion Factors'!$B$79</f>
        <v>455229999656246.25</v>
      </c>
      <c r="R10">
        <f>R8*'Conversion Factors'!$B$79</f>
        <v>476078683499997.75</v>
      </c>
      <c r="S10">
        <f>S8*'Conversion Factors'!$B$79</f>
        <v>496927367343749.13</v>
      </c>
      <c r="T10">
        <f>T8*'Conversion Factors'!$B$79</f>
        <v>517776051187500.63</v>
      </c>
      <c r="U10">
        <f>U8*'Conversion Factors'!$B$79</f>
        <v>538624735031245.44</v>
      </c>
      <c r="V10">
        <f>V8*'Conversion Factors'!$B$79</f>
        <v>559473418874996.94</v>
      </c>
      <c r="W10">
        <f>W8*'Conversion Factors'!$B$79</f>
        <v>580322102718748.5</v>
      </c>
      <c r="X10">
        <f>X8*'Conversion Factors'!$B$79</f>
        <v>601170786562499.88</v>
      </c>
      <c r="Y10">
        <f>Y8*'Conversion Factors'!$B$79</f>
        <v>653138022019736</v>
      </c>
      <c r="Z10">
        <f>Z8*'Conversion Factors'!$B$79</f>
        <v>705105257476972.25</v>
      </c>
      <c r="AA10">
        <f>AA8*'Conversion Factors'!$B$79</f>
        <v>757072492934208.38</v>
      </c>
      <c r="AB10">
        <f>AB8*'Conversion Factors'!$B$79</f>
        <v>809039728391444.5</v>
      </c>
      <c r="AC10">
        <f>AC8*'Conversion Factors'!$B$79</f>
        <v>861006963848680.63</v>
      </c>
      <c r="AD10">
        <f>AD8*'Conversion Factors'!$B$79</f>
        <v>912974199305916.75</v>
      </c>
      <c r="AE10">
        <f>AE8*'Conversion Factors'!$B$79</f>
        <v>964941434763152.88</v>
      </c>
      <c r="AF10">
        <f>AF8*'Conversion Factors'!$B$79</f>
        <v>1016908670220402.3</v>
      </c>
      <c r="AG10">
        <f>AG8*'Conversion Factors'!$B$79</f>
        <v>1068875905677638.5</v>
      </c>
      <c r="AH10">
        <f>AH8*'Conversion Factors'!$B$79</f>
        <v>1120843141134874.6</v>
      </c>
      <c r="AI10">
        <f>AI8*'Conversion Factors'!$B$79</f>
        <v>1172810376592110.5</v>
      </c>
      <c r="AJ10">
        <f>AJ8*'Conversion Factors'!$B$79</f>
        <v>1224777612049346.8</v>
      </c>
      <c r="AK10">
        <f>AK8*'Conversion Factors'!$B$79</f>
        <v>1276744847506583</v>
      </c>
      <c r="AL10">
        <f>AL8*'Conversion Factors'!$B$79</f>
        <v>1328712082963819</v>
      </c>
      <c r="AM10">
        <f>AM8*'Conversion Factors'!$B$79</f>
        <v>1380679318421055</v>
      </c>
      <c r="AN10">
        <f>AN8*'Conversion Factors'!$B$79</f>
        <v>1432646553878291.5</v>
      </c>
      <c r="AO10">
        <f>AO8*'Conversion Factors'!$B$79</f>
        <v>1484613789335527.5</v>
      </c>
      <c r="AP10">
        <f>AP8*'Conversion Factors'!$B$79</f>
        <v>1536581024792763.8</v>
      </c>
      <c r="AQ10">
        <f>AQ8*'Conversion Factors'!$B$79</f>
        <v>1588548260249999.8</v>
      </c>
    </row>
    <row r="11" spans="1:43" ht="26.5" x14ac:dyDescent="0.35">
      <c r="A11" s="53" t="s">
        <v>358</v>
      </c>
      <c r="I11" s="77" t="s">
        <v>371</v>
      </c>
      <c r="J11">
        <f>(J9*J5+J10*J6)/J4</f>
        <v>292325783696246.81</v>
      </c>
      <c r="K11">
        <f t="shared" ref="K11:AQ11" si="10">(K9*K5+K10*K6)/K4</f>
        <v>325524222333581</v>
      </c>
      <c r="L11">
        <f t="shared" si="10"/>
        <v>360426895057260.06</v>
      </c>
      <c r="M11">
        <f t="shared" si="10"/>
        <v>397033801867308.63</v>
      </c>
      <c r="N11">
        <f t="shared" si="10"/>
        <v>435344942763714.56</v>
      </c>
      <c r="O11">
        <f t="shared" si="10"/>
        <v>475360317746471.19</v>
      </c>
      <c r="P11">
        <f t="shared" si="10"/>
        <v>499326109585869.19</v>
      </c>
      <c r="Q11">
        <f t="shared" si="10"/>
        <v>523291901425259.5</v>
      </c>
      <c r="R11">
        <f t="shared" si="10"/>
        <v>547257693264657.31</v>
      </c>
      <c r="S11">
        <f t="shared" si="10"/>
        <v>571223485104055.38</v>
      </c>
      <c r="T11">
        <f t="shared" si="10"/>
        <v>595189276943453.25</v>
      </c>
      <c r="U11">
        <f t="shared" si="10"/>
        <v>619155068782843.5</v>
      </c>
      <c r="V11">
        <f t="shared" si="10"/>
        <v>643120860622241.63</v>
      </c>
      <c r="W11">
        <f t="shared" si="10"/>
        <v>667086652461639.5</v>
      </c>
      <c r="X11">
        <f t="shared" si="10"/>
        <v>691052444301037.5</v>
      </c>
      <c r="Y11">
        <f t="shared" si="10"/>
        <v>750789354159276.13</v>
      </c>
      <c r="Z11">
        <f t="shared" si="10"/>
        <v>810526264017515</v>
      </c>
      <c r="AA11">
        <f t="shared" si="10"/>
        <v>870263173875753.75</v>
      </c>
      <c r="AB11">
        <f t="shared" si="10"/>
        <v>930000083733992.63</v>
      </c>
      <c r="AC11">
        <f t="shared" si="10"/>
        <v>989736993592231.38</v>
      </c>
      <c r="AD11">
        <f t="shared" si="10"/>
        <v>1049473903450470.3</v>
      </c>
      <c r="AE11">
        <f t="shared" si="10"/>
        <v>1109210813308708.9</v>
      </c>
      <c r="AF11">
        <f t="shared" si="10"/>
        <v>1168947723166963</v>
      </c>
      <c r="AG11">
        <f t="shared" si="10"/>
        <v>1228684633025201.8</v>
      </c>
      <c r="AH11">
        <f t="shared" si="10"/>
        <v>1288421542883440.8</v>
      </c>
      <c r="AI11">
        <f t="shared" si="10"/>
        <v>1348158452741679.5</v>
      </c>
      <c r="AJ11">
        <f t="shared" si="10"/>
        <v>1407895362599918.3</v>
      </c>
      <c r="AK11">
        <f t="shared" si="10"/>
        <v>1467632272458157</v>
      </c>
      <c r="AL11">
        <f t="shared" si="10"/>
        <v>1527369182316395.8</v>
      </c>
      <c r="AM11">
        <f t="shared" si="10"/>
        <v>1587106092174634.5</v>
      </c>
      <c r="AN11">
        <f t="shared" si="10"/>
        <v>1646843002032873.3</v>
      </c>
      <c r="AO11">
        <f t="shared" si="10"/>
        <v>1706579911891112.3</v>
      </c>
      <c r="AP11">
        <f t="shared" si="10"/>
        <v>1766316821749351.3</v>
      </c>
      <c r="AQ11">
        <f t="shared" si="10"/>
        <v>1826053731607589.5</v>
      </c>
    </row>
    <row r="12" spans="1:43" x14ac:dyDescent="0.35">
      <c r="A12" s="53" t="s">
        <v>412</v>
      </c>
      <c r="I12" s="76"/>
    </row>
    <row r="13" spans="1:43" x14ac:dyDescent="0.35">
      <c r="A13" s="53" t="s">
        <v>413</v>
      </c>
      <c r="I13" s="76"/>
    </row>
    <row r="14" spans="1:43" ht="14.25" customHeight="1" x14ac:dyDescent="0.35">
      <c r="K14" s="53"/>
    </row>
    <row r="15" spans="1:43" x14ac:dyDescent="0.35">
      <c r="K15" s="53"/>
    </row>
    <row r="28" spans="1:10" x14ac:dyDescent="0.35">
      <c r="A28" s="53"/>
      <c r="J28" s="53" t="s">
        <v>355</v>
      </c>
    </row>
    <row r="29" spans="1:10" x14ac:dyDescent="0.35">
      <c r="A29" s="53" t="s">
        <v>355</v>
      </c>
      <c r="J29" s="53" t="s">
        <v>410</v>
      </c>
    </row>
    <row r="30" spans="1:10" x14ac:dyDescent="0.35">
      <c r="A30" s="53" t="s">
        <v>354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7"/>
  <sheetViews>
    <sheetView workbookViewId="0">
      <selection activeCell="R1" sqref="R1"/>
    </sheetView>
  </sheetViews>
  <sheetFormatPr defaultRowHeight="14.5" x14ac:dyDescent="0.35"/>
  <cols>
    <col min="1" max="1" width="20.26953125" customWidth="1"/>
    <col min="2" max="2" width="10" bestFit="1" customWidth="1"/>
    <col min="9" max="9" width="20" customWidth="1"/>
    <col min="10" max="10" width="10.26953125" customWidth="1"/>
  </cols>
  <sheetData>
    <row r="1" spans="1:35" x14ac:dyDescent="0.35">
      <c r="A1" t="s">
        <v>429</v>
      </c>
      <c r="J1" s="58" t="s">
        <v>419</v>
      </c>
      <c r="K1" s="58" t="s">
        <v>345</v>
      </c>
      <c r="L1" s="58" t="s">
        <v>346</v>
      </c>
      <c r="M1" s="58" t="s">
        <v>347</v>
      </c>
      <c r="N1" s="58" t="s">
        <v>348</v>
      </c>
      <c r="O1" s="58" t="s">
        <v>349</v>
      </c>
      <c r="P1" s="58" t="s">
        <v>350</v>
      </c>
      <c r="Q1" s="58" t="s">
        <v>351</v>
      </c>
      <c r="R1" s="79" t="s">
        <v>352</v>
      </c>
    </row>
    <row r="2" spans="1:35" ht="29" x14ac:dyDescent="0.35">
      <c r="B2">
        <v>2011</v>
      </c>
      <c r="C2">
        <v>2021</v>
      </c>
      <c r="D2">
        <v>2031</v>
      </c>
      <c r="I2" s="78" t="s">
        <v>422</v>
      </c>
      <c r="J2" s="59">
        <v>132.70400000000004</v>
      </c>
      <c r="K2" s="59">
        <v>145.91863243569929</v>
      </c>
      <c r="L2" s="59">
        <v>159.44434325608603</v>
      </c>
      <c r="M2" s="59">
        <v>173.28686286516518</v>
      </c>
      <c r="N2" s="59">
        <v>187.45201655063988</v>
      </c>
      <c r="O2" s="59">
        <v>201.94572596351961</v>
      </c>
      <c r="P2" s="59">
        <v>216.77401061992975</v>
      </c>
      <c r="Q2" s="59">
        <v>231.942989425446</v>
      </c>
    </row>
    <row r="3" spans="1:35" x14ac:dyDescent="0.35">
      <c r="A3" t="s">
        <v>428</v>
      </c>
      <c r="B3" s="1">
        <f>SUM(B4:B5)</f>
        <v>227</v>
      </c>
      <c r="C3" s="1">
        <f>SUM(C4:C5)</f>
        <v>244.8</v>
      </c>
      <c r="D3" s="1">
        <f>SUM(D4:D5)</f>
        <v>261.2</v>
      </c>
      <c r="I3" t="s">
        <v>420</v>
      </c>
      <c r="K3" s="43">
        <f>(K2-J2)/J2</f>
        <v>9.9579759733687406E-2</v>
      </c>
      <c r="L3" s="43">
        <f t="shared" ref="L3:Q3" si="0">(L2-K2)/K2</f>
        <v>9.2693514149723086E-2</v>
      </c>
      <c r="M3" s="43">
        <f t="shared" si="0"/>
        <v>8.6817251251406657E-2</v>
      </c>
      <c r="N3" s="43">
        <f t="shared" si="0"/>
        <v>8.1743955954102748E-2</v>
      </c>
      <c r="O3" s="43">
        <f t="shared" si="0"/>
        <v>7.7319570520407124E-2</v>
      </c>
      <c r="P3" s="43">
        <f t="shared" si="0"/>
        <v>7.342707841753876E-2</v>
      </c>
      <c r="Q3" s="43">
        <f t="shared" si="0"/>
        <v>6.9976002944891966E-2</v>
      </c>
    </row>
    <row r="4" spans="1:35" x14ac:dyDescent="0.35">
      <c r="B4">
        <v>123</v>
      </c>
      <c r="C4">
        <v>140.80000000000001</v>
      </c>
      <c r="D4">
        <v>157.19999999999999</v>
      </c>
      <c r="E4" t="s">
        <v>431</v>
      </c>
      <c r="I4" t="s">
        <v>421</v>
      </c>
      <c r="K4" s="43">
        <f>K3/5</f>
        <v>1.9915951946737481E-2</v>
      </c>
      <c r="L4" s="43">
        <f t="shared" ref="L4:Q4" si="1">L3/5</f>
        <v>1.8538702829944617E-2</v>
      </c>
      <c r="M4" s="43">
        <f t="shared" si="1"/>
        <v>1.7363450250281333E-2</v>
      </c>
      <c r="N4" s="43">
        <f t="shared" si="1"/>
        <v>1.6348791190820548E-2</v>
      </c>
      <c r="O4" s="43">
        <f t="shared" si="1"/>
        <v>1.5463914104081425E-2</v>
      </c>
      <c r="P4" s="43">
        <f t="shared" si="1"/>
        <v>1.4685415683507752E-2</v>
      </c>
      <c r="Q4" s="43">
        <f t="shared" si="1"/>
        <v>1.3995200588978393E-2</v>
      </c>
    </row>
    <row r="5" spans="1:35" x14ac:dyDescent="0.35">
      <c r="B5">
        <v>104</v>
      </c>
      <c r="C5">
        <v>104</v>
      </c>
      <c r="D5">
        <v>104</v>
      </c>
      <c r="E5" t="s">
        <v>432</v>
      </c>
      <c r="I5" s="53" t="s">
        <v>353</v>
      </c>
    </row>
    <row r="6" spans="1:35" x14ac:dyDescent="0.35">
      <c r="A6" s="60" t="s">
        <v>415</v>
      </c>
      <c r="I6" s="53" t="s">
        <v>423</v>
      </c>
    </row>
    <row r="7" spans="1:35" x14ac:dyDescent="0.35">
      <c r="A7" s="60" t="s">
        <v>417</v>
      </c>
    </row>
    <row r="8" spans="1:35" x14ac:dyDescent="0.35">
      <c r="A8" s="60" t="s">
        <v>433</v>
      </c>
    </row>
    <row r="9" spans="1:35" x14ac:dyDescent="0.35">
      <c r="A9" s="60" t="s">
        <v>430</v>
      </c>
    </row>
    <row r="10" spans="1:35" x14ac:dyDescent="0.35">
      <c r="A10" s="53" t="s">
        <v>416</v>
      </c>
    </row>
    <row r="11" spans="1:35" x14ac:dyDescent="0.35">
      <c r="A11" s="53" t="s">
        <v>273</v>
      </c>
    </row>
    <row r="12" spans="1:35" x14ac:dyDescent="0.35">
      <c r="A12" s="53"/>
    </row>
    <row r="14" spans="1:35" x14ac:dyDescent="0.35">
      <c r="A14" t="s">
        <v>418</v>
      </c>
      <c r="B14">
        <v>2017</v>
      </c>
      <c r="C14">
        <f>B14+1</f>
        <v>2018</v>
      </c>
      <c r="D14">
        <f t="shared" ref="D14:AI14" si="2">C14+1</f>
        <v>2019</v>
      </c>
      <c r="E14">
        <f t="shared" si="2"/>
        <v>2020</v>
      </c>
      <c r="F14">
        <f t="shared" si="2"/>
        <v>2021</v>
      </c>
      <c r="G14">
        <f t="shared" si="2"/>
        <v>2022</v>
      </c>
      <c r="H14">
        <f t="shared" si="2"/>
        <v>2023</v>
      </c>
      <c r="I14">
        <f t="shared" si="2"/>
        <v>2024</v>
      </c>
      <c r="J14">
        <f t="shared" si="2"/>
        <v>2025</v>
      </c>
      <c r="K14">
        <f t="shared" si="2"/>
        <v>2026</v>
      </c>
      <c r="L14">
        <f t="shared" si="2"/>
        <v>2027</v>
      </c>
      <c r="M14">
        <f t="shared" si="2"/>
        <v>2028</v>
      </c>
      <c r="N14">
        <f t="shared" si="2"/>
        <v>2029</v>
      </c>
      <c r="O14">
        <f t="shared" si="2"/>
        <v>2030</v>
      </c>
      <c r="P14">
        <f t="shared" si="2"/>
        <v>2031</v>
      </c>
      <c r="Q14">
        <f t="shared" si="2"/>
        <v>2032</v>
      </c>
      <c r="R14">
        <f t="shared" si="2"/>
        <v>2033</v>
      </c>
      <c r="S14">
        <f t="shared" si="2"/>
        <v>2034</v>
      </c>
      <c r="T14">
        <f t="shared" si="2"/>
        <v>2035</v>
      </c>
      <c r="U14">
        <f t="shared" si="2"/>
        <v>2036</v>
      </c>
      <c r="V14">
        <f t="shared" si="2"/>
        <v>2037</v>
      </c>
      <c r="W14">
        <f t="shared" si="2"/>
        <v>2038</v>
      </c>
      <c r="X14">
        <f t="shared" si="2"/>
        <v>2039</v>
      </c>
      <c r="Y14">
        <f t="shared" si="2"/>
        <v>2040</v>
      </c>
      <c r="Z14">
        <f t="shared" si="2"/>
        <v>2041</v>
      </c>
      <c r="AA14">
        <f t="shared" si="2"/>
        <v>2042</v>
      </c>
      <c r="AB14">
        <f t="shared" si="2"/>
        <v>2043</v>
      </c>
      <c r="AC14">
        <f t="shared" si="2"/>
        <v>2044</v>
      </c>
      <c r="AD14">
        <f t="shared" si="2"/>
        <v>2045</v>
      </c>
      <c r="AE14">
        <f t="shared" si="2"/>
        <v>2046</v>
      </c>
      <c r="AF14">
        <f t="shared" si="2"/>
        <v>2047</v>
      </c>
      <c r="AG14">
        <f t="shared" si="2"/>
        <v>2048</v>
      </c>
      <c r="AH14">
        <f t="shared" si="2"/>
        <v>2049</v>
      </c>
      <c r="AI14">
        <f t="shared" si="2"/>
        <v>2050</v>
      </c>
    </row>
    <row r="15" spans="1:35" x14ac:dyDescent="0.35">
      <c r="A15" t="s">
        <v>231</v>
      </c>
      <c r="B15" s="17">
        <f>FORECAST(B14,B3:C3,B2:C2)</f>
        <v>237.68000000000029</v>
      </c>
      <c r="C15" s="17">
        <f>B15*(1+$L$4)</f>
        <v>242.08627888862154</v>
      </c>
      <c r="D15" s="17">
        <f t="shared" ref="D15:G15" si="3">C15*(1+$L$4)</f>
        <v>246.57424447214478</v>
      </c>
      <c r="E15" s="17">
        <f t="shared" si="3"/>
        <v>251.14541111593201</v>
      </c>
      <c r="F15" s="17">
        <f t="shared" si="3"/>
        <v>255.80132125971454</v>
      </c>
      <c r="G15" s="17">
        <f t="shared" si="3"/>
        <v>260.54354593805556</v>
      </c>
      <c r="H15" s="17">
        <f>G15*(1+$M$4)</f>
        <v>265.06748083598285</v>
      </c>
      <c r="I15" s="17">
        <f t="shared" ref="I15:L15" si="4">H15*(1+$M$4)</f>
        <v>269.66996685244584</v>
      </c>
      <c r="J15" s="17">
        <f t="shared" si="4"/>
        <v>274.35236790588328</v>
      </c>
      <c r="K15" s="17">
        <f t="shared" si="4"/>
        <v>279.11607159706398</v>
      </c>
      <c r="L15" s="17">
        <f t="shared" si="4"/>
        <v>283.96248962029352</v>
      </c>
      <c r="M15" s="17">
        <f>L15*(1+$N$4)</f>
        <v>288.60493306912122</v>
      </c>
      <c r="N15" s="17">
        <f t="shared" ref="N15:Q15" si="5">M15*(1+$N$4)</f>
        <v>293.32327485650899</v>
      </c>
      <c r="O15" s="17">
        <f t="shared" si="5"/>
        <v>298.11875582854566</v>
      </c>
      <c r="P15" s="17">
        <f t="shared" si="5"/>
        <v>302.99263711765371</v>
      </c>
      <c r="Q15" s="17">
        <f t="shared" si="5"/>
        <v>307.94620047424627</v>
      </c>
      <c r="R15" s="17">
        <f>Q15*(1+$O$4)</f>
        <v>312.70825406705819</v>
      </c>
      <c r="S15" s="17">
        <f t="shared" ref="S15:V15" si="6">R15*(1+$O$4)</f>
        <v>317.54394764758842</v>
      </c>
      <c r="T15" s="17">
        <f t="shared" si="6"/>
        <v>322.45441997828163</v>
      </c>
      <c r="U15" s="17">
        <f t="shared" si="6"/>
        <v>327.44082743130713</v>
      </c>
      <c r="V15" s="17">
        <f t="shared" si="6"/>
        <v>332.50434426087418</v>
      </c>
      <c r="W15" s="17">
        <f>V15*(1+$P$4)</f>
        <v>337.38730877291727</v>
      </c>
      <c r="X15" s="17">
        <f t="shared" ref="X15:AA15" si="7">W15*(1+$P$4)</f>
        <v>342.34198164858753</v>
      </c>
      <c r="Y15" s="17">
        <f t="shared" si="7"/>
        <v>347.36941595501281</v>
      </c>
      <c r="Z15" s="17">
        <f t="shared" si="7"/>
        <v>352.47068022404943</v>
      </c>
      <c r="AA15" s="17">
        <f t="shared" si="7"/>
        <v>357.64685867938829</v>
      </c>
      <c r="AB15" s="17">
        <f>AA15*(1+$Q$4)</f>
        <v>362.65219820662429</v>
      </c>
      <c r="AC15" s="17">
        <f t="shared" ref="AC15:AF15" si="8">AB15*(1+$Q$4)</f>
        <v>367.72758846455991</v>
      </c>
      <c r="AD15" s="17">
        <f t="shared" si="8"/>
        <v>372.87400982722266</v>
      </c>
      <c r="AE15" s="17">
        <f t="shared" si="8"/>
        <v>378.09245638917133</v>
      </c>
      <c r="AF15" s="17">
        <f t="shared" si="8"/>
        <v>383.38393615751733</v>
      </c>
      <c r="AG15" s="17">
        <f>AF15</f>
        <v>383.38393615751733</v>
      </c>
      <c r="AH15" s="17">
        <f t="shared" ref="AH15:AI15" si="9">AG15</f>
        <v>383.38393615751733</v>
      </c>
      <c r="AI15" s="17">
        <f t="shared" si="9"/>
        <v>383.38393615751733</v>
      </c>
    </row>
    <row r="16" spans="1:35" x14ac:dyDescent="0.35">
      <c r="A16" t="s">
        <v>267</v>
      </c>
      <c r="B16">
        <f>B15*10^6</f>
        <v>237680000.0000003</v>
      </c>
      <c r="C16">
        <f t="shared" ref="C16:AI16" si="10">C15*10^6</f>
        <v>242086278.88862154</v>
      </c>
      <c r="D16">
        <f t="shared" si="10"/>
        <v>246574244.47214478</v>
      </c>
      <c r="E16">
        <f t="shared" si="10"/>
        <v>251145411.11593202</v>
      </c>
      <c r="F16">
        <f t="shared" si="10"/>
        <v>255801321.25971454</v>
      </c>
      <c r="G16">
        <f t="shared" si="10"/>
        <v>260543545.93805555</v>
      </c>
      <c r="H16">
        <f t="shared" si="10"/>
        <v>265067480.83598286</v>
      </c>
      <c r="I16">
        <f t="shared" si="10"/>
        <v>269669966.85244584</v>
      </c>
      <c r="J16">
        <f t="shared" si="10"/>
        <v>274352367.90588331</v>
      </c>
      <c r="K16">
        <f t="shared" si="10"/>
        <v>279116071.59706396</v>
      </c>
      <c r="L16">
        <f t="shared" si="10"/>
        <v>283962489.6202935</v>
      </c>
      <c r="M16">
        <f t="shared" si="10"/>
        <v>288604933.06912124</v>
      </c>
      <c r="N16">
        <f t="shared" si="10"/>
        <v>293323274.85650897</v>
      </c>
      <c r="O16">
        <f t="shared" si="10"/>
        <v>298118755.82854563</v>
      </c>
      <c r="P16">
        <f t="shared" si="10"/>
        <v>302992637.11765373</v>
      </c>
      <c r="Q16">
        <f t="shared" si="10"/>
        <v>307946200.47424626</v>
      </c>
      <c r="R16">
        <f t="shared" si="10"/>
        <v>312708254.06705821</v>
      </c>
      <c r="S16">
        <f t="shared" si="10"/>
        <v>317543947.64758843</v>
      </c>
      <c r="T16">
        <f t="shared" si="10"/>
        <v>322454419.97828162</v>
      </c>
      <c r="U16">
        <f t="shared" si="10"/>
        <v>327440827.43130714</v>
      </c>
      <c r="V16">
        <f t="shared" si="10"/>
        <v>332504344.26087415</v>
      </c>
      <c r="W16">
        <f t="shared" si="10"/>
        <v>337387308.77291727</v>
      </c>
      <c r="X16">
        <f t="shared" si="10"/>
        <v>342341981.64858752</v>
      </c>
      <c r="Y16">
        <f t="shared" si="10"/>
        <v>347369415.9550128</v>
      </c>
      <c r="Z16">
        <f t="shared" si="10"/>
        <v>352470680.22404945</v>
      </c>
      <c r="AA16">
        <f t="shared" si="10"/>
        <v>357646858.67938828</v>
      </c>
      <c r="AB16">
        <f t="shared" si="10"/>
        <v>362652198.20662427</v>
      </c>
      <c r="AC16">
        <f t="shared" si="10"/>
        <v>367727588.46455991</v>
      </c>
      <c r="AD16">
        <f t="shared" si="10"/>
        <v>372874009.82722265</v>
      </c>
      <c r="AE16">
        <f t="shared" si="10"/>
        <v>378092456.3891713</v>
      </c>
      <c r="AF16">
        <f t="shared" si="10"/>
        <v>383383936.15751731</v>
      </c>
      <c r="AG16">
        <f t="shared" si="10"/>
        <v>383383936.15751731</v>
      </c>
      <c r="AH16">
        <f t="shared" si="10"/>
        <v>383383936.15751731</v>
      </c>
      <c r="AI16">
        <f t="shared" si="10"/>
        <v>383383936.15751731</v>
      </c>
    </row>
    <row r="17" spans="1:35" x14ac:dyDescent="0.35">
      <c r="A17" s="80" t="s">
        <v>169</v>
      </c>
      <c r="B17" s="31">
        <f>B16*'Conversion Factors'!$B$34</f>
        <v>3011480623692003.5</v>
      </c>
      <c r="C17" s="31">
        <f>C16*'Conversion Factors'!$B$34</f>
        <v>3067309568052765.5</v>
      </c>
      <c r="D17" s="31">
        <f>D16*'Conversion Factors'!$B$34</f>
        <v>3124173508622341.5</v>
      </c>
      <c r="E17" s="31">
        <f>E16*'Conversion Factors'!$B$34</f>
        <v>3182091632887877</v>
      </c>
      <c r="F17" s="31">
        <f>F16*'Conversion Factors'!$B$34</f>
        <v>3241083484047638.5</v>
      </c>
      <c r="G17" s="31">
        <f>G16*'Conversion Factors'!$B$34</f>
        <v>3301168967605438.5</v>
      </c>
      <c r="H17" s="31">
        <f>H16*'Conversion Factors'!$B$34</f>
        <v>3358488650742228.5</v>
      </c>
      <c r="I17" s="31">
        <f>I16*'Conversion Factors'!$B$34</f>
        <v>3416803601345525.5</v>
      </c>
      <c r="J17" s="31">
        <f>J16*'Conversion Factors'!$B$34</f>
        <v>3476131100692470.5</v>
      </c>
      <c r="K17" s="31">
        <f>K16*'Conversion Factors'!$B$34</f>
        <v>3536488730122799.5</v>
      </c>
      <c r="L17" s="31">
        <f>L16*'Conversion Factors'!$B$34</f>
        <v>3597894376248967</v>
      </c>
      <c r="M17" s="31">
        <f>M16*'Conversion Factors'!$B$34</f>
        <v>3656715600132889</v>
      </c>
      <c r="N17" s="31">
        <f>N16*'Conversion Factors'!$B$34</f>
        <v>3716498479923676.5</v>
      </c>
      <c r="O17" s="31">
        <f>O16*'Conversion Factors'!$B$34</f>
        <v>3777258737532950</v>
      </c>
      <c r="P17" s="31">
        <f>P16*'Conversion Factors'!$B$34</f>
        <v>3839012351906578.5</v>
      </c>
      <c r="Q17" s="31">
        <f>Q16*'Conversion Factors'!$B$34</f>
        <v>3901775563226879.5</v>
      </c>
      <c r="R17" s="31">
        <f>R16*'Conversion Factors'!$B$34</f>
        <v>3962112285390023.5</v>
      </c>
      <c r="S17" s="31">
        <f>S16*'Conversion Factors'!$B$34</f>
        <v>4023382049442020</v>
      </c>
      <c r="T17" s="31">
        <f>T16*'Conversion Factors'!$B$34</f>
        <v>4085599283862494</v>
      </c>
      <c r="U17" s="31">
        <f>U16*'Conversion Factors'!$B$34</f>
        <v>4148778640251839.5</v>
      </c>
      <c r="V17" s="31">
        <f>V16*'Conversion Factors'!$B$34</f>
        <v>4212934996781541</v>
      </c>
      <c r="W17" s="31">
        <f>W16*'Conversion Factors'!$B$34</f>
        <v>4274803698456875.5</v>
      </c>
      <c r="X17" s="31">
        <f>X16*'Conversion Factors'!$B$34</f>
        <v>4337580967734111</v>
      </c>
      <c r="Y17" s="31">
        <f>Y16*'Conversion Factors'!$B$34</f>
        <v>4401280147306158</v>
      </c>
      <c r="Z17" s="31">
        <f>Z16*'Conversion Factors'!$B$34</f>
        <v>4465914775808918.5</v>
      </c>
      <c r="AA17" s="31">
        <f>AA16*'Conversion Factors'!$B$34</f>
        <v>4531498590698791</v>
      </c>
      <c r="AB17" s="31">
        <f>AB16*'Conversion Factors'!$B$34</f>
        <v>4594917822444293</v>
      </c>
      <c r="AC17" s="31">
        <f>AC16*'Conversion Factors'!$B$34</f>
        <v>4659224619059272</v>
      </c>
      <c r="AD17" s="31">
        <f>AD16*'Conversion Factors'!$B$34</f>
        <v>4724431402192112</v>
      </c>
      <c r="AE17" s="31">
        <f>AE16*'Conversion Factors'!$B$34</f>
        <v>4790550767334659</v>
      </c>
      <c r="AF17" s="31">
        <f>AF16*'Conversion Factors'!$B$34</f>
        <v>4857595486255192</v>
      </c>
      <c r="AG17" s="31">
        <f>AG16*'Conversion Factors'!$B$34</f>
        <v>4857595486255192</v>
      </c>
      <c r="AH17" s="31">
        <f>AH16*'Conversion Factors'!$B$34</f>
        <v>4857595486255192</v>
      </c>
      <c r="AI17" s="31">
        <f>AI16*'Conversion Factors'!$B$34</f>
        <v>4857595486255192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2"/>
  <sheetViews>
    <sheetView workbookViewId="0">
      <selection activeCell="B11" sqref="B11"/>
    </sheetView>
  </sheetViews>
  <sheetFormatPr defaultRowHeight="14.5" x14ac:dyDescent="0.35"/>
  <cols>
    <col min="1" max="1" width="25.81640625" bestFit="1" customWidth="1"/>
    <col min="2" max="3" width="12" bestFit="1" customWidth="1"/>
    <col min="7" max="8" width="12" bestFit="1" customWidth="1"/>
    <col min="12" max="13" width="12" bestFit="1" customWidth="1"/>
    <col min="17" max="18" width="12" bestFit="1" customWidth="1"/>
    <col min="22" max="23" width="12" bestFit="1" customWidth="1"/>
    <col min="27" max="27" width="12.36328125" customWidth="1"/>
    <col min="28" max="28" width="12" bestFit="1" customWidth="1"/>
    <col min="32" max="33" width="12" bestFit="1" customWidth="1"/>
  </cols>
  <sheetData>
    <row r="1" spans="1:35" ht="29" x14ac:dyDescent="0.35">
      <c r="A1" s="61" t="s">
        <v>482</v>
      </c>
      <c r="B1">
        <v>2017</v>
      </c>
      <c r="C1">
        <v>2022</v>
      </c>
      <c r="D1">
        <v>2027</v>
      </c>
      <c r="E1">
        <v>2032</v>
      </c>
      <c r="F1">
        <v>2037</v>
      </c>
      <c r="G1">
        <v>2042</v>
      </c>
      <c r="H1">
        <v>2047</v>
      </c>
    </row>
    <row r="2" spans="1:35" x14ac:dyDescent="0.35">
      <c r="A2" s="87" t="s">
        <v>479</v>
      </c>
      <c r="B2">
        <v>354</v>
      </c>
      <c r="C2">
        <v>354</v>
      </c>
      <c r="D2">
        <v>354</v>
      </c>
      <c r="E2">
        <v>354</v>
      </c>
      <c r="F2">
        <v>354</v>
      </c>
      <c r="G2">
        <v>354</v>
      </c>
      <c r="H2">
        <v>354</v>
      </c>
    </row>
    <row r="3" spans="1:35" x14ac:dyDescent="0.35">
      <c r="A3" s="87" t="s">
        <v>480</v>
      </c>
      <c r="B3" s="88">
        <v>694.06576512000015</v>
      </c>
      <c r="C3" s="88">
        <v>943.47178944000007</v>
      </c>
      <c r="D3" s="88">
        <v>1139.6338310400001</v>
      </c>
      <c r="E3" s="88">
        <v>1405.8537446400001</v>
      </c>
      <c r="F3" s="88">
        <v>1442.2838380799999</v>
      </c>
      <c r="G3" s="88">
        <v>1644.0505094400003</v>
      </c>
      <c r="H3" s="88">
        <v>1644.0505094400003</v>
      </c>
    </row>
    <row r="5" spans="1:35" x14ac:dyDescent="0.35">
      <c r="A5" t="s">
        <v>488</v>
      </c>
      <c r="B5">
        <f>B2*'Conversion Factors'!$B$92</f>
        <v>140502600000000</v>
      </c>
      <c r="C5">
        <f>C2*'Conversion Factors'!$B$92</f>
        <v>140502600000000</v>
      </c>
      <c r="D5">
        <f>D2*'Conversion Factors'!$B$92</f>
        <v>140502600000000</v>
      </c>
      <c r="E5">
        <f>E2*'Conversion Factors'!$B$92</f>
        <v>140502600000000</v>
      </c>
      <c r="F5">
        <f>F2*'Conversion Factors'!$B$92</f>
        <v>140502600000000</v>
      </c>
      <c r="G5">
        <f>G2*'Conversion Factors'!$B$92</f>
        <v>140502600000000</v>
      </c>
      <c r="H5">
        <f>H2*'Conversion Factors'!$B$92</f>
        <v>140502600000000</v>
      </c>
    </row>
    <row r="6" spans="1:35" x14ac:dyDescent="0.35">
      <c r="A6" t="s">
        <v>489</v>
      </c>
      <c r="B6">
        <f>B3*'Conversion Factors'!$B$92</f>
        <v>275474702176128.06</v>
      </c>
      <c r="C6">
        <f>C3*'Conversion Factors'!$B$92</f>
        <v>374463953228736</v>
      </c>
      <c r="D6">
        <f>D3*'Conversion Factors'!$B$92</f>
        <v>452320667539776.06</v>
      </c>
      <c r="E6">
        <f>E3*'Conversion Factors'!$B$92</f>
        <v>557983351247616</v>
      </c>
      <c r="F6">
        <f>F3*'Conversion Factors'!$B$92</f>
        <v>572442455333952</v>
      </c>
      <c r="G6">
        <f>G3*'Conversion Factors'!$B$92</f>
        <v>652523647196736.13</v>
      </c>
      <c r="H6">
        <f>H3*'Conversion Factors'!$B$92</f>
        <v>652523647196736.13</v>
      </c>
    </row>
    <row r="7" spans="1:35" x14ac:dyDescent="0.35">
      <c r="A7" s="53" t="s">
        <v>353</v>
      </c>
    </row>
    <row r="8" spans="1:35" x14ac:dyDescent="0.35">
      <c r="A8" s="53" t="s">
        <v>481</v>
      </c>
    </row>
    <row r="10" spans="1:35" x14ac:dyDescent="0.35">
      <c r="A10" t="s">
        <v>449</v>
      </c>
      <c r="B10" s="85">
        <v>2017</v>
      </c>
      <c r="C10">
        <f>B10+1</f>
        <v>2018</v>
      </c>
      <c r="D10">
        <f t="shared" ref="D10:AI10" si="0">C10+1</f>
        <v>2019</v>
      </c>
      <c r="E10">
        <f t="shared" si="0"/>
        <v>2020</v>
      </c>
      <c r="F10">
        <f t="shared" si="0"/>
        <v>2021</v>
      </c>
      <c r="G10" s="85">
        <f t="shared" si="0"/>
        <v>2022</v>
      </c>
      <c r="H10">
        <f t="shared" si="0"/>
        <v>2023</v>
      </c>
      <c r="I10">
        <f t="shared" si="0"/>
        <v>2024</v>
      </c>
      <c r="J10">
        <f t="shared" si="0"/>
        <v>2025</v>
      </c>
      <c r="K10">
        <f t="shared" si="0"/>
        <v>2026</v>
      </c>
      <c r="L10" s="85">
        <f t="shared" si="0"/>
        <v>2027</v>
      </c>
      <c r="M10">
        <f t="shared" si="0"/>
        <v>2028</v>
      </c>
      <c r="N10">
        <f t="shared" si="0"/>
        <v>2029</v>
      </c>
      <c r="O10">
        <f t="shared" si="0"/>
        <v>2030</v>
      </c>
      <c r="P10">
        <f t="shared" si="0"/>
        <v>2031</v>
      </c>
      <c r="Q10" s="85">
        <f t="shared" si="0"/>
        <v>2032</v>
      </c>
      <c r="R10">
        <f t="shared" si="0"/>
        <v>2033</v>
      </c>
      <c r="S10">
        <f t="shared" si="0"/>
        <v>2034</v>
      </c>
      <c r="T10">
        <f t="shared" si="0"/>
        <v>2035</v>
      </c>
      <c r="U10">
        <f t="shared" si="0"/>
        <v>2036</v>
      </c>
      <c r="V10" s="85">
        <f t="shared" si="0"/>
        <v>2037</v>
      </c>
      <c r="W10">
        <f t="shared" si="0"/>
        <v>2038</v>
      </c>
      <c r="X10">
        <f t="shared" si="0"/>
        <v>2039</v>
      </c>
      <c r="Y10">
        <f t="shared" si="0"/>
        <v>2040</v>
      </c>
      <c r="Z10">
        <f t="shared" si="0"/>
        <v>2041</v>
      </c>
      <c r="AA10" s="85">
        <f t="shared" si="0"/>
        <v>2042</v>
      </c>
      <c r="AB10">
        <f t="shared" si="0"/>
        <v>2043</v>
      </c>
      <c r="AC10">
        <f t="shared" si="0"/>
        <v>2044</v>
      </c>
      <c r="AD10">
        <f t="shared" si="0"/>
        <v>2045</v>
      </c>
      <c r="AE10">
        <f t="shared" si="0"/>
        <v>2046</v>
      </c>
      <c r="AF10" s="85">
        <f t="shared" si="0"/>
        <v>2047</v>
      </c>
      <c r="AG10">
        <f t="shared" si="0"/>
        <v>2048</v>
      </c>
      <c r="AH10">
        <f t="shared" si="0"/>
        <v>2049</v>
      </c>
      <c r="AI10">
        <f t="shared" si="0"/>
        <v>2050</v>
      </c>
    </row>
    <row r="11" spans="1:35" x14ac:dyDescent="0.35">
      <c r="A11" t="s">
        <v>452</v>
      </c>
      <c r="B11">
        <f>B5</f>
        <v>140502600000000</v>
      </c>
      <c r="C11">
        <f>B11</f>
        <v>140502600000000</v>
      </c>
      <c r="D11">
        <f t="shared" ref="D11:AI11" si="1">C11</f>
        <v>140502600000000</v>
      </c>
      <c r="E11">
        <f t="shared" si="1"/>
        <v>140502600000000</v>
      </c>
      <c r="F11">
        <f t="shared" si="1"/>
        <v>140502600000000</v>
      </c>
      <c r="G11">
        <f t="shared" si="1"/>
        <v>140502600000000</v>
      </c>
      <c r="H11">
        <f t="shared" si="1"/>
        <v>140502600000000</v>
      </c>
      <c r="I11">
        <f t="shared" si="1"/>
        <v>140502600000000</v>
      </c>
      <c r="J11">
        <f t="shared" si="1"/>
        <v>140502600000000</v>
      </c>
      <c r="K11">
        <f t="shared" si="1"/>
        <v>140502600000000</v>
      </c>
      <c r="L11">
        <f t="shared" si="1"/>
        <v>140502600000000</v>
      </c>
      <c r="M11">
        <f t="shared" si="1"/>
        <v>140502600000000</v>
      </c>
      <c r="N11">
        <f t="shared" si="1"/>
        <v>140502600000000</v>
      </c>
      <c r="O11">
        <f t="shared" si="1"/>
        <v>140502600000000</v>
      </c>
      <c r="P11">
        <f t="shared" si="1"/>
        <v>140502600000000</v>
      </c>
      <c r="Q11">
        <f t="shared" si="1"/>
        <v>140502600000000</v>
      </c>
      <c r="R11">
        <f t="shared" si="1"/>
        <v>140502600000000</v>
      </c>
      <c r="S11">
        <f t="shared" si="1"/>
        <v>140502600000000</v>
      </c>
      <c r="T11">
        <f t="shared" si="1"/>
        <v>140502600000000</v>
      </c>
      <c r="U11">
        <f t="shared" si="1"/>
        <v>140502600000000</v>
      </c>
      <c r="V11">
        <f t="shared" si="1"/>
        <v>140502600000000</v>
      </c>
      <c r="W11">
        <f t="shared" si="1"/>
        <v>140502600000000</v>
      </c>
      <c r="X11">
        <f t="shared" si="1"/>
        <v>140502600000000</v>
      </c>
      <c r="Y11">
        <f t="shared" si="1"/>
        <v>140502600000000</v>
      </c>
      <c r="Z11">
        <f t="shared" si="1"/>
        <v>140502600000000</v>
      </c>
      <c r="AA11">
        <f t="shared" si="1"/>
        <v>140502600000000</v>
      </c>
      <c r="AB11">
        <f t="shared" si="1"/>
        <v>140502600000000</v>
      </c>
      <c r="AC11">
        <f t="shared" si="1"/>
        <v>140502600000000</v>
      </c>
      <c r="AD11">
        <f t="shared" si="1"/>
        <v>140502600000000</v>
      </c>
      <c r="AE11">
        <f t="shared" si="1"/>
        <v>140502600000000</v>
      </c>
      <c r="AF11">
        <f t="shared" si="1"/>
        <v>140502600000000</v>
      </c>
      <c r="AG11">
        <f t="shared" si="1"/>
        <v>140502600000000</v>
      </c>
      <c r="AH11">
        <f t="shared" si="1"/>
        <v>140502600000000</v>
      </c>
      <c r="AI11">
        <f t="shared" si="1"/>
        <v>140502600000000</v>
      </c>
    </row>
    <row r="12" spans="1:35" x14ac:dyDescent="0.35">
      <c r="A12" t="s">
        <v>490</v>
      </c>
      <c r="B12">
        <f>B6</f>
        <v>275474702176128.06</v>
      </c>
      <c r="C12">
        <f>FORECAST(C10,$B$6:$C$6,$B$1:$C$1)</f>
        <v>295272552386648</v>
      </c>
      <c r="D12">
        <f t="shared" ref="D12:F12" si="2">FORECAST(D10,$B$6:$C$6,$B$1:$C$1)</f>
        <v>315070402597168</v>
      </c>
      <c r="E12">
        <f t="shared" si="2"/>
        <v>334868252807688</v>
      </c>
      <c r="F12">
        <f t="shared" si="2"/>
        <v>354666103018216</v>
      </c>
      <c r="G12">
        <f>C6</f>
        <v>374463953228736</v>
      </c>
      <c r="H12">
        <f>FORECAST(H10,$C$6:$D$6,$C$1:$D$1)</f>
        <v>390035296090944</v>
      </c>
      <c r="I12">
        <f t="shared" ref="I12:K12" si="3">FORECAST(I10,$C$6:$D$6,$C$1:$D$1)</f>
        <v>405606638953152</v>
      </c>
      <c r="J12">
        <f t="shared" si="3"/>
        <v>421177981815360</v>
      </c>
      <c r="K12">
        <f t="shared" si="3"/>
        <v>436749324677568</v>
      </c>
      <c r="L12">
        <f>D6</f>
        <v>452320667539776.06</v>
      </c>
      <c r="M12">
        <f>FORECAST(M10,$D$6:$E$6,$D$1:$E$1)</f>
        <v>473453204281344</v>
      </c>
      <c r="N12">
        <f t="shared" ref="N12:P12" si="4">FORECAST(N10,$D$6:$E$6,$D$1:$E$1)</f>
        <v>494585741022912</v>
      </c>
      <c r="O12">
        <f t="shared" si="4"/>
        <v>515718277764480</v>
      </c>
      <c r="P12">
        <f t="shared" si="4"/>
        <v>536850814506048</v>
      </c>
      <c r="Q12">
        <f>E6</f>
        <v>557983351247616</v>
      </c>
      <c r="R12">
        <f>FORECAST(R10,$E$6:$F$6,$E$1:$F$1)</f>
        <v>560875172064883</v>
      </c>
      <c r="S12">
        <f t="shared" ref="S12:U12" si="5">FORECAST(S10,$E$6:$F$6,$E$1:$F$1)</f>
        <v>563766992882150</v>
      </c>
      <c r="T12">
        <f t="shared" si="5"/>
        <v>566658813699417</v>
      </c>
      <c r="U12">
        <f t="shared" si="5"/>
        <v>569550634516685</v>
      </c>
      <c r="V12">
        <f>F6</f>
        <v>572442455333952</v>
      </c>
      <c r="W12">
        <f>FORECAST(W10,$F$6:$G$6,$F$1:$G$1)</f>
        <v>588458693706508</v>
      </c>
      <c r="X12">
        <f t="shared" ref="X12:Z12" si="6">FORECAST(X10,$F$6:$G$6,$F$1:$G$1)</f>
        <v>604474932079064</v>
      </c>
      <c r="Y12">
        <f t="shared" si="6"/>
        <v>620491170451620</v>
      </c>
      <c r="Z12">
        <f t="shared" si="6"/>
        <v>636507408824180</v>
      </c>
      <c r="AA12">
        <f>G6</f>
        <v>652523647196736.13</v>
      </c>
      <c r="AB12">
        <f>FORECAST(AB10,$G$6:$H$6,$G$1:$H$1)</f>
        <v>652523647196736.13</v>
      </c>
      <c r="AC12">
        <f t="shared" ref="AC12:AE12" si="7">FORECAST(AC10,$G$6:$H$6,$G$1:$H$1)</f>
        <v>652523647196736.13</v>
      </c>
      <c r="AD12">
        <f t="shared" si="7"/>
        <v>652523647196736.13</v>
      </c>
      <c r="AE12">
        <f t="shared" si="7"/>
        <v>652523647196736.13</v>
      </c>
      <c r="AF12">
        <f>H6</f>
        <v>652523647196736.13</v>
      </c>
      <c r="AG12">
        <f>AF12</f>
        <v>652523647196736.13</v>
      </c>
      <c r="AH12">
        <f t="shared" ref="AH12:AI12" si="8">AG12</f>
        <v>652523647196736.13</v>
      </c>
      <c r="AI12">
        <f t="shared" si="8"/>
        <v>652523647196736.13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85"/>
  <sheetViews>
    <sheetView workbookViewId="0">
      <pane xSplit="2" ySplit="1" topLeftCell="C59" activePane="bottomRight" state="frozen"/>
      <selection activeCell="B1" sqref="B1"/>
      <selection pane="topRight" activeCell="B1" sqref="B1"/>
      <selection pane="bottomLeft" activeCell="B1" sqref="B1"/>
      <selection pane="bottomRight" activeCell="F70" sqref="F70"/>
    </sheetView>
  </sheetViews>
  <sheetFormatPr defaultColWidth="9.08984375" defaultRowHeight="15" customHeight="1" x14ac:dyDescent="0.3"/>
  <cols>
    <col min="1" max="1" width="20.81640625" style="7" hidden="1" customWidth="1"/>
    <col min="2" max="2" width="45.7265625" style="7" customWidth="1"/>
    <col min="3" max="16384" width="9.08984375" style="7"/>
  </cols>
  <sheetData>
    <row r="1" spans="1:37" ht="15" customHeight="1" thickBot="1" x14ac:dyDescent="0.35">
      <c r="B1" s="18" t="s">
        <v>12</v>
      </c>
      <c r="C1" s="19">
        <v>2017</v>
      </c>
      <c r="D1" s="19">
        <v>2018</v>
      </c>
      <c r="E1" s="19">
        <v>2019</v>
      </c>
      <c r="F1" s="19">
        <v>2020</v>
      </c>
      <c r="G1" s="19">
        <v>2021</v>
      </c>
      <c r="H1" s="19">
        <v>2022</v>
      </c>
      <c r="I1" s="19">
        <v>2023</v>
      </c>
      <c r="J1" s="19">
        <v>2024</v>
      </c>
      <c r="K1" s="19">
        <v>2025</v>
      </c>
      <c r="L1" s="19">
        <v>2026</v>
      </c>
      <c r="M1" s="19">
        <v>2027</v>
      </c>
      <c r="N1" s="19">
        <v>2028</v>
      </c>
      <c r="O1" s="19">
        <v>2029</v>
      </c>
      <c r="P1" s="19">
        <v>2030</v>
      </c>
      <c r="Q1" s="19">
        <v>2031</v>
      </c>
      <c r="R1" s="19">
        <v>2032</v>
      </c>
      <c r="S1" s="19">
        <v>2033</v>
      </c>
      <c r="T1" s="19">
        <v>2034</v>
      </c>
      <c r="U1" s="19">
        <v>2035</v>
      </c>
      <c r="V1" s="19">
        <v>2036</v>
      </c>
      <c r="W1" s="19">
        <v>2037</v>
      </c>
      <c r="X1" s="19">
        <v>2038</v>
      </c>
      <c r="Y1" s="19">
        <v>2039</v>
      </c>
      <c r="Z1" s="19">
        <v>2040</v>
      </c>
      <c r="AA1" s="19">
        <v>2041</v>
      </c>
      <c r="AB1" s="19">
        <v>2042</v>
      </c>
      <c r="AC1" s="19">
        <v>2043</v>
      </c>
      <c r="AD1" s="19">
        <v>2044</v>
      </c>
      <c r="AE1" s="19">
        <v>2045</v>
      </c>
      <c r="AF1" s="19">
        <v>2046</v>
      </c>
      <c r="AG1" s="19">
        <v>2047</v>
      </c>
      <c r="AH1" s="19">
        <v>2048</v>
      </c>
      <c r="AI1" s="19">
        <v>2049</v>
      </c>
      <c r="AJ1" s="19">
        <v>2050</v>
      </c>
    </row>
    <row r="2" spans="1:37" ht="15" customHeight="1" thickTop="1" x14ac:dyDescent="0.3"/>
    <row r="3" spans="1:37" ht="15" customHeight="1" x14ac:dyDescent="0.3">
      <c r="C3" s="8" t="s">
        <v>13</v>
      </c>
      <c r="D3" s="8" t="s">
        <v>1</v>
      </c>
      <c r="E3" s="8"/>
      <c r="F3" s="8"/>
      <c r="G3" s="8"/>
    </row>
    <row r="4" spans="1:37" ht="15" customHeight="1" x14ac:dyDescent="0.3">
      <c r="C4" s="8" t="s">
        <v>14</v>
      </c>
      <c r="D4" s="8" t="s">
        <v>15</v>
      </c>
      <c r="E4" s="8"/>
      <c r="F4" s="8"/>
      <c r="G4" s="8" t="s">
        <v>16</v>
      </c>
    </row>
    <row r="5" spans="1:37" ht="15" customHeight="1" x14ac:dyDescent="0.3">
      <c r="C5" s="8" t="s">
        <v>17</v>
      </c>
      <c r="D5" s="8" t="s">
        <v>18</v>
      </c>
      <c r="E5" s="8"/>
      <c r="F5" s="8"/>
      <c r="G5" s="8"/>
    </row>
    <row r="6" spans="1:37" ht="15" customHeight="1" x14ac:dyDescent="0.3">
      <c r="C6" s="8" t="s">
        <v>19</v>
      </c>
      <c r="D6" s="8"/>
      <c r="E6" s="8" t="s">
        <v>20</v>
      </c>
      <c r="F6" s="8"/>
      <c r="G6" s="8"/>
    </row>
    <row r="10" spans="1:37" ht="15" customHeight="1" x14ac:dyDescent="0.35">
      <c r="A10" s="9" t="s">
        <v>50</v>
      </c>
      <c r="B10" s="20" t="s">
        <v>51</v>
      </c>
    </row>
    <row r="11" spans="1:37" ht="15" customHeight="1" x14ac:dyDescent="0.3">
      <c r="B11" s="18" t="s">
        <v>52</v>
      </c>
    </row>
    <row r="12" spans="1:37" ht="15" customHeight="1" x14ac:dyDescent="0.3">
      <c r="B12" s="18" t="s">
        <v>21</v>
      </c>
      <c r="C12" s="10" t="s">
        <v>21</v>
      </c>
      <c r="D12" s="10" t="s">
        <v>21</v>
      </c>
      <c r="E12" s="10" t="s">
        <v>21</v>
      </c>
      <c r="F12" s="10" t="s">
        <v>21</v>
      </c>
      <c r="G12" s="10" t="s">
        <v>21</v>
      </c>
      <c r="H12" s="10" t="s">
        <v>21</v>
      </c>
      <c r="I12" s="10" t="s">
        <v>21</v>
      </c>
      <c r="J12" s="10" t="s">
        <v>21</v>
      </c>
      <c r="K12" s="10" t="s">
        <v>21</v>
      </c>
      <c r="L12" s="10" t="s">
        <v>21</v>
      </c>
      <c r="M12" s="10" t="s">
        <v>21</v>
      </c>
      <c r="N12" s="10" t="s">
        <v>21</v>
      </c>
      <c r="O12" s="10" t="s">
        <v>21</v>
      </c>
      <c r="P12" s="10" t="s">
        <v>21</v>
      </c>
      <c r="Q12" s="10" t="s">
        <v>21</v>
      </c>
      <c r="R12" s="10" t="s">
        <v>21</v>
      </c>
      <c r="S12" s="10" t="s">
        <v>21</v>
      </c>
      <c r="T12" s="10" t="s">
        <v>21</v>
      </c>
      <c r="U12" s="10" t="s">
        <v>21</v>
      </c>
      <c r="V12" s="10" t="s">
        <v>21</v>
      </c>
      <c r="W12" s="10" t="s">
        <v>21</v>
      </c>
      <c r="X12" s="10" t="s">
        <v>21</v>
      </c>
      <c r="Y12" s="10" t="s">
        <v>21</v>
      </c>
      <c r="Z12" s="10" t="s">
        <v>21</v>
      </c>
      <c r="AA12" s="10" t="s">
        <v>21</v>
      </c>
      <c r="AB12" s="10" t="s">
        <v>21</v>
      </c>
      <c r="AC12" s="10" t="s">
        <v>21</v>
      </c>
      <c r="AD12" s="10" t="s">
        <v>21</v>
      </c>
      <c r="AE12" s="10" t="s">
        <v>21</v>
      </c>
      <c r="AF12" s="10" t="s">
        <v>21</v>
      </c>
      <c r="AG12" s="10" t="s">
        <v>21</v>
      </c>
      <c r="AH12" s="10" t="s">
        <v>21</v>
      </c>
      <c r="AI12" s="10" t="s">
        <v>21</v>
      </c>
      <c r="AJ12" s="10" t="s">
        <v>21</v>
      </c>
      <c r="AK12" s="10" t="s">
        <v>22</v>
      </c>
    </row>
    <row r="13" spans="1:37" ht="15" customHeight="1" thickBot="1" x14ac:dyDescent="0.35">
      <c r="B13" s="19" t="s">
        <v>21</v>
      </c>
      <c r="C13" s="19">
        <v>2017</v>
      </c>
      <c r="D13" s="19">
        <v>2018</v>
      </c>
      <c r="E13" s="19">
        <v>2019</v>
      </c>
      <c r="F13" s="19">
        <v>2020</v>
      </c>
      <c r="G13" s="19">
        <v>2021</v>
      </c>
      <c r="H13" s="19">
        <v>2022</v>
      </c>
      <c r="I13" s="19">
        <v>2023</v>
      </c>
      <c r="J13" s="19">
        <v>2024</v>
      </c>
      <c r="K13" s="19">
        <v>2025</v>
      </c>
      <c r="L13" s="19">
        <v>2026</v>
      </c>
      <c r="M13" s="19">
        <v>2027</v>
      </c>
      <c r="N13" s="19">
        <v>2028</v>
      </c>
      <c r="O13" s="19">
        <v>2029</v>
      </c>
      <c r="P13" s="19">
        <v>2030</v>
      </c>
      <c r="Q13" s="19">
        <v>2031</v>
      </c>
      <c r="R13" s="19">
        <v>2032</v>
      </c>
      <c r="S13" s="19">
        <v>2033</v>
      </c>
      <c r="T13" s="19">
        <v>2034</v>
      </c>
      <c r="U13" s="19">
        <v>2035</v>
      </c>
      <c r="V13" s="19">
        <v>2036</v>
      </c>
      <c r="W13" s="19">
        <v>2037</v>
      </c>
      <c r="X13" s="19">
        <v>2038</v>
      </c>
      <c r="Y13" s="19">
        <v>2039</v>
      </c>
      <c r="Z13" s="19">
        <v>2040</v>
      </c>
      <c r="AA13" s="19">
        <v>2041</v>
      </c>
      <c r="AB13" s="19">
        <v>2042</v>
      </c>
      <c r="AC13" s="19">
        <v>2043</v>
      </c>
      <c r="AD13" s="19">
        <v>2044</v>
      </c>
      <c r="AE13" s="19">
        <v>2045</v>
      </c>
      <c r="AF13" s="19">
        <v>2046</v>
      </c>
      <c r="AG13" s="19">
        <v>2047</v>
      </c>
      <c r="AH13" s="19">
        <v>2048</v>
      </c>
      <c r="AI13" s="19">
        <v>2049</v>
      </c>
      <c r="AJ13" s="19">
        <v>2050</v>
      </c>
      <c r="AK13" s="19">
        <v>2050</v>
      </c>
    </row>
    <row r="14" spans="1:37" ht="15" customHeight="1" thickTop="1" x14ac:dyDescent="0.3">
      <c r="B14" s="21" t="s">
        <v>53</v>
      </c>
    </row>
    <row r="15" spans="1:37" ht="15" customHeight="1" x14ac:dyDescent="0.3">
      <c r="B15" s="21" t="s">
        <v>54</v>
      </c>
    </row>
    <row r="16" spans="1:37" ht="15" customHeight="1" x14ac:dyDescent="0.35">
      <c r="A16" s="9" t="s">
        <v>55</v>
      </c>
      <c r="B16" s="22" t="s">
        <v>56</v>
      </c>
      <c r="C16" s="23">
        <v>6.6360000000000001</v>
      </c>
      <c r="D16" s="23">
        <v>6.6360000000000001</v>
      </c>
      <c r="E16" s="23">
        <v>6.6360000000000001</v>
      </c>
      <c r="F16" s="23">
        <v>6.6360000000000001</v>
      </c>
      <c r="G16" s="23">
        <v>6.6360000000000001</v>
      </c>
      <c r="H16" s="23">
        <v>6.6360000000000001</v>
      </c>
      <c r="I16" s="23">
        <v>6.6360000000000001</v>
      </c>
      <c r="J16" s="23">
        <v>6.6360000000000001</v>
      </c>
      <c r="K16" s="23">
        <v>6.6360000000000001</v>
      </c>
      <c r="L16" s="23">
        <v>6.6360000000000001</v>
      </c>
      <c r="M16" s="23">
        <v>6.6360000000000001</v>
      </c>
      <c r="N16" s="23">
        <v>6.6360000000000001</v>
      </c>
      <c r="O16" s="23">
        <v>6.6360000000000001</v>
      </c>
      <c r="P16" s="23">
        <v>6.6360000000000001</v>
      </c>
      <c r="Q16" s="23">
        <v>6.6360000000000001</v>
      </c>
      <c r="R16" s="23">
        <v>6.6360000000000001</v>
      </c>
      <c r="S16" s="23">
        <v>6.6360000000000001</v>
      </c>
      <c r="T16" s="23">
        <v>6.6360000000000001</v>
      </c>
      <c r="U16" s="23">
        <v>6.6360000000000001</v>
      </c>
      <c r="V16" s="23">
        <v>6.6360000000000001</v>
      </c>
      <c r="W16" s="23">
        <v>6.6360000000000001</v>
      </c>
      <c r="X16" s="23">
        <v>6.6360000000000001</v>
      </c>
      <c r="Y16" s="23">
        <v>6.6360000000000001</v>
      </c>
      <c r="Z16" s="23">
        <v>6.6360000000000001</v>
      </c>
      <c r="AA16" s="23">
        <v>6.6360000000000001</v>
      </c>
      <c r="AB16" s="23">
        <v>6.6360000000000001</v>
      </c>
      <c r="AC16" s="23">
        <v>6.6360000000000001</v>
      </c>
      <c r="AD16" s="23">
        <v>6.6360000000000001</v>
      </c>
      <c r="AE16" s="23">
        <v>6.6360000000000001</v>
      </c>
      <c r="AF16" s="23">
        <v>6.6360000000000001</v>
      </c>
      <c r="AG16" s="23">
        <v>6.6360000000000001</v>
      </c>
      <c r="AH16" s="23">
        <v>6.6360000000000001</v>
      </c>
      <c r="AI16" s="23">
        <v>6.6360000000000001</v>
      </c>
      <c r="AJ16" s="23">
        <v>6.6360000000000001</v>
      </c>
      <c r="AK16" s="24">
        <v>0</v>
      </c>
    </row>
    <row r="17" spans="1:37" ht="15" customHeight="1" x14ac:dyDescent="0.35">
      <c r="A17" s="9" t="s">
        <v>57</v>
      </c>
      <c r="B17" s="22" t="s">
        <v>58</v>
      </c>
      <c r="C17" s="23">
        <v>5.048</v>
      </c>
      <c r="D17" s="23">
        <v>5.048</v>
      </c>
      <c r="E17" s="23">
        <v>5.048</v>
      </c>
      <c r="F17" s="23">
        <v>5.048</v>
      </c>
      <c r="G17" s="23">
        <v>5.048</v>
      </c>
      <c r="H17" s="23">
        <v>5.048</v>
      </c>
      <c r="I17" s="23">
        <v>5.048</v>
      </c>
      <c r="J17" s="23">
        <v>5.048</v>
      </c>
      <c r="K17" s="23">
        <v>5.048</v>
      </c>
      <c r="L17" s="23">
        <v>5.048</v>
      </c>
      <c r="M17" s="23">
        <v>5.048</v>
      </c>
      <c r="N17" s="23">
        <v>5.048</v>
      </c>
      <c r="O17" s="23">
        <v>5.048</v>
      </c>
      <c r="P17" s="23">
        <v>5.048</v>
      </c>
      <c r="Q17" s="23">
        <v>5.048</v>
      </c>
      <c r="R17" s="23">
        <v>5.048</v>
      </c>
      <c r="S17" s="23">
        <v>5.048</v>
      </c>
      <c r="T17" s="23">
        <v>5.048</v>
      </c>
      <c r="U17" s="23">
        <v>5.048</v>
      </c>
      <c r="V17" s="23">
        <v>5.048</v>
      </c>
      <c r="W17" s="23">
        <v>5.048</v>
      </c>
      <c r="X17" s="23">
        <v>5.048</v>
      </c>
      <c r="Y17" s="23">
        <v>5.048</v>
      </c>
      <c r="Z17" s="23">
        <v>5.048</v>
      </c>
      <c r="AA17" s="23">
        <v>5.048</v>
      </c>
      <c r="AB17" s="23">
        <v>5.048</v>
      </c>
      <c r="AC17" s="23">
        <v>5.048</v>
      </c>
      <c r="AD17" s="23">
        <v>5.048</v>
      </c>
      <c r="AE17" s="23">
        <v>5.048</v>
      </c>
      <c r="AF17" s="23">
        <v>5.048</v>
      </c>
      <c r="AG17" s="23">
        <v>5.048</v>
      </c>
      <c r="AH17" s="23">
        <v>5.048</v>
      </c>
      <c r="AI17" s="23">
        <v>5.048</v>
      </c>
      <c r="AJ17" s="23">
        <v>5.048</v>
      </c>
      <c r="AK17" s="24">
        <v>0</v>
      </c>
    </row>
    <row r="18" spans="1:37" ht="15" customHeight="1" x14ac:dyDescent="0.35">
      <c r="A18" s="9" t="s">
        <v>59</v>
      </c>
      <c r="B18" s="22" t="s">
        <v>60</v>
      </c>
      <c r="C18" s="23">
        <v>5.359</v>
      </c>
      <c r="D18" s="23">
        <v>5.359</v>
      </c>
      <c r="E18" s="23">
        <v>5.359</v>
      </c>
      <c r="F18" s="23">
        <v>5.359</v>
      </c>
      <c r="G18" s="23">
        <v>5.359</v>
      </c>
      <c r="H18" s="23">
        <v>5.359</v>
      </c>
      <c r="I18" s="23">
        <v>5.359</v>
      </c>
      <c r="J18" s="23">
        <v>5.359</v>
      </c>
      <c r="K18" s="23">
        <v>5.359</v>
      </c>
      <c r="L18" s="23">
        <v>5.359</v>
      </c>
      <c r="M18" s="23">
        <v>5.359</v>
      </c>
      <c r="N18" s="23">
        <v>5.359</v>
      </c>
      <c r="O18" s="23">
        <v>5.359</v>
      </c>
      <c r="P18" s="23">
        <v>5.359</v>
      </c>
      <c r="Q18" s="23">
        <v>5.359</v>
      </c>
      <c r="R18" s="23">
        <v>5.359</v>
      </c>
      <c r="S18" s="23">
        <v>5.359</v>
      </c>
      <c r="T18" s="23">
        <v>5.359</v>
      </c>
      <c r="U18" s="23">
        <v>5.359</v>
      </c>
      <c r="V18" s="23">
        <v>5.359</v>
      </c>
      <c r="W18" s="23">
        <v>5.359</v>
      </c>
      <c r="X18" s="23">
        <v>5.359</v>
      </c>
      <c r="Y18" s="23">
        <v>5.359</v>
      </c>
      <c r="Z18" s="23">
        <v>5.359</v>
      </c>
      <c r="AA18" s="23">
        <v>5.359</v>
      </c>
      <c r="AB18" s="23">
        <v>5.359</v>
      </c>
      <c r="AC18" s="23">
        <v>5.359</v>
      </c>
      <c r="AD18" s="23">
        <v>5.359</v>
      </c>
      <c r="AE18" s="23">
        <v>5.359</v>
      </c>
      <c r="AF18" s="23">
        <v>5.359</v>
      </c>
      <c r="AG18" s="23">
        <v>5.359</v>
      </c>
      <c r="AH18" s="23">
        <v>5.359</v>
      </c>
      <c r="AI18" s="23">
        <v>5.359</v>
      </c>
      <c r="AJ18" s="23">
        <v>5.359</v>
      </c>
      <c r="AK18" s="24">
        <v>0</v>
      </c>
    </row>
    <row r="19" spans="1:37" ht="15" customHeight="1" x14ac:dyDescent="0.35">
      <c r="A19" s="9" t="s">
        <v>61</v>
      </c>
      <c r="B19" s="22" t="s">
        <v>62</v>
      </c>
      <c r="C19" s="23">
        <v>5.8250000000000002</v>
      </c>
      <c r="D19" s="23">
        <v>5.8250000000000002</v>
      </c>
      <c r="E19" s="23">
        <v>5.8250000000000002</v>
      </c>
      <c r="F19" s="23">
        <v>5.8250000000000002</v>
      </c>
      <c r="G19" s="23">
        <v>5.8250000000000002</v>
      </c>
      <c r="H19" s="23">
        <v>5.8250000000000002</v>
      </c>
      <c r="I19" s="23">
        <v>5.8250000000000002</v>
      </c>
      <c r="J19" s="23">
        <v>5.8250000000000002</v>
      </c>
      <c r="K19" s="23">
        <v>5.8250000000000002</v>
      </c>
      <c r="L19" s="23">
        <v>5.8250000000000002</v>
      </c>
      <c r="M19" s="23">
        <v>5.8250000000000002</v>
      </c>
      <c r="N19" s="23">
        <v>5.8250000000000002</v>
      </c>
      <c r="O19" s="23">
        <v>5.8250000000000002</v>
      </c>
      <c r="P19" s="23">
        <v>5.8250000000000002</v>
      </c>
      <c r="Q19" s="23">
        <v>5.8250000000000002</v>
      </c>
      <c r="R19" s="23">
        <v>5.8250000000000002</v>
      </c>
      <c r="S19" s="23">
        <v>5.8250000000000002</v>
      </c>
      <c r="T19" s="23">
        <v>5.8250000000000002</v>
      </c>
      <c r="U19" s="23">
        <v>5.8250000000000002</v>
      </c>
      <c r="V19" s="23">
        <v>5.8250000000000002</v>
      </c>
      <c r="W19" s="23">
        <v>5.8250000000000002</v>
      </c>
      <c r="X19" s="23">
        <v>5.8250000000000002</v>
      </c>
      <c r="Y19" s="23">
        <v>5.8250000000000002</v>
      </c>
      <c r="Z19" s="23">
        <v>5.8250000000000002</v>
      </c>
      <c r="AA19" s="23">
        <v>5.8250000000000002</v>
      </c>
      <c r="AB19" s="23">
        <v>5.8250000000000002</v>
      </c>
      <c r="AC19" s="23">
        <v>5.8250000000000002</v>
      </c>
      <c r="AD19" s="23">
        <v>5.8250000000000002</v>
      </c>
      <c r="AE19" s="23">
        <v>5.8250000000000002</v>
      </c>
      <c r="AF19" s="23">
        <v>5.8250000000000002</v>
      </c>
      <c r="AG19" s="23">
        <v>5.8250000000000002</v>
      </c>
      <c r="AH19" s="23">
        <v>5.8250000000000002</v>
      </c>
      <c r="AI19" s="23">
        <v>5.8250000000000002</v>
      </c>
      <c r="AJ19" s="23">
        <v>5.8250000000000002</v>
      </c>
      <c r="AK19" s="24">
        <v>0</v>
      </c>
    </row>
    <row r="20" spans="1:37" ht="15" customHeight="1" x14ac:dyDescent="0.35">
      <c r="A20" s="9" t="s">
        <v>63</v>
      </c>
      <c r="B20" s="22" t="s">
        <v>64</v>
      </c>
      <c r="C20" s="23">
        <v>5.7746510000000004</v>
      </c>
      <c r="D20" s="23">
        <v>5.7738240000000003</v>
      </c>
      <c r="E20" s="23">
        <v>5.7736289999999997</v>
      </c>
      <c r="F20" s="23">
        <v>5.7729280000000003</v>
      </c>
      <c r="G20" s="23">
        <v>5.7731190000000003</v>
      </c>
      <c r="H20" s="23">
        <v>5.7737270000000001</v>
      </c>
      <c r="I20" s="23">
        <v>5.7724289999999998</v>
      </c>
      <c r="J20" s="23">
        <v>5.773784</v>
      </c>
      <c r="K20" s="23">
        <v>5.7726059999999997</v>
      </c>
      <c r="L20" s="23">
        <v>5.7733230000000004</v>
      </c>
      <c r="M20" s="23">
        <v>5.7745470000000001</v>
      </c>
      <c r="N20" s="23">
        <v>5.7747440000000001</v>
      </c>
      <c r="O20" s="23">
        <v>5.7735219999999998</v>
      </c>
      <c r="P20" s="23">
        <v>5.7736159999999996</v>
      </c>
      <c r="Q20" s="23">
        <v>5.7735810000000001</v>
      </c>
      <c r="R20" s="23">
        <v>5.7734930000000002</v>
      </c>
      <c r="S20" s="23">
        <v>5.7744850000000003</v>
      </c>
      <c r="T20" s="23">
        <v>5.7733730000000003</v>
      </c>
      <c r="U20" s="23">
        <v>5.7733169999999996</v>
      </c>
      <c r="V20" s="23">
        <v>5.7729939999999997</v>
      </c>
      <c r="W20" s="23">
        <v>5.7732359999999998</v>
      </c>
      <c r="X20" s="23">
        <v>5.7731630000000003</v>
      </c>
      <c r="Y20" s="23">
        <v>5.7730449999999998</v>
      </c>
      <c r="Z20" s="23">
        <v>5.773002</v>
      </c>
      <c r="AA20" s="23">
        <v>5.7729929999999996</v>
      </c>
      <c r="AB20" s="23">
        <v>5.7727380000000004</v>
      </c>
      <c r="AC20" s="23">
        <v>5.772945</v>
      </c>
      <c r="AD20" s="23">
        <v>5.7726160000000002</v>
      </c>
      <c r="AE20" s="23">
        <v>5.7726569999999997</v>
      </c>
      <c r="AF20" s="23">
        <v>5.7725039999999996</v>
      </c>
      <c r="AG20" s="23">
        <v>5.7722730000000002</v>
      </c>
      <c r="AH20" s="23">
        <v>5.7721470000000004</v>
      </c>
      <c r="AI20" s="23">
        <v>5.7719480000000001</v>
      </c>
      <c r="AJ20" s="23">
        <v>5.7717749999999999</v>
      </c>
      <c r="AK20" s="24">
        <v>-1.1E-5</v>
      </c>
    </row>
    <row r="21" spans="1:37" ht="15" customHeight="1" x14ac:dyDescent="0.35">
      <c r="A21" s="9" t="s">
        <v>65</v>
      </c>
      <c r="B21" s="22" t="s">
        <v>66</v>
      </c>
      <c r="C21" s="23">
        <v>5.7746510000000004</v>
      </c>
      <c r="D21" s="23">
        <v>5.7738240000000003</v>
      </c>
      <c r="E21" s="23">
        <v>5.7736289999999997</v>
      </c>
      <c r="F21" s="23">
        <v>5.7729280000000003</v>
      </c>
      <c r="G21" s="23">
        <v>5.7731190000000003</v>
      </c>
      <c r="H21" s="23">
        <v>5.7737270000000001</v>
      </c>
      <c r="I21" s="23">
        <v>5.7724289999999998</v>
      </c>
      <c r="J21" s="23">
        <v>5.773784</v>
      </c>
      <c r="K21" s="23">
        <v>5.7726059999999997</v>
      </c>
      <c r="L21" s="23">
        <v>5.7733230000000004</v>
      </c>
      <c r="M21" s="23">
        <v>5.7745470000000001</v>
      </c>
      <c r="N21" s="23">
        <v>5.7747440000000001</v>
      </c>
      <c r="O21" s="23">
        <v>5.7735219999999998</v>
      </c>
      <c r="P21" s="23">
        <v>5.7736159999999996</v>
      </c>
      <c r="Q21" s="23">
        <v>5.7735810000000001</v>
      </c>
      <c r="R21" s="23">
        <v>5.7734930000000002</v>
      </c>
      <c r="S21" s="23">
        <v>5.7744850000000003</v>
      </c>
      <c r="T21" s="23">
        <v>5.7733730000000003</v>
      </c>
      <c r="U21" s="23">
        <v>5.7733169999999996</v>
      </c>
      <c r="V21" s="23">
        <v>5.7729939999999997</v>
      </c>
      <c r="W21" s="23">
        <v>5.7732359999999998</v>
      </c>
      <c r="X21" s="23">
        <v>5.7731630000000003</v>
      </c>
      <c r="Y21" s="23">
        <v>5.7730449999999998</v>
      </c>
      <c r="Z21" s="23">
        <v>5.773002</v>
      </c>
      <c r="AA21" s="23">
        <v>5.7729929999999996</v>
      </c>
      <c r="AB21" s="23">
        <v>5.7727380000000004</v>
      </c>
      <c r="AC21" s="23">
        <v>5.772945</v>
      </c>
      <c r="AD21" s="23">
        <v>5.7726160000000002</v>
      </c>
      <c r="AE21" s="23">
        <v>5.7726569999999997</v>
      </c>
      <c r="AF21" s="23">
        <v>5.7725039999999996</v>
      </c>
      <c r="AG21" s="23">
        <v>5.7722730000000002</v>
      </c>
      <c r="AH21" s="23">
        <v>5.7721470000000004</v>
      </c>
      <c r="AI21" s="23">
        <v>5.7719480000000001</v>
      </c>
      <c r="AJ21" s="23">
        <v>5.7717749999999999</v>
      </c>
      <c r="AK21" s="24">
        <v>-1.1E-5</v>
      </c>
    </row>
    <row r="22" spans="1:37" ht="15" customHeight="1" x14ac:dyDescent="0.35">
      <c r="A22" s="9" t="s">
        <v>67</v>
      </c>
      <c r="B22" s="22" t="s">
        <v>68</v>
      </c>
      <c r="C22" s="23">
        <v>5.7746510000000004</v>
      </c>
      <c r="D22" s="23">
        <v>5.7738240000000003</v>
      </c>
      <c r="E22" s="23">
        <v>5.7736289999999997</v>
      </c>
      <c r="F22" s="23">
        <v>5.7729280000000003</v>
      </c>
      <c r="G22" s="23">
        <v>5.7731190000000003</v>
      </c>
      <c r="H22" s="23">
        <v>5.7737270000000001</v>
      </c>
      <c r="I22" s="23">
        <v>5.7724289999999998</v>
      </c>
      <c r="J22" s="23">
        <v>5.773784</v>
      </c>
      <c r="K22" s="23">
        <v>5.7726059999999997</v>
      </c>
      <c r="L22" s="23">
        <v>5.7733230000000004</v>
      </c>
      <c r="M22" s="23">
        <v>5.7745470000000001</v>
      </c>
      <c r="N22" s="23">
        <v>5.7747440000000001</v>
      </c>
      <c r="O22" s="23">
        <v>5.7735219999999998</v>
      </c>
      <c r="P22" s="23">
        <v>5.7736159999999996</v>
      </c>
      <c r="Q22" s="23">
        <v>5.7735810000000001</v>
      </c>
      <c r="R22" s="23">
        <v>5.7734930000000002</v>
      </c>
      <c r="S22" s="23">
        <v>5.7744850000000003</v>
      </c>
      <c r="T22" s="23">
        <v>5.7733730000000003</v>
      </c>
      <c r="U22" s="23">
        <v>5.7733169999999996</v>
      </c>
      <c r="V22" s="23">
        <v>5.7729939999999997</v>
      </c>
      <c r="W22" s="23">
        <v>5.7732359999999998</v>
      </c>
      <c r="X22" s="23">
        <v>5.7731630000000003</v>
      </c>
      <c r="Y22" s="23">
        <v>5.7730449999999998</v>
      </c>
      <c r="Z22" s="23">
        <v>5.773002</v>
      </c>
      <c r="AA22" s="23">
        <v>5.7729929999999996</v>
      </c>
      <c r="AB22" s="23">
        <v>5.7727380000000004</v>
      </c>
      <c r="AC22" s="23">
        <v>5.772945</v>
      </c>
      <c r="AD22" s="23">
        <v>5.7726160000000002</v>
      </c>
      <c r="AE22" s="23">
        <v>5.7726569999999997</v>
      </c>
      <c r="AF22" s="23">
        <v>5.7725039999999996</v>
      </c>
      <c r="AG22" s="23">
        <v>5.7722730000000002</v>
      </c>
      <c r="AH22" s="23">
        <v>5.7721470000000004</v>
      </c>
      <c r="AI22" s="23">
        <v>5.7719480000000001</v>
      </c>
      <c r="AJ22" s="23">
        <v>5.7717749999999999</v>
      </c>
      <c r="AK22" s="24">
        <v>-1.1E-5</v>
      </c>
    </row>
    <row r="23" spans="1:37" ht="15" customHeight="1" x14ac:dyDescent="0.35">
      <c r="A23" s="9" t="s">
        <v>69</v>
      </c>
      <c r="B23" s="22" t="s">
        <v>70</v>
      </c>
      <c r="C23" s="23">
        <v>5.7746510000000004</v>
      </c>
      <c r="D23" s="23">
        <v>5.7738240000000003</v>
      </c>
      <c r="E23" s="23">
        <v>5.7736289999999997</v>
      </c>
      <c r="F23" s="23">
        <v>5.7729280000000003</v>
      </c>
      <c r="G23" s="23">
        <v>5.7731190000000003</v>
      </c>
      <c r="H23" s="23">
        <v>5.7737270000000001</v>
      </c>
      <c r="I23" s="23">
        <v>5.7724289999999998</v>
      </c>
      <c r="J23" s="23">
        <v>5.773784</v>
      </c>
      <c r="K23" s="23">
        <v>5.7726059999999997</v>
      </c>
      <c r="L23" s="23">
        <v>5.7733230000000004</v>
      </c>
      <c r="M23" s="23">
        <v>5.7745470000000001</v>
      </c>
      <c r="N23" s="23">
        <v>5.7747440000000001</v>
      </c>
      <c r="O23" s="23">
        <v>5.7735219999999998</v>
      </c>
      <c r="P23" s="23">
        <v>5.7736159999999996</v>
      </c>
      <c r="Q23" s="23">
        <v>5.7735810000000001</v>
      </c>
      <c r="R23" s="23">
        <v>5.7734930000000002</v>
      </c>
      <c r="S23" s="23">
        <v>5.7744850000000003</v>
      </c>
      <c r="T23" s="23">
        <v>5.7733730000000003</v>
      </c>
      <c r="U23" s="23">
        <v>5.7733169999999996</v>
      </c>
      <c r="V23" s="23">
        <v>5.7729939999999997</v>
      </c>
      <c r="W23" s="23">
        <v>5.7732359999999998</v>
      </c>
      <c r="X23" s="23">
        <v>5.7731630000000003</v>
      </c>
      <c r="Y23" s="23">
        <v>5.7730449999999998</v>
      </c>
      <c r="Z23" s="23">
        <v>5.773002</v>
      </c>
      <c r="AA23" s="23">
        <v>5.7729929999999996</v>
      </c>
      <c r="AB23" s="23">
        <v>5.7727380000000004</v>
      </c>
      <c r="AC23" s="23">
        <v>5.772945</v>
      </c>
      <c r="AD23" s="23">
        <v>5.7726160000000002</v>
      </c>
      <c r="AE23" s="23">
        <v>5.7726569999999997</v>
      </c>
      <c r="AF23" s="23">
        <v>5.7725039999999996</v>
      </c>
      <c r="AG23" s="23">
        <v>5.7722730000000002</v>
      </c>
      <c r="AH23" s="23">
        <v>5.7721470000000004</v>
      </c>
      <c r="AI23" s="23">
        <v>5.7719480000000001</v>
      </c>
      <c r="AJ23" s="23">
        <v>5.7717749999999999</v>
      </c>
      <c r="AK23" s="24">
        <v>-1.1E-5</v>
      </c>
    </row>
    <row r="24" spans="1:37" ht="15" customHeight="1" x14ac:dyDescent="0.35">
      <c r="A24" s="9" t="s">
        <v>71</v>
      </c>
      <c r="B24" s="22" t="s">
        <v>72</v>
      </c>
      <c r="C24" s="23">
        <v>5.7746510000000004</v>
      </c>
      <c r="D24" s="23">
        <v>5.7738240000000003</v>
      </c>
      <c r="E24" s="23">
        <v>5.7736289999999997</v>
      </c>
      <c r="F24" s="23">
        <v>5.7729280000000003</v>
      </c>
      <c r="G24" s="23">
        <v>5.7731190000000003</v>
      </c>
      <c r="H24" s="23">
        <v>5.7737270000000001</v>
      </c>
      <c r="I24" s="23">
        <v>5.7724289999999998</v>
      </c>
      <c r="J24" s="23">
        <v>5.773784</v>
      </c>
      <c r="K24" s="23">
        <v>5.7726059999999997</v>
      </c>
      <c r="L24" s="23">
        <v>5.7733230000000004</v>
      </c>
      <c r="M24" s="23">
        <v>5.7745470000000001</v>
      </c>
      <c r="N24" s="23">
        <v>5.7747440000000001</v>
      </c>
      <c r="O24" s="23">
        <v>5.7735219999999998</v>
      </c>
      <c r="P24" s="23">
        <v>5.7736159999999996</v>
      </c>
      <c r="Q24" s="23">
        <v>5.7735810000000001</v>
      </c>
      <c r="R24" s="23">
        <v>5.7734930000000002</v>
      </c>
      <c r="S24" s="23">
        <v>5.7744850000000003</v>
      </c>
      <c r="T24" s="23">
        <v>5.7733730000000003</v>
      </c>
      <c r="U24" s="23">
        <v>5.7733169999999996</v>
      </c>
      <c r="V24" s="23">
        <v>5.7729939999999997</v>
      </c>
      <c r="W24" s="23">
        <v>5.7732359999999998</v>
      </c>
      <c r="X24" s="23">
        <v>5.7731630000000003</v>
      </c>
      <c r="Y24" s="23">
        <v>5.7730449999999998</v>
      </c>
      <c r="Z24" s="23">
        <v>5.773002</v>
      </c>
      <c r="AA24" s="23">
        <v>5.7729929999999996</v>
      </c>
      <c r="AB24" s="23">
        <v>5.7727380000000004</v>
      </c>
      <c r="AC24" s="23">
        <v>5.772945</v>
      </c>
      <c r="AD24" s="23">
        <v>5.7726160000000002</v>
      </c>
      <c r="AE24" s="23">
        <v>5.7726569999999997</v>
      </c>
      <c r="AF24" s="23">
        <v>5.7725039999999996</v>
      </c>
      <c r="AG24" s="23">
        <v>5.7722730000000002</v>
      </c>
      <c r="AH24" s="23">
        <v>5.7721470000000004</v>
      </c>
      <c r="AI24" s="23">
        <v>5.7719480000000001</v>
      </c>
      <c r="AJ24" s="23">
        <v>5.7717749999999999</v>
      </c>
      <c r="AK24" s="24">
        <v>-1.1E-5</v>
      </c>
    </row>
    <row r="25" spans="1:37" ht="15" customHeight="1" x14ac:dyDescent="0.35">
      <c r="A25" s="9" t="s">
        <v>73</v>
      </c>
      <c r="B25" s="22" t="s">
        <v>74</v>
      </c>
      <c r="C25" s="23">
        <v>5.7746510000000004</v>
      </c>
      <c r="D25" s="23">
        <v>5.7738240000000003</v>
      </c>
      <c r="E25" s="23">
        <v>5.7736280000000004</v>
      </c>
      <c r="F25" s="23">
        <v>5.7729270000000001</v>
      </c>
      <c r="G25" s="23">
        <v>5.7731190000000003</v>
      </c>
      <c r="H25" s="23">
        <v>5.7737270000000001</v>
      </c>
      <c r="I25" s="23">
        <v>5.7724289999999998</v>
      </c>
      <c r="J25" s="23">
        <v>5.773784</v>
      </c>
      <c r="K25" s="23">
        <v>5.7726059999999997</v>
      </c>
      <c r="L25" s="23">
        <v>5.7733220000000003</v>
      </c>
      <c r="M25" s="23">
        <v>5.7745480000000002</v>
      </c>
      <c r="N25" s="23">
        <v>5.7747440000000001</v>
      </c>
      <c r="O25" s="23">
        <v>5.7735219999999998</v>
      </c>
      <c r="P25" s="23">
        <v>5.7736159999999996</v>
      </c>
      <c r="Q25" s="23">
        <v>5.7735799999999999</v>
      </c>
      <c r="R25" s="23">
        <v>5.7734930000000002</v>
      </c>
      <c r="S25" s="23">
        <v>5.7744850000000003</v>
      </c>
      <c r="T25" s="23">
        <v>5.7733730000000003</v>
      </c>
      <c r="U25" s="23">
        <v>5.7733169999999996</v>
      </c>
      <c r="V25" s="23">
        <v>5.7729939999999997</v>
      </c>
      <c r="W25" s="23">
        <v>5.7732359999999998</v>
      </c>
      <c r="X25" s="23">
        <v>5.7731620000000001</v>
      </c>
      <c r="Y25" s="23">
        <v>5.7730439999999996</v>
      </c>
      <c r="Z25" s="23">
        <v>5.773002</v>
      </c>
      <c r="AA25" s="23">
        <v>5.7729929999999996</v>
      </c>
      <c r="AB25" s="23">
        <v>5.7727380000000004</v>
      </c>
      <c r="AC25" s="23">
        <v>5.772945</v>
      </c>
      <c r="AD25" s="23">
        <v>5.7726170000000003</v>
      </c>
      <c r="AE25" s="23">
        <v>5.7726559999999996</v>
      </c>
      <c r="AF25" s="23">
        <v>5.7725039999999996</v>
      </c>
      <c r="AG25" s="23">
        <v>5.7722740000000003</v>
      </c>
      <c r="AH25" s="23">
        <v>5.7721470000000004</v>
      </c>
      <c r="AI25" s="23">
        <v>5.7719480000000001</v>
      </c>
      <c r="AJ25" s="23">
        <v>5.7717749999999999</v>
      </c>
      <c r="AK25" s="24">
        <v>-1.1E-5</v>
      </c>
    </row>
    <row r="26" spans="1:37" ht="15" customHeight="1" x14ac:dyDescent="0.35">
      <c r="A26" s="9" t="s">
        <v>75</v>
      </c>
      <c r="B26" s="22" t="s">
        <v>76</v>
      </c>
      <c r="C26" s="23">
        <v>5.8170000000000002</v>
      </c>
      <c r="D26" s="23">
        <v>5.8170000000000002</v>
      </c>
      <c r="E26" s="23">
        <v>5.8170000000000002</v>
      </c>
      <c r="F26" s="23">
        <v>5.8170000000000002</v>
      </c>
      <c r="G26" s="23">
        <v>5.8170000000000002</v>
      </c>
      <c r="H26" s="23">
        <v>5.8170000000000002</v>
      </c>
      <c r="I26" s="23">
        <v>5.8170000000000002</v>
      </c>
      <c r="J26" s="23">
        <v>5.8170000000000002</v>
      </c>
      <c r="K26" s="23">
        <v>5.8170000000000002</v>
      </c>
      <c r="L26" s="23">
        <v>5.8170000000000002</v>
      </c>
      <c r="M26" s="23">
        <v>5.8170000000000002</v>
      </c>
      <c r="N26" s="23">
        <v>5.8170000000000002</v>
      </c>
      <c r="O26" s="23">
        <v>5.8170000000000002</v>
      </c>
      <c r="P26" s="23">
        <v>5.8170000000000002</v>
      </c>
      <c r="Q26" s="23">
        <v>5.8170000000000002</v>
      </c>
      <c r="R26" s="23">
        <v>5.8170000000000002</v>
      </c>
      <c r="S26" s="23">
        <v>5.8170000000000002</v>
      </c>
      <c r="T26" s="23">
        <v>5.8170000000000002</v>
      </c>
      <c r="U26" s="23">
        <v>5.8170000000000002</v>
      </c>
      <c r="V26" s="23">
        <v>5.8170000000000002</v>
      </c>
      <c r="W26" s="23">
        <v>5.8170000000000002</v>
      </c>
      <c r="X26" s="23">
        <v>5.8170000000000002</v>
      </c>
      <c r="Y26" s="23">
        <v>5.8170000000000002</v>
      </c>
      <c r="Z26" s="23">
        <v>5.8170000000000002</v>
      </c>
      <c r="AA26" s="23">
        <v>5.8170000000000002</v>
      </c>
      <c r="AB26" s="23">
        <v>5.8170000000000002</v>
      </c>
      <c r="AC26" s="23">
        <v>5.8170000000000002</v>
      </c>
      <c r="AD26" s="23">
        <v>5.8170000000000002</v>
      </c>
      <c r="AE26" s="23">
        <v>5.8170000000000002</v>
      </c>
      <c r="AF26" s="23">
        <v>5.8170000000000002</v>
      </c>
      <c r="AG26" s="23">
        <v>5.8170000000000002</v>
      </c>
      <c r="AH26" s="23">
        <v>5.8170000000000002</v>
      </c>
      <c r="AI26" s="23">
        <v>5.8170000000000002</v>
      </c>
      <c r="AJ26" s="23">
        <v>5.8170000000000002</v>
      </c>
      <c r="AK26" s="24">
        <v>0</v>
      </c>
    </row>
    <row r="27" spans="1:37" ht="15" customHeight="1" x14ac:dyDescent="0.35">
      <c r="A27" s="9" t="s">
        <v>77</v>
      </c>
      <c r="B27" s="22" t="s">
        <v>78</v>
      </c>
      <c r="C27" s="23">
        <v>5.77</v>
      </c>
      <c r="D27" s="23">
        <v>5.77</v>
      </c>
      <c r="E27" s="23">
        <v>5.77</v>
      </c>
      <c r="F27" s="23">
        <v>5.77</v>
      </c>
      <c r="G27" s="23">
        <v>5.77</v>
      </c>
      <c r="H27" s="23">
        <v>5.77</v>
      </c>
      <c r="I27" s="23">
        <v>5.77</v>
      </c>
      <c r="J27" s="23">
        <v>5.77</v>
      </c>
      <c r="K27" s="23">
        <v>5.77</v>
      </c>
      <c r="L27" s="23">
        <v>5.77</v>
      </c>
      <c r="M27" s="23">
        <v>5.77</v>
      </c>
      <c r="N27" s="23">
        <v>5.77</v>
      </c>
      <c r="O27" s="23">
        <v>5.77</v>
      </c>
      <c r="P27" s="23">
        <v>5.77</v>
      </c>
      <c r="Q27" s="23">
        <v>5.77</v>
      </c>
      <c r="R27" s="23">
        <v>5.77</v>
      </c>
      <c r="S27" s="23">
        <v>5.77</v>
      </c>
      <c r="T27" s="23">
        <v>5.77</v>
      </c>
      <c r="U27" s="23">
        <v>5.77</v>
      </c>
      <c r="V27" s="23">
        <v>5.77</v>
      </c>
      <c r="W27" s="23">
        <v>5.77</v>
      </c>
      <c r="X27" s="23">
        <v>5.77</v>
      </c>
      <c r="Y27" s="23">
        <v>5.77</v>
      </c>
      <c r="Z27" s="23">
        <v>5.77</v>
      </c>
      <c r="AA27" s="23">
        <v>5.77</v>
      </c>
      <c r="AB27" s="23">
        <v>5.77</v>
      </c>
      <c r="AC27" s="23">
        <v>5.77</v>
      </c>
      <c r="AD27" s="23">
        <v>5.77</v>
      </c>
      <c r="AE27" s="23">
        <v>5.77</v>
      </c>
      <c r="AF27" s="23">
        <v>5.77</v>
      </c>
      <c r="AG27" s="23">
        <v>5.77</v>
      </c>
      <c r="AH27" s="23">
        <v>5.77</v>
      </c>
      <c r="AI27" s="23">
        <v>5.77</v>
      </c>
      <c r="AJ27" s="23">
        <v>5.77</v>
      </c>
      <c r="AK27" s="24">
        <v>0</v>
      </c>
    </row>
    <row r="28" spans="1:37" ht="15" customHeight="1" x14ac:dyDescent="0.35">
      <c r="A28" s="9" t="s">
        <v>79</v>
      </c>
      <c r="B28" s="22" t="s">
        <v>80</v>
      </c>
      <c r="C28" s="23">
        <v>3.556</v>
      </c>
      <c r="D28" s="23">
        <v>3.556</v>
      </c>
      <c r="E28" s="23">
        <v>3.556</v>
      </c>
      <c r="F28" s="23">
        <v>3.556</v>
      </c>
      <c r="G28" s="23">
        <v>3.556</v>
      </c>
      <c r="H28" s="23">
        <v>3.556</v>
      </c>
      <c r="I28" s="23">
        <v>3.556</v>
      </c>
      <c r="J28" s="23">
        <v>3.556</v>
      </c>
      <c r="K28" s="23">
        <v>3.556</v>
      </c>
      <c r="L28" s="23">
        <v>3.556</v>
      </c>
      <c r="M28" s="23">
        <v>3.556</v>
      </c>
      <c r="N28" s="23">
        <v>3.556</v>
      </c>
      <c r="O28" s="23">
        <v>3.556</v>
      </c>
      <c r="P28" s="23">
        <v>3.556</v>
      </c>
      <c r="Q28" s="23">
        <v>3.556</v>
      </c>
      <c r="R28" s="23">
        <v>3.556</v>
      </c>
      <c r="S28" s="23">
        <v>3.556</v>
      </c>
      <c r="T28" s="23">
        <v>3.556</v>
      </c>
      <c r="U28" s="23">
        <v>3.556</v>
      </c>
      <c r="V28" s="23">
        <v>3.556</v>
      </c>
      <c r="W28" s="23">
        <v>3.556</v>
      </c>
      <c r="X28" s="23">
        <v>3.556</v>
      </c>
      <c r="Y28" s="23">
        <v>3.556</v>
      </c>
      <c r="Z28" s="23">
        <v>3.556</v>
      </c>
      <c r="AA28" s="23">
        <v>3.556</v>
      </c>
      <c r="AB28" s="23">
        <v>3.556</v>
      </c>
      <c r="AC28" s="23">
        <v>3.556</v>
      </c>
      <c r="AD28" s="23">
        <v>3.556</v>
      </c>
      <c r="AE28" s="23">
        <v>3.556</v>
      </c>
      <c r="AF28" s="23">
        <v>3.556</v>
      </c>
      <c r="AG28" s="23">
        <v>3.556</v>
      </c>
      <c r="AH28" s="23">
        <v>3.556</v>
      </c>
      <c r="AI28" s="23">
        <v>3.556</v>
      </c>
      <c r="AJ28" s="23">
        <v>3.556</v>
      </c>
      <c r="AK28" s="24">
        <v>0</v>
      </c>
    </row>
    <row r="29" spans="1:37" ht="15" customHeight="1" x14ac:dyDescent="0.35">
      <c r="A29" s="9" t="s">
        <v>81</v>
      </c>
      <c r="B29" s="22" t="s">
        <v>82</v>
      </c>
      <c r="C29" s="23">
        <v>3.99722</v>
      </c>
      <c r="D29" s="23">
        <v>3.989233</v>
      </c>
      <c r="E29" s="23">
        <v>3.989233</v>
      </c>
      <c r="F29" s="23">
        <v>3.989233</v>
      </c>
      <c r="G29" s="23">
        <v>3.989233</v>
      </c>
      <c r="H29" s="23">
        <v>3.989233</v>
      </c>
      <c r="I29" s="23">
        <v>3.989233</v>
      </c>
      <c r="J29" s="23">
        <v>3.989233</v>
      </c>
      <c r="K29" s="23">
        <v>3.989233</v>
      </c>
      <c r="L29" s="23">
        <v>3.989233</v>
      </c>
      <c r="M29" s="23">
        <v>3.989233</v>
      </c>
      <c r="N29" s="23">
        <v>3.989233</v>
      </c>
      <c r="O29" s="23">
        <v>3.989233</v>
      </c>
      <c r="P29" s="23">
        <v>3.989233</v>
      </c>
      <c r="Q29" s="23">
        <v>3.989233</v>
      </c>
      <c r="R29" s="23">
        <v>3.989233</v>
      </c>
      <c r="S29" s="23">
        <v>3.989233</v>
      </c>
      <c r="T29" s="23">
        <v>3.989233</v>
      </c>
      <c r="U29" s="23">
        <v>3.989233</v>
      </c>
      <c r="V29" s="23">
        <v>3.989233</v>
      </c>
      <c r="W29" s="23">
        <v>3.989233</v>
      </c>
      <c r="X29" s="23">
        <v>3.989233</v>
      </c>
      <c r="Y29" s="23">
        <v>3.989233</v>
      </c>
      <c r="Z29" s="23">
        <v>3.989233</v>
      </c>
      <c r="AA29" s="23">
        <v>3.989233</v>
      </c>
      <c r="AB29" s="23">
        <v>3.989233</v>
      </c>
      <c r="AC29" s="23">
        <v>3.989233</v>
      </c>
      <c r="AD29" s="23">
        <v>3.989233</v>
      </c>
      <c r="AE29" s="23">
        <v>3.989233</v>
      </c>
      <c r="AF29" s="23">
        <v>3.989233</v>
      </c>
      <c r="AG29" s="23">
        <v>3.989233</v>
      </c>
      <c r="AH29" s="23">
        <v>3.989233</v>
      </c>
      <c r="AI29" s="23">
        <v>3.989233</v>
      </c>
      <c r="AJ29" s="23">
        <v>3.989233</v>
      </c>
      <c r="AK29" s="24">
        <v>0</v>
      </c>
    </row>
    <row r="30" spans="1:37" ht="15" customHeight="1" x14ac:dyDescent="0.35">
      <c r="A30" s="9" t="s">
        <v>83</v>
      </c>
      <c r="B30" s="22" t="s">
        <v>84</v>
      </c>
      <c r="C30" s="23">
        <v>5.67</v>
      </c>
      <c r="D30" s="23">
        <v>5.67</v>
      </c>
      <c r="E30" s="23">
        <v>5.67</v>
      </c>
      <c r="F30" s="23">
        <v>5.67</v>
      </c>
      <c r="G30" s="23">
        <v>5.67</v>
      </c>
      <c r="H30" s="23">
        <v>5.67</v>
      </c>
      <c r="I30" s="23">
        <v>5.67</v>
      </c>
      <c r="J30" s="23">
        <v>5.67</v>
      </c>
      <c r="K30" s="23">
        <v>5.67</v>
      </c>
      <c r="L30" s="23">
        <v>5.67</v>
      </c>
      <c r="M30" s="23">
        <v>5.67</v>
      </c>
      <c r="N30" s="23">
        <v>5.67</v>
      </c>
      <c r="O30" s="23">
        <v>5.67</v>
      </c>
      <c r="P30" s="23">
        <v>5.67</v>
      </c>
      <c r="Q30" s="23">
        <v>5.67</v>
      </c>
      <c r="R30" s="23">
        <v>5.67</v>
      </c>
      <c r="S30" s="23">
        <v>5.67</v>
      </c>
      <c r="T30" s="23">
        <v>5.67</v>
      </c>
      <c r="U30" s="23">
        <v>5.67</v>
      </c>
      <c r="V30" s="23">
        <v>5.67</v>
      </c>
      <c r="W30" s="23">
        <v>5.67</v>
      </c>
      <c r="X30" s="23">
        <v>5.67</v>
      </c>
      <c r="Y30" s="23">
        <v>5.67</v>
      </c>
      <c r="Z30" s="23">
        <v>5.67</v>
      </c>
      <c r="AA30" s="23">
        <v>5.67</v>
      </c>
      <c r="AB30" s="23">
        <v>5.67</v>
      </c>
      <c r="AC30" s="23">
        <v>5.67</v>
      </c>
      <c r="AD30" s="23">
        <v>5.67</v>
      </c>
      <c r="AE30" s="23">
        <v>5.67</v>
      </c>
      <c r="AF30" s="23">
        <v>5.67</v>
      </c>
      <c r="AG30" s="23">
        <v>5.67</v>
      </c>
      <c r="AH30" s="23">
        <v>5.67</v>
      </c>
      <c r="AI30" s="23">
        <v>5.67</v>
      </c>
      <c r="AJ30" s="23">
        <v>5.67</v>
      </c>
      <c r="AK30" s="24">
        <v>0</v>
      </c>
    </row>
    <row r="31" spans="1:37" ht="15" customHeight="1" x14ac:dyDescent="0.35">
      <c r="A31" s="9" t="s">
        <v>85</v>
      </c>
      <c r="B31" s="22" t="s">
        <v>86</v>
      </c>
      <c r="C31" s="23">
        <v>6.0650000000000004</v>
      </c>
      <c r="D31" s="23">
        <v>6.0650000000000004</v>
      </c>
      <c r="E31" s="23">
        <v>6.0650000000000004</v>
      </c>
      <c r="F31" s="23">
        <v>6.0650000000000004</v>
      </c>
      <c r="G31" s="23">
        <v>6.0650000000000004</v>
      </c>
      <c r="H31" s="23">
        <v>6.0650000000000004</v>
      </c>
      <c r="I31" s="23">
        <v>6.0650000000000004</v>
      </c>
      <c r="J31" s="23">
        <v>6.0650000000000004</v>
      </c>
      <c r="K31" s="23">
        <v>6.0650000000000004</v>
      </c>
      <c r="L31" s="23">
        <v>6.0650000000000004</v>
      </c>
      <c r="M31" s="23">
        <v>6.0650000000000004</v>
      </c>
      <c r="N31" s="23">
        <v>6.0650000000000004</v>
      </c>
      <c r="O31" s="23">
        <v>6.0650000000000004</v>
      </c>
      <c r="P31" s="23">
        <v>6.0650000000000004</v>
      </c>
      <c r="Q31" s="23">
        <v>6.0650000000000004</v>
      </c>
      <c r="R31" s="23">
        <v>6.0650000000000004</v>
      </c>
      <c r="S31" s="23">
        <v>6.0650000000000004</v>
      </c>
      <c r="T31" s="23">
        <v>6.0650000000000004</v>
      </c>
      <c r="U31" s="23">
        <v>6.0650000000000004</v>
      </c>
      <c r="V31" s="23">
        <v>6.0650000000000004</v>
      </c>
      <c r="W31" s="23">
        <v>6.0650000000000004</v>
      </c>
      <c r="X31" s="23">
        <v>6.0650000000000004</v>
      </c>
      <c r="Y31" s="23">
        <v>6.0650000000000004</v>
      </c>
      <c r="Z31" s="23">
        <v>6.0650000000000004</v>
      </c>
      <c r="AA31" s="23">
        <v>6.0650000000000004</v>
      </c>
      <c r="AB31" s="23">
        <v>6.0650000000000004</v>
      </c>
      <c r="AC31" s="23">
        <v>6.0650000000000004</v>
      </c>
      <c r="AD31" s="23">
        <v>6.0650000000000004</v>
      </c>
      <c r="AE31" s="23">
        <v>6.0650000000000004</v>
      </c>
      <c r="AF31" s="23">
        <v>6.0650000000000004</v>
      </c>
      <c r="AG31" s="23">
        <v>6.0650000000000004</v>
      </c>
      <c r="AH31" s="23">
        <v>6.0650000000000004</v>
      </c>
      <c r="AI31" s="23">
        <v>6.0650000000000004</v>
      </c>
      <c r="AJ31" s="23">
        <v>6.0650000000000004</v>
      </c>
      <c r="AK31" s="24">
        <v>0</v>
      </c>
    </row>
    <row r="32" spans="1:37" ht="15" customHeight="1" x14ac:dyDescent="0.35">
      <c r="A32" s="9" t="s">
        <v>87</v>
      </c>
      <c r="B32" s="22" t="s">
        <v>88</v>
      </c>
      <c r="C32" s="23">
        <v>5.0566430000000002</v>
      </c>
      <c r="D32" s="23">
        <v>5.0552599999999996</v>
      </c>
      <c r="E32" s="23">
        <v>5.0559250000000002</v>
      </c>
      <c r="F32" s="23">
        <v>5.0562699999999996</v>
      </c>
      <c r="G32" s="23">
        <v>5.0553610000000004</v>
      </c>
      <c r="H32" s="23">
        <v>5.0533359999999998</v>
      </c>
      <c r="I32" s="23">
        <v>5.0508160000000002</v>
      </c>
      <c r="J32" s="23">
        <v>5.0500020000000001</v>
      </c>
      <c r="K32" s="23">
        <v>5.0494789999999998</v>
      </c>
      <c r="L32" s="23">
        <v>5.049067</v>
      </c>
      <c r="M32" s="23">
        <v>5.0486199999999997</v>
      </c>
      <c r="N32" s="23">
        <v>5.0481860000000003</v>
      </c>
      <c r="O32" s="23">
        <v>5.047752</v>
      </c>
      <c r="P32" s="23">
        <v>5.0478269999999998</v>
      </c>
      <c r="Q32" s="23">
        <v>5.0471120000000003</v>
      </c>
      <c r="R32" s="23">
        <v>5.0467120000000003</v>
      </c>
      <c r="S32" s="23">
        <v>5.0464640000000003</v>
      </c>
      <c r="T32" s="23">
        <v>5.0458769999999999</v>
      </c>
      <c r="U32" s="23">
        <v>5.0451860000000002</v>
      </c>
      <c r="V32" s="23">
        <v>5.0444300000000002</v>
      </c>
      <c r="W32" s="23">
        <v>5.0435809999999996</v>
      </c>
      <c r="X32" s="23">
        <v>5.0427549999999997</v>
      </c>
      <c r="Y32" s="23">
        <v>5.0416879999999997</v>
      </c>
      <c r="Z32" s="23">
        <v>5.0404980000000004</v>
      </c>
      <c r="AA32" s="23">
        <v>5.0391599999999999</v>
      </c>
      <c r="AB32" s="23">
        <v>5.0378670000000003</v>
      </c>
      <c r="AC32" s="23">
        <v>5.0362239999999998</v>
      </c>
      <c r="AD32" s="23">
        <v>5.0346019999999996</v>
      </c>
      <c r="AE32" s="23">
        <v>5.0328730000000004</v>
      </c>
      <c r="AF32" s="23">
        <v>5.030945</v>
      </c>
      <c r="AG32" s="23">
        <v>5.0285479999999998</v>
      </c>
      <c r="AH32" s="23">
        <v>5.0259179999999999</v>
      </c>
      <c r="AI32" s="23">
        <v>5.0230379999999997</v>
      </c>
      <c r="AJ32" s="23">
        <v>5.0230360000000003</v>
      </c>
      <c r="AK32" s="24">
        <v>-2.0000000000000001E-4</v>
      </c>
    </row>
    <row r="33" spans="1:37" ht="15" customHeight="1" x14ac:dyDescent="0.35">
      <c r="A33" s="9" t="s">
        <v>89</v>
      </c>
      <c r="B33" s="22" t="s">
        <v>90</v>
      </c>
      <c r="C33" s="23">
        <v>5.0566430000000002</v>
      </c>
      <c r="D33" s="23">
        <v>5.0551199999999996</v>
      </c>
      <c r="E33" s="23">
        <v>5.0557509999999999</v>
      </c>
      <c r="F33" s="23">
        <v>5.0561759999999998</v>
      </c>
      <c r="G33" s="23">
        <v>5.0552270000000004</v>
      </c>
      <c r="H33" s="23">
        <v>5.0532529999999998</v>
      </c>
      <c r="I33" s="23">
        <v>5.0502339999999997</v>
      </c>
      <c r="J33" s="23">
        <v>5.0493699999999997</v>
      </c>
      <c r="K33" s="23">
        <v>5.0488210000000002</v>
      </c>
      <c r="L33" s="23">
        <v>5.0483820000000001</v>
      </c>
      <c r="M33" s="23">
        <v>5.0479039999999999</v>
      </c>
      <c r="N33" s="23">
        <v>5.0474410000000001</v>
      </c>
      <c r="O33" s="23">
        <v>5.046983</v>
      </c>
      <c r="P33" s="23">
        <v>5.0470750000000004</v>
      </c>
      <c r="Q33" s="23">
        <v>5.0462990000000003</v>
      </c>
      <c r="R33" s="23">
        <v>5.0458439999999998</v>
      </c>
      <c r="S33" s="23">
        <v>5.0455509999999997</v>
      </c>
      <c r="T33" s="23">
        <v>5.044918</v>
      </c>
      <c r="U33" s="23">
        <v>5.0441839999999996</v>
      </c>
      <c r="V33" s="23">
        <v>5.0433690000000002</v>
      </c>
      <c r="W33" s="23">
        <v>5.0424530000000001</v>
      </c>
      <c r="X33" s="23">
        <v>5.041563</v>
      </c>
      <c r="Y33" s="23">
        <v>5.0404109999999998</v>
      </c>
      <c r="Z33" s="23">
        <v>5.0391269999999997</v>
      </c>
      <c r="AA33" s="23">
        <v>5.0376839999999996</v>
      </c>
      <c r="AB33" s="23">
        <v>5.0362900000000002</v>
      </c>
      <c r="AC33" s="23">
        <v>5.0345170000000001</v>
      </c>
      <c r="AD33" s="23">
        <v>5.0328030000000004</v>
      </c>
      <c r="AE33" s="23">
        <v>5.0309910000000002</v>
      </c>
      <c r="AF33" s="23">
        <v>5.0289089999999996</v>
      </c>
      <c r="AG33" s="23">
        <v>5.0263140000000002</v>
      </c>
      <c r="AH33" s="23">
        <v>5.0234719999999999</v>
      </c>
      <c r="AI33" s="23">
        <v>5.020365</v>
      </c>
      <c r="AJ33" s="23">
        <v>5.0203639999999998</v>
      </c>
      <c r="AK33" s="24">
        <v>-2.1599999999999999E-4</v>
      </c>
    </row>
    <row r="34" spans="1:37" ht="15" customHeight="1" x14ac:dyDescent="0.35">
      <c r="A34" s="9" t="s">
        <v>91</v>
      </c>
      <c r="B34" s="22" t="s">
        <v>92</v>
      </c>
      <c r="C34" s="23">
        <v>5.0566430000000002</v>
      </c>
      <c r="D34" s="23">
        <v>5.0550290000000002</v>
      </c>
      <c r="E34" s="23">
        <v>5.0560859999999996</v>
      </c>
      <c r="F34" s="23">
        <v>5.0563630000000002</v>
      </c>
      <c r="G34" s="23">
        <v>5.0551620000000002</v>
      </c>
      <c r="H34" s="23">
        <v>5.0521120000000002</v>
      </c>
      <c r="I34" s="23">
        <v>5.0499099999999997</v>
      </c>
      <c r="J34" s="23">
        <v>5.0489660000000001</v>
      </c>
      <c r="K34" s="23">
        <v>5.0484030000000004</v>
      </c>
      <c r="L34" s="23">
        <v>5.0479479999999999</v>
      </c>
      <c r="M34" s="23">
        <v>5.0474509999999997</v>
      </c>
      <c r="N34" s="23">
        <v>5.04697</v>
      </c>
      <c r="O34" s="23">
        <v>5.0464979999999997</v>
      </c>
      <c r="P34" s="23">
        <v>5.046602</v>
      </c>
      <c r="Q34" s="23">
        <v>5.0458410000000002</v>
      </c>
      <c r="R34" s="23">
        <v>5.0454929999999996</v>
      </c>
      <c r="S34" s="23">
        <v>5.0453320000000001</v>
      </c>
      <c r="T34" s="23">
        <v>5.0447139999999999</v>
      </c>
      <c r="U34" s="23">
        <v>5.0439569999999998</v>
      </c>
      <c r="V34" s="23">
        <v>5.0431090000000003</v>
      </c>
      <c r="W34" s="23">
        <v>5.0421550000000002</v>
      </c>
      <c r="X34" s="23">
        <v>5.041226</v>
      </c>
      <c r="Y34" s="23">
        <v>5.0400229999999997</v>
      </c>
      <c r="Z34" s="23">
        <v>5.0386810000000004</v>
      </c>
      <c r="AA34" s="23">
        <v>5.0371740000000003</v>
      </c>
      <c r="AB34" s="23">
        <v>5.035717</v>
      </c>
      <c r="AC34" s="23">
        <v>5.0338620000000001</v>
      </c>
      <c r="AD34" s="23">
        <v>5.0319269999999996</v>
      </c>
      <c r="AE34" s="23">
        <v>5.029827</v>
      </c>
      <c r="AF34" s="23">
        <v>5.0276490000000003</v>
      </c>
      <c r="AG34" s="23">
        <v>5.0249329999999999</v>
      </c>
      <c r="AH34" s="23">
        <v>5.0219589999999998</v>
      </c>
      <c r="AI34" s="23">
        <v>5.018713</v>
      </c>
      <c r="AJ34" s="23">
        <v>5.018713</v>
      </c>
      <c r="AK34" s="24">
        <v>-2.2499999999999999E-4</v>
      </c>
    </row>
    <row r="35" spans="1:37" ht="15" customHeight="1" x14ac:dyDescent="0.35">
      <c r="A35" s="9" t="s">
        <v>93</v>
      </c>
      <c r="B35" s="22" t="s">
        <v>94</v>
      </c>
      <c r="C35" s="23">
        <v>5.2222799999999996</v>
      </c>
      <c r="D35" s="23">
        <v>5.2222799999999996</v>
      </c>
      <c r="E35" s="23">
        <v>5.2222799999999996</v>
      </c>
      <c r="F35" s="23">
        <v>5.2222799999999996</v>
      </c>
      <c r="G35" s="23">
        <v>5.2222799999999996</v>
      </c>
      <c r="H35" s="23">
        <v>5.2222799999999996</v>
      </c>
      <c r="I35" s="23">
        <v>5.2222799999999996</v>
      </c>
      <c r="J35" s="23">
        <v>5.2222799999999996</v>
      </c>
      <c r="K35" s="23">
        <v>5.2222799999999996</v>
      </c>
      <c r="L35" s="23">
        <v>5.2222799999999996</v>
      </c>
      <c r="M35" s="23">
        <v>5.2222799999999996</v>
      </c>
      <c r="N35" s="23">
        <v>5.2222799999999996</v>
      </c>
      <c r="O35" s="23">
        <v>5.2222799999999996</v>
      </c>
      <c r="P35" s="23">
        <v>5.2222799999999996</v>
      </c>
      <c r="Q35" s="23">
        <v>5.2222799999999996</v>
      </c>
      <c r="R35" s="23">
        <v>5.2222799999999996</v>
      </c>
      <c r="S35" s="23">
        <v>5.2222799999999996</v>
      </c>
      <c r="T35" s="23">
        <v>5.2222799999999996</v>
      </c>
      <c r="U35" s="23">
        <v>5.2222799999999996</v>
      </c>
      <c r="V35" s="23">
        <v>5.2222799999999996</v>
      </c>
      <c r="W35" s="23">
        <v>5.2222799999999996</v>
      </c>
      <c r="X35" s="23">
        <v>5.2222799999999996</v>
      </c>
      <c r="Y35" s="23">
        <v>5.2222799999999996</v>
      </c>
      <c r="Z35" s="23">
        <v>5.2222799999999996</v>
      </c>
      <c r="AA35" s="23">
        <v>5.2222799999999996</v>
      </c>
      <c r="AB35" s="23">
        <v>5.2222799999999996</v>
      </c>
      <c r="AC35" s="23">
        <v>5.2222799999999996</v>
      </c>
      <c r="AD35" s="23">
        <v>5.2222799999999996</v>
      </c>
      <c r="AE35" s="23">
        <v>5.2222799999999996</v>
      </c>
      <c r="AF35" s="23">
        <v>5.2222799999999996</v>
      </c>
      <c r="AG35" s="23">
        <v>5.2222799999999996</v>
      </c>
      <c r="AH35" s="23">
        <v>5.2222799999999996</v>
      </c>
      <c r="AI35" s="23">
        <v>5.2222799999999996</v>
      </c>
      <c r="AJ35" s="23">
        <v>5.2222799999999996</v>
      </c>
      <c r="AK35" s="24">
        <v>0</v>
      </c>
    </row>
    <row r="36" spans="1:37" ht="15" customHeight="1" x14ac:dyDescent="0.35">
      <c r="A36" s="9" t="s">
        <v>95</v>
      </c>
      <c r="B36" s="22" t="s">
        <v>96</v>
      </c>
      <c r="C36" s="23">
        <v>5.2222799999999996</v>
      </c>
      <c r="D36" s="23">
        <v>5.2222799999999996</v>
      </c>
      <c r="E36" s="23">
        <v>5.2222799999999996</v>
      </c>
      <c r="F36" s="23">
        <v>5.2222799999999996</v>
      </c>
      <c r="G36" s="23">
        <v>5.2222799999999996</v>
      </c>
      <c r="H36" s="23">
        <v>5.2222799999999996</v>
      </c>
      <c r="I36" s="23">
        <v>5.2222799999999996</v>
      </c>
      <c r="J36" s="23">
        <v>5.2222799999999996</v>
      </c>
      <c r="K36" s="23">
        <v>5.2222799999999996</v>
      </c>
      <c r="L36" s="23">
        <v>5.2222799999999996</v>
      </c>
      <c r="M36" s="23">
        <v>5.2222799999999996</v>
      </c>
      <c r="N36" s="23">
        <v>5.2222799999999996</v>
      </c>
      <c r="O36" s="23">
        <v>5.2222799999999996</v>
      </c>
      <c r="P36" s="23">
        <v>5.2222799999999996</v>
      </c>
      <c r="Q36" s="23">
        <v>5.2222799999999996</v>
      </c>
      <c r="R36" s="23">
        <v>5.2222799999999996</v>
      </c>
      <c r="S36" s="23">
        <v>5.2222799999999996</v>
      </c>
      <c r="T36" s="23">
        <v>5.2222799999999996</v>
      </c>
      <c r="U36" s="23">
        <v>5.2222799999999996</v>
      </c>
      <c r="V36" s="23">
        <v>5.2222799999999996</v>
      </c>
      <c r="W36" s="23">
        <v>5.2222799999999996</v>
      </c>
      <c r="X36" s="23">
        <v>5.2222799999999996</v>
      </c>
      <c r="Y36" s="23">
        <v>5.2222799999999996</v>
      </c>
      <c r="Z36" s="23">
        <v>5.2222799999999996</v>
      </c>
      <c r="AA36" s="23">
        <v>5.2222799999999996</v>
      </c>
      <c r="AB36" s="23">
        <v>5.2222799999999996</v>
      </c>
      <c r="AC36" s="23">
        <v>5.2222799999999996</v>
      </c>
      <c r="AD36" s="23">
        <v>5.2222799999999996</v>
      </c>
      <c r="AE36" s="23">
        <v>5.2222799999999996</v>
      </c>
      <c r="AF36" s="23">
        <v>5.2222799999999996</v>
      </c>
      <c r="AG36" s="23">
        <v>5.2222799999999996</v>
      </c>
      <c r="AH36" s="23">
        <v>5.2222799999999996</v>
      </c>
      <c r="AI36" s="23">
        <v>5.2222799999999996</v>
      </c>
      <c r="AJ36" s="23">
        <v>5.2222799999999996</v>
      </c>
      <c r="AK36" s="24">
        <v>0</v>
      </c>
    </row>
    <row r="37" spans="1:37" ht="15" customHeight="1" x14ac:dyDescent="0.35">
      <c r="A37" s="9" t="s">
        <v>97</v>
      </c>
      <c r="B37" s="22" t="s">
        <v>98</v>
      </c>
      <c r="C37" s="23">
        <v>4.62</v>
      </c>
      <c r="D37" s="23">
        <v>4.62</v>
      </c>
      <c r="E37" s="23">
        <v>4.62</v>
      </c>
      <c r="F37" s="23">
        <v>4.62</v>
      </c>
      <c r="G37" s="23">
        <v>4.62</v>
      </c>
      <c r="H37" s="23">
        <v>4.62</v>
      </c>
      <c r="I37" s="23">
        <v>4.62</v>
      </c>
      <c r="J37" s="23">
        <v>4.62</v>
      </c>
      <c r="K37" s="23">
        <v>4.62</v>
      </c>
      <c r="L37" s="23">
        <v>4.62</v>
      </c>
      <c r="M37" s="23">
        <v>4.62</v>
      </c>
      <c r="N37" s="23">
        <v>4.62</v>
      </c>
      <c r="O37" s="23">
        <v>4.62</v>
      </c>
      <c r="P37" s="23">
        <v>4.62</v>
      </c>
      <c r="Q37" s="23">
        <v>4.62</v>
      </c>
      <c r="R37" s="23">
        <v>4.62</v>
      </c>
      <c r="S37" s="23">
        <v>4.62</v>
      </c>
      <c r="T37" s="23">
        <v>4.62</v>
      </c>
      <c r="U37" s="23">
        <v>4.62</v>
      </c>
      <c r="V37" s="23">
        <v>4.62</v>
      </c>
      <c r="W37" s="23">
        <v>4.62</v>
      </c>
      <c r="X37" s="23">
        <v>4.62</v>
      </c>
      <c r="Y37" s="23">
        <v>4.62</v>
      </c>
      <c r="Z37" s="23">
        <v>4.62</v>
      </c>
      <c r="AA37" s="23">
        <v>4.62</v>
      </c>
      <c r="AB37" s="23">
        <v>4.62</v>
      </c>
      <c r="AC37" s="23">
        <v>4.62</v>
      </c>
      <c r="AD37" s="23">
        <v>4.62</v>
      </c>
      <c r="AE37" s="23">
        <v>4.62</v>
      </c>
      <c r="AF37" s="23">
        <v>4.62</v>
      </c>
      <c r="AG37" s="23">
        <v>4.62</v>
      </c>
      <c r="AH37" s="23">
        <v>4.62</v>
      </c>
      <c r="AI37" s="23">
        <v>4.62</v>
      </c>
      <c r="AJ37" s="23">
        <v>4.62</v>
      </c>
      <c r="AK37" s="24">
        <v>0</v>
      </c>
    </row>
    <row r="38" spans="1:37" ht="15" customHeight="1" x14ac:dyDescent="0.35">
      <c r="A38" s="9" t="s">
        <v>99</v>
      </c>
      <c r="B38" s="22" t="s">
        <v>100</v>
      </c>
      <c r="C38" s="23">
        <v>5.8</v>
      </c>
      <c r="D38" s="23">
        <v>5.8</v>
      </c>
      <c r="E38" s="23">
        <v>5.8</v>
      </c>
      <c r="F38" s="23">
        <v>5.8</v>
      </c>
      <c r="G38" s="23">
        <v>5.8</v>
      </c>
      <c r="H38" s="23">
        <v>5.8</v>
      </c>
      <c r="I38" s="23">
        <v>5.8</v>
      </c>
      <c r="J38" s="23">
        <v>5.8</v>
      </c>
      <c r="K38" s="23">
        <v>5.8</v>
      </c>
      <c r="L38" s="23">
        <v>5.8</v>
      </c>
      <c r="M38" s="23">
        <v>5.8</v>
      </c>
      <c r="N38" s="23">
        <v>5.8</v>
      </c>
      <c r="O38" s="23">
        <v>5.8</v>
      </c>
      <c r="P38" s="23">
        <v>5.8</v>
      </c>
      <c r="Q38" s="23">
        <v>5.8</v>
      </c>
      <c r="R38" s="23">
        <v>5.8</v>
      </c>
      <c r="S38" s="23">
        <v>5.8</v>
      </c>
      <c r="T38" s="23">
        <v>5.8</v>
      </c>
      <c r="U38" s="23">
        <v>5.8</v>
      </c>
      <c r="V38" s="23">
        <v>5.8</v>
      </c>
      <c r="W38" s="23">
        <v>5.8</v>
      </c>
      <c r="X38" s="23">
        <v>5.8</v>
      </c>
      <c r="Y38" s="23">
        <v>5.8</v>
      </c>
      <c r="Z38" s="23">
        <v>5.8</v>
      </c>
      <c r="AA38" s="23">
        <v>5.8</v>
      </c>
      <c r="AB38" s="23">
        <v>5.8</v>
      </c>
      <c r="AC38" s="23">
        <v>5.8</v>
      </c>
      <c r="AD38" s="23">
        <v>5.8</v>
      </c>
      <c r="AE38" s="23">
        <v>5.8</v>
      </c>
      <c r="AF38" s="23">
        <v>5.8</v>
      </c>
      <c r="AG38" s="23">
        <v>5.8</v>
      </c>
      <c r="AH38" s="23">
        <v>5.8</v>
      </c>
      <c r="AI38" s="23">
        <v>5.8</v>
      </c>
      <c r="AJ38" s="23">
        <v>5.8</v>
      </c>
      <c r="AK38" s="24">
        <v>0</v>
      </c>
    </row>
    <row r="39" spans="1:37" ht="15" customHeight="1" x14ac:dyDescent="0.35">
      <c r="A39" s="9" t="s">
        <v>101</v>
      </c>
      <c r="B39" s="22" t="s">
        <v>102</v>
      </c>
      <c r="C39" s="23">
        <v>5.4510759999999996</v>
      </c>
      <c r="D39" s="23">
        <v>5.4510759999999996</v>
      </c>
      <c r="E39" s="23">
        <v>5.4510759999999996</v>
      </c>
      <c r="F39" s="23">
        <v>5.4510759999999996</v>
      </c>
      <c r="G39" s="23">
        <v>5.4510759999999996</v>
      </c>
      <c r="H39" s="23">
        <v>5.4510759999999996</v>
      </c>
      <c r="I39" s="23">
        <v>5.4510759999999996</v>
      </c>
      <c r="J39" s="23">
        <v>5.4510759999999996</v>
      </c>
      <c r="K39" s="23">
        <v>5.4510759999999996</v>
      </c>
      <c r="L39" s="23">
        <v>5.4510759999999996</v>
      </c>
      <c r="M39" s="23">
        <v>5.4510759999999996</v>
      </c>
      <c r="N39" s="23">
        <v>5.4510759999999996</v>
      </c>
      <c r="O39" s="23">
        <v>5.4510759999999996</v>
      </c>
      <c r="P39" s="23">
        <v>5.4510759999999996</v>
      </c>
      <c r="Q39" s="23">
        <v>5.4510759999999996</v>
      </c>
      <c r="R39" s="23">
        <v>5.4510759999999996</v>
      </c>
      <c r="S39" s="23">
        <v>5.4510759999999996</v>
      </c>
      <c r="T39" s="23">
        <v>5.4510759999999996</v>
      </c>
      <c r="U39" s="23">
        <v>5.4510759999999996</v>
      </c>
      <c r="V39" s="23">
        <v>5.4510759999999996</v>
      </c>
      <c r="W39" s="23">
        <v>5.4510759999999996</v>
      </c>
      <c r="X39" s="23">
        <v>5.4510759999999996</v>
      </c>
      <c r="Y39" s="23">
        <v>5.4510759999999996</v>
      </c>
      <c r="Z39" s="23">
        <v>5.4510759999999996</v>
      </c>
      <c r="AA39" s="23">
        <v>5.4510759999999996</v>
      </c>
      <c r="AB39" s="23">
        <v>5.4510759999999996</v>
      </c>
      <c r="AC39" s="23">
        <v>5.4510759999999996</v>
      </c>
      <c r="AD39" s="23">
        <v>5.4510759999999996</v>
      </c>
      <c r="AE39" s="23">
        <v>5.4510759999999996</v>
      </c>
      <c r="AF39" s="23">
        <v>5.4510759999999996</v>
      </c>
      <c r="AG39" s="23">
        <v>5.4510759999999996</v>
      </c>
      <c r="AH39" s="23">
        <v>5.4510759999999996</v>
      </c>
      <c r="AI39" s="23">
        <v>5.4510759999999996</v>
      </c>
      <c r="AJ39" s="23">
        <v>5.4510759999999996</v>
      </c>
      <c r="AK39" s="24">
        <v>0</v>
      </c>
    </row>
    <row r="40" spans="1:37" ht="15" customHeight="1" x14ac:dyDescent="0.35">
      <c r="A40" s="9" t="s">
        <v>103</v>
      </c>
      <c r="B40" s="22" t="s">
        <v>104</v>
      </c>
      <c r="C40" s="23">
        <v>6.2869999999999999</v>
      </c>
      <c r="D40" s="23">
        <v>6.2869999999999999</v>
      </c>
      <c r="E40" s="23">
        <v>6.2869999999999999</v>
      </c>
      <c r="F40" s="23">
        <v>6.2869999999999999</v>
      </c>
      <c r="G40" s="23">
        <v>6.2869999999999999</v>
      </c>
      <c r="H40" s="23">
        <v>6.2869999999999999</v>
      </c>
      <c r="I40" s="23">
        <v>6.2869999999999999</v>
      </c>
      <c r="J40" s="23">
        <v>6.2869999999999999</v>
      </c>
      <c r="K40" s="23">
        <v>6.2869999999999999</v>
      </c>
      <c r="L40" s="23">
        <v>6.2869999999999999</v>
      </c>
      <c r="M40" s="23">
        <v>6.2869999999999999</v>
      </c>
      <c r="N40" s="23">
        <v>6.2869999999999999</v>
      </c>
      <c r="O40" s="23">
        <v>6.2869999999999999</v>
      </c>
      <c r="P40" s="23">
        <v>6.2869999999999999</v>
      </c>
      <c r="Q40" s="23">
        <v>6.2869999999999999</v>
      </c>
      <c r="R40" s="23">
        <v>6.2869999999999999</v>
      </c>
      <c r="S40" s="23">
        <v>6.2869999999999999</v>
      </c>
      <c r="T40" s="23">
        <v>6.2869999999999999</v>
      </c>
      <c r="U40" s="23">
        <v>6.2869999999999999</v>
      </c>
      <c r="V40" s="23">
        <v>6.2869999999999999</v>
      </c>
      <c r="W40" s="23">
        <v>6.2869999999999999</v>
      </c>
      <c r="X40" s="23">
        <v>6.2869999999999999</v>
      </c>
      <c r="Y40" s="23">
        <v>6.2869999999999999</v>
      </c>
      <c r="Z40" s="23">
        <v>6.2869999999999999</v>
      </c>
      <c r="AA40" s="23">
        <v>6.2869999999999999</v>
      </c>
      <c r="AB40" s="23">
        <v>6.2869999999999999</v>
      </c>
      <c r="AC40" s="23">
        <v>6.2869999999999999</v>
      </c>
      <c r="AD40" s="23">
        <v>6.2869999999999999</v>
      </c>
      <c r="AE40" s="23">
        <v>6.2869999999999999</v>
      </c>
      <c r="AF40" s="23">
        <v>6.2869999999999999</v>
      </c>
      <c r="AG40" s="23">
        <v>6.2869999999999999</v>
      </c>
      <c r="AH40" s="23">
        <v>6.2869999999999999</v>
      </c>
      <c r="AI40" s="23">
        <v>6.2869999999999999</v>
      </c>
      <c r="AJ40" s="23">
        <v>6.2869999999999999</v>
      </c>
      <c r="AK40" s="24">
        <v>0</v>
      </c>
    </row>
    <row r="41" spans="1:37" ht="15" customHeight="1" x14ac:dyDescent="0.35">
      <c r="A41" s="9" t="s">
        <v>105</v>
      </c>
      <c r="B41" s="22" t="s">
        <v>106</v>
      </c>
      <c r="C41" s="23">
        <v>6.2869999999999999</v>
      </c>
      <c r="D41" s="23">
        <v>6.2869999999999999</v>
      </c>
      <c r="E41" s="23">
        <v>6.2869999999999999</v>
      </c>
      <c r="F41" s="23">
        <v>6.2869999999999999</v>
      </c>
      <c r="G41" s="23">
        <v>6.2869999999999999</v>
      </c>
      <c r="H41" s="23">
        <v>6.2869999999999999</v>
      </c>
      <c r="I41" s="23">
        <v>6.2869999999999999</v>
      </c>
      <c r="J41" s="23">
        <v>6.2869999999999999</v>
      </c>
      <c r="K41" s="23">
        <v>6.2869999999999999</v>
      </c>
      <c r="L41" s="23">
        <v>6.2869999999999999</v>
      </c>
      <c r="M41" s="23">
        <v>6.2869999999999999</v>
      </c>
      <c r="N41" s="23">
        <v>6.2869999999999999</v>
      </c>
      <c r="O41" s="23">
        <v>6.2869999999999999</v>
      </c>
      <c r="P41" s="23">
        <v>6.2869999999999999</v>
      </c>
      <c r="Q41" s="23">
        <v>6.2869999999999999</v>
      </c>
      <c r="R41" s="23">
        <v>6.2869999999999999</v>
      </c>
      <c r="S41" s="23">
        <v>6.2869999999999999</v>
      </c>
      <c r="T41" s="23">
        <v>6.2869999999999999</v>
      </c>
      <c r="U41" s="23">
        <v>6.2869999999999999</v>
      </c>
      <c r="V41" s="23">
        <v>6.2869999999999999</v>
      </c>
      <c r="W41" s="23">
        <v>6.2869999999999999</v>
      </c>
      <c r="X41" s="23">
        <v>6.2869999999999999</v>
      </c>
      <c r="Y41" s="23">
        <v>6.2869999999999999</v>
      </c>
      <c r="Z41" s="23">
        <v>6.2869999999999999</v>
      </c>
      <c r="AA41" s="23">
        <v>6.2869999999999999</v>
      </c>
      <c r="AB41" s="23">
        <v>6.2869999999999999</v>
      </c>
      <c r="AC41" s="23">
        <v>6.2869999999999999</v>
      </c>
      <c r="AD41" s="23">
        <v>6.2869999999999999</v>
      </c>
      <c r="AE41" s="23">
        <v>6.2869999999999999</v>
      </c>
      <c r="AF41" s="23">
        <v>6.2869999999999999</v>
      </c>
      <c r="AG41" s="23">
        <v>6.2869999999999999</v>
      </c>
      <c r="AH41" s="23">
        <v>6.2869999999999999</v>
      </c>
      <c r="AI41" s="23">
        <v>6.2869999999999999</v>
      </c>
      <c r="AJ41" s="23">
        <v>6.2869999999999999</v>
      </c>
      <c r="AK41" s="24">
        <v>0</v>
      </c>
    </row>
    <row r="42" spans="1:37" ht="15" customHeight="1" x14ac:dyDescent="0.35">
      <c r="A42" s="9" t="s">
        <v>107</v>
      </c>
      <c r="B42" s="22" t="s">
        <v>108</v>
      </c>
      <c r="C42" s="23">
        <v>6.2869999999999999</v>
      </c>
      <c r="D42" s="23">
        <v>6.2869999999999999</v>
      </c>
      <c r="E42" s="23">
        <v>6.2869999999999999</v>
      </c>
      <c r="F42" s="23">
        <v>6.2869999999999999</v>
      </c>
      <c r="G42" s="23">
        <v>6.2869999999999999</v>
      </c>
      <c r="H42" s="23">
        <v>6.2869999999999999</v>
      </c>
      <c r="I42" s="23">
        <v>6.2869999999999999</v>
      </c>
      <c r="J42" s="23">
        <v>6.2869999999999999</v>
      </c>
      <c r="K42" s="23">
        <v>6.2869999999999999</v>
      </c>
      <c r="L42" s="23">
        <v>6.2869999999999999</v>
      </c>
      <c r="M42" s="23">
        <v>6.2869999999999999</v>
      </c>
      <c r="N42" s="23">
        <v>6.2869999999999999</v>
      </c>
      <c r="O42" s="23">
        <v>6.2869999999999999</v>
      </c>
      <c r="P42" s="23">
        <v>6.2869999999999999</v>
      </c>
      <c r="Q42" s="23">
        <v>6.2869999999999999</v>
      </c>
      <c r="R42" s="23">
        <v>6.2869999999999999</v>
      </c>
      <c r="S42" s="23">
        <v>6.2869999999999999</v>
      </c>
      <c r="T42" s="23">
        <v>6.2869999999999999</v>
      </c>
      <c r="U42" s="23">
        <v>6.2869999999999999</v>
      </c>
      <c r="V42" s="23">
        <v>6.2869999999999999</v>
      </c>
      <c r="W42" s="23">
        <v>6.2869999999999999</v>
      </c>
      <c r="X42" s="23">
        <v>6.2869999999999999</v>
      </c>
      <c r="Y42" s="23">
        <v>6.2869999999999999</v>
      </c>
      <c r="Z42" s="23">
        <v>6.2869999999999999</v>
      </c>
      <c r="AA42" s="23">
        <v>6.2869999999999999</v>
      </c>
      <c r="AB42" s="23">
        <v>6.2869999999999999</v>
      </c>
      <c r="AC42" s="23">
        <v>6.2869999999999999</v>
      </c>
      <c r="AD42" s="23">
        <v>6.2869999999999999</v>
      </c>
      <c r="AE42" s="23">
        <v>6.2869999999999999</v>
      </c>
      <c r="AF42" s="23">
        <v>6.2869999999999999</v>
      </c>
      <c r="AG42" s="23">
        <v>6.2869999999999999</v>
      </c>
      <c r="AH42" s="23">
        <v>6.2869999999999999</v>
      </c>
      <c r="AI42" s="23">
        <v>6.2869999999999999</v>
      </c>
      <c r="AJ42" s="23">
        <v>6.2869999999999999</v>
      </c>
      <c r="AK42" s="24">
        <v>0</v>
      </c>
    </row>
    <row r="43" spans="1:37" ht="15" customHeight="1" x14ac:dyDescent="0.35">
      <c r="A43" s="9" t="s">
        <v>109</v>
      </c>
      <c r="B43" s="22" t="s">
        <v>110</v>
      </c>
      <c r="C43" s="23">
        <v>6.1473459999999998</v>
      </c>
      <c r="D43" s="23">
        <v>6.1452260000000001</v>
      </c>
      <c r="E43" s="23">
        <v>6.1456169999999997</v>
      </c>
      <c r="F43" s="23">
        <v>6.192609</v>
      </c>
      <c r="G43" s="23">
        <v>6.1871369999999999</v>
      </c>
      <c r="H43" s="23">
        <v>6.1839120000000003</v>
      </c>
      <c r="I43" s="23">
        <v>6.177295</v>
      </c>
      <c r="J43" s="23">
        <v>6.1706190000000003</v>
      </c>
      <c r="K43" s="23">
        <v>6.1645000000000003</v>
      </c>
      <c r="L43" s="23">
        <v>6.1563090000000003</v>
      </c>
      <c r="M43" s="23">
        <v>6.1576269999999997</v>
      </c>
      <c r="N43" s="23">
        <v>6.157673</v>
      </c>
      <c r="O43" s="23">
        <v>6.1597790000000003</v>
      </c>
      <c r="P43" s="23">
        <v>6.159592</v>
      </c>
      <c r="Q43" s="23">
        <v>6.1617009999999999</v>
      </c>
      <c r="R43" s="23">
        <v>6.162801</v>
      </c>
      <c r="S43" s="23">
        <v>6.1631689999999999</v>
      </c>
      <c r="T43" s="23">
        <v>6.1640280000000001</v>
      </c>
      <c r="U43" s="23">
        <v>6.1661429999999999</v>
      </c>
      <c r="V43" s="23">
        <v>6.1675360000000001</v>
      </c>
      <c r="W43" s="23">
        <v>6.1674319999999998</v>
      </c>
      <c r="X43" s="23">
        <v>6.1685819999999998</v>
      </c>
      <c r="Y43" s="23">
        <v>6.1709719999999999</v>
      </c>
      <c r="Z43" s="23">
        <v>6.171176</v>
      </c>
      <c r="AA43" s="23">
        <v>6.1722760000000001</v>
      </c>
      <c r="AB43" s="23">
        <v>6.1744009999999996</v>
      </c>
      <c r="AC43" s="23">
        <v>6.175586</v>
      </c>
      <c r="AD43" s="23">
        <v>6.1767789999999998</v>
      </c>
      <c r="AE43" s="23">
        <v>6.1779799999999998</v>
      </c>
      <c r="AF43" s="23">
        <v>6.179189</v>
      </c>
      <c r="AG43" s="23">
        <v>6.1804069999999998</v>
      </c>
      <c r="AH43" s="23">
        <v>6.1816329999999997</v>
      </c>
      <c r="AI43" s="23">
        <v>6.182868</v>
      </c>
      <c r="AJ43" s="23">
        <v>6.1841100000000004</v>
      </c>
      <c r="AK43" s="24">
        <v>1.9699999999999999E-4</v>
      </c>
    </row>
    <row r="44" spans="1:37" ht="15" customHeight="1" x14ac:dyDescent="0.35">
      <c r="A44" s="9" t="s">
        <v>111</v>
      </c>
      <c r="B44" s="22" t="s">
        <v>112</v>
      </c>
      <c r="C44" s="23">
        <v>5.1759979999999999</v>
      </c>
      <c r="D44" s="23">
        <v>5.1493409999999997</v>
      </c>
      <c r="E44" s="23">
        <v>5.1485440000000002</v>
      </c>
      <c r="F44" s="23">
        <v>5.1351180000000003</v>
      </c>
      <c r="G44" s="23">
        <v>5.1214979999999999</v>
      </c>
      <c r="H44" s="23">
        <v>5.1131700000000002</v>
      </c>
      <c r="I44" s="23">
        <v>5.1068749999999996</v>
      </c>
      <c r="J44" s="23">
        <v>5.1001250000000002</v>
      </c>
      <c r="K44" s="23">
        <v>5.0954069999999998</v>
      </c>
      <c r="L44" s="23">
        <v>5.0923059999999998</v>
      </c>
      <c r="M44" s="23">
        <v>5.0851800000000003</v>
      </c>
      <c r="N44" s="23">
        <v>5.0822000000000003</v>
      </c>
      <c r="O44" s="23">
        <v>5.0765289999999998</v>
      </c>
      <c r="P44" s="23">
        <v>5.0746789999999997</v>
      </c>
      <c r="Q44" s="23">
        <v>5.072298</v>
      </c>
      <c r="R44" s="23">
        <v>5.0691280000000001</v>
      </c>
      <c r="S44" s="23">
        <v>5.0666989999999998</v>
      </c>
      <c r="T44" s="23">
        <v>5.0689719999999996</v>
      </c>
      <c r="U44" s="23">
        <v>5.067164</v>
      </c>
      <c r="V44" s="23">
        <v>5.064692</v>
      </c>
      <c r="W44" s="23">
        <v>5.0671790000000003</v>
      </c>
      <c r="X44" s="23">
        <v>5.0644499999999999</v>
      </c>
      <c r="Y44" s="23">
        <v>5.0636330000000003</v>
      </c>
      <c r="Z44" s="23">
        <v>5.0643700000000003</v>
      </c>
      <c r="AA44" s="23">
        <v>5.0640780000000003</v>
      </c>
      <c r="AB44" s="23">
        <v>5.0626110000000004</v>
      </c>
      <c r="AC44" s="23">
        <v>5.0658269999999996</v>
      </c>
      <c r="AD44" s="23">
        <v>5.0664360000000004</v>
      </c>
      <c r="AE44" s="23">
        <v>5.0678429999999999</v>
      </c>
      <c r="AF44" s="23">
        <v>5.0690910000000002</v>
      </c>
      <c r="AG44" s="23">
        <v>5.0703579999999997</v>
      </c>
      <c r="AH44" s="23">
        <v>5.0693210000000004</v>
      </c>
      <c r="AI44" s="23">
        <v>5.0696510000000004</v>
      </c>
      <c r="AJ44" s="23">
        <v>5.0702829999999999</v>
      </c>
      <c r="AK44" s="24">
        <v>-4.8299999999999998E-4</v>
      </c>
    </row>
    <row r="45" spans="1:37" ht="15" customHeight="1" x14ac:dyDescent="0.35">
      <c r="A45" s="9" t="s">
        <v>113</v>
      </c>
      <c r="B45" s="22" t="s">
        <v>114</v>
      </c>
      <c r="C45" s="23">
        <v>5.5967529999999996</v>
      </c>
      <c r="D45" s="23">
        <v>5.6771430000000001</v>
      </c>
      <c r="E45" s="23">
        <v>5.6840089999999996</v>
      </c>
      <c r="F45" s="23">
        <v>5.7170959999999997</v>
      </c>
      <c r="G45" s="23">
        <v>5.6661299999999999</v>
      </c>
      <c r="H45" s="23">
        <v>5.6535770000000003</v>
      </c>
      <c r="I45" s="23">
        <v>5.6441179999999997</v>
      </c>
      <c r="J45" s="23">
        <v>5.6398200000000003</v>
      </c>
      <c r="K45" s="23">
        <v>5.6309760000000004</v>
      </c>
      <c r="L45" s="23">
        <v>5.6472470000000001</v>
      </c>
      <c r="M45" s="23">
        <v>5.6488060000000004</v>
      </c>
      <c r="N45" s="23">
        <v>5.6772070000000001</v>
      </c>
      <c r="O45" s="23">
        <v>5.6554729999999998</v>
      </c>
      <c r="P45" s="23">
        <v>5.6398169999999999</v>
      </c>
      <c r="Q45" s="23">
        <v>5.655303</v>
      </c>
      <c r="R45" s="23">
        <v>5.6159470000000002</v>
      </c>
      <c r="S45" s="23">
        <v>5.5804359999999997</v>
      </c>
      <c r="T45" s="23">
        <v>5.601731</v>
      </c>
      <c r="U45" s="23">
        <v>5.5999040000000004</v>
      </c>
      <c r="V45" s="23">
        <v>5.5448909999999998</v>
      </c>
      <c r="W45" s="23">
        <v>5.5638050000000003</v>
      </c>
      <c r="X45" s="23">
        <v>5.5047459999999999</v>
      </c>
      <c r="Y45" s="23">
        <v>5.4706440000000001</v>
      </c>
      <c r="Z45" s="23">
        <v>5.4392110000000002</v>
      </c>
      <c r="AA45" s="23">
        <v>5.4146479999999997</v>
      </c>
      <c r="AB45" s="23">
        <v>5.3607440000000004</v>
      </c>
      <c r="AC45" s="23">
        <v>5.3546440000000004</v>
      </c>
      <c r="AD45" s="23">
        <v>5.3370649999999999</v>
      </c>
      <c r="AE45" s="23">
        <v>5.3099679999999996</v>
      </c>
      <c r="AF45" s="23">
        <v>5.2794489999999996</v>
      </c>
      <c r="AG45" s="23">
        <v>5.249695</v>
      </c>
      <c r="AH45" s="23">
        <v>5.2043689999999998</v>
      </c>
      <c r="AI45" s="23">
        <v>5.1639299999999997</v>
      </c>
      <c r="AJ45" s="23">
        <v>5.1378079999999997</v>
      </c>
      <c r="AK45" s="24">
        <v>-3.1150000000000001E-3</v>
      </c>
    </row>
    <row r="46" spans="1:37" ht="15" customHeight="1" x14ac:dyDescent="0.35">
      <c r="A46" s="9" t="s">
        <v>115</v>
      </c>
      <c r="B46" s="22" t="s">
        <v>116</v>
      </c>
      <c r="C46" s="23">
        <v>5.1509999999999998</v>
      </c>
      <c r="D46" s="23">
        <v>5.2744179999999998</v>
      </c>
      <c r="E46" s="23">
        <v>5.2506209999999998</v>
      </c>
      <c r="F46" s="23">
        <v>5.2757480000000001</v>
      </c>
      <c r="G46" s="23">
        <v>5.2430519999999996</v>
      </c>
      <c r="H46" s="23">
        <v>5.2341490000000004</v>
      </c>
      <c r="I46" s="23">
        <v>5.2313539999999996</v>
      </c>
      <c r="J46" s="23">
        <v>5.2458450000000001</v>
      </c>
      <c r="K46" s="23">
        <v>5.2317590000000003</v>
      </c>
      <c r="L46" s="23">
        <v>5.1954609999999999</v>
      </c>
      <c r="M46" s="23">
        <v>5.1871260000000001</v>
      </c>
      <c r="N46" s="23">
        <v>5.1891119999999997</v>
      </c>
      <c r="O46" s="23">
        <v>5.1797279999999999</v>
      </c>
      <c r="P46" s="23">
        <v>5.1827779999999999</v>
      </c>
      <c r="Q46" s="23">
        <v>5.1716069999999998</v>
      </c>
      <c r="R46" s="23">
        <v>5.1720730000000001</v>
      </c>
      <c r="S46" s="23">
        <v>5.1663009999999998</v>
      </c>
      <c r="T46" s="23">
        <v>5.1594030000000002</v>
      </c>
      <c r="U46" s="23">
        <v>5.1539609999999998</v>
      </c>
      <c r="V46" s="23">
        <v>5.1569050000000001</v>
      </c>
      <c r="W46" s="23">
        <v>5.1471669999999996</v>
      </c>
      <c r="X46" s="23">
        <v>5.1453899999999999</v>
      </c>
      <c r="Y46" s="23">
        <v>5.1359450000000004</v>
      </c>
      <c r="Z46" s="23">
        <v>5.1392990000000003</v>
      </c>
      <c r="AA46" s="23">
        <v>5.1376179999999998</v>
      </c>
      <c r="AB46" s="23">
        <v>5.1223150000000004</v>
      </c>
      <c r="AC46" s="23">
        <v>5.131875</v>
      </c>
      <c r="AD46" s="23">
        <v>5.1306099999999999</v>
      </c>
      <c r="AE46" s="23">
        <v>5.1394690000000001</v>
      </c>
      <c r="AF46" s="23">
        <v>5.1280320000000001</v>
      </c>
      <c r="AG46" s="23">
        <v>5.124009</v>
      </c>
      <c r="AH46" s="23">
        <v>5.1212489999999997</v>
      </c>
      <c r="AI46" s="23">
        <v>5.1119820000000002</v>
      </c>
      <c r="AJ46" s="23">
        <v>5.1060999999999996</v>
      </c>
      <c r="AK46" s="24">
        <v>-1.013E-3</v>
      </c>
    </row>
    <row r="47" spans="1:37" ht="15" customHeight="1" x14ac:dyDescent="0.3">
      <c r="B47" s="25" t="s">
        <v>117</v>
      </c>
    </row>
    <row r="48" spans="1:37" ht="15" customHeight="1" x14ac:dyDescent="0.35">
      <c r="A48" s="9" t="s">
        <v>118</v>
      </c>
      <c r="B48" s="22" t="s">
        <v>119</v>
      </c>
      <c r="C48" s="23">
        <v>5.7229999999999999</v>
      </c>
      <c r="D48" s="23">
        <v>5.7199359999999997</v>
      </c>
      <c r="E48" s="23">
        <v>5.7093740000000004</v>
      </c>
      <c r="F48" s="23">
        <v>5.7020210000000002</v>
      </c>
      <c r="G48" s="23">
        <v>5.6990360000000004</v>
      </c>
      <c r="H48" s="23">
        <v>5.7029030000000001</v>
      </c>
      <c r="I48" s="23">
        <v>5.7014690000000003</v>
      </c>
      <c r="J48" s="23">
        <v>5.697845</v>
      </c>
      <c r="K48" s="23">
        <v>5.6965690000000002</v>
      </c>
      <c r="L48" s="23">
        <v>5.6955710000000002</v>
      </c>
      <c r="M48" s="23">
        <v>5.6916909999999996</v>
      </c>
      <c r="N48" s="23">
        <v>5.6895829999999998</v>
      </c>
      <c r="O48" s="23">
        <v>5.6873170000000002</v>
      </c>
      <c r="P48" s="23">
        <v>5.6864030000000003</v>
      </c>
      <c r="Q48" s="23">
        <v>5.6859310000000001</v>
      </c>
      <c r="R48" s="23">
        <v>5.6860549999999996</v>
      </c>
      <c r="S48" s="23">
        <v>5.6862589999999997</v>
      </c>
      <c r="T48" s="23">
        <v>5.6853819999999997</v>
      </c>
      <c r="U48" s="23">
        <v>5.6852140000000002</v>
      </c>
      <c r="V48" s="23">
        <v>5.6858959999999996</v>
      </c>
      <c r="W48" s="23">
        <v>5.6868850000000002</v>
      </c>
      <c r="X48" s="23">
        <v>5.6879220000000004</v>
      </c>
      <c r="Y48" s="23">
        <v>5.6901700000000002</v>
      </c>
      <c r="Z48" s="23">
        <v>5.6909640000000001</v>
      </c>
      <c r="AA48" s="23">
        <v>5.6894390000000001</v>
      </c>
      <c r="AB48" s="23">
        <v>5.6887540000000003</v>
      </c>
      <c r="AC48" s="23">
        <v>5.6864689999999998</v>
      </c>
      <c r="AD48" s="23">
        <v>5.6844440000000001</v>
      </c>
      <c r="AE48" s="23">
        <v>5.683516</v>
      </c>
      <c r="AF48" s="23">
        <v>5.6828880000000002</v>
      </c>
      <c r="AG48" s="23">
        <v>5.6813929999999999</v>
      </c>
      <c r="AH48" s="23">
        <v>5.6792740000000004</v>
      </c>
      <c r="AI48" s="23">
        <v>5.678185</v>
      </c>
      <c r="AJ48" s="23">
        <v>5.676202</v>
      </c>
      <c r="AK48" s="24">
        <v>-2.4000000000000001E-4</v>
      </c>
    </row>
    <row r="49" spans="1:37" ht="15" customHeight="1" x14ac:dyDescent="0.35">
      <c r="A49" s="9" t="s">
        <v>120</v>
      </c>
      <c r="B49" s="22" t="s">
        <v>121</v>
      </c>
      <c r="C49" s="23">
        <v>6.05</v>
      </c>
      <c r="D49" s="23">
        <v>6.1347209999999999</v>
      </c>
      <c r="E49" s="23">
        <v>6.1184380000000003</v>
      </c>
      <c r="F49" s="23">
        <v>6.1172810000000002</v>
      </c>
      <c r="G49" s="23">
        <v>6.117947</v>
      </c>
      <c r="H49" s="23">
        <v>6.1025400000000003</v>
      </c>
      <c r="I49" s="23">
        <v>6.1033739999999996</v>
      </c>
      <c r="J49" s="23">
        <v>6.1071629999999999</v>
      </c>
      <c r="K49" s="23">
        <v>6.1065849999999999</v>
      </c>
      <c r="L49" s="23">
        <v>6.1245560000000001</v>
      </c>
      <c r="M49" s="23">
        <v>6.090179</v>
      </c>
      <c r="N49" s="23">
        <v>6.1186819999999997</v>
      </c>
      <c r="O49" s="23">
        <v>6.0805309999999997</v>
      </c>
      <c r="P49" s="23">
        <v>6.1038079999999999</v>
      </c>
      <c r="Q49" s="23">
        <v>6.1135659999999996</v>
      </c>
      <c r="R49" s="23">
        <v>6.1076240000000004</v>
      </c>
      <c r="S49" s="23">
        <v>6.0846780000000003</v>
      </c>
      <c r="T49" s="23">
        <v>6.1340570000000003</v>
      </c>
      <c r="U49" s="23">
        <v>6.1319419999999996</v>
      </c>
      <c r="V49" s="23">
        <v>6.0897600000000001</v>
      </c>
      <c r="W49" s="23">
        <v>6.1385750000000003</v>
      </c>
      <c r="X49" s="23">
        <v>6.1383919999999996</v>
      </c>
      <c r="Y49" s="23">
        <v>6.1363960000000004</v>
      </c>
      <c r="Z49" s="23">
        <v>6.1379999999999999</v>
      </c>
      <c r="AA49" s="23">
        <v>6.1413979999999997</v>
      </c>
      <c r="AB49" s="23">
        <v>6.1053959999999998</v>
      </c>
      <c r="AC49" s="23">
        <v>6.1190619999999996</v>
      </c>
      <c r="AD49" s="23">
        <v>6.1323290000000004</v>
      </c>
      <c r="AE49" s="23">
        <v>6.1402510000000001</v>
      </c>
      <c r="AF49" s="23">
        <v>6.1441309999999998</v>
      </c>
      <c r="AG49" s="23">
        <v>6.1417869999999999</v>
      </c>
      <c r="AH49" s="23">
        <v>6.1391349999999996</v>
      </c>
      <c r="AI49" s="23">
        <v>6.1375440000000001</v>
      </c>
      <c r="AJ49" s="23">
        <v>6.1341609999999998</v>
      </c>
      <c r="AK49" s="24">
        <v>-3.0000000000000001E-6</v>
      </c>
    </row>
    <row r="50" spans="1:37" ht="15" customHeight="1" x14ac:dyDescent="0.35">
      <c r="A50" s="9" t="s">
        <v>122</v>
      </c>
      <c r="B50" s="22" t="s">
        <v>123</v>
      </c>
      <c r="C50" s="23">
        <v>5.7380000000000004</v>
      </c>
      <c r="D50" s="23">
        <v>5.5547700000000004</v>
      </c>
      <c r="E50" s="23">
        <v>5.5572369999999998</v>
      </c>
      <c r="F50" s="23">
        <v>5.5581670000000001</v>
      </c>
      <c r="G50" s="23">
        <v>5.5659510000000001</v>
      </c>
      <c r="H50" s="23">
        <v>5.562354</v>
      </c>
      <c r="I50" s="23">
        <v>5.5637150000000002</v>
      </c>
      <c r="J50" s="23">
        <v>5.562271</v>
      </c>
      <c r="K50" s="23">
        <v>5.5667879999999998</v>
      </c>
      <c r="L50" s="23">
        <v>5.565995</v>
      </c>
      <c r="M50" s="23">
        <v>5.5575130000000001</v>
      </c>
      <c r="N50" s="23">
        <v>5.5605130000000003</v>
      </c>
      <c r="O50" s="23">
        <v>5.5607730000000002</v>
      </c>
      <c r="P50" s="23">
        <v>5.5617470000000004</v>
      </c>
      <c r="Q50" s="23">
        <v>5.5626410000000002</v>
      </c>
      <c r="R50" s="23">
        <v>5.562265</v>
      </c>
      <c r="S50" s="23">
        <v>5.569706</v>
      </c>
      <c r="T50" s="23">
        <v>5.5947889999999996</v>
      </c>
      <c r="U50" s="23">
        <v>5.5964090000000004</v>
      </c>
      <c r="V50" s="23">
        <v>5.6038379999999997</v>
      </c>
      <c r="W50" s="23">
        <v>5.6030389999999999</v>
      </c>
      <c r="X50" s="23">
        <v>5.6124460000000003</v>
      </c>
      <c r="Y50" s="23">
        <v>5.6163569999999998</v>
      </c>
      <c r="Z50" s="23">
        <v>5.6223010000000002</v>
      </c>
      <c r="AA50" s="23">
        <v>5.6172779999999998</v>
      </c>
      <c r="AB50" s="23">
        <v>5.6117030000000003</v>
      </c>
      <c r="AC50" s="23">
        <v>5.5987220000000004</v>
      </c>
      <c r="AD50" s="23">
        <v>5.5860859999999999</v>
      </c>
      <c r="AE50" s="23">
        <v>5.5761089999999998</v>
      </c>
      <c r="AF50" s="23">
        <v>5.5612719999999998</v>
      </c>
      <c r="AG50" s="23">
        <v>5.5591340000000002</v>
      </c>
      <c r="AH50" s="23">
        <v>5.5583109999999998</v>
      </c>
      <c r="AI50" s="23">
        <v>5.5584769999999999</v>
      </c>
      <c r="AJ50" s="23">
        <v>5.5588160000000002</v>
      </c>
      <c r="AK50" s="24">
        <v>2.3E-5</v>
      </c>
    </row>
    <row r="51" spans="1:37" ht="15" customHeight="1" x14ac:dyDescent="0.35">
      <c r="A51" s="9" t="s">
        <v>124</v>
      </c>
      <c r="B51" s="22" t="s">
        <v>125</v>
      </c>
      <c r="C51" s="23">
        <v>3.6994319999999998</v>
      </c>
      <c r="D51" s="23">
        <v>3.6803349999999999</v>
      </c>
      <c r="E51" s="23">
        <v>3.6751779999999998</v>
      </c>
      <c r="F51" s="23">
        <v>3.6722600000000001</v>
      </c>
      <c r="G51" s="23">
        <v>3.661632</v>
      </c>
      <c r="H51" s="23">
        <v>3.661705</v>
      </c>
      <c r="I51" s="23">
        <v>3.6604510000000001</v>
      </c>
      <c r="J51" s="23">
        <v>3.65821</v>
      </c>
      <c r="K51" s="23">
        <v>3.6569090000000002</v>
      </c>
      <c r="L51" s="23">
        <v>3.6559050000000002</v>
      </c>
      <c r="M51" s="23">
        <v>3.655815</v>
      </c>
      <c r="N51" s="23">
        <v>3.6549260000000001</v>
      </c>
      <c r="O51" s="23">
        <v>3.6537899999999999</v>
      </c>
      <c r="P51" s="23">
        <v>3.6542750000000002</v>
      </c>
      <c r="Q51" s="23">
        <v>3.6541939999999999</v>
      </c>
      <c r="R51" s="23">
        <v>3.6551800000000001</v>
      </c>
      <c r="S51" s="23">
        <v>3.6552220000000002</v>
      </c>
      <c r="T51" s="23">
        <v>3.6557840000000001</v>
      </c>
      <c r="U51" s="23">
        <v>3.6554319999999998</v>
      </c>
      <c r="V51" s="23">
        <v>3.6563289999999999</v>
      </c>
      <c r="W51" s="23">
        <v>3.656425</v>
      </c>
      <c r="X51" s="23">
        <v>3.6584599999999998</v>
      </c>
      <c r="Y51" s="23">
        <v>3.659478</v>
      </c>
      <c r="Z51" s="23">
        <v>3.6604260000000002</v>
      </c>
      <c r="AA51" s="23">
        <v>3.6596030000000002</v>
      </c>
      <c r="AB51" s="23">
        <v>3.6590319999999998</v>
      </c>
      <c r="AC51" s="23">
        <v>3.657537</v>
      </c>
      <c r="AD51" s="23">
        <v>3.655983</v>
      </c>
      <c r="AE51" s="23">
        <v>3.6549179999999999</v>
      </c>
      <c r="AF51" s="23">
        <v>3.6535739999999999</v>
      </c>
      <c r="AG51" s="23">
        <v>3.651659</v>
      </c>
      <c r="AH51" s="23">
        <v>3.6501269999999999</v>
      </c>
      <c r="AI51" s="23">
        <v>3.6490499999999999</v>
      </c>
      <c r="AJ51" s="23">
        <v>3.6478000000000002</v>
      </c>
      <c r="AK51" s="24">
        <v>-2.7700000000000001E-4</v>
      </c>
    </row>
    <row r="53" spans="1:37" ht="15" customHeight="1" x14ac:dyDescent="0.3">
      <c r="B53" s="21" t="s">
        <v>126</v>
      </c>
    </row>
    <row r="54" spans="1:37" ht="15" customHeight="1" x14ac:dyDescent="0.35">
      <c r="A54" s="9" t="s">
        <v>127</v>
      </c>
      <c r="B54" s="22" t="s">
        <v>128</v>
      </c>
      <c r="C54" s="23">
        <v>1.0369999999999999</v>
      </c>
      <c r="D54" s="23">
        <v>1.0369999999999999</v>
      </c>
      <c r="E54" s="23">
        <v>1.0369999999999999</v>
      </c>
      <c r="F54" s="23">
        <v>1.0369999999999999</v>
      </c>
      <c r="G54" s="23">
        <v>1.0369999999999999</v>
      </c>
      <c r="H54" s="23">
        <v>1.0369999999999999</v>
      </c>
      <c r="I54" s="23">
        <v>1.0369999999999999</v>
      </c>
      <c r="J54" s="23">
        <v>1.0369999999999999</v>
      </c>
      <c r="K54" s="23">
        <v>1.0369999999999999</v>
      </c>
      <c r="L54" s="23">
        <v>1.0369999999999999</v>
      </c>
      <c r="M54" s="23">
        <v>1.0369999999999999</v>
      </c>
      <c r="N54" s="23">
        <v>1.0369999999999999</v>
      </c>
      <c r="O54" s="23">
        <v>1.0369999999999999</v>
      </c>
      <c r="P54" s="23">
        <v>1.0369999999999999</v>
      </c>
      <c r="Q54" s="23">
        <v>1.0369999999999999</v>
      </c>
      <c r="R54" s="23">
        <v>1.0369999999999999</v>
      </c>
      <c r="S54" s="23">
        <v>1.0369999999999999</v>
      </c>
      <c r="T54" s="23">
        <v>1.0369999999999999</v>
      </c>
      <c r="U54" s="23">
        <v>1.0369999999999999</v>
      </c>
      <c r="V54" s="23">
        <v>1.0369999999999999</v>
      </c>
      <c r="W54" s="23">
        <v>1.0369999999999999</v>
      </c>
      <c r="X54" s="23">
        <v>1.0369999999999999</v>
      </c>
      <c r="Y54" s="23">
        <v>1.0369999999999999</v>
      </c>
      <c r="Z54" s="23">
        <v>1.0369999999999999</v>
      </c>
      <c r="AA54" s="23">
        <v>1.0369999999999999</v>
      </c>
      <c r="AB54" s="23">
        <v>1.0369999999999999</v>
      </c>
      <c r="AC54" s="23">
        <v>1.0369999999999999</v>
      </c>
      <c r="AD54" s="23">
        <v>1.0369999999999999</v>
      </c>
      <c r="AE54" s="23">
        <v>1.0369999999999999</v>
      </c>
      <c r="AF54" s="23">
        <v>1.0369999999999999</v>
      </c>
      <c r="AG54" s="23">
        <v>1.0369999999999999</v>
      </c>
      <c r="AH54" s="23">
        <v>1.0369999999999999</v>
      </c>
      <c r="AI54" s="23">
        <v>1.0369999999999999</v>
      </c>
      <c r="AJ54" s="23">
        <v>1.0369999999999999</v>
      </c>
      <c r="AK54" s="24">
        <v>0</v>
      </c>
    </row>
    <row r="55" spans="1:37" ht="15" customHeight="1" x14ac:dyDescent="0.35">
      <c r="A55" s="9" t="s">
        <v>129</v>
      </c>
      <c r="B55" s="22" t="s">
        <v>130</v>
      </c>
      <c r="C55" s="23">
        <v>1.0329999999999999</v>
      </c>
      <c r="D55" s="23">
        <v>1.0329999999999999</v>
      </c>
      <c r="E55" s="23">
        <v>1.0329999999999999</v>
      </c>
      <c r="F55" s="23">
        <v>1.0329999999999999</v>
      </c>
      <c r="G55" s="23">
        <v>1.0329999999999999</v>
      </c>
      <c r="H55" s="23">
        <v>1.0329999999999999</v>
      </c>
      <c r="I55" s="23">
        <v>1.0329999999999999</v>
      </c>
      <c r="J55" s="23">
        <v>1.0329999999999999</v>
      </c>
      <c r="K55" s="23">
        <v>1.0329999999999999</v>
      </c>
      <c r="L55" s="23">
        <v>1.0329999999999999</v>
      </c>
      <c r="M55" s="23">
        <v>1.0329999999999999</v>
      </c>
      <c r="N55" s="23">
        <v>1.0329999999999999</v>
      </c>
      <c r="O55" s="23">
        <v>1.0329999999999999</v>
      </c>
      <c r="P55" s="23">
        <v>1.0329999999999999</v>
      </c>
      <c r="Q55" s="23">
        <v>1.0329999999999999</v>
      </c>
      <c r="R55" s="23">
        <v>1.0329999999999999</v>
      </c>
      <c r="S55" s="23">
        <v>1.0329999999999999</v>
      </c>
      <c r="T55" s="23">
        <v>1.0329999999999999</v>
      </c>
      <c r="U55" s="23">
        <v>1.0329999999999999</v>
      </c>
      <c r="V55" s="23">
        <v>1.0329999999999999</v>
      </c>
      <c r="W55" s="23">
        <v>1.0329999999999999</v>
      </c>
      <c r="X55" s="23">
        <v>1.0329999999999999</v>
      </c>
      <c r="Y55" s="23">
        <v>1.0329999999999999</v>
      </c>
      <c r="Z55" s="23">
        <v>1.0329999999999999</v>
      </c>
      <c r="AA55" s="23">
        <v>1.0329999999999999</v>
      </c>
      <c r="AB55" s="23">
        <v>1.0329999999999999</v>
      </c>
      <c r="AC55" s="23">
        <v>1.0329999999999999</v>
      </c>
      <c r="AD55" s="23">
        <v>1.0329999999999999</v>
      </c>
      <c r="AE55" s="23">
        <v>1.0329999999999999</v>
      </c>
      <c r="AF55" s="23">
        <v>1.0329999999999999</v>
      </c>
      <c r="AG55" s="23">
        <v>1.0329999999999999</v>
      </c>
      <c r="AH55" s="23">
        <v>1.0329999999999999</v>
      </c>
      <c r="AI55" s="23">
        <v>1.0329999999999999</v>
      </c>
      <c r="AJ55" s="23">
        <v>1.0329999999999999</v>
      </c>
      <c r="AK55" s="24">
        <v>0</v>
      </c>
    </row>
    <row r="56" spans="1:37" ht="15" customHeight="1" x14ac:dyDescent="0.35">
      <c r="A56" s="9" t="s">
        <v>131</v>
      </c>
      <c r="B56" s="22" t="s">
        <v>132</v>
      </c>
      <c r="C56" s="23">
        <v>1.0389999999999999</v>
      </c>
      <c r="D56" s="23">
        <v>1.0389999999999999</v>
      </c>
      <c r="E56" s="23">
        <v>1.0389999999999999</v>
      </c>
      <c r="F56" s="23">
        <v>1.0389999999999999</v>
      </c>
      <c r="G56" s="23">
        <v>1.0389999999999999</v>
      </c>
      <c r="H56" s="23">
        <v>1.0389999999999999</v>
      </c>
      <c r="I56" s="23">
        <v>1.0389999999999999</v>
      </c>
      <c r="J56" s="23">
        <v>1.0389999999999999</v>
      </c>
      <c r="K56" s="23">
        <v>1.0389999999999999</v>
      </c>
      <c r="L56" s="23">
        <v>1.0389999999999999</v>
      </c>
      <c r="M56" s="23">
        <v>1.0389999999999999</v>
      </c>
      <c r="N56" s="23">
        <v>1.0389999999999999</v>
      </c>
      <c r="O56" s="23">
        <v>1.0389999999999999</v>
      </c>
      <c r="P56" s="23">
        <v>1.0389999999999999</v>
      </c>
      <c r="Q56" s="23">
        <v>1.0389999999999999</v>
      </c>
      <c r="R56" s="23">
        <v>1.0389999999999999</v>
      </c>
      <c r="S56" s="23">
        <v>1.0389999999999999</v>
      </c>
      <c r="T56" s="23">
        <v>1.0389999999999999</v>
      </c>
      <c r="U56" s="23">
        <v>1.0389999999999999</v>
      </c>
      <c r="V56" s="23">
        <v>1.0389999999999999</v>
      </c>
      <c r="W56" s="23">
        <v>1.0389999999999999</v>
      </c>
      <c r="X56" s="23">
        <v>1.0389999999999999</v>
      </c>
      <c r="Y56" s="23">
        <v>1.0389999999999999</v>
      </c>
      <c r="Z56" s="23">
        <v>1.0389999999999999</v>
      </c>
      <c r="AA56" s="23">
        <v>1.0389999999999999</v>
      </c>
      <c r="AB56" s="23">
        <v>1.0389999999999999</v>
      </c>
      <c r="AC56" s="23">
        <v>1.0389999999999999</v>
      </c>
      <c r="AD56" s="23">
        <v>1.0389999999999999</v>
      </c>
      <c r="AE56" s="23">
        <v>1.0389999999999999</v>
      </c>
      <c r="AF56" s="23">
        <v>1.0389999999999999</v>
      </c>
      <c r="AG56" s="23">
        <v>1.0389999999999999</v>
      </c>
      <c r="AH56" s="23">
        <v>1.0389999999999999</v>
      </c>
      <c r="AI56" s="23">
        <v>1.0389999999999999</v>
      </c>
      <c r="AJ56" s="23">
        <v>1.0389999999999999</v>
      </c>
      <c r="AK56" s="24">
        <v>0</v>
      </c>
    </row>
    <row r="57" spans="1:37" ht="15" customHeight="1" x14ac:dyDescent="0.35">
      <c r="A57" s="9" t="s">
        <v>133</v>
      </c>
      <c r="B57" s="22" t="s">
        <v>134</v>
      </c>
      <c r="C57" s="23">
        <v>1.0369999999999999</v>
      </c>
      <c r="D57" s="23">
        <v>1.0369999999999999</v>
      </c>
      <c r="E57" s="23">
        <v>1.0369999999999999</v>
      </c>
      <c r="F57" s="23">
        <v>1.0369999999999999</v>
      </c>
      <c r="G57" s="23">
        <v>1.0369999999999999</v>
      </c>
      <c r="H57" s="23">
        <v>1.0369999999999999</v>
      </c>
      <c r="I57" s="23">
        <v>1.0369999999999999</v>
      </c>
      <c r="J57" s="23">
        <v>1.0369999999999999</v>
      </c>
      <c r="K57" s="23">
        <v>1.0369999999999999</v>
      </c>
      <c r="L57" s="23">
        <v>1.0369999999999999</v>
      </c>
      <c r="M57" s="23">
        <v>1.0369999999999999</v>
      </c>
      <c r="N57" s="23">
        <v>1.0369999999999999</v>
      </c>
      <c r="O57" s="23">
        <v>1.0369999999999999</v>
      </c>
      <c r="P57" s="23">
        <v>1.0369999999999999</v>
      </c>
      <c r="Q57" s="23">
        <v>1.0369999999999999</v>
      </c>
      <c r="R57" s="23">
        <v>1.0369999999999999</v>
      </c>
      <c r="S57" s="23">
        <v>1.0369999999999999</v>
      </c>
      <c r="T57" s="23">
        <v>1.0369999999999999</v>
      </c>
      <c r="U57" s="23">
        <v>1.0369999999999999</v>
      </c>
      <c r="V57" s="23">
        <v>1.0369999999999999</v>
      </c>
      <c r="W57" s="23">
        <v>1.0369999999999999</v>
      </c>
      <c r="X57" s="23">
        <v>1.0369999999999999</v>
      </c>
      <c r="Y57" s="23">
        <v>1.0369999999999999</v>
      </c>
      <c r="Z57" s="23">
        <v>1.0369999999999999</v>
      </c>
      <c r="AA57" s="23">
        <v>1.0369999999999999</v>
      </c>
      <c r="AB57" s="23">
        <v>1.0369999999999999</v>
      </c>
      <c r="AC57" s="23">
        <v>1.0369999999999999</v>
      </c>
      <c r="AD57" s="23">
        <v>1.0369999999999999</v>
      </c>
      <c r="AE57" s="23">
        <v>1.0369999999999999</v>
      </c>
      <c r="AF57" s="23">
        <v>1.0369999999999999</v>
      </c>
      <c r="AG57" s="23">
        <v>1.0369999999999999</v>
      </c>
      <c r="AH57" s="23">
        <v>1.0369999999999999</v>
      </c>
      <c r="AI57" s="23">
        <v>1.0369999999999999</v>
      </c>
      <c r="AJ57" s="23">
        <v>1.0369999999999999</v>
      </c>
      <c r="AK57" s="24">
        <v>0</v>
      </c>
    </row>
    <row r="58" spans="1:37" ht="15" customHeight="1" x14ac:dyDescent="0.35">
      <c r="A58" s="9" t="s">
        <v>135</v>
      </c>
      <c r="B58" s="22" t="s">
        <v>136</v>
      </c>
      <c r="C58" s="23">
        <v>1.0249999999999999</v>
      </c>
      <c r="D58" s="23">
        <v>1.0249999999999999</v>
      </c>
      <c r="E58" s="23">
        <v>1.0249999999999999</v>
      </c>
      <c r="F58" s="23">
        <v>1.0249999999999999</v>
      </c>
      <c r="G58" s="23">
        <v>1.0249999999999999</v>
      </c>
      <c r="H58" s="23">
        <v>1.0249999999999999</v>
      </c>
      <c r="I58" s="23">
        <v>1.0249999999999999</v>
      </c>
      <c r="J58" s="23">
        <v>1.0249999999999999</v>
      </c>
      <c r="K58" s="23">
        <v>1.0249999999999999</v>
      </c>
      <c r="L58" s="23">
        <v>1.0249999999999999</v>
      </c>
      <c r="M58" s="23">
        <v>1.0249999999999999</v>
      </c>
      <c r="N58" s="23">
        <v>1.0249999999999999</v>
      </c>
      <c r="O58" s="23">
        <v>1.0249999999999999</v>
      </c>
      <c r="P58" s="23">
        <v>1.0249999999999999</v>
      </c>
      <c r="Q58" s="23">
        <v>1.0249999999999999</v>
      </c>
      <c r="R58" s="23">
        <v>1.0249999999999999</v>
      </c>
      <c r="S58" s="23">
        <v>1.0249999999999999</v>
      </c>
      <c r="T58" s="23">
        <v>1.0249999999999999</v>
      </c>
      <c r="U58" s="23">
        <v>1.0249999999999999</v>
      </c>
      <c r="V58" s="23">
        <v>1.0249999999999999</v>
      </c>
      <c r="W58" s="23">
        <v>1.0249999999999999</v>
      </c>
      <c r="X58" s="23">
        <v>1.0249999999999999</v>
      </c>
      <c r="Y58" s="23">
        <v>1.0249999999999999</v>
      </c>
      <c r="Z58" s="23">
        <v>1.0249999999999999</v>
      </c>
      <c r="AA58" s="23">
        <v>1.0249999999999999</v>
      </c>
      <c r="AB58" s="23">
        <v>1.0249999999999999</v>
      </c>
      <c r="AC58" s="23">
        <v>1.0249999999999999</v>
      </c>
      <c r="AD58" s="23">
        <v>1.0249999999999999</v>
      </c>
      <c r="AE58" s="23">
        <v>1.0249999999999999</v>
      </c>
      <c r="AF58" s="23">
        <v>1.0249999999999999</v>
      </c>
      <c r="AG58" s="23">
        <v>1.0249999999999999</v>
      </c>
      <c r="AH58" s="23">
        <v>1.0249999999999999</v>
      </c>
      <c r="AI58" s="23">
        <v>1.0249999999999999</v>
      </c>
      <c r="AJ58" s="23">
        <v>1.0249999999999999</v>
      </c>
      <c r="AK58" s="24">
        <v>0</v>
      </c>
    </row>
    <row r="59" spans="1:37" ht="15" customHeight="1" x14ac:dyDescent="0.35">
      <c r="A59" s="9" t="s">
        <v>137</v>
      </c>
      <c r="B59" s="22" t="s">
        <v>138</v>
      </c>
      <c r="C59" s="23">
        <v>1.0089999999999999</v>
      </c>
      <c r="D59" s="23">
        <v>1.0089999999999999</v>
      </c>
      <c r="E59" s="23">
        <v>1.0089999999999999</v>
      </c>
      <c r="F59" s="23">
        <v>1.0089999999999999</v>
      </c>
      <c r="G59" s="23">
        <v>1.0089999999999999</v>
      </c>
      <c r="H59" s="23">
        <v>1.0089999999999999</v>
      </c>
      <c r="I59" s="23">
        <v>1.0089999999999999</v>
      </c>
      <c r="J59" s="23">
        <v>1.0089999999999999</v>
      </c>
      <c r="K59" s="23">
        <v>1.0089999999999999</v>
      </c>
      <c r="L59" s="23">
        <v>1.0089999999999999</v>
      </c>
      <c r="M59" s="23">
        <v>1.0089999999999999</v>
      </c>
      <c r="N59" s="23">
        <v>1.0089999999999999</v>
      </c>
      <c r="O59" s="23">
        <v>1.0089999999999999</v>
      </c>
      <c r="P59" s="23">
        <v>1.0089999999999999</v>
      </c>
      <c r="Q59" s="23">
        <v>1.0089999999999999</v>
      </c>
      <c r="R59" s="23">
        <v>1.0089999999999999</v>
      </c>
      <c r="S59" s="23">
        <v>1.0089999999999999</v>
      </c>
      <c r="T59" s="23">
        <v>1.0089999999999999</v>
      </c>
      <c r="U59" s="23">
        <v>1.0089999999999999</v>
      </c>
      <c r="V59" s="23">
        <v>1.0089999999999999</v>
      </c>
      <c r="W59" s="23">
        <v>1.0089999999999999</v>
      </c>
      <c r="X59" s="23">
        <v>1.0089999999999999</v>
      </c>
      <c r="Y59" s="23">
        <v>1.0089999999999999</v>
      </c>
      <c r="Z59" s="23">
        <v>1.0089999999999999</v>
      </c>
      <c r="AA59" s="23">
        <v>1.0089999999999999</v>
      </c>
      <c r="AB59" s="23">
        <v>1.0089999999999999</v>
      </c>
      <c r="AC59" s="23">
        <v>1.0089999999999999</v>
      </c>
      <c r="AD59" s="23">
        <v>1.0089999999999999</v>
      </c>
      <c r="AE59" s="23">
        <v>1.0089999999999999</v>
      </c>
      <c r="AF59" s="23">
        <v>1.0089999999999999</v>
      </c>
      <c r="AG59" s="23">
        <v>1.0089999999999999</v>
      </c>
      <c r="AH59" s="23">
        <v>1.0089999999999999</v>
      </c>
      <c r="AI59" s="23">
        <v>1.0089999999999999</v>
      </c>
      <c r="AJ59" s="23">
        <v>1.0089999999999999</v>
      </c>
      <c r="AK59" s="24">
        <v>0</v>
      </c>
    </row>
    <row r="60" spans="1:37" ht="15" customHeight="1" x14ac:dyDescent="0.35">
      <c r="A60" s="9" t="s">
        <v>139</v>
      </c>
      <c r="B60" s="22" t="s">
        <v>140</v>
      </c>
      <c r="C60" s="23">
        <v>0.96</v>
      </c>
      <c r="D60" s="23">
        <v>0.96</v>
      </c>
      <c r="E60" s="23">
        <v>0.96</v>
      </c>
      <c r="F60" s="23">
        <v>0.96</v>
      </c>
      <c r="G60" s="23">
        <v>0.96</v>
      </c>
      <c r="H60" s="23">
        <v>0.96</v>
      </c>
      <c r="I60" s="23">
        <v>0.96</v>
      </c>
      <c r="J60" s="23">
        <v>0.96</v>
      </c>
      <c r="K60" s="23">
        <v>0.96</v>
      </c>
      <c r="L60" s="23">
        <v>0.96</v>
      </c>
      <c r="M60" s="23">
        <v>0.96</v>
      </c>
      <c r="N60" s="23">
        <v>0.96</v>
      </c>
      <c r="O60" s="23">
        <v>0.96</v>
      </c>
      <c r="P60" s="23">
        <v>0.96</v>
      </c>
      <c r="Q60" s="23">
        <v>0.96</v>
      </c>
      <c r="R60" s="23">
        <v>0.96</v>
      </c>
      <c r="S60" s="23">
        <v>0.96</v>
      </c>
      <c r="T60" s="23">
        <v>0.96</v>
      </c>
      <c r="U60" s="23">
        <v>0.96</v>
      </c>
      <c r="V60" s="23">
        <v>0.96</v>
      </c>
      <c r="W60" s="23">
        <v>0.96</v>
      </c>
      <c r="X60" s="23">
        <v>0.96</v>
      </c>
      <c r="Y60" s="23">
        <v>0.96</v>
      </c>
      <c r="Z60" s="23">
        <v>0.96</v>
      </c>
      <c r="AA60" s="23">
        <v>0.96</v>
      </c>
      <c r="AB60" s="23">
        <v>0.96</v>
      </c>
      <c r="AC60" s="23">
        <v>0.96</v>
      </c>
      <c r="AD60" s="23">
        <v>0.96</v>
      </c>
      <c r="AE60" s="23">
        <v>0.96</v>
      </c>
      <c r="AF60" s="23">
        <v>0.96</v>
      </c>
      <c r="AG60" s="23">
        <v>0.96</v>
      </c>
      <c r="AH60" s="23">
        <v>0.96</v>
      </c>
      <c r="AI60" s="23">
        <v>0.96</v>
      </c>
      <c r="AJ60" s="23">
        <v>0.96</v>
      </c>
      <c r="AK60" s="24">
        <v>0</v>
      </c>
    </row>
    <row r="62" spans="1:37" ht="15" customHeight="1" x14ac:dyDescent="0.3">
      <c r="B62" s="21" t="s">
        <v>141</v>
      </c>
    </row>
    <row r="63" spans="1:37" ht="15" customHeight="1" x14ac:dyDescent="0.35">
      <c r="A63" s="9" t="s">
        <v>142</v>
      </c>
      <c r="B63" s="22" t="s">
        <v>134</v>
      </c>
      <c r="C63" s="26">
        <v>20.537140000000001</v>
      </c>
      <c r="D63" s="26">
        <v>20.439444999999999</v>
      </c>
      <c r="E63" s="26">
        <v>20.349045</v>
      </c>
      <c r="F63" s="26">
        <v>20.466270000000002</v>
      </c>
      <c r="G63" s="26">
        <v>20.363602</v>
      </c>
      <c r="H63" s="26">
        <v>20.554328999999999</v>
      </c>
      <c r="I63" s="26">
        <v>20.653105</v>
      </c>
      <c r="J63" s="26">
        <v>20.626196</v>
      </c>
      <c r="K63" s="26">
        <v>20.621486999999998</v>
      </c>
      <c r="L63" s="26">
        <v>20.64123</v>
      </c>
      <c r="M63" s="26">
        <v>20.627844</v>
      </c>
      <c r="N63" s="26">
        <v>20.536940000000001</v>
      </c>
      <c r="O63" s="26">
        <v>20.501505000000002</v>
      </c>
      <c r="P63" s="26">
        <v>20.413281999999999</v>
      </c>
      <c r="Q63" s="26">
        <v>20.399070999999999</v>
      </c>
      <c r="R63" s="26">
        <v>20.458255999999999</v>
      </c>
      <c r="S63" s="26">
        <v>20.429285</v>
      </c>
      <c r="T63" s="26">
        <v>20.364529000000001</v>
      </c>
      <c r="U63" s="26">
        <v>20.373262</v>
      </c>
      <c r="V63" s="26">
        <v>20.367173999999999</v>
      </c>
      <c r="W63" s="26">
        <v>20.397617</v>
      </c>
      <c r="X63" s="26">
        <v>20.405455</v>
      </c>
      <c r="Y63" s="26">
        <v>20.39472</v>
      </c>
      <c r="Z63" s="26">
        <v>20.372592999999998</v>
      </c>
      <c r="AA63" s="26">
        <v>20.382771999999999</v>
      </c>
      <c r="AB63" s="26">
        <v>20.366734000000001</v>
      </c>
      <c r="AC63" s="26">
        <v>20.354519</v>
      </c>
      <c r="AD63" s="26">
        <v>20.355229999999999</v>
      </c>
      <c r="AE63" s="26">
        <v>20.386980000000001</v>
      </c>
      <c r="AF63" s="26">
        <v>20.356945</v>
      </c>
      <c r="AG63" s="26">
        <v>20.336355000000001</v>
      </c>
      <c r="AH63" s="26">
        <v>20.357395</v>
      </c>
      <c r="AI63" s="26">
        <v>20.34404</v>
      </c>
      <c r="AJ63" s="26">
        <v>20.347266999999999</v>
      </c>
      <c r="AK63" s="24">
        <v>-1.4100000000000001E-4</v>
      </c>
    </row>
    <row r="64" spans="1:37" ht="15" customHeight="1" x14ac:dyDescent="0.35">
      <c r="A64" s="9" t="s">
        <v>143</v>
      </c>
      <c r="B64" s="22" t="s">
        <v>144</v>
      </c>
      <c r="C64" s="26">
        <v>25.416302000000002</v>
      </c>
      <c r="D64" s="26">
        <v>25.057079000000002</v>
      </c>
      <c r="E64" s="26">
        <v>25.074783</v>
      </c>
      <c r="F64" s="26">
        <v>25.042176999999999</v>
      </c>
      <c r="G64" s="26">
        <v>24.938278</v>
      </c>
      <c r="H64" s="26">
        <v>24.964016000000001</v>
      </c>
      <c r="I64" s="26">
        <v>24.911818</v>
      </c>
      <c r="J64" s="26">
        <v>24.91433</v>
      </c>
      <c r="K64" s="26">
        <v>24.898243000000001</v>
      </c>
      <c r="L64" s="26">
        <v>24.920572</v>
      </c>
      <c r="M64" s="26">
        <v>24.903048999999999</v>
      </c>
      <c r="N64" s="26">
        <v>24.81945</v>
      </c>
      <c r="O64" s="26">
        <v>24.850802999999999</v>
      </c>
      <c r="P64" s="26">
        <v>24.769541</v>
      </c>
      <c r="Q64" s="26">
        <v>24.735579000000001</v>
      </c>
      <c r="R64" s="26">
        <v>24.729203999999999</v>
      </c>
      <c r="S64" s="26">
        <v>24.688946000000001</v>
      </c>
      <c r="T64" s="26">
        <v>24.612100999999999</v>
      </c>
      <c r="U64" s="26">
        <v>24.600828</v>
      </c>
      <c r="V64" s="26">
        <v>24.592124999999999</v>
      </c>
      <c r="W64" s="26">
        <v>24.569109000000001</v>
      </c>
      <c r="X64" s="26">
        <v>24.53866</v>
      </c>
      <c r="Y64" s="26">
        <v>24.501373000000001</v>
      </c>
      <c r="Z64" s="26">
        <v>24.474423999999999</v>
      </c>
      <c r="AA64" s="26">
        <v>24.491461000000001</v>
      </c>
      <c r="AB64" s="26">
        <v>24.462054999999999</v>
      </c>
      <c r="AC64" s="26">
        <v>24.426752</v>
      </c>
      <c r="AD64" s="26">
        <v>24.399635</v>
      </c>
      <c r="AE64" s="26">
        <v>24.407730000000001</v>
      </c>
      <c r="AF64" s="26">
        <v>24.328617000000001</v>
      </c>
      <c r="AG64" s="26">
        <v>24.285736</v>
      </c>
      <c r="AH64" s="26">
        <v>24.280874000000001</v>
      </c>
      <c r="AI64" s="26">
        <v>24.244130999999999</v>
      </c>
      <c r="AJ64" s="26">
        <v>24.256340000000002</v>
      </c>
      <c r="AK64" s="24">
        <v>-1.0139999999999999E-3</v>
      </c>
    </row>
    <row r="65" spans="1:37" ht="15" customHeight="1" x14ac:dyDescent="0.35">
      <c r="A65" s="9" t="s">
        <v>145</v>
      </c>
      <c r="B65" s="22" t="s">
        <v>146</v>
      </c>
      <c r="C65" s="26">
        <v>17.234355999999998</v>
      </c>
      <c r="D65" s="26">
        <v>17.205303000000001</v>
      </c>
      <c r="E65" s="26">
        <v>17.117476</v>
      </c>
      <c r="F65" s="26">
        <v>17.06934</v>
      </c>
      <c r="G65" s="26">
        <v>16.988295000000001</v>
      </c>
      <c r="H65" s="26">
        <v>17.022928</v>
      </c>
      <c r="I65" s="26">
        <v>17.071612999999999</v>
      </c>
      <c r="J65" s="26">
        <v>17.059359000000001</v>
      </c>
      <c r="K65" s="26">
        <v>17.037023999999999</v>
      </c>
      <c r="L65" s="26">
        <v>17.056746</v>
      </c>
      <c r="M65" s="26">
        <v>17.031739999999999</v>
      </c>
      <c r="N65" s="26">
        <v>16.978151</v>
      </c>
      <c r="O65" s="26">
        <v>16.968306999999999</v>
      </c>
      <c r="P65" s="26">
        <v>16.998640000000002</v>
      </c>
      <c r="Q65" s="26">
        <v>16.972049999999999</v>
      </c>
      <c r="R65" s="26">
        <v>17.002645000000001</v>
      </c>
      <c r="S65" s="26">
        <v>17.003274999999999</v>
      </c>
      <c r="T65" s="26">
        <v>17.003226999999999</v>
      </c>
      <c r="U65" s="26">
        <v>17.012267999999999</v>
      </c>
      <c r="V65" s="26">
        <v>17.012785000000001</v>
      </c>
      <c r="W65" s="26">
        <v>17.036083000000001</v>
      </c>
      <c r="X65" s="26">
        <v>17.044588000000001</v>
      </c>
      <c r="Y65" s="26">
        <v>17.050751000000002</v>
      </c>
      <c r="Z65" s="26">
        <v>17.064136999999999</v>
      </c>
      <c r="AA65" s="26">
        <v>17.081581</v>
      </c>
      <c r="AB65" s="26">
        <v>17.08465</v>
      </c>
      <c r="AC65" s="26">
        <v>17.087126000000001</v>
      </c>
      <c r="AD65" s="26">
        <v>17.088546999999998</v>
      </c>
      <c r="AE65" s="26">
        <v>17.086746000000002</v>
      </c>
      <c r="AF65" s="26">
        <v>17.085443000000001</v>
      </c>
      <c r="AG65" s="26">
        <v>17.080282</v>
      </c>
      <c r="AH65" s="26">
        <v>17.077895999999999</v>
      </c>
      <c r="AI65" s="26">
        <v>17.084911000000002</v>
      </c>
      <c r="AJ65" s="26">
        <v>17.086425999999999</v>
      </c>
      <c r="AK65" s="24">
        <v>-2.1699999999999999E-4</v>
      </c>
    </row>
    <row r="66" spans="1:37" ht="15" customHeight="1" x14ac:dyDescent="0.35">
      <c r="A66" s="9" t="s">
        <v>147</v>
      </c>
      <c r="B66" s="22" t="s">
        <v>128</v>
      </c>
      <c r="C66" s="26">
        <v>19.437477000000001</v>
      </c>
      <c r="D66" s="26">
        <v>19.706896</v>
      </c>
      <c r="E66" s="26">
        <v>19.588093000000001</v>
      </c>
      <c r="F66" s="26">
        <v>19.676338000000001</v>
      </c>
      <c r="G66" s="26">
        <v>19.593861</v>
      </c>
      <c r="H66" s="26">
        <v>19.763271</v>
      </c>
      <c r="I66" s="26">
        <v>19.874037000000001</v>
      </c>
      <c r="J66" s="26">
        <v>19.832982999999999</v>
      </c>
      <c r="K66" s="26">
        <v>19.854051999999999</v>
      </c>
      <c r="L66" s="26">
        <v>19.849159</v>
      </c>
      <c r="M66" s="26">
        <v>19.841605999999999</v>
      </c>
      <c r="N66" s="26">
        <v>19.838450999999999</v>
      </c>
      <c r="O66" s="26">
        <v>19.782232</v>
      </c>
      <c r="P66" s="26">
        <v>19.750865999999998</v>
      </c>
      <c r="Q66" s="26">
        <v>19.757529999999999</v>
      </c>
      <c r="R66" s="26">
        <v>19.792145000000001</v>
      </c>
      <c r="S66" s="26">
        <v>19.787579999999998</v>
      </c>
      <c r="T66" s="26">
        <v>19.792100999999999</v>
      </c>
      <c r="U66" s="26">
        <v>19.801369000000001</v>
      </c>
      <c r="V66" s="26">
        <v>19.790552000000002</v>
      </c>
      <c r="W66" s="26">
        <v>19.813770000000002</v>
      </c>
      <c r="X66" s="26">
        <v>19.823812</v>
      </c>
      <c r="Y66" s="26">
        <v>19.819962</v>
      </c>
      <c r="Z66" s="26">
        <v>19.817592999999999</v>
      </c>
      <c r="AA66" s="26">
        <v>19.814734000000001</v>
      </c>
      <c r="AB66" s="26">
        <v>19.808729</v>
      </c>
      <c r="AC66" s="26">
        <v>19.816939999999999</v>
      </c>
      <c r="AD66" s="26">
        <v>19.822158999999999</v>
      </c>
      <c r="AE66" s="26">
        <v>19.832388000000002</v>
      </c>
      <c r="AF66" s="26">
        <v>19.856539000000001</v>
      </c>
      <c r="AG66" s="26">
        <v>19.880623</v>
      </c>
      <c r="AH66" s="26">
        <v>19.899242000000001</v>
      </c>
      <c r="AI66" s="26">
        <v>19.884989000000001</v>
      </c>
      <c r="AJ66" s="26">
        <v>19.887484000000001</v>
      </c>
      <c r="AK66" s="24">
        <v>2.8499999999999999E-4</v>
      </c>
    </row>
    <row r="67" spans="1:37" ht="15" customHeight="1" x14ac:dyDescent="0.35">
      <c r="A67" s="9" t="s">
        <v>148</v>
      </c>
      <c r="B67" s="22" t="s">
        <v>149</v>
      </c>
      <c r="C67" s="26">
        <v>20.319486999999999</v>
      </c>
      <c r="D67" s="26">
        <v>19.866795</v>
      </c>
      <c r="E67" s="26">
        <v>19.877953000000002</v>
      </c>
      <c r="F67" s="26">
        <v>19.862864999999999</v>
      </c>
      <c r="G67" s="26">
        <v>19.866108000000001</v>
      </c>
      <c r="H67" s="26">
        <v>19.864163999999999</v>
      </c>
      <c r="I67" s="26">
        <v>19.86232</v>
      </c>
      <c r="J67" s="26">
        <v>19.858194000000001</v>
      </c>
      <c r="K67" s="26">
        <v>19.854407999999999</v>
      </c>
      <c r="L67" s="26">
        <v>19.851212</v>
      </c>
      <c r="M67" s="26">
        <v>19.848103999999999</v>
      </c>
      <c r="N67" s="26">
        <v>19.846712</v>
      </c>
      <c r="O67" s="26">
        <v>19.844584000000001</v>
      </c>
      <c r="P67" s="26">
        <v>19.843212000000001</v>
      </c>
      <c r="Q67" s="26">
        <v>19.839586000000001</v>
      </c>
      <c r="R67" s="26">
        <v>19.837956999999999</v>
      </c>
      <c r="S67" s="26">
        <v>19.837420999999999</v>
      </c>
      <c r="T67" s="26">
        <v>19.835992999999998</v>
      </c>
      <c r="U67" s="26">
        <v>19.833931</v>
      </c>
      <c r="V67" s="26">
        <v>19.832113</v>
      </c>
      <c r="W67" s="26">
        <v>19.829879999999999</v>
      </c>
      <c r="X67" s="26">
        <v>19.827466999999999</v>
      </c>
      <c r="Y67" s="26">
        <v>19.826221</v>
      </c>
      <c r="Z67" s="26">
        <v>19.825344000000001</v>
      </c>
      <c r="AA67" s="26">
        <v>19.824635000000001</v>
      </c>
      <c r="AB67" s="26">
        <v>19.824231999999999</v>
      </c>
      <c r="AC67" s="26">
        <v>19.824038999999999</v>
      </c>
      <c r="AD67" s="26">
        <v>19.823008999999999</v>
      </c>
      <c r="AE67" s="26">
        <v>19.821570999999999</v>
      </c>
      <c r="AF67" s="26">
        <v>19.888694999999998</v>
      </c>
      <c r="AG67" s="26">
        <v>19.887025999999999</v>
      </c>
      <c r="AH67" s="26">
        <v>19.885117999999999</v>
      </c>
      <c r="AI67" s="26">
        <v>19.883326</v>
      </c>
      <c r="AJ67" s="26">
        <v>19.881367000000001</v>
      </c>
      <c r="AK67" s="24">
        <v>2.3E-5</v>
      </c>
    </row>
    <row r="68" spans="1:37" ht="15" customHeight="1" x14ac:dyDescent="0.35">
      <c r="A68" s="9" t="s">
        <v>150</v>
      </c>
      <c r="B68" s="22" t="s">
        <v>151</v>
      </c>
      <c r="C68" s="26">
        <v>20.775822000000002</v>
      </c>
      <c r="D68" s="26">
        <v>20.838132999999999</v>
      </c>
      <c r="E68" s="26">
        <v>20.733785999999998</v>
      </c>
      <c r="F68" s="26">
        <v>20.902740000000001</v>
      </c>
      <c r="G68" s="26">
        <v>20.866161000000002</v>
      </c>
      <c r="H68" s="26">
        <v>20.867376</v>
      </c>
      <c r="I68" s="26">
        <v>20.866620999999999</v>
      </c>
      <c r="J68" s="26">
        <v>20.916288000000002</v>
      </c>
      <c r="K68" s="26">
        <v>20.915384</v>
      </c>
      <c r="L68" s="26">
        <v>20.913564999999998</v>
      </c>
      <c r="M68" s="26">
        <v>20.910665999999999</v>
      </c>
      <c r="N68" s="26">
        <v>20.907888</v>
      </c>
      <c r="O68" s="26">
        <v>20.903262999999999</v>
      </c>
      <c r="P68" s="26">
        <v>20.898401</v>
      </c>
      <c r="Q68" s="26">
        <v>20.889793000000001</v>
      </c>
      <c r="R68" s="26">
        <v>20.836566999999999</v>
      </c>
      <c r="S68" s="26">
        <v>20.829412000000001</v>
      </c>
      <c r="T68" s="26">
        <v>20.823454000000002</v>
      </c>
      <c r="U68" s="26">
        <v>20.814209000000002</v>
      </c>
      <c r="V68" s="26">
        <v>20.812381999999999</v>
      </c>
      <c r="W68" s="26">
        <v>20.811678000000001</v>
      </c>
      <c r="X68" s="26">
        <v>20.809002</v>
      </c>
      <c r="Y68" s="26">
        <v>20.807103999999999</v>
      </c>
      <c r="Z68" s="26">
        <v>20.806034</v>
      </c>
      <c r="AA68" s="26">
        <v>20.806111999999999</v>
      </c>
      <c r="AB68" s="26">
        <v>20.804993</v>
      </c>
      <c r="AC68" s="26">
        <v>20.804296000000001</v>
      </c>
      <c r="AD68" s="26">
        <v>20.804532999999999</v>
      </c>
      <c r="AE68" s="26">
        <v>20.804535000000001</v>
      </c>
      <c r="AF68" s="26">
        <v>20.801072999999999</v>
      </c>
      <c r="AG68" s="26">
        <v>20.800825</v>
      </c>
      <c r="AH68" s="26">
        <v>20.800813999999999</v>
      </c>
      <c r="AI68" s="26">
        <v>20.801849000000001</v>
      </c>
      <c r="AJ68" s="26">
        <v>20.801618999999999</v>
      </c>
      <c r="AK68" s="24">
        <v>-5.5000000000000002E-5</v>
      </c>
    </row>
    <row r="69" spans="1:37" ht="15" customHeight="1" x14ac:dyDescent="0.35">
      <c r="A69" s="9" t="s">
        <v>152</v>
      </c>
      <c r="B69" s="22" t="s">
        <v>153</v>
      </c>
      <c r="C69" s="26">
        <v>28.674879000000001</v>
      </c>
      <c r="D69" s="26">
        <v>28.554435999999999</v>
      </c>
      <c r="E69" s="26">
        <v>28.562546000000001</v>
      </c>
      <c r="F69" s="26">
        <v>28.504807</v>
      </c>
      <c r="G69" s="26">
        <v>28.443207000000001</v>
      </c>
      <c r="H69" s="26">
        <v>28.442011000000001</v>
      </c>
      <c r="I69" s="26">
        <v>28.435804000000001</v>
      </c>
      <c r="J69" s="26">
        <v>28.436997999999999</v>
      </c>
      <c r="K69" s="26">
        <v>28.439364999999999</v>
      </c>
      <c r="L69" s="26">
        <v>28.441151000000001</v>
      </c>
      <c r="M69" s="26">
        <v>28.441541999999998</v>
      </c>
      <c r="N69" s="26">
        <v>28.444378</v>
      </c>
      <c r="O69" s="26">
        <v>28.445307</v>
      </c>
      <c r="P69" s="26">
        <v>28.448008000000002</v>
      </c>
      <c r="Q69" s="26">
        <v>28.451091999999999</v>
      </c>
      <c r="R69" s="26">
        <v>28.453724000000001</v>
      </c>
      <c r="S69" s="26">
        <v>28.456078999999999</v>
      </c>
      <c r="T69" s="26">
        <v>28.459067999999998</v>
      </c>
      <c r="U69" s="26">
        <v>28.461366999999999</v>
      </c>
      <c r="V69" s="26">
        <v>28.462769000000002</v>
      </c>
      <c r="W69" s="26">
        <v>28.465333999999999</v>
      </c>
      <c r="X69" s="26">
        <v>28.467545999999999</v>
      </c>
      <c r="Y69" s="26">
        <v>28.468142</v>
      </c>
      <c r="Z69" s="26">
        <v>28.467697000000001</v>
      </c>
      <c r="AA69" s="26">
        <v>28.468544000000001</v>
      </c>
      <c r="AB69" s="26">
        <v>28.468433000000001</v>
      </c>
      <c r="AC69" s="26">
        <v>28.468116999999999</v>
      </c>
      <c r="AD69" s="26">
        <v>28.467950999999999</v>
      </c>
      <c r="AE69" s="26">
        <v>28.468955999999999</v>
      </c>
      <c r="AF69" s="26">
        <v>28.468081999999999</v>
      </c>
      <c r="AG69" s="26">
        <v>28.468615</v>
      </c>
      <c r="AH69" s="26">
        <v>28.468512</v>
      </c>
      <c r="AI69" s="26">
        <v>28.468487</v>
      </c>
      <c r="AJ69" s="26">
        <v>28.468031</v>
      </c>
      <c r="AK69" s="24">
        <v>-9.5000000000000005E-5</v>
      </c>
    </row>
    <row r="70" spans="1:37" ht="15" customHeight="1" x14ac:dyDescent="0.35">
      <c r="A70" s="9" t="s">
        <v>154</v>
      </c>
      <c r="B70" s="22" t="s">
        <v>155</v>
      </c>
      <c r="C70" s="26">
        <v>18.994087</v>
      </c>
      <c r="D70" s="26">
        <v>19.243162000000002</v>
      </c>
      <c r="E70" s="26">
        <v>19.070353000000001</v>
      </c>
      <c r="F70" s="26">
        <v>19.169922</v>
      </c>
      <c r="G70" s="26">
        <v>19.089600000000001</v>
      </c>
      <c r="H70" s="26">
        <v>19.276790999999999</v>
      </c>
      <c r="I70" s="26">
        <v>19.411289</v>
      </c>
      <c r="J70" s="26">
        <v>19.366067999999999</v>
      </c>
      <c r="K70" s="26">
        <v>19.385352999999999</v>
      </c>
      <c r="L70" s="26">
        <v>19.372706999999998</v>
      </c>
      <c r="M70" s="26">
        <v>19.360990999999999</v>
      </c>
      <c r="N70" s="26">
        <v>19.352909</v>
      </c>
      <c r="O70" s="26">
        <v>19.300653000000001</v>
      </c>
      <c r="P70" s="26">
        <v>19.265913000000001</v>
      </c>
      <c r="Q70" s="26">
        <v>19.264596999999998</v>
      </c>
      <c r="R70" s="26">
        <v>19.290289000000001</v>
      </c>
      <c r="S70" s="26">
        <v>19.284327000000001</v>
      </c>
      <c r="T70" s="26">
        <v>19.280676</v>
      </c>
      <c r="U70" s="26">
        <v>19.290565000000001</v>
      </c>
      <c r="V70" s="26">
        <v>19.277930999999999</v>
      </c>
      <c r="W70" s="26">
        <v>19.296233999999998</v>
      </c>
      <c r="X70" s="26">
        <v>19.305914000000001</v>
      </c>
      <c r="Y70" s="26">
        <v>19.302322</v>
      </c>
      <c r="Z70" s="26">
        <v>19.303664999999999</v>
      </c>
      <c r="AA70" s="26">
        <v>19.298279000000001</v>
      </c>
      <c r="AB70" s="26">
        <v>19.294079</v>
      </c>
      <c r="AC70" s="26">
        <v>19.303532000000001</v>
      </c>
      <c r="AD70" s="26">
        <v>19.313279999999999</v>
      </c>
      <c r="AE70" s="26">
        <v>19.326996000000001</v>
      </c>
      <c r="AF70" s="26">
        <v>19.356915000000001</v>
      </c>
      <c r="AG70" s="26">
        <v>19.385812999999999</v>
      </c>
      <c r="AH70" s="26">
        <v>19.410371999999999</v>
      </c>
      <c r="AI70" s="26">
        <v>19.396623999999999</v>
      </c>
      <c r="AJ70" s="26">
        <v>19.402521</v>
      </c>
      <c r="AK70" s="24">
        <v>2.5799999999999998E-4</v>
      </c>
    </row>
    <row r="71" spans="1:37" ht="15" customHeight="1" x14ac:dyDescent="0.35">
      <c r="A71" s="9" t="s">
        <v>156</v>
      </c>
      <c r="B71" s="22" t="s">
        <v>136</v>
      </c>
      <c r="C71" s="26">
        <v>22.116496999999999</v>
      </c>
      <c r="D71" s="26">
        <v>23.789541</v>
      </c>
      <c r="E71" s="26">
        <v>23.796752999999999</v>
      </c>
      <c r="F71" s="26">
        <v>23.826194999999998</v>
      </c>
      <c r="G71" s="26">
        <v>23.907088999999999</v>
      </c>
      <c r="H71" s="26">
        <v>23.930762999999999</v>
      </c>
      <c r="I71" s="26">
        <v>23.957257999999999</v>
      </c>
      <c r="J71" s="26">
        <v>23.986702000000001</v>
      </c>
      <c r="K71" s="26">
        <v>24.019024000000002</v>
      </c>
      <c r="L71" s="26">
        <v>24.054967999999999</v>
      </c>
      <c r="M71" s="26">
        <v>24.094473000000001</v>
      </c>
      <c r="N71" s="26">
        <v>24.137136000000002</v>
      </c>
      <c r="O71" s="26">
        <v>24.18609</v>
      </c>
      <c r="P71" s="26">
        <v>24.239874</v>
      </c>
      <c r="Q71" s="26">
        <v>24.258429</v>
      </c>
      <c r="R71" s="26">
        <v>24.257082</v>
      </c>
      <c r="S71" s="26">
        <v>24.255732999999999</v>
      </c>
      <c r="T71" s="26">
        <v>24.254387000000001</v>
      </c>
      <c r="U71" s="26">
        <v>24.253038</v>
      </c>
      <c r="V71" s="26">
        <v>24.25169</v>
      </c>
      <c r="W71" s="26">
        <v>24.250340999999999</v>
      </c>
      <c r="X71" s="26">
        <v>24.248991</v>
      </c>
      <c r="Y71" s="26">
        <v>24.247643</v>
      </c>
      <c r="Z71" s="26">
        <v>24.246292</v>
      </c>
      <c r="AA71" s="26">
        <v>24.244942000000002</v>
      </c>
      <c r="AB71" s="26">
        <v>24.243590999999999</v>
      </c>
      <c r="AC71" s="26">
        <v>24.242241</v>
      </c>
      <c r="AD71" s="26">
        <v>24.240888999999999</v>
      </c>
      <c r="AE71" s="26">
        <v>24.239538</v>
      </c>
      <c r="AF71" s="26">
        <v>24.238185999999999</v>
      </c>
      <c r="AG71" s="26">
        <v>24.236834000000002</v>
      </c>
      <c r="AH71" s="26">
        <v>24.235481</v>
      </c>
      <c r="AI71" s="26">
        <v>24.234128999999999</v>
      </c>
      <c r="AJ71" s="26">
        <v>24.232776999999999</v>
      </c>
      <c r="AK71" s="24">
        <v>5.7700000000000004E-4</v>
      </c>
    </row>
    <row r="72" spans="1:37" ht="15" customHeight="1" x14ac:dyDescent="0.35">
      <c r="A72" s="9" t="s">
        <v>157</v>
      </c>
      <c r="B72" s="22" t="s">
        <v>138</v>
      </c>
      <c r="C72" s="26">
        <v>26.218889000000001</v>
      </c>
      <c r="D72" s="26">
        <v>25.447502</v>
      </c>
      <c r="E72" s="26">
        <v>25.630147999999998</v>
      </c>
      <c r="F72" s="26">
        <v>25.765919</v>
      </c>
      <c r="G72" s="26">
        <v>26.388355000000001</v>
      </c>
      <c r="H72" s="26">
        <v>26.396355</v>
      </c>
      <c r="I72" s="26">
        <v>26.389751</v>
      </c>
      <c r="J72" s="26">
        <v>26.391817</v>
      </c>
      <c r="K72" s="26">
        <v>26.385069000000001</v>
      </c>
      <c r="L72" s="26">
        <v>26.391817</v>
      </c>
      <c r="M72" s="26">
        <v>26.385069000000001</v>
      </c>
      <c r="N72" s="26">
        <v>26.175567999999998</v>
      </c>
      <c r="O72" s="26">
        <v>26.169689000000002</v>
      </c>
      <c r="P72" s="26">
        <v>25.926773000000001</v>
      </c>
      <c r="Q72" s="26">
        <v>25.745951000000002</v>
      </c>
      <c r="R72" s="26">
        <v>25.671246</v>
      </c>
      <c r="S72" s="26">
        <v>25.497976000000001</v>
      </c>
      <c r="T72" s="26">
        <v>25.343997999999999</v>
      </c>
      <c r="U72" s="26">
        <v>25.256226000000002</v>
      </c>
      <c r="V72" s="26">
        <v>25.173838</v>
      </c>
      <c r="W72" s="26">
        <v>25.175093</v>
      </c>
      <c r="X72" s="26">
        <v>25.077670999999999</v>
      </c>
      <c r="Y72" s="26">
        <v>24.968132000000001</v>
      </c>
      <c r="Z72" s="26">
        <v>24.865974000000001</v>
      </c>
      <c r="AA72" s="26">
        <v>24.881556</v>
      </c>
      <c r="AB72" s="26">
        <v>24.859068000000001</v>
      </c>
      <c r="AC72" s="26">
        <v>24.773596000000001</v>
      </c>
      <c r="AD72" s="26">
        <v>24.759015999999999</v>
      </c>
      <c r="AE72" s="26">
        <v>24.856954999999999</v>
      </c>
      <c r="AF72" s="26">
        <v>24.625306999999999</v>
      </c>
      <c r="AG72" s="26">
        <v>24.423266999999999</v>
      </c>
      <c r="AH72" s="26">
        <v>24.423266999999999</v>
      </c>
      <c r="AI72" s="26">
        <v>24.423266999999999</v>
      </c>
      <c r="AJ72" s="26">
        <v>24.423266999999999</v>
      </c>
      <c r="AK72" s="24">
        <v>-1.2830000000000001E-3</v>
      </c>
    </row>
    <row r="73" spans="1:37" ht="15" customHeight="1" x14ac:dyDescent="0.35">
      <c r="A73" s="9" t="s">
        <v>158</v>
      </c>
      <c r="B73" s="22" t="s">
        <v>159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0</v>
      </c>
      <c r="AJ73" s="26">
        <v>0</v>
      </c>
      <c r="AK73" s="24" t="s">
        <v>23</v>
      </c>
    </row>
    <row r="74" spans="1:37" ht="15" customHeight="1" x14ac:dyDescent="0.35">
      <c r="A74" s="9" t="s">
        <v>160</v>
      </c>
      <c r="B74" s="22" t="s">
        <v>161</v>
      </c>
      <c r="C74" s="26">
        <v>12.941471999999999</v>
      </c>
      <c r="D74" s="26">
        <v>11.314271</v>
      </c>
      <c r="E74" s="26">
        <v>11.31427</v>
      </c>
      <c r="F74" s="26">
        <v>11.31427</v>
      </c>
      <c r="G74" s="26">
        <v>11.31427</v>
      </c>
      <c r="H74" s="26">
        <v>11.31427</v>
      </c>
      <c r="I74" s="26">
        <v>11.31427</v>
      </c>
      <c r="J74" s="26">
        <v>11.31427</v>
      </c>
      <c r="K74" s="26">
        <v>11.314271</v>
      </c>
      <c r="L74" s="26">
        <v>11.314271</v>
      </c>
      <c r="M74" s="26">
        <v>11.31427</v>
      </c>
      <c r="N74" s="26">
        <v>11.31427</v>
      </c>
      <c r="O74" s="26">
        <v>11.31427</v>
      </c>
      <c r="P74" s="26">
        <v>11.314271</v>
      </c>
      <c r="Q74" s="26">
        <v>11.314271</v>
      </c>
      <c r="R74" s="26">
        <v>11.31427</v>
      </c>
      <c r="S74" s="26">
        <v>11.31427</v>
      </c>
      <c r="T74" s="26">
        <v>11.31427</v>
      </c>
      <c r="U74" s="26">
        <v>11.314271</v>
      </c>
      <c r="V74" s="26">
        <v>11.31427</v>
      </c>
      <c r="W74" s="26">
        <v>11.31427</v>
      </c>
      <c r="X74" s="26">
        <v>11.314271</v>
      </c>
      <c r="Y74" s="26">
        <v>11.314271</v>
      </c>
      <c r="Z74" s="26">
        <v>11.31427</v>
      </c>
      <c r="AA74" s="26">
        <v>11.314271</v>
      </c>
      <c r="AB74" s="26">
        <v>11.314271</v>
      </c>
      <c r="AC74" s="26">
        <v>11.31427</v>
      </c>
      <c r="AD74" s="26">
        <v>11.314271</v>
      </c>
      <c r="AE74" s="26">
        <v>11.31427</v>
      </c>
      <c r="AF74" s="26">
        <v>11.31427</v>
      </c>
      <c r="AG74" s="26">
        <v>11.31427</v>
      </c>
      <c r="AH74" s="26">
        <v>11.314271</v>
      </c>
      <c r="AI74" s="26">
        <v>11.314271</v>
      </c>
      <c r="AJ74" s="26">
        <v>11.314271</v>
      </c>
      <c r="AK74" s="24">
        <v>0</v>
      </c>
    </row>
    <row r="76" spans="1:37" ht="15" customHeight="1" x14ac:dyDescent="0.3">
      <c r="A76" s="9" t="s">
        <v>162</v>
      </c>
      <c r="B76" s="21" t="s">
        <v>163</v>
      </c>
      <c r="C76" s="27">
        <v>3412</v>
      </c>
      <c r="D76" s="27">
        <v>3412</v>
      </c>
      <c r="E76" s="27">
        <v>3412</v>
      </c>
      <c r="F76" s="27">
        <v>3412</v>
      </c>
      <c r="G76" s="27">
        <v>3412</v>
      </c>
      <c r="H76" s="27">
        <v>3412</v>
      </c>
      <c r="I76" s="27">
        <v>3412</v>
      </c>
      <c r="J76" s="27">
        <v>3412</v>
      </c>
      <c r="K76" s="27">
        <v>3412</v>
      </c>
      <c r="L76" s="27">
        <v>3412</v>
      </c>
      <c r="M76" s="27">
        <v>3412</v>
      </c>
      <c r="N76" s="27">
        <v>3412</v>
      </c>
      <c r="O76" s="27">
        <v>3412</v>
      </c>
      <c r="P76" s="27">
        <v>3412</v>
      </c>
      <c r="Q76" s="27">
        <v>3412</v>
      </c>
      <c r="R76" s="27">
        <v>3412</v>
      </c>
      <c r="S76" s="27">
        <v>3412</v>
      </c>
      <c r="T76" s="27">
        <v>3412</v>
      </c>
      <c r="U76" s="27">
        <v>3412</v>
      </c>
      <c r="V76" s="27">
        <v>3412</v>
      </c>
      <c r="W76" s="27">
        <v>3412</v>
      </c>
      <c r="X76" s="27">
        <v>3412</v>
      </c>
      <c r="Y76" s="27">
        <v>3412</v>
      </c>
      <c r="Z76" s="27">
        <v>3412</v>
      </c>
      <c r="AA76" s="27">
        <v>3412</v>
      </c>
      <c r="AB76" s="27">
        <v>3412</v>
      </c>
      <c r="AC76" s="27">
        <v>3412</v>
      </c>
      <c r="AD76" s="27">
        <v>3412</v>
      </c>
      <c r="AE76" s="27">
        <v>3412</v>
      </c>
      <c r="AF76" s="27">
        <v>3412</v>
      </c>
      <c r="AG76" s="27">
        <v>3412</v>
      </c>
      <c r="AH76" s="27">
        <v>3412</v>
      </c>
      <c r="AI76" s="27">
        <v>3412</v>
      </c>
      <c r="AJ76" s="27">
        <v>3412</v>
      </c>
      <c r="AK76" s="28">
        <v>0</v>
      </c>
    </row>
    <row r="77" spans="1:37" ht="15" customHeight="1" thickBot="1" x14ac:dyDescent="0.35"/>
    <row r="78" spans="1:37" ht="15" customHeight="1" x14ac:dyDescent="0.3">
      <c r="B78" s="96" t="s">
        <v>164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</row>
    <row r="79" spans="1:37" ht="15" customHeight="1" x14ac:dyDescent="0.3">
      <c r="B79" s="11" t="s">
        <v>165</v>
      </c>
    </row>
    <row r="80" spans="1:37" ht="15" customHeight="1" x14ac:dyDescent="0.3">
      <c r="B80" s="11" t="s">
        <v>166</v>
      </c>
    </row>
    <row r="81" spans="2:2" ht="15" customHeight="1" x14ac:dyDescent="0.3">
      <c r="B81" s="11" t="s">
        <v>24</v>
      </c>
    </row>
    <row r="82" spans="2:2" ht="15" customHeight="1" x14ac:dyDescent="0.3">
      <c r="B82" s="11" t="s">
        <v>167</v>
      </c>
    </row>
    <row r="83" spans="2:2" ht="15" customHeight="1" x14ac:dyDescent="0.3">
      <c r="B83" s="11" t="s">
        <v>168</v>
      </c>
    </row>
    <row r="84" spans="2:2" ht="15" customHeight="1" x14ac:dyDescent="0.3">
      <c r="B84" s="11" t="s">
        <v>25</v>
      </c>
    </row>
    <row r="85" spans="2:2" ht="15" customHeight="1" x14ac:dyDescent="0.3">
      <c r="B85" s="11" t="s">
        <v>26</v>
      </c>
    </row>
  </sheetData>
  <mergeCells count="1">
    <mergeCell ref="B78:AK78"/>
  </mergeCells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23"/>
  <sheetViews>
    <sheetView workbookViewId="0">
      <selection activeCell="H3" sqref="H3"/>
    </sheetView>
  </sheetViews>
  <sheetFormatPr defaultRowHeight="14.5" x14ac:dyDescent="0.35"/>
  <cols>
    <col min="1" max="1" width="36.26953125" customWidth="1"/>
    <col min="2" max="35" width="13" customWidth="1"/>
  </cols>
  <sheetData>
    <row r="1" spans="1:35" x14ac:dyDescent="0.35">
      <c r="A1" s="13" t="s">
        <v>198</v>
      </c>
      <c r="B1" s="32">
        <v>2017</v>
      </c>
      <c r="C1" s="5">
        <v>2018</v>
      </c>
      <c r="D1" s="32">
        <v>2019</v>
      </c>
      <c r="E1" s="5">
        <v>2020</v>
      </c>
      <c r="F1" s="32">
        <v>2021</v>
      </c>
      <c r="G1" s="5">
        <v>2022</v>
      </c>
      <c r="H1" s="32">
        <v>2023</v>
      </c>
      <c r="I1" s="5">
        <v>2024</v>
      </c>
      <c r="J1" s="32">
        <v>2025</v>
      </c>
      <c r="K1" s="5">
        <v>2026</v>
      </c>
      <c r="L1" s="32">
        <v>2027</v>
      </c>
      <c r="M1" s="5">
        <v>2028</v>
      </c>
      <c r="N1" s="32">
        <v>2029</v>
      </c>
      <c r="O1" s="5">
        <v>2030</v>
      </c>
      <c r="P1" s="32">
        <v>2031</v>
      </c>
      <c r="Q1" s="5">
        <v>2032</v>
      </c>
      <c r="R1" s="32">
        <v>2033</v>
      </c>
      <c r="S1" s="5">
        <v>2034</v>
      </c>
      <c r="T1" s="32">
        <v>2035</v>
      </c>
      <c r="U1" s="5">
        <v>2036</v>
      </c>
      <c r="V1" s="32">
        <v>2037</v>
      </c>
      <c r="W1" s="5">
        <v>2038</v>
      </c>
      <c r="X1" s="32">
        <v>2039</v>
      </c>
      <c r="Y1" s="5">
        <v>2040</v>
      </c>
      <c r="Z1" s="32">
        <v>2041</v>
      </c>
      <c r="AA1" s="5">
        <v>2042</v>
      </c>
      <c r="AB1" s="32">
        <v>2043</v>
      </c>
      <c r="AC1" s="5">
        <v>2044</v>
      </c>
      <c r="AD1" s="32">
        <v>2045</v>
      </c>
      <c r="AE1" s="5">
        <v>2046</v>
      </c>
      <c r="AF1" s="32">
        <v>2047</v>
      </c>
      <c r="AG1" s="5">
        <v>2048</v>
      </c>
      <c r="AH1" s="32">
        <v>2049</v>
      </c>
      <c r="AI1" s="5">
        <v>2050</v>
      </c>
    </row>
    <row r="2" spans="1:35" x14ac:dyDescent="0.35">
      <c r="A2" s="13" t="s">
        <v>33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</row>
    <row r="3" spans="1:35" x14ac:dyDescent="0.35">
      <c r="A3" s="29" t="s">
        <v>34</v>
      </c>
      <c r="B3" s="12">
        <f>'Coal &amp; Lignite'!G14</f>
        <v>1.0480827326343914E+16</v>
      </c>
      <c r="C3" s="12">
        <f>'Coal &amp; Lignite'!H14</f>
        <v>1.0969837277995976E+16</v>
      </c>
      <c r="D3" s="12">
        <f>'Coal &amp; Lignite'!I14</f>
        <v>1.1481663246491832E+16</v>
      </c>
      <c r="E3" s="12">
        <f>'Coal &amp; Lignite'!J14</f>
        <v>1.2017369771771532E+16</v>
      </c>
      <c r="F3" s="12">
        <f>'Coal &amp; Lignite'!K14</f>
        <v>1.2578071062623628E+16</v>
      </c>
      <c r="G3" s="12">
        <f>'Coal &amp; Lignite'!L14</f>
        <v>1.3164933314113024E+16</v>
      </c>
      <c r="H3" s="12">
        <f>'Coal &amp; Lignite'!M14</f>
        <v>1.3593084906408294E+16</v>
      </c>
      <c r="I3" s="12">
        <f>'Coal &amp; Lignite'!N14</f>
        <v>1.403516089783352E+16</v>
      </c>
      <c r="J3" s="12">
        <f>'Coal &amp; Lignite'!O14</f>
        <v>1.4491614139422354E+16</v>
      </c>
      <c r="K3" s="12">
        <f>'Coal &amp; Lignite'!P14</f>
        <v>1.496291220988587E+16</v>
      </c>
      <c r="L3" s="12">
        <f>'Coal &amp; Lignite'!Q14</f>
        <v>1.5449537894587912E+16</v>
      </c>
      <c r="M3" s="12">
        <f>'Coal &amp; Lignite'!R14</f>
        <v>1.5746474778955824E+16</v>
      </c>
      <c r="N3" s="12">
        <f>'Coal &amp; Lignite'!S14</f>
        <v>1.6049118728085138E+16</v>
      </c>
      <c r="O3" s="12">
        <f>'Coal &amp; Lignite'!T14</f>
        <v>1.6357579430565938E+16</v>
      </c>
      <c r="P3" s="12">
        <f>'Coal &amp; Lignite'!U14</f>
        <v>1.667196868318005E+16</v>
      </c>
      <c r="Q3" s="12">
        <f>'Coal &amp; Lignite'!V14</f>
        <v>1.6992400431420048E+16</v>
      </c>
      <c r="R3" s="12">
        <f>'Coal &amp; Lignite'!W14</f>
        <v>1.7107453142674456E+16</v>
      </c>
      <c r="S3" s="12">
        <f>'Coal &amp; Lignite'!X14</f>
        <v>1.7223284856661316E+16</v>
      </c>
      <c r="T3" s="12">
        <f>'Coal &amp; Lignite'!Y14</f>
        <v>1.7339900847878294E+16</v>
      </c>
      <c r="U3" s="12">
        <f>'Coal &amp; Lignite'!Z14</f>
        <v>1.7457306426535804E+16</v>
      </c>
      <c r="V3" s="12">
        <f>'Coal &amp; Lignite'!AA14</f>
        <v>1.7575506938798808E+16</v>
      </c>
      <c r="W3" s="12">
        <f>'Coal &amp; Lignite'!AB14</f>
        <v>1.756960416568754E+16</v>
      </c>
      <c r="X3" s="12">
        <f>'Coal &amp; Lignite'!AC14</f>
        <v>1.7563703375035756E+16</v>
      </c>
      <c r="Y3" s="12">
        <f>'Coal &amp; Lignite'!AD14</f>
        <v>1.7557804566177642E+16</v>
      </c>
      <c r="Z3" s="12">
        <f>'Coal &amp; Lignite'!AE14</f>
        <v>1.7551907738447608E+16</v>
      </c>
      <c r="AA3" s="12">
        <f>'Coal &amp; Lignite'!AF14</f>
        <v>1.7546012891180288E+16</v>
      </c>
      <c r="AB3" s="12">
        <f>'Coal &amp; Lignite'!AG14</f>
        <v>1.74515684147265E+16</v>
      </c>
      <c r="AC3" s="12">
        <f>'Coal &amp; Lignite'!AH14</f>
        <v>1.7357632302149336E+16</v>
      </c>
      <c r="AD3" s="12">
        <f>'Coal &amp; Lignite'!AI14</f>
        <v>1.726420181709151E+16</v>
      </c>
      <c r="AE3" s="12">
        <f>'Coal &amp; Lignite'!AJ14</f>
        <v>1.717127423792466E+16</v>
      </c>
      <c r="AF3" s="12">
        <f>'Coal &amp; Lignite'!AK14</f>
        <v>1.7078846857670062E+16</v>
      </c>
      <c r="AG3" s="12">
        <f>'Coal &amp; Lignite'!AL14</f>
        <v>1.7078846857670062E+16</v>
      </c>
      <c r="AH3" s="12">
        <f>'Coal &amp; Lignite'!AM14</f>
        <v>1.7078846857670062E+16</v>
      </c>
      <c r="AI3" s="12">
        <f>'Coal &amp; Lignite'!AN14</f>
        <v>1.7078846857670062E+16</v>
      </c>
    </row>
    <row r="4" spans="1:35" x14ac:dyDescent="0.35">
      <c r="A4" s="14" t="s">
        <v>27</v>
      </c>
      <c r="B4" s="12">
        <f>'Natural Gas'!B14</f>
        <v>1175328000000000</v>
      </c>
      <c r="C4" s="12">
        <f>'Natural Gas'!C14</f>
        <v>1214506491721356.5</v>
      </c>
      <c r="D4" s="12">
        <f>'Natural Gas'!D14</f>
        <v>1254990962891480</v>
      </c>
      <c r="E4" s="12">
        <f>'Natural Gas'!E14</f>
        <v>1296824947149509.3</v>
      </c>
      <c r="F4" s="12">
        <f>'Natural Gas'!F14</f>
        <v>1340053429288916.8</v>
      </c>
      <c r="G4" s="12">
        <f>'Natural Gas'!G14</f>
        <v>1384722893630420.8</v>
      </c>
      <c r="H4" s="12">
        <f>'Natural Gas'!H14</f>
        <v>1449342887848250.3</v>
      </c>
      <c r="I4" s="12">
        <f>'Natural Gas'!I14</f>
        <v>1516978462780402</v>
      </c>
      <c r="J4" s="12">
        <f>'Natural Gas'!J14</f>
        <v>1587770344639477.3</v>
      </c>
      <c r="K4" s="12">
        <f>'Natural Gas'!K14</f>
        <v>1661865826819920.3</v>
      </c>
      <c r="L4" s="12">
        <f>'Natural Gas'!L14</f>
        <v>1739419076364571.8</v>
      </c>
      <c r="M4" s="12">
        <f>'Natural Gas'!M14</f>
        <v>1816809204984513.3</v>
      </c>
      <c r="N4" s="12">
        <f>'Natural Gas'!N14</f>
        <v>1897642570538666.5</v>
      </c>
      <c r="O4" s="12">
        <f>'Natural Gas'!O14</f>
        <v>1982072369317004.8</v>
      </c>
      <c r="P4" s="12">
        <f>'Natural Gas'!P14</f>
        <v>2070258613609593.5</v>
      </c>
      <c r="Q4" s="12">
        <f>'Natural Gas'!Q14</f>
        <v>2162368434963655.5</v>
      </c>
      <c r="R4" s="12">
        <f>'Natural Gas'!R14</f>
        <v>2254335327779360.5</v>
      </c>
      <c r="S4" s="12">
        <f>'Natural Gas'!S14</f>
        <v>2350213630527535</v>
      </c>
      <c r="T4" s="12">
        <f>'Natural Gas'!T14</f>
        <v>2450169697938576</v>
      </c>
      <c r="U4" s="12">
        <f>'Natural Gas'!U14</f>
        <v>2554376959914444</v>
      </c>
      <c r="V4" s="12">
        <f>'Natural Gas'!V14</f>
        <v>2663016222440169</v>
      </c>
      <c r="W4" s="12">
        <f>'Natural Gas'!W14</f>
        <v>2782500363638217</v>
      </c>
      <c r="X4" s="12">
        <f>'Natural Gas'!X14</f>
        <v>2907345516112701.5</v>
      </c>
      <c r="Y4" s="12">
        <f>'Natural Gas'!Y14</f>
        <v>3037792217575304.5</v>
      </c>
      <c r="Z4" s="12">
        <f>'Natural Gas'!Z14</f>
        <v>3174091798177372.5</v>
      </c>
      <c r="AA4" s="12">
        <f>'Natural Gas'!AA14</f>
        <v>3316506864744813</v>
      </c>
      <c r="AB4" s="12">
        <f>'Natural Gas'!AB14</f>
        <v>3474467101486871.5</v>
      </c>
      <c r="AC4" s="12">
        <f>'Natural Gas'!AC14</f>
        <v>3639950746866146</v>
      </c>
      <c r="AD4" s="12">
        <f>'Natural Gas'!AD14</f>
        <v>3813316129527173.5</v>
      </c>
      <c r="AE4" s="12">
        <f>'Natural Gas'!AE14</f>
        <v>3994938644769206.5</v>
      </c>
      <c r="AF4" s="12">
        <f>'Natural Gas'!AF14</f>
        <v>4185211567405324</v>
      </c>
      <c r="AG4" s="12">
        <f>'Natural Gas'!AG14</f>
        <v>4185211567405324</v>
      </c>
      <c r="AH4" s="12">
        <f>'Natural Gas'!AH14</f>
        <v>4185211567405324</v>
      </c>
      <c r="AI4" s="12">
        <f>'Natural Gas'!AI14</f>
        <v>4185211567405324</v>
      </c>
    </row>
    <row r="5" spans="1:35" x14ac:dyDescent="0.35">
      <c r="A5" s="14" t="s">
        <v>35</v>
      </c>
      <c r="B5" s="12">
        <f>Nuclear!B11</f>
        <v>140502600000000</v>
      </c>
      <c r="C5" s="12">
        <f>Nuclear!C11</f>
        <v>140502600000000</v>
      </c>
      <c r="D5" s="12">
        <f>Nuclear!D11</f>
        <v>140502600000000</v>
      </c>
      <c r="E5" s="12">
        <f>Nuclear!E11</f>
        <v>140502600000000</v>
      </c>
      <c r="F5" s="12">
        <f>Nuclear!F11</f>
        <v>140502600000000</v>
      </c>
      <c r="G5" s="12">
        <f>Nuclear!G11</f>
        <v>140502600000000</v>
      </c>
      <c r="H5" s="12">
        <f>Nuclear!H11</f>
        <v>140502600000000</v>
      </c>
      <c r="I5" s="12">
        <f>Nuclear!I11</f>
        <v>140502600000000</v>
      </c>
      <c r="J5" s="12">
        <f>Nuclear!J11</f>
        <v>140502600000000</v>
      </c>
      <c r="K5" s="12">
        <f>Nuclear!K11</f>
        <v>140502600000000</v>
      </c>
      <c r="L5" s="12">
        <f>Nuclear!L11</f>
        <v>140502600000000</v>
      </c>
      <c r="M5" s="12">
        <f>Nuclear!M11</f>
        <v>140502600000000</v>
      </c>
      <c r="N5" s="12">
        <f>Nuclear!N11</f>
        <v>140502600000000</v>
      </c>
      <c r="O5" s="12">
        <f>Nuclear!O11</f>
        <v>140502600000000</v>
      </c>
      <c r="P5" s="12">
        <f>Nuclear!P11</f>
        <v>140502600000000</v>
      </c>
      <c r="Q5" s="12">
        <f>Nuclear!Q11</f>
        <v>140502600000000</v>
      </c>
      <c r="R5" s="12">
        <f>Nuclear!R11</f>
        <v>140502600000000</v>
      </c>
      <c r="S5" s="12">
        <f>Nuclear!S11</f>
        <v>140502600000000</v>
      </c>
      <c r="T5" s="12">
        <f>Nuclear!T11</f>
        <v>140502600000000</v>
      </c>
      <c r="U5" s="12">
        <f>Nuclear!U11</f>
        <v>140502600000000</v>
      </c>
      <c r="V5" s="12">
        <f>Nuclear!V11</f>
        <v>140502600000000</v>
      </c>
      <c r="W5" s="12">
        <f>Nuclear!W11</f>
        <v>140502600000000</v>
      </c>
      <c r="X5" s="12">
        <f>Nuclear!X11</f>
        <v>140502600000000</v>
      </c>
      <c r="Y5" s="12">
        <f>Nuclear!Y11</f>
        <v>140502600000000</v>
      </c>
      <c r="Z5" s="12">
        <f>Nuclear!Z11</f>
        <v>140502600000000</v>
      </c>
      <c r="AA5" s="12">
        <f>Nuclear!AA11</f>
        <v>140502600000000</v>
      </c>
      <c r="AB5" s="12">
        <f>Nuclear!AB11</f>
        <v>140502600000000</v>
      </c>
      <c r="AC5" s="12">
        <f>Nuclear!AC11</f>
        <v>140502600000000</v>
      </c>
      <c r="AD5" s="12">
        <f>Nuclear!AD11</f>
        <v>140502600000000</v>
      </c>
      <c r="AE5" s="12">
        <f>Nuclear!AE11</f>
        <v>140502600000000</v>
      </c>
      <c r="AF5" s="12">
        <f>Nuclear!AF11</f>
        <v>140502600000000</v>
      </c>
      <c r="AG5" s="12">
        <f>Nuclear!AG11</f>
        <v>140502600000000</v>
      </c>
      <c r="AH5" s="12">
        <f>Nuclear!AH11</f>
        <v>140502600000000</v>
      </c>
      <c r="AI5" s="12">
        <f>Nuclear!AI11</f>
        <v>140502600000000</v>
      </c>
    </row>
    <row r="6" spans="1:35" x14ac:dyDescent="0.35">
      <c r="A6" s="14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 x14ac:dyDescent="0.35">
      <c r="A7" s="14" t="s">
        <v>37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 x14ac:dyDescent="0.35">
      <c r="A8" s="14" t="s">
        <v>38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x14ac:dyDescent="0.35">
      <c r="A9" s="14" t="s">
        <v>28</v>
      </c>
      <c r="B9" s="91">
        <f>Biomass!B17</f>
        <v>3011480623692003.5</v>
      </c>
      <c r="C9" s="91">
        <f>Biomass!C17</f>
        <v>3067309568052765.5</v>
      </c>
      <c r="D9" s="91">
        <f>Biomass!D17</f>
        <v>3124173508622341.5</v>
      </c>
      <c r="E9" s="91">
        <f>Biomass!E17</f>
        <v>3182091632887877</v>
      </c>
      <c r="F9" s="91">
        <f>Biomass!F17</f>
        <v>3241083484047638.5</v>
      </c>
      <c r="G9" s="91">
        <f>Biomass!G17</f>
        <v>3301168967605438.5</v>
      </c>
      <c r="H9" s="91">
        <f>Biomass!H17</f>
        <v>3358488650742228.5</v>
      </c>
      <c r="I9" s="91">
        <f>Biomass!I17</f>
        <v>3416803601345525.5</v>
      </c>
      <c r="J9" s="91">
        <f>Biomass!J17</f>
        <v>3476131100692470.5</v>
      </c>
      <c r="K9" s="91">
        <f>Biomass!K17</f>
        <v>3536488730122799.5</v>
      </c>
      <c r="L9" s="91">
        <f>Biomass!L17</f>
        <v>3597894376248967</v>
      </c>
      <c r="M9" s="91">
        <f>Biomass!M17</f>
        <v>3656715600132889</v>
      </c>
      <c r="N9" s="91">
        <f>Biomass!N17</f>
        <v>3716498479923676.5</v>
      </c>
      <c r="O9" s="91">
        <f>Biomass!O17</f>
        <v>3777258737532950</v>
      </c>
      <c r="P9" s="91">
        <f>Biomass!P17</f>
        <v>3839012351906578.5</v>
      </c>
      <c r="Q9" s="91">
        <f>Biomass!Q17</f>
        <v>3901775563226879.5</v>
      </c>
      <c r="R9" s="91">
        <f>Biomass!R17</f>
        <v>3962112285390023.5</v>
      </c>
      <c r="S9" s="91">
        <f>Biomass!S17</f>
        <v>4023382049442020</v>
      </c>
      <c r="T9" s="91">
        <f>Biomass!T17</f>
        <v>4085599283862494</v>
      </c>
      <c r="U9" s="91">
        <f>Biomass!U17</f>
        <v>4148778640251839.5</v>
      </c>
      <c r="V9" s="91">
        <f>Biomass!V17</f>
        <v>4212934996781541</v>
      </c>
      <c r="W9" s="91">
        <f>Biomass!W17</f>
        <v>4274803698456875.5</v>
      </c>
      <c r="X9" s="91">
        <f>Biomass!X17</f>
        <v>4337580967734111</v>
      </c>
      <c r="Y9" s="91">
        <f>Biomass!Y17</f>
        <v>4401280147306158</v>
      </c>
      <c r="Z9" s="91">
        <f>Biomass!Z17</f>
        <v>4465914775808918.5</v>
      </c>
      <c r="AA9" s="91">
        <f>Biomass!AA17</f>
        <v>4531498590698791</v>
      </c>
      <c r="AB9" s="91">
        <f>Biomass!AB17</f>
        <v>4594917822444293</v>
      </c>
      <c r="AC9" s="91">
        <f>Biomass!AC17</f>
        <v>4659224619059272</v>
      </c>
      <c r="AD9" s="91">
        <f>Biomass!AD17</f>
        <v>4724431402192112</v>
      </c>
      <c r="AE9" s="91">
        <f>Biomass!AE17</f>
        <v>4790550767334659</v>
      </c>
      <c r="AF9" s="91">
        <f>Biomass!AF17</f>
        <v>4857595486255192</v>
      </c>
      <c r="AG9" s="91">
        <f>Biomass!AG17</f>
        <v>4857595486255192</v>
      </c>
      <c r="AH9" s="91">
        <f>Biomass!AH17</f>
        <v>4857595486255192</v>
      </c>
      <c r="AI9" s="91">
        <f>Biomass!AI17</f>
        <v>4857595486255192</v>
      </c>
    </row>
    <row r="10" spans="1:35" x14ac:dyDescent="0.35">
      <c r="A10" s="29" t="s">
        <v>29</v>
      </c>
      <c r="B10" s="91">
        <f>'Petroleum Products'!J6</f>
        <v>1668106715464803.3</v>
      </c>
      <c r="C10" s="91">
        <f>B10</f>
        <v>1668106715464803.3</v>
      </c>
      <c r="D10" s="91">
        <f t="shared" ref="D10:AI10" si="0">C10</f>
        <v>1668106715464803.3</v>
      </c>
      <c r="E10" s="91">
        <f t="shared" si="0"/>
        <v>1668106715464803.3</v>
      </c>
      <c r="F10" s="91">
        <f t="shared" si="0"/>
        <v>1668106715464803.3</v>
      </c>
      <c r="G10" s="91">
        <f t="shared" si="0"/>
        <v>1668106715464803.3</v>
      </c>
      <c r="H10" s="91">
        <f t="shared" si="0"/>
        <v>1668106715464803.3</v>
      </c>
      <c r="I10" s="91">
        <f t="shared" si="0"/>
        <v>1668106715464803.3</v>
      </c>
      <c r="J10" s="91">
        <f t="shared" si="0"/>
        <v>1668106715464803.3</v>
      </c>
      <c r="K10" s="91">
        <f t="shared" si="0"/>
        <v>1668106715464803.3</v>
      </c>
      <c r="L10" s="91">
        <f t="shared" si="0"/>
        <v>1668106715464803.3</v>
      </c>
      <c r="M10" s="91">
        <f t="shared" si="0"/>
        <v>1668106715464803.3</v>
      </c>
      <c r="N10" s="91">
        <f t="shared" si="0"/>
        <v>1668106715464803.3</v>
      </c>
      <c r="O10" s="91">
        <f t="shared" si="0"/>
        <v>1668106715464803.3</v>
      </c>
      <c r="P10" s="91">
        <f t="shared" si="0"/>
        <v>1668106715464803.3</v>
      </c>
      <c r="Q10" s="91">
        <f t="shared" si="0"/>
        <v>1668106715464803.3</v>
      </c>
      <c r="R10" s="91">
        <f t="shared" si="0"/>
        <v>1668106715464803.3</v>
      </c>
      <c r="S10" s="91">
        <f t="shared" si="0"/>
        <v>1668106715464803.3</v>
      </c>
      <c r="T10" s="91">
        <f t="shared" si="0"/>
        <v>1668106715464803.3</v>
      </c>
      <c r="U10" s="91">
        <f t="shared" si="0"/>
        <v>1668106715464803.3</v>
      </c>
      <c r="V10" s="91">
        <f t="shared" si="0"/>
        <v>1668106715464803.3</v>
      </c>
      <c r="W10" s="91">
        <f t="shared" si="0"/>
        <v>1668106715464803.3</v>
      </c>
      <c r="X10" s="91">
        <f t="shared" si="0"/>
        <v>1668106715464803.3</v>
      </c>
      <c r="Y10" s="91">
        <f t="shared" si="0"/>
        <v>1668106715464803.3</v>
      </c>
      <c r="Z10" s="91">
        <f t="shared" si="0"/>
        <v>1668106715464803.3</v>
      </c>
      <c r="AA10" s="91">
        <f t="shared" si="0"/>
        <v>1668106715464803.3</v>
      </c>
      <c r="AB10" s="91">
        <f t="shared" si="0"/>
        <v>1668106715464803.3</v>
      </c>
      <c r="AC10" s="91">
        <f t="shared" si="0"/>
        <v>1668106715464803.3</v>
      </c>
      <c r="AD10" s="91">
        <f t="shared" si="0"/>
        <v>1668106715464803.3</v>
      </c>
      <c r="AE10" s="91">
        <f t="shared" si="0"/>
        <v>1668106715464803.3</v>
      </c>
      <c r="AF10" s="91">
        <f t="shared" si="0"/>
        <v>1668106715464803.3</v>
      </c>
      <c r="AG10" s="91">
        <f t="shared" si="0"/>
        <v>1668106715464803.3</v>
      </c>
      <c r="AH10" s="91">
        <f t="shared" si="0"/>
        <v>1668106715464803.3</v>
      </c>
      <c r="AI10" s="91">
        <f t="shared" si="0"/>
        <v>1668106715464803.3</v>
      </c>
    </row>
    <row r="11" spans="1:35" x14ac:dyDescent="0.35">
      <c r="A11" s="29" t="s">
        <v>39</v>
      </c>
      <c r="B11" s="91">
        <f>'Petroleum Products'!J13</f>
        <v>4801883515538662</v>
      </c>
      <c r="C11" s="91">
        <f>B11</f>
        <v>4801883515538662</v>
      </c>
      <c r="D11" s="91">
        <f t="shared" ref="D11:AI11" si="1">C11</f>
        <v>4801883515538662</v>
      </c>
      <c r="E11" s="91">
        <f t="shared" si="1"/>
        <v>4801883515538662</v>
      </c>
      <c r="F11" s="91">
        <f t="shared" si="1"/>
        <v>4801883515538662</v>
      </c>
      <c r="G11" s="91">
        <f t="shared" si="1"/>
        <v>4801883515538662</v>
      </c>
      <c r="H11" s="91">
        <f t="shared" si="1"/>
        <v>4801883515538662</v>
      </c>
      <c r="I11" s="91">
        <f t="shared" si="1"/>
        <v>4801883515538662</v>
      </c>
      <c r="J11" s="91">
        <f t="shared" si="1"/>
        <v>4801883515538662</v>
      </c>
      <c r="K11" s="91">
        <f t="shared" si="1"/>
        <v>4801883515538662</v>
      </c>
      <c r="L11" s="91">
        <f t="shared" si="1"/>
        <v>4801883515538662</v>
      </c>
      <c r="M11" s="91">
        <f t="shared" si="1"/>
        <v>4801883515538662</v>
      </c>
      <c r="N11" s="91">
        <f t="shared" si="1"/>
        <v>4801883515538662</v>
      </c>
      <c r="O11" s="91">
        <f t="shared" si="1"/>
        <v>4801883515538662</v>
      </c>
      <c r="P11" s="91">
        <f t="shared" si="1"/>
        <v>4801883515538662</v>
      </c>
      <c r="Q11" s="91">
        <f t="shared" si="1"/>
        <v>4801883515538662</v>
      </c>
      <c r="R11" s="91">
        <f t="shared" si="1"/>
        <v>4801883515538662</v>
      </c>
      <c r="S11" s="91">
        <f t="shared" si="1"/>
        <v>4801883515538662</v>
      </c>
      <c r="T11" s="91">
        <f t="shared" si="1"/>
        <v>4801883515538662</v>
      </c>
      <c r="U11" s="91">
        <f t="shared" si="1"/>
        <v>4801883515538662</v>
      </c>
      <c r="V11" s="91">
        <f t="shared" si="1"/>
        <v>4801883515538662</v>
      </c>
      <c r="W11" s="91">
        <f t="shared" si="1"/>
        <v>4801883515538662</v>
      </c>
      <c r="X11" s="91">
        <f t="shared" si="1"/>
        <v>4801883515538662</v>
      </c>
      <c r="Y11" s="91">
        <f t="shared" si="1"/>
        <v>4801883515538662</v>
      </c>
      <c r="Z11" s="91">
        <f t="shared" si="1"/>
        <v>4801883515538662</v>
      </c>
      <c r="AA11" s="91">
        <f t="shared" si="1"/>
        <v>4801883515538662</v>
      </c>
      <c r="AB11" s="91">
        <f t="shared" si="1"/>
        <v>4801883515538662</v>
      </c>
      <c r="AC11" s="91">
        <f t="shared" si="1"/>
        <v>4801883515538662</v>
      </c>
      <c r="AD11" s="91">
        <f t="shared" si="1"/>
        <v>4801883515538662</v>
      </c>
      <c r="AE11" s="91">
        <f t="shared" si="1"/>
        <v>4801883515538662</v>
      </c>
      <c r="AF11" s="91">
        <f t="shared" si="1"/>
        <v>4801883515538662</v>
      </c>
      <c r="AG11" s="91">
        <f t="shared" si="1"/>
        <v>4801883515538662</v>
      </c>
      <c r="AH11" s="91">
        <f t="shared" si="1"/>
        <v>4801883515538662</v>
      </c>
      <c r="AI11" s="91">
        <f t="shared" si="1"/>
        <v>4801883515538662</v>
      </c>
    </row>
    <row r="12" spans="1:35" x14ac:dyDescent="0.35">
      <c r="A12" s="14" t="s">
        <v>40</v>
      </c>
      <c r="B12" s="12">
        <f>Biofuels!B29</f>
        <v>44278077600000</v>
      </c>
      <c r="C12" s="12">
        <f>Biofuels!C29</f>
        <v>44278077600000</v>
      </c>
      <c r="D12" s="12">
        <f>Biofuels!D29</f>
        <v>44278077600000</v>
      </c>
      <c r="E12" s="12">
        <f>Biofuels!E29</f>
        <v>54407099510073.391</v>
      </c>
      <c r="F12" s="12">
        <f>Biofuels!F29</f>
        <v>66853229352916.359</v>
      </c>
      <c r="G12" s="12">
        <f>Biofuels!G29</f>
        <v>82146527110605.172</v>
      </c>
      <c r="H12" s="12">
        <f>Biofuels!H29</f>
        <v>93706924067730.297</v>
      </c>
      <c r="I12" s="12">
        <f>Biofuels!I29</f>
        <v>106894203895099.78</v>
      </c>
      <c r="J12" s="12">
        <f>Biofuels!J29</f>
        <v>121937316159351.41</v>
      </c>
      <c r="K12" s="12">
        <f>Biofuels!K29</f>
        <v>139097430266069.17</v>
      </c>
      <c r="L12" s="12">
        <f>Biofuels!L29</f>
        <v>158672469724848.59</v>
      </c>
      <c r="M12" s="12">
        <f>Biofuels!M29</f>
        <v>171783754941043.63</v>
      </c>
      <c r="N12" s="12">
        <f>Biofuels!N29</f>
        <v>185978440449164</v>
      </c>
      <c r="O12" s="12">
        <f>Biofuels!O29</f>
        <v>201346048837818.66</v>
      </c>
      <c r="P12" s="12">
        <f>Biofuels!P29</f>
        <v>217983500048128.75</v>
      </c>
      <c r="Q12" s="12">
        <f>Biofuels!Q29</f>
        <v>235995722625312.88</v>
      </c>
      <c r="R12" s="12">
        <f>Biofuels!R29</f>
        <v>254001480559102.5</v>
      </c>
      <c r="S12" s="12">
        <f>Biofuels!S29</f>
        <v>273381023217308.38</v>
      </c>
      <c r="T12" s="12">
        <f>Biofuels!T29</f>
        <v>294239166208136.44</v>
      </c>
      <c r="U12" s="12">
        <f>Biofuels!U29</f>
        <v>316688722252825.25</v>
      </c>
      <c r="V12" s="12">
        <f>Biofuels!V29</f>
        <v>340851111341117.5</v>
      </c>
      <c r="W12" s="12">
        <f>Biofuels!W29</f>
        <v>364018491582454.19</v>
      </c>
      <c r="X12" s="12">
        <f>Biofuels!X29</f>
        <v>388760540320938.69</v>
      </c>
      <c r="Y12" s="12">
        <f>Biofuels!Y29</f>
        <v>415184286527912.56</v>
      </c>
      <c r="Z12" s="12">
        <f>Biofuels!Z29</f>
        <v>443404033849182.06</v>
      </c>
      <c r="AA12" s="12">
        <f>Biofuels!AA29</f>
        <v>473541855058883.13</v>
      </c>
      <c r="AB12" s="12">
        <f>Biofuels!AB29</f>
        <v>504264413088096.69</v>
      </c>
      <c r="AC12" s="12">
        <f>Biofuels!AC29</f>
        <v>536980196344974.69</v>
      </c>
      <c r="AD12" s="12">
        <f>Biofuels!AD29</f>
        <v>571818521756982</v>
      </c>
      <c r="AE12" s="12">
        <f>Biofuels!AE29</f>
        <v>608917096105121.75</v>
      </c>
      <c r="AF12" s="12">
        <f>Biofuels!AF29</f>
        <v>648422560342794.25</v>
      </c>
      <c r="AG12" s="12">
        <f>Biofuels!AG29</f>
        <v>690491069229100.75</v>
      </c>
      <c r="AH12" s="12">
        <f>Biofuels!AH29</f>
        <v>735288908567731</v>
      </c>
      <c r="AI12" s="12">
        <f>Biofuels!AI29</f>
        <v>782993152491217.38</v>
      </c>
    </row>
    <row r="13" spans="1:35" x14ac:dyDescent="0.35">
      <c r="A13" s="14" t="s">
        <v>41</v>
      </c>
      <c r="B13" s="12">
        <f>Biofuels!B30</f>
        <v>11069519400000</v>
      </c>
      <c r="C13" s="12">
        <f>Biofuels!C30</f>
        <v>11069519400000</v>
      </c>
      <c r="D13" s="12">
        <f>Biofuels!D30</f>
        <v>11069519400000</v>
      </c>
      <c r="E13" s="12">
        <f>Biofuels!E30</f>
        <v>13601774877518.348</v>
      </c>
      <c r="F13" s="12">
        <f>Biofuels!F30</f>
        <v>16713307338229.09</v>
      </c>
      <c r="G13" s="12">
        <f>Biofuels!G30</f>
        <v>20536631777651.293</v>
      </c>
      <c r="H13" s="12">
        <f>Biofuels!H30</f>
        <v>23426731016932.574</v>
      </c>
      <c r="I13" s="12">
        <f>Biofuels!I30</f>
        <v>26723550973774.945</v>
      </c>
      <c r="J13" s="12">
        <f>Biofuels!J30</f>
        <v>30484329039837.852</v>
      </c>
      <c r="K13" s="12">
        <f>Biofuels!K30</f>
        <v>34774357566517.293</v>
      </c>
      <c r="L13" s="12">
        <f>Biofuels!L30</f>
        <v>39668117431212.148</v>
      </c>
      <c r="M13" s="12">
        <f>Biofuels!M30</f>
        <v>42945938735260.906</v>
      </c>
      <c r="N13" s="12">
        <f>Biofuels!N30</f>
        <v>46494610112291</v>
      </c>
      <c r="O13" s="12">
        <f>Biofuels!O30</f>
        <v>50336512209454.664</v>
      </c>
      <c r="P13" s="12">
        <f>Biofuels!P30</f>
        <v>54495875012032.188</v>
      </c>
      <c r="Q13" s="12">
        <f>Biofuels!Q30</f>
        <v>58998930656328.219</v>
      </c>
      <c r="R13" s="12">
        <f>Biofuels!R30</f>
        <v>63500370139775.625</v>
      </c>
      <c r="S13" s="12">
        <f>Biofuels!S30</f>
        <v>68345255804327.094</v>
      </c>
      <c r="T13" s="12">
        <f>Biofuels!T30</f>
        <v>73559791552034.109</v>
      </c>
      <c r="U13" s="12">
        <f>Biofuels!U30</f>
        <v>79172180563206.313</v>
      </c>
      <c r="V13" s="12">
        <f>Biofuels!V30</f>
        <v>85212777835279.375</v>
      </c>
      <c r="W13" s="12">
        <f>Biofuels!W30</f>
        <v>91004622895613.547</v>
      </c>
      <c r="X13" s="12">
        <f>Biofuels!X30</f>
        <v>97190135080234.672</v>
      </c>
      <c r="Y13" s="12">
        <f>Biofuels!Y30</f>
        <v>103796071631978.14</v>
      </c>
      <c r="Z13" s="12">
        <f>Biofuels!Z30</f>
        <v>110851008462295.52</v>
      </c>
      <c r="AA13" s="12">
        <f>Biofuels!AA30</f>
        <v>118385463764720.78</v>
      </c>
      <c r="AB13" s="12">
        <f>Biofuels!AB30</f>
        <v>126066103272024.17</v>
      </c>
      <c r="AC13" s="12">
        <f>Biofuels!AC30</f>
        <v>134245049086243.67</v>
      </c>
      <c r="AD13" s="12">
        <f>Biofuels!AD30</f>
        <v>142954630439245.5</v>
      </c>
      <c r="AE13" s="12">
        <f>Biofuels!AE30</f>
        <v>152229274026280.44</v>
      </c>
      <c r="AF13" s="12">
        <f>Biofuels!AF30</f>
        <v>162105640085698.56</v>
      </c>
      <c r="AG13" s="12">
        <f>Biofuels!AG30</f>
        <v>172622767307275.19</v>
      </c>
      <c r="AH13" s="12">
        <f>Biofuels!AH30</f>
        <v>183822227141932.75</v>
      </c>
      <c r="AI13" s="12">
        <f>Biofuels!AI30</f>
        <v>195748288122804.34</v>
      </c>
    </row>
    <row r="14" spans="1:35" x14ac:dyDescent="0.35">
      <c r="A14" s="29" t="s">
        <v>30</v>
      </c>
      <c r="B14" s="12">
        <f>'Petroleum Products'!B13</f>
        <v>670364225570218.5</v>
      </c>
      <c r="C14">
        <f>B14</f>
        <v>670364225570218.5</v>
      </c>
      <c r="D14">
        <f t="shared" ref="D14:AI14" si="2">C14</f>
        <v>670364225570218.5</v>
      </c>
      <c r="E14">
        <f t="shared" si="2"/>
        <v>670364225570218.5</v>
      </c>
      <c r="F14">
        <f t="shared" si="2"/>
        <v>670364225570218.5</v>
      </c>
      <c r="G14">
        <f t="shared" si="2"/>
        <v>670364225570218.5</v>
      </c>
      <c r="H14">
        <f t="shared" si="2"/>
        <v>670364225570218.5</v>
      </c>
      <c r="I14">
        <f t="shared" si="2"/>
        <v>670364225570218.5</v>
      </c>
      <c r="J14">
        <f t="shared" si="2"/>
        <v>670364225570218.5</v>
      </c>
      <c r="K14">
        <f t="shared" si="2"/>
        <v>670364225570218.5</v>
      </c>
      <c r="L14">
        <f t="shared" si="2"/>
        <v>670364225570218.5</v>
      </c>
      <c r="M14">
        <f t="shared" si="2"/>
        <v>670364225570218.5</v>
      </c>
      <c r="N14">
        <f t="shared" si="2"/>
        <v>670364225570218.5</v>
      </c>
      <c r="O14">
        <f t="shared" si="2"/>
        <v>670364225570218.5</v>
      </c>
      <c r="P14">
        <f t="shared" si="2"/>
        <v>670364225570218.5</v>
      </c>
      <c r="Q14">
        <f t="shared" si="2"/>
        <v>670364225570218.5</v>
      </c>
      <c r="R14">
        <f t="shared" si="2"/>
        <v>670364225570218.5</v>
      </c>
      <c r="S14">
        <f t="shared" si="2"/>
        <v>670364225570218.5</v>
      </c>
      <c r="T14">
        <f t="shared" si="2"/>
        <v>670364225570218.5</v>
      </c>
      <c r="U14">
        <f t="shared" si="2"/>
        <v>670364225570218.5</v>
      </c>
      <c r="V14">
        <f t="shared" si="2"/>
        <v>670364225570218.5</v>
      </c>
      <c r="W14">
        <f t="shared" si="2"/>
        <v>670364225570218.5</v>
      </c>
      <c r="X14">
        <f t="shared" si="2"/>
        <v>670364225570218.5</v>
      </c>
      <c r="Y14">
        <f t="shared" si="2"/>
        <v>670364225570218.5</v>
      </c>
      <c r="Z14">
        <f t="shared" si="2"/>
        <v>670364225570218.5</v>
      </c>
      <c r="AA14">
        <f t="shared" si="2"/>
        <v>670364225570218.5</v>
      </c>
      <c r="AB14">
        <f t="shared" si="2"/>
        <v>670364225570218.5</v>
      </c>
      <c r="AC14">
        <f t="shared" si="2"/>
        <v>670364225570218.5</v>
      </c>
      <c r="AD14">
        <f t="shared" si="2"/>
        <v>670364225570218.5</v>
      </c>
      <c r="AE14">
        <f t="shared" si="2"/>
        <v>670364225570218.5</v>
      </c>
      <c r="AF14">
        <f t="shared" si="2"/>
        <v>670364225570218.5</v>
      </c>
      <c r="AG14">
        <f t="shared" si="2"/>
        <v>670364225570218.5</v>
      </c>
      <c r="AH14">
        <f t="shared" si="2"/>
        <v>670364225570218.5</v>
      </c>
      <c r="AI14">
        <f t="shared" si="2"/>
        <v>670364225570218.5</v>
      </c>
    </row>
    <row r="15" spans="1:35" x14ac:dyDescent="0.35">
      <c r="A15" s="14" t="s">
        <v>49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</row>
    <row r="16" spans="1:35" x14ac:dyDescent="0.35">
      <c r="A16" s="14" t="s">
        <v>43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</row>
    <row r="17" spans="1:35" x14ac:dyDescent="0.35">
      <c r="A17" s="29" t="s">
        <v>44</v>
      </c>
      <c r="B17" s="12">
        <f>'Coal &amp; Lignite'!G18</f>
        <v>621866666666666.63</v>
      </c>
      <c r="C17" s="12">
        <f>'Coal &amp; Lignite'!H18</f>
        <v>650881455206912.13</v>
      </c>
      <c r="D17" s="12">
        <f>'Coal &amp; Lignite'!I18</f>
        <v>681250003321613.88</v>
      </c>
      <c r="E17" s="12">
        <f>'Coal &amp; Lignite'!J18</f>
        <v>713035474145078</v>
      </c>
      <c r="F17" s="12">
        <f>'Coal &amp; Lignite'!K18</f>
        <v>746303977850073.38</v>
      </c>
      <c r="G17" s="12">
        <f>'Coal &amp; Lignite'!L18</f>
        <v>781124709149490.13</v>
      </c>
      <c r="H17" s="12">
        <f>'Coal &amp; Lignite'!M18</f>
        <v>806528543716962.5</v>
      </c>
      <c r="I17" s="12">
        <f>'Coal &amp; Lignite'!N18</f>
        <v>832758564939616</v>
      </c>
      <c r="J17" s="12">
        <f>'Coal &amp; Lignite'!O18</f>
        <v>859841642162209.75</v>
      </c>
      <c r="K17" s="12">
        <f>'Coal &amp; Lignite'!P18</f>
        <v>887805518577662.25</v>
      </c>
      <c r="L17" s="12">
        <f>'Coal &amp; Lignite'!Q18</f>
        <v>916678839646449.13</v>
      </c>
      <c r="M17" s="12">
        <f>'Coal &amp; Lignite'!R18</f>
        <v>934297215061157.38</v>
      </c>
      <c r="N17" s="12">
        <f>'Coal &amp; Lignite'!S18</f>
        <v>952254211963379.5</v>
      </c>
      <c r="O17" s="12">
        <f>'Coal &amp; Lignite'!T18</f>
        <v>970556338587223.75</v>
      </c>
      <c r="P17" s="12">
        <f>'Coal &amp; Lignite'!U18</f>
        <v>989210228253695.63</v>
      </c>
      <c r="Q17" s="12">
        <f>'Coal &amp; Lignite'!V18</f>
        <v>1008222641774841.9</v>
      </c>
      <c r="R17" s="12">
        <f>'Coal &amp; Lignite'!W18</f>
        <v>1015049149245192.4</v>
      </c>
      <c r="S17" s="12">
        <f>'Coal &amp; Lignite'!X18</f>
        <v>1021921877859873.4</v>
      </c>
      <c r="T17" s="12">
        <f>'Coal &amp; Lignite'!Y18</f>
        <v>1028841140574549.6</v>
      </c>
      <c r="U17" s="12">
        <f>'Coal &amp; Lignite'!Z18</f>
        <v>1035807252463856.5</v>
      </c>
      <c r="V17" s="12">
        <f>'Coal &amp; Lignite'!AA18</f>
        <v>1042820530735747.3</v>
      </c>
      <c r="W17" s="12">
        <f>'Coal &amp; Lignite'!AB18</f>
        <v>1042470297140202.1</v>
      </c>
      <c r="X17" s="12">
        <f>'Coal &amp; Lignite'!AC18</f>
        <v>1042120181171389.4</v>
      </c>
      <c r="Y17" s="12">
        <f>'Coal &amp; Lignite'!AD18</f>
        <v>1041770182789803.8</v>
      </c>
      <c r="Z17" s="12">
        <f>'Coal &amp; Lignite'!AE18</f>
        <v>1041420301955953.3</v>
      </c>
      <c r="AA17" s="12">
        <f>'Coal &amp; Lignite'!AF18</f>
        <v>1041070538630359.4</v>
      </c>
      <c r="AB17" s="12">
        <f>'Coal &amp; Lignite'!AG18</f>
        <v>1035466794772298.6</v>
      </c>
      <c r="AC17" s="12">
        <f>'Coal &amp; Lignite'!AH18</f>
        <v>1029893214043499.1</v>
      </c>
      <c r="AD17" s="12">
        <f>'Coal &amp; Lignite'!AI18</f>
        <v>1024349634085653.6</v>
      </c>
      <c r="AE17" s="12">
        <f>'Coal &amp; Lignite'!AJ18</f>
        <v>1018835893414376.9</v>
      </c>
      <c r="AF17" s="12">
        <f>'Coal &amp; Lignite'!AK18</f>
        <v>1013351831414501.4</v>
      </c>
      <c r="AG17" s="12">
        <f>'Coal &amp; Lignite'!AL18</f>
        <v>1013351831414501.4</v>
      </c>
      <c r="AH17" s="12">
        <f>'Coal &amp; Lignite'!AM18</f>
        <v>1013351831414501.4</v>
      </c>
      <c r="AI17" s="12">
        <f>'Coal &amp; Lignite'!AN18</f>
        <v>1013351831414501.4</v>
      </c>
    </row>
    <row r="18" spans="1:35" x14ac:dyDescent="0.35">
      <c r="A18" s="14" t="s">
        <v>31</v>
      </c>
      <c r="B18" s="12">
        <f>'Crude Oil'!B14</f>
        <v>1496798572416000</v>
      </c>
      <c r="C18" s="12">
        <f>'Crude Oil'!C14</f>
        <v>1513189219770922.8</v>
      </c>
      <c r="D18" s="12">
        <f>'Crude Oil'!D14</f>
        <v>1529759352412419.5</v>
      </c>
      <c r="E18" s="12">
        <f>'Crude Oil'!E14</f>
        <v>1546510935788675.3</v>
      </c>
      <c r="F18" s="12">
        <f>'Crude Oil'!F14</f>
        <v>1563445956870455.8</v>
      </c>
      <c r="G18" s="12">
        <f>'Crude Oil'!G14</f>
        <v>1580566424386790</v>
      </c>
      <c r="H18" s="12">
        <f>'Crude Oil'!H14</f>
        <v>1599743929686187.3</v>
      </c>
      <c r="I18" s="12">
        <f>'Crude Oil'!I14</f>
        <v>1619154121637555.5</v>
      </c>
      <c r="J18" s="12">
        <f>'Crude Oil'!J14</f>
        <v>1638799823500602.5</v>
      </c>
      <c r="K18" s="12">
        <f>'Crude Oil'!K14</f>
        <v>1658683892790526.3</v>
      </c>
      <c r="L18" s="12">
        <f>'Crude Oil'!L14</f>
        <v>1678809221693647.8</v>
      </c>
      <c r="M18" s="12">
        <f>'Crude Oil'!M14</f>
        <v>1699242597797572.5</v>
      </c>
      <c r="N18" s="12">
        <f>'Crude Oil'!N14</f>
        <v>1719924675691795.5</v>
      </c>
      <c r="O18" s="12">
        <f>'Crude Oil'!O14</f>
        <v>1740858482413072</v>
      </c>
      <c r="P18" s="12">
        <f>'Crude Oil'!P14</f>
        <v>1762047081841283.5</v>
      </c>
      <c r="Q18" s="12">
        <f>'Crude Oil'!Q14</f>
        <v>1783493575147868.5</v>
      </c>
      <c r="R18" s="12">
        <f>'Crude Oil'!R14</f>
        <v>1805269721265278.3</v>
      </c>
      <c r="S18" s="12">
        <f>'Crude Oil'!S14</f>
        <v>1827311750336422.5</v>
      </c>
      <c r="T18" s="12">
        <f>'Crude Oil'!T14</f>
        <v>1849622908745886.5</v>
      </c>
      <c r="U18" s="12">
        <f>'Crude Oil'!U14</f>
        <v>1872206482516046.8</v>
      </c>
      <c r="V18" s="12">
        <f>'Crude Oil'!V14</f>
        <v>1895065797791040.5</v>
      </c>
      <c r="W18" s="12">
        <f>'Crude Oil'!W14</f>
        <v>1918277945849556.5</v>
      </c>
      <c r="X18" s="12">
        <f>'Crude Oil'!X14</f>
        <v>1941774413227284.8</v>
      </c>
      <c r="Y18" s="12">
        <f>'Crude Oil'!Y14</f>
        <v>1965558682474615.5</v>
      </c>
      <c r="Z18" s="12">
        <f>'Crude Oil'!Z14</f>
        <v>1989634278798756</v>
      </c>
      <c r="AA18" s="12">
        <f>'Crude Oil'!AA14</f>
        <v>2014004770586222.5</v>
      </c>
      <c r="AB18" s="12">
        <f>'Crude Oil'!AB14</f>
        <v>2038752967857663.5</v>
      </c>
      <c r="AC18" s="12">
        <f>'Crude Oil'!AC14</f>
        <v>2063805272287702.5</v>
      </c>
      <c r="AD18" s="12">
        <f>'Crude Oil'!AD14</f>
        <v>2089165420761208.5</v>
      </c>
      <c r="AE18" s="12">
        <f>'Crude Oil'!AE14</f>
        <v>2114837196082089</v>
      </c>
      <c r="AF18" s="12">
        <f>'Crude Oil'!AF14</f>
        <v>2140824427537546.8</v>
      </c>
      <c r="AG18" s="12">
        <f>'Crude Oil'!AG14</f>
        <v>2140824427537546.8</v>
      </c>
      <c r="AH18" s="12">
        <f>'Crude Oil'!AH14</f>
        <v>2140824427537546.8</v>
      </c>
      <c r="AI18" s="12">
        <f>'Crude Oil'!AI14</f>
        <v>2140824427537546.8</v>
      </c>
    </row>
    <row r="19" spans="1:35" x14ac:dyDescent="0.35">
      <c r="A19" s="29" t="s">
        <v>45</v>
      </c>
      <c r="B19" s="12">
        <f>'Petroleum Products'!B21</f>
        <v>401963368680000</v>
      </c>
      <c r="C19">
        <f>B19</f>
        <v>401963368680000</v>
      </c>
      <c r="D19">
        <f t="shared" ref="D19:AI19" si="3">C19</f>
        <v>401963368680000</v>
      </c>
      <c r="E19">
        <f t="shared" si="3"/>
        <v>401963368680000</v>
      </c>
      <c r="F19">
        <f t="shared" si="3"/>
        <v>401963368680000</v>
      </c>
      <c r="G19">
        <f t="shared" si="3"/>
        <v>401963368680000</v>
      </c>
      <c r="H19">
        <f t="shared" si="3"/>
        <v>401963368680000</v>
      </c>
      <c r="I19">
        <f t="shared" si="3"/>
        <v>401963368680000</v>
      </c>
      <c r="J19">
        <f t="shared" si="3"/>
        <v>401963368680000</v>
      </c>
      <c r="K19">
        <f t="shared" si="3"/>
        <v>401963368680000</v>
      </c>
      <c r="L19">
        <f t="shared" si="3"/>
        <v>401963368680000</v>
      </c>
      <c r="M19">
        <f t="shared" si="3"/>
        <v>401963368680000</v>
      </c>
      <c r="N19">
        <f t="shared" si="3"/>
        <v>401963368680000</v>
      </c>
      <c r="O19">
        <f t="shared" si="3"/>
        <v>401963368680000</v>
      </c>
      <c r="P19">
        <f t="shared" si="3"/>
        <v>401963368680000</v>
      </c>
      <c r="Q19">
        <f t="shared" si="3"/>
        <v>401963368680000</v>
      </c>
      <c r="R19">
        <f t="shared" si="3"/>
        <v>401963368680000</v>
      </c>
      <c r="S19">
        <f t="shared" si="3"/>
        <v>401963368680000</v>
      </c>
      <c r="T19">
        <f t="shared" si="3"/>
        <v>401963368680000</v>
      </c>
      <c r="U19">
        <f t="shared" si="3"/>
        <v>401963368680000</v>
      </c>
      <c r="V19">
        <f t="shared" si="3"/>
        <v>401963368680000</v>
      </c>
      <c r="W19">
        <f t="shared" si="3"/>
        <v>401963368680000</v>
      </c>
      <c r="X19">
        <f t="shared" si="3"/>
        <v>401963368680000</v>
      </c>
      <c r="Y19">
        <f t="shared" si="3"/>
        <v>401963368680000</v>
      </c>
      <c r="Z19">
        <f t="shared" si="3"/>
        <v>401963368680000</v>
      </c>
      <c r="AA19">
        <f t="shared" si="3"/>
        <v>401963368680000</v>
      </c>
      <c r="AB19">
        <f t="shared" si="3"/>
        <v>401963368680000</v>
      </c>
      <c r="AC19">
        <f t="shared" si="3"/>
        <v>401963368680000</v>
      </c>
      <c r="AD19">
        <f t="shared" si="3"/>
        <v>401963368680000</v>
      </c>
      <c r="AE19">
        <f t="shared" si="3"/>
        <v>401963368680000</v>
      </c>
      <c r="AF19">
        <f t="shared" si="3"/>
        <v>401963368680000</v>
      </c>
      <c r="AG19">
        <f t="shared" si="3"/>
        <v>401963368680000</v>
      </c>
      <c r="AH19">
        <f t="shared" si="3"/>
        <v>401963368680000</v>
      </c>
      <c r="AI19">
        <f t="shared" si="3"/>
        <v>401963368680000</v>
      </c>
    </row>
    <row r="20" spans="1:35" x14ac:dyDescent="0.35">
      <c r="A20" s="29" t="s">
        <v>32</v>
      </c>
      <c r="B20" s="91">
        <f>'Petroleum Products'!B5</f>
        <v>554773438980000</v>
      </c>
      <c r="C20" s="31">
        <f>B20</f>
        <v>554773438980000</v>
      </c>
      <c r="D20" s="31">
        <f t="shared" ref="D20:AI20" si="4">C20</f>
        <v>554773438980000</v>
      </c>
      <c r="E20" s="31">
        <f t="shared" si="4"/>
        <v>554773438980000</v>
      </c>
      <c r="F20" s="31">
        <f t="shared" si="4"/>
        <v>554773438980000</v>
      </c>
      <c r="G20" s="31">
        <f t="shared" si="4"/>
        <v>554773438980000</v>
      </c>
      <c r="H20" s="31">
        <f t="shared" si="4"/>
        <v>554773438980000</v>
      </c>
      <c r="I20" s="31">
        <f t="shared" si="4"/>
        <v>554773438980000</v>
      </c>
      <c r="J20" s="31">
        <f t="shared" si="4"/>
        <v>554773438980000</v>
      </c>
      <c r="K20" s="31">
        <f t="shared" si="4"/>
        <v>554773438980000</v>
      </c>
      <c r="L20" s="31">
        <f t="shared" si="4"/>
        <v>554773438980000</v>
      </c>
      <c r="M20" s="31">
        <f t="shared" si="4"/>
        <v>554773438980000</v>
      </c>
      <c r="N20" s="31">
        <f t="shared" si="4"/>
        <v>554773438980000</v>
      </c>
      <c r="O20" s="31">
        <f t="shared" si="4"/>
        <v>554773438980000</v>
      </c>
      <c r="P20" s="31">
        <f t="shared" si="4"/>
        <v>554773438980000</v>
      </c>
      <c r="Q20" s="31">
        <f t="shared" si="4"/>
        <v>554773438980000</v>
      </c>
      <c r="R20" s="31">
        <f t="shared" si="4"/>
        <v>554773438980000</v>
      </c>
      <c r="S20" s="31">
        <f t="shared" si="4"/>
        <v>554773438980000</v>
      </c>
      <c r="T20" s="31">
        <f t="shared" si="4"/>
        <v>554773438980000</v>
      </c>
      <c r="U20" s="31">
        <f t="shared" si="4"/>
        <v>554773438980000</v>
      </c>
      <c r="V20" s="31">
        <f t="shared" si="4"/>
        <v>554773438980000</v>
      </c>
      <c r="W20" s="31">
        <f t="shared" si="4"/>
        <v>554773438980000</v>
      </c>
      <c r="X20" s="31">
        <f t="shared" si="4"/>
        <v>554773438980000</v>
      </c>
      <c r="Y20" s="31">
        <f t="shared" si="4"/>
        <v>554773438980000</v>
      </c>
      <c r="Z20" s="31">
        <f t="shared" si="4"/>
        <v>554773438980000</v>
      </c>
      <c r="AA20" s="31">
        <f t="shared" si="4"/>
        <v>554773438980000</v>
      </c>
      <c r="AB20" s="31">
        <f t="shared" si="4"/>
        <v>554773438980000</v>
      </c>
      <c r="AC20" s="31">
        <f t="shared" si="4"/>
        <v>554773438980000</v>
      </c>
      <c r="AD20" s="31">
        <f t="shared" si="4"/>
        <v>554773438980000</v>
      </c>
      <c r="AE20" s="31">
        <f t="shared" si="4"/>
        <v>554773438980000</v>
      </c>
      <c r="AF20" s="31">
        <f t="shared" si="4"/>
        <v>554773438980000</v>
      </c>
      <c r="AG20" s="31">
        <f t="shared" si="4"/>
        <v>554773438980000</v>
      </c>
      <c r="AH20" s="31">
        <f t="shared" si="4"/>
        <v>554773438980000</v>
      </c>
      <c r="AI20" s="31">
        <f t="shared" si="4"/>
        <v>554773438980000</v>
      </c>
    </row>
    <row r="21" spans="1:35" x14ac:dyDescent="0.35">
      <c r="A21" s="14" t="s">
        <v>46</v>
      </c>
      <c r="B21" s="12">
        <f>MSW!J11</f>
        <v>292325783696246.81</v>
      </c>
      <c r="C21" s="12">
        <f>MSW!K11</f>
        <v>325524222333581</v>
      </c>
      <c r="D21" s="12">
        <f>MSW!L11</f>
        <v>360426895057260.06</v>
      </c>
      <c r="E21" s="12">
        <f>MSW!M11</f>
        <v>397033801867308.63</v>
      </c>
      <c r="F21" s="12">
        <f>MSW!N11</f>
        <v>435344942763714.56</v>
      </c>
      <c r="G21" s="12">
        <f>MSW!O11</f>
        <v>475360317746471.19</v>
      </c>
      <c r="H21" s="12">
        <f>MSW!P11</f>
        <v>499326109585869.19</v>
      </c>
      <c r="I21" s="12">
        <f>MSW!Q11</f>
        <v>523291901425259.5</v>
      </c>
      <c r="J21" s="12">
        <f>MSW!R11</f>
        <v>547257693264657.31</v>
      </c>
      <c r="K21" s="12">
        <f>MSW!S11</f>
        <v>571223485104055.38</v>
      </c>
      <c r="L21" s="12">
        <f>MSW!T11</f>
        <v>595189276943453.25</v>
      </c>
      <c r="M21" s="12">
        <f>MSW!U11</f>
        <v>619155068782843.5</v>
      </c>
      <c r="N21" s="12">
        <f>MSW!V11</f>
        <v>643120860622241.63</v>
      </c>
      <c r="O21" s="12">
        <f>MSW!W11</f>
        <v>667086652461639.5</v>
      </c>
      <c r="P21" s="12">
        <f>MSW!X11</f>
        <v>691052444301037.5</v>
      </c>
      <c r="Q21" s="12">
        <f>MSW!Y11</f>
        <v>750789354159276.13</v>
      </c>
      <c r="R21" s="12">
        <f>MSW!Z11</f>
        <v>810526264017515</v>
      </c>
      <c r="S21" s="12">
        <f>MSW!AA11</f>
        <v>870263173875753.75</v>
      </c>
      <c r="T21" s="12">
        <f>MSW!AB11</f>
        <v>930000083733992.63</v>
      </c>
      <c r="U21" s="12">
        <f>MSW!AC11</f>
        <v>989736993592231.38</v>
      </c>
      <c r="V21" s="12">
        <f>MSW!AD11</f>
        <v>1049473903450470.3</v>
      </c>
      <c r="W21" s="12">
        <f>MSW!AE11</f>
        <v>1109210813308708.9</v>
      </c>
      <c r="X21" s="12">
        <f>MSW!AF11</f>
        <v>1168947723166963</v>
      </c>
      <c r="Y21" s="12">
        <f>MSW!AG11</f>
        <v>1228684633025201.8</v>
      </c>
      <c r="Z21" s="12">
        <f>MSW!AH11</f>
        <v>1288421542883440.8</v>
      </c>
      <c r="AA21" s="12">
        <f>MSW!AI11</f>
        <v>1348158452741679.5</v>
      </c>
      <c r="AB21" s="12">
        <f>MSW!AJ11</f>
        <v>1407895362599918.3</v>
      </c>
      <c r="AC21" s="12">
        <f>MSW!AK11</f>
        <v>1467632272458157</v>
      </c>
      <c r="AD21" s="12">
        <f>MSW!AL11</f>
        <v>1527369182316395.8</v>
      </c>
      <c r="AE21" s="12">
        <f>MSW!AM11</f>
        <v>1587106092174634.5</v>
      </c>
      <c r="AF21" s="12">
        <f>MSW!AN11</f>
        <v>1646843002032873.3</v>
      </c>
      <c r="AG21" s="12">
        <f>MSW!AO11</f>
        <v>1706579911891112.3</v>
      </c>
      <c r="AH21" s="12">
        <f>MSW!AP11</f>
        <v>1766316821749351.3</v>
      </c>
      <c r="AI21" s="12">
        <f>MSW!AQ11</f>
        <v>1826053731607589.5</v>
      </c>
    </row>
    <row r="22" spans="1:35" x14ac:dyDescent="0.35">
      <c r="A22" s="14" t="s">
        <v>47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</row>
    <row r="23" spans="1:35" x14ac:dyDescent="0.35">
      <c r="A23" s="1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23"/>
  <sheetViews>
    <sheetView topLeftCell="S1" workbookViewId="0">
      <selection activeCell="X33" sqref="X33"/>
    </sheetView>
  </sheetViews>
  <sheetFormatPr defaultRowHeight="14.5" x14ac:dyDescent="0.35"/>
  <cols>
    <col min="1" max="1" width="36.26953125" customWidth="1"/>
    <col min="2" max="2" width="12" style="12" bestFit="1" customWidth="1"/>
    <col min="3" max="35" width="13" customWidth="1"/>
  </cols>
  <sheetData>
    <row r="1" spans="1:35" x14ac:dyDescent="0.35">
      <c r="A1" s="13" t="s">
        <v>198</v>
      </c>
      <c r="B1" s="33">
        <v>2017</v>
      </c>
      <c r="C1" s="5">
        <v>2018</v>
      </c>
      <c r="D1" s="92">
        <v>2019</v>
      </c>
      <c r="E1" s="5">
        <v>2020</v>
      </c>
      <c r="F1" s="33">
        <v>2021</v>
      </c>
      <c r="G1" s="5">
        <v>2022</v>
      </c>
      <c r="H1" s="33">
        <v>2023</v>
      </c>
      <c r="I1" s="5">
        <v>2024</v>
      </c>
      <c r="J1" s="33">
        <v>2025</v>
      </c>
      <c r="K1" s="5">
        <v>2026</v>
      </c>
      <c r="L1" s="33">
        <v>2027</v>
      </c>
      <c r="M1" s="5">
        <v>2028</v>
      </c>
      <c r="N1" s="33">
        <v>2029</v>
      </c>
      <c r="O1" s="5">
        <v>2030</v>
      </c>
      <c r="P1" s="33">
        <v>2031</v>
      </c>
      <c r="Q1" s="5">
        <v>2032</v>
      </c>
      <c r="R1" s="33">
        <v>2033</v>
      </c>
      <c r="S1" s="5">
        <v>2034</v>
      </c>
      <c r="T1" s="33">
        <v>2035</v>
      </c>
      <c r="U1" s="5">
        <v>2036</v>
      </c>
      <c r="V1" s="33">
        <v>2037</v>
      </c>
      <c r="W1" s="5">
        <v>2038</v>
      </c>
      <c r="X1" s="33">
        <v>2039</v>
      </c>
      <c r="Y1" s="5">
        <v>2040</v>
      </c>
      <c r="Z1" s="33">
        <v>2041</v>
      </c>
      <c r="AA1" s="5">
        <v>2042</v>
      </c>
      <c r="AB1" s="33">
        <v>2043</v>
      </c>
      <c r="AC1" s="5">
        <v>2044</v>
      </c>
      <c r="AD1" s="33">
        <v>2045</v>
      </c>
      <c r="AE1" s="5">
        <v>2046</v>
      </c>
      <c r="AF1" s="33">
        <v>2047</v>
      </c>
      <c r="AG1" s="5">
        <v>2048</v>
      </c>
      <c r="AH1" s="33">
        <v>2049</v>
      </c>
      <c r="AI1" s="5">
        <v>2050</v>
      </c>
    </row>
    <row r="2" spans="1:35" x14ac:dyDescent="0.35">
      <c r="A2" s="13" t="s">
        <v>33</v>
      </c>
      <c r="B2" s="12">
        <v>0</v>
      </c>
      <c r="C2">
        <f>B2</f>
        <v>0</v>
      </c>
      <c r="D2">
        <f t="shared" ref="D2:AI2" si="0">C2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</row>
    <row r="3" spans="1:35" x14ac:dyDescent="0.35">
      <c r="A3" s="29" t="s">
        <v>34</v>
      </c>
      <c r="B3" s="12">
        <f>'Coal &amp; Lignite'!G15</f>
        <v>3605256724651373.5</v>
      </c>
      <c r="C3" s="12">
        <f>'Coal &amp; Lignite'!H15</f>
        <v>3958374171740037</v>
      </c>
      <c r="D3" s="12">
        <f>IF('BAU Total Primary Fuel Use'!B3-('Coal &amp; Lignite'!I14-'BFPIaE-exports'!D3)&gt;0,'BAU Total Primary Fuel Use'!B3-('Coal &amp; Lignite'!I14-'BFPIaE-exports'!D3),0)</f>
        <v>3412593909392516</v>
      </c>
      <c r="E3" s="12">
        <f>IF('BAU Total Primary Fuel Use'!C3-('Coal &amp; Lignite'!J14-'BFPIaE-exports'!E3)&gt;0,'BAU Total Primary Fuel Use'!C3-('Coal &amp; Lignite'!J14-'BFPIaE-exports'!E3),0)</f>
        <v>2415487384112816</v>
      </c>
      <c r="F3" s="12">
        <f>IF('BAU Total Primary Fuel Use'!D3-('Coal &amp; Lignite'!K14-'BFPIaE-exports'!F3)&gt;0,'BAU Total Primary Fuel Use'!D3-('Coal &amp; Lignite'!K14-'BFPIaE-exports'!F3),0)</f>
        <v>3092586093260720</v>
      </c>
      <c r="G3" s="12">
        <f>IF('BAU Total Primary Fuel Use'!E3-('Coal &amp; Lignite'!L14-'BFPIaE-exports'!G3)&gt;0,'BAU Total Primary Fuel Use'!E3-('Coal &amp; Lignite'!L14-'BFPIaE-exports'!G3),0)</f>
        <v>3411823841771324</v>
      </c>
      <c r="H3" s="12">
        <f>IF('BAU Total Primary Fuel Use'!F3-('Coal &amp; Lignite'!M14-'BFPIaE-exports'!H3)&gt;0,'BAU Total Primary Fuel Use'!F3-('Coal &amp; Lignite'!M14-'BFPIaE-exports'!H3),0)</f>
        <v>4069672249476054</v>
      </c>
      <c r="I3" s="12">
        <f>IF('BAU Total Primary Fuel Use'!G3-('Coal &amp; Lignite'!N14-'BFPIaE-exports'!I3)&gt;0,'BAU Total Primary Fuel Use'!G3-('Coal &amp; Lignite'!N14-'BFPIaE-exports'!I3),0)</f>
        <v>4475096258050828</v>
      </c>
      <c r="J3" s="12">
        <f>IF('BAU Total Primary Fuel Use'!H3-('Coal &amp; Lignite'!O14-'BFPIaE-exports'!J3)&gt;0,'BAU Total Primary Fuel Use'!H3-('Coal &amp; Lignite'!O14-'BFPIaE-exports'!J3),0)</f>
        <v>4769443016461994</v>
      </c>
      <c r="K3" s="12">
        <f>IF('BAU Total Primary Fuel Use'!I3-('Coal &amp; Lignite'!P14-'BFPIaE-exports'!K3)&gt;0,'BAU Total Primary Fuel Use'!I3-('Coal &amp; Lignite'!P14-'BFPIaE-exports'!K3),0)</f>
        <v>4878344945998478</v>
      </c>
      <c r="L3" s="12">
        <f>IF('BAU Total Primary Fuel Use'!J3-('Coal &amp; Lignite'!Q14-'BFPIaE-exports'!L3)&gt;0,'BAU Total Primary Fuel Use'!J3-('Coal &amp; Lignite'!Q14-'BFPIaE-exports'!L3),0)</f>
        <v>4798219261296436</v>
      </c>
      <c r="M3" s="12">
        <f>IF('BAU Total Primary Fuel Use'!K3-('Coal &amp; Lignite'!R14-'BFPIaE-exports'!M3)&gt;0,'BAU Total Primary Fuel Use'!K3-('Coal &amp; Lignite'!R14-'BFPIaE-exports'!M3),0)</f>
        <v>5170082376928524</v>
      </c>
      <c r="N3" s="12">
        <f>IF('BAU Total Primary Fuel Use'!L3-('Coal &amp; Lignite'!S14-'BFPIaE-exports'!N3)&gt;0,'BAU Total Primary Fuel Use'!L3-('Coal &amp; Lignite'!S14-'BFPIaE-exports'!N3),0)</f>
        <v>5539738427799210</v>
      </c>
      <c r="O3" s="12">
        <f>IF('BAU Total Primary Fuel Use'!M3-('Coal &amp; Lignite'!T14-'BFPIaE-exports'!O3)&gt;0,'BAU Total Primary Fuel Use'!M3-('Coal &amp; Lignite'!T14-'BFPIaE-exports'!O3),0)</f>
        <v>5888677725318410</v>
      </c>
      <c r="P3" s="12">
        <f>IF('BAU Total Primary Fuel Use'!N3-('Coal &amp; Lignite'!U14-'BFPIaE-exports'!P3)&gt;0,'BAU Total Primary Fuel Use'!N3-('Coal &amp; Lignite'!U14-'BFPIaE-exports'!P3),0)</f>
        <v>6293988472704298</v>
      </c>
      <c r="Q3" s="12">
        <f>IF('BAU Total Primary Fuel Use'!O3-('Coal &amp; Lignite'!V14-'BFPIaE-exports'!Q3)&gt;0,'BAU Total Primary Fuel Use'!O3-('Coal &amp; Lignite'!V14-'BFPIaE-exports'!Q3),0)</f>
        <v>6682956724464300</v>
      </c>
      <c r="R3" s="12">
        <f>IF('BAU Total Primary Fuel Use'!P3-('Coal &amp; Lignite'!W14-'BFPIaE-exports'!R3)&gt;0,'BAU Total Primary Fuel Use'!P3-('Coal &amp; Lignite'!W14-'BFPIaE-exports'!R3),0)</f>
        <v>7370904013209892</v>
      </c>
      <c r="S3" s="12">
        <f>IF('BAU Total Primary Fuel Use'!Q3-('Coal &amp; Lignite'!X14-'BFPIaE-exports'!S3)&gt;0,'BAU Total Primary Fuel Use'!Q3-('Coal &amp; Lignite'!X14-'BFPIaE-exports'!S3),0)</f>
        <v>7837872299223032</v>
      </c>
      <c r="T3" s="12">
        <f>IF('BAU Total Primary Fuel Use'!R3-('Coal &amp; Lignite'!Y14-'BFPIaE-exports'!T3)&gt;0,'BAU Total Primary Fuel Use'!R3-('Coal &amp; Lignite'!Y14-'BFPIaE-exports'!T3),0)</f>
        <v>8303956308006054</v>
      </c>
      <c r="U3" s="12">
        <f>IF('BAU Total Primary Fuel Use'!S3-('Coal &amp; Lignite'!Z14-'BFPIaE-exports'!U3)&gt;0,'BAU Total Primary Fuel Use'!S3-('Coal &amp; Lignite'!Z14-'BFPIaE-exports'!U3),0)</f>
        <v>8766650729348544</v>
      </c>
      <c r="V3" s="12">
        <f>IF('BAU Total Primary Fuel Use'!T3-('Coal &amp; Lignite'!AA14-'BFPIaE-exports'!V3)&gt;0,'BAU Total Primary Fuel Use'!T3-('Coal &amp; Lignite'!AA14-'BFPIaE-exports'!V3),0)</f>
        <v>9227250217085540</v>
      </c>
      <c r="W3" s="12">
        <f>IF('BAU Total Primary Fuel Use'!U3-('Coal &amp; Lignite'!AB14-'BFPIaE-exports'!W3)&gt;0,'BAU Total Primary Fuel Use'!U3-('Coal &amp; Lignite'!AB14-'BFPIaE-exports'!W3),0)</f>
        <v>9772652990196808</v>
      </c>
      <c r="X3" s="12">
        <f>IF('BAU Total Primary Fuel Use'!V3-('Coal &amp; Lignite'!AC14-'BFPIaE-exports'!X3)&gt;0,'BAU Total Primary Fuel Use'!V3-('Coal &amp; Lignite'!AC14-'BFPIaE-exports'!X3),0)</f>
        <v>1.0229553780848592E+16</v>
      </c>
      <c r="Y3" s="12">
        <f>IF('BAU Total Primary Fuel Use'!W3-('Coal &amp; Lignite'!AD14-'BFPIaE-exports'!Y3)&gt;0,'BAU Total Primary Fuel Use'!W3-('Coal &amp; Lignite'!AD14-'BFPIaE-exports'!Y3),0)</f>
        <v>1.0897052589706706E+16</v>
      </c>
      <c r="Z3" s="12">
        <f>IF('BAU Total Primary Fuel Use'!X3-('Coal &amp; Lignite'!AE14-'BFPIaE-exports'!Z3)&gt;0,'BAU Total Primary Fuel Use'!X3-('Coal &amp; Lignite'!AE14-'BFPIaE-exports'!Z3),0)</f>
        <v>1.135434941743674E+16</v>
      </c>
      <c r="AA3" s="12">
        <f>IF('BAU Total Primary Fuel Use'!Y3-('Coal &amp; Lignite'!AF14-'BFPIaE-exports'!AA3)&gt;0,'BAU Total Primary Fuel Use'!Y3-('Coal &amp; Lignite'!AF14-'BFPIaE-exports'!AA3),0)</f>
        <v>1.187924426470406E+16</v>
      </c>
      <c r="AB3" s="12">
        <f>IF('BAU Total Primary Fuel Use'!Z3-('Coal &amp; Lignite'!AG14-'BFPIaE-exports'!AB3)&gt;0,'BAU Total Primary Fuel Use'!Z3-('Coal &amp; Lignite'!AG14-'BFPIaE-exports'!AB3),0)</f>
        <v>1.2421888741157848E+16</v>
      </c>
      <c r="AC3" s="12">
        <f>IF('BAU Total Primary Fuel Use'!AA3-('Coal &amp; Lignite'!AH14-'BFPIaE-exports'!AC3)&gt;0,'BAU Total Primary Fuel Use'!AA3-('Coal &amp; Lignite'!AH14-'BFPIaE-exports'!AC3),0)</f>
        <v>1.2898924853735012E+16</v>
      </c>
      <c r="AD3" s="12">
        <f>IF('BAU Total Primary Fuel Use'!AB3-('Coal &amp; Lignite'!AI14-'BFPIaE-exports'!AD3)&gt;0,'BAU Total Primary Fuel Use'!AB3-('Coal &amp; Lignite'!AI14-'BFPIaE-exports'!AD3),0)</f>
        <v>1.3410955338792838E+16</v>
      </c>
      <c r="AE3" s="12">
        <f>IF('BAU Total Primary Fuel Use'!AC3-('Coal &amp; Lignite'!AJ14-'BFPIaE-exports'!AE3)&gt;0,'BAU Total Primary Fuel Use'!AC3-('Coal &amp; Lignite'!AJ14-'BFPIaE-exports'!AE3),0)</f>
        <v>1.3910582917959688E+16</v>
      </c>
      <c r="AF3" s="12">
        <f>IF('BAU Total Primary Fuel Use'!AD3-('Coal &amp; Lignite'!AK14-'BFPIaE-exports'!AF3)&gt;0,'BAU Total Primary Fuel Use'!AD3-('Coal &amp; Lignite'!AK14-'BFPIaE-exports'!AF3),0)</f>
        <v>1.4275010298214286E+16</v>
      </c>
      <c r="AG3" s="12">
        <f>IF('BAU Total Primary Fuel Use'!AE3-('Coal &amp; Lignite'!AL14-'BFPIaE-exports'!AG3)&gt;0,'BAU Total Primary Fuel Use'!AE3-('Coal &amp; Lignite'!AL14-'BFPIaE-exports'!AG3),0)</f>
        <v>1.4932010298214286E+16</v>
      </c>
      <c r="AH3" s="12">
        <f>IF('BAU Total Primary Fuel Use'!AF3-('Coal &amp; Lignite'!AM14-'BFPIaE-exports'!AH3)&gt;0,'BAU Total Primary Fuel Use'!AF3-('Coal &amp; Lignite'!AM14-'BFPIaE-exports'!AH3),0)</f>
        <v>1.5212810298214286E+16</v>
      </c>
      <c r="AI3" s="12">
        <f>IF('BAU Total Primary Fuel Use'!AG3-('Coal &amp; Lignite'!AN14-'BFPIaE-exports'!AI3)&gt;0,'BAU Total Primary Fuel Use'!AG3-('Coal &amp; Lignite'!AN14-'BFPIaE-exports'!AI3),0)</f>
        <v>1.5612810298214286E+16</v>
      </c>
    </row>
    <row r="4" spans="1:35" x14ac:dyDescent="0.35">
      <c r="A4" s="14" t="s">
        <v>27</v>
      </c>
      <c r="B4" s="12">
        <f>'Natural Gas'!B15</f>
        <v>944568000000000</v>
      </c>
      <c r="C4" s="12">
        <f>'Natural Gas'!C15</f>
        <v>993855703877764</v>
      </c>
      <c r="D4" s="12">
        <f>'Natural Gas'!D15</f>
        <v>1045715247743270.8</v>
      </c>
      <c r="E4" s="12">
        <f>'Natural Gas'!E15</f>
        <v>1100280830603618.5</v>
      </c>
      <c r="F4" s="12">
        <f>'Natural Gas'!F15</f>
        <v>1157693653990787.5</v>
      </c>
      <c r="G4" s="12">
        <f>'Natural Gas'!G15</f>
        <v>1218102287354467.5</v>
      </c>
      <c r="H4" s="12">
        <f>'Natural Gas'!H15</f>
        <v>1247755023373506.8</v>
      </c>
      <c r="I4" s="12">
        <f>'Natural Gas'!I15</f>
        <v>1278129607436460.5</v>
      </c>
      <c r="J4" s="12">
        <f>'Natural Gas'!J15</f>
        <v>1309243611769992</v>
      </c>
      <c r="K4" s="12">
        <f>'Natural Gas'!K15</f>
        <v>1341115036368287.3</v>
      </c>
      <c r="L4" s="12">
        <f>'Natural Gas'!L15</f>
        <v>1373762319406366.5</v>
      </c>
      <c r="M4" s="12">
        <f>'Natural Gas'!M15</f>
        <v>1412029317927605</v>
      </c>
      <c r="N4" s="12">
        <f>'Natural Gas'!N15</f>
        <v>1451362267345252.8</v>
      </c>
      <c r="O4" s="12">
        <f>'Natural Gas'!O15</f>
        <v>1491790860380387</v>
      </c>
      <c r="P4" s="12">
        <f>'Natural Gas'!P15</f>
        <v>1533345616863183.5</v>
      </c>
      <c r="Q4" s="12">
        <f>'Natural Gas'!Q15</f>
        <v>1576057906772551.8</v>
      </c>
      <c r="R4" s="12">
        <f>'Natural Gas'!R15</f>
        <v>1605166392561648.5</v>
      </c>
      <c r="S4" s="12">
        <f>'Natural Gas'!S15</f>
        <v>1634812488004104.5</v>
      </c>
      <c r="T4" s="12">
        <f>'Natural Gas'!T15</f>
        <v>1665006122305495</v>
      </c>
      <c r="U4" s="12">
        <f>'Natural Gas'!U15</f>
        <v>1695757408055608.5</v>
      </c>
      <c r="V4" s="12">
        <f>'Natural Gas'!V15</f>
        <v>1727076644615401.8</v>
      </c>
      <c r="W4" s="12">
        <f>'Natural Gas'!W15</f>
        <v>1751421992958562.8</v>
      </c>
      <c r="X4" s="12">
        <f>'Natural Gas'!X15</f>
        <v>1776110520041241.8</v>
      </c>
      <c r="Y4" s="12">
        <f>'Natural Gas'!Y15</f>
        <v>1801147063405526.5</v>
      </c>
      <c r="Z4" s="12">
        <f>'Natural Gas'!Z15</f>
        <v>1826536528784831.5</v>
      </c>
      <c r="AA4" s="12">
        <f>'Natural Gas'!AA15</f>
        <v>1852283891065141.5</v>
      </c>
      <c r="AB4" s="12">
        <f>'Natural Gas'!AB15</f>
        <v>1835922871471740.3</v>
      </c>
      <c r="AC4" s="12">
        <f>'Natural Gas'!AC15</f>
        <v>1819706366962353.5</v>
      </c>
      <c r="AD4" s="12">
        <f>'Natural Gas'!AD15</f>
        <v>1803633101051161.3</v>
      </c>
      <c r="AE4" s="12">
        <f>'Natural Gas'!AE15</f>
        <v>1787701808527402.5</v>
      </c>
      <c r="AF4" s="12">
        <f>'Natural Gas'!AF15</f>
        <v>1771911235355783.3</v>
      </c>
      <c r="AG4" s="12">
        <f>'Natural Gas'!AG15</f>
        <v>1771911235355783.3</v>
      </c>
      <c r="AH4" s="12">
        <f>'Natural Gas'!AH15</f>
        <v>1771911235355783.3</v>
      </c>
      <c r="AI4" s="12">
        <f>'Natural Gas'!AI15</f>
        <v>1771911235355783.3</v>
      </c>
    </row>
    <row r="5" spans="1:35" x14ac:dyDescent="0.35">
      <c r="A5" s="14" t="s">
        <v>35</v>
      </c>
      <c r="B5" s="12">
        <f>Nuclear!B12</f>
        <v>275474702176128.06</v>
      </c>
      <c r="C5" s="12">
        <f>Nuclear!C12</f>
        <v>295272552386648</v>
      </c>
      <c r="D5" s="12">
        <f>Nuclear!D12</f>
        <v>315070402597168</v>
      </c>
      <c r="E5" s="12">
        <f>Nuclear!E12</f>
        <v>334868252807688</v>
      </c>
      <c r="F5" s="12">
        <f>Nuclear!F12</f>
        <v>354666103018216</v>
      </c>
      <c r="G5" s="12">
        <f>Nuclear!G12</f>
        <v>374463953228736</v>
      </c>
      <c r="H5" s="12">
        <f>Nuclear!H12</f>
        <v>390035296090944</v>
      </c>
      <c r="I5" s="12">
        <f>Nuclear!I12</f>
        <v>405606638953152</v>
      </c>
      <c r="J5" s="12">
        <f>Nuclear!J12</f>
        <v>421177981815360</v>
      </c>
      <c r="K5" s="12">
        <f>Nuclear!K12</f>
        <v>436749324677568</v>
      </c>
      <c r="L5" s="12">
        <f>Nuclear!L12</f>
        <v>452320667539776.06</v>
      </c>
      <c r="M5" s="12">
        <f>Nuclear!M12</f>
        <v>473453204281344</v>
      </c>
      <c r="N5" s="12">
        <f>Nuclear!N12</f>
        <v>494585741022912</v>
      </c>
      <c r="O5" s="12">
        <f>Nuclear!O12</f>
        <v>515718277764480</v>
      </c>
      <c r="P5" s="12">
        <f>Nuclear!P12</f>
        <v>536850814506048</v>
      </c>
      <c r="Q5" s="12">
        <f>Nuclear!Q12</f>
        <v>557983351247616</v>
      </c>
      <c r="R5" s="12">
        <f>Nuclear!R12</f>
        <v>560875172064883</v>
      </c>
      <c r="S5" s="12">
        <f>Nuclear!S12</f>
        <v>563766992882150</v>
      </c>
      <c r="T5" s="12">
        <f>Nuclear!T12</f>
        <v>566658813699417</v>
      </c>
      <c r="U5" s="12">
        <f>Nuclear!U12</f>
        <v>569550634516685</v>
      </c>
      <c r="V5" s="12">
        <f>Nuclear!V12</f>
        <v>572442455333952</v>
      </c>
      <c r="W5" s="12">
        <f>Nuclear!W12</f>
        <v>588458693706508</v>
      </c>
      <c r="X5" s="12">
        <f>Nuclear!X12</f>
        <v>604474932079064</v>
      </c>
      <c r="Y5" s="12">
        <f>Nuclear!Y12</f>
        <v>620491170451620</v>
      </c>
      <c r="Z5" s="12">
        <f>Nuclear!Z12</f>
        <v>636507408824180</v>
      </c>
      <c r="AA5" s="12">
        <f>Nuclear!AA12</f>
        <v>652523647196736.13</v>
      </c>
      <c r="AB5" s="12">
        <f>Nuclear!AB12</f>
        <v>652523647196736.13</v>
      </c>
      <c r="AC5" s="12">
        <f>Nuclear!AC12</f>
        <v>652523647196736.13</v>
      </c>
      <c r="AD5" s="12">
        <f>Nuclear!AD12</f>
        <v>652523647196736.13</v>
      </c>
      <c r="AE5" s="12">
        <f>Nuclear!AE12</f>
        <v>652523647196736.13</v>
      </c>
      <c r="AF5" s="12">
        <f>Nuclear!AF12</f>
        <v>652523647196736.13</v>
      </c>
      <c r="AG5" s="12">
        <f>Nuclear!AG12</f>
        <v>652523647196736.13</v>
      </c>
      <c r="AH5" s="12">
        <f>Nuclear!AH12</f>
        <v>652523647196736.13</v>
      </c>
      <c r="AI5" s="12">
        <f>Nuclear!AI12</f>
        <v>652523647196736.13</v>
      </c>
    </row>
    <row r="6" spans="1:35" x14ac:dyDescent="0.35">
      <c r="A6" s="14" t="s">
        <v>36</v>
      </c>
      <c r="B6" s="12">
        <v>0</v>
      </c>
      <c r="C6">
        <f t="shared" ref="C6:C16" si="1">B6</f>
        <v>0</v>
      </c>
      <c r="D6">
        <f t="shared" ref="D6:AI9" si="2">C6</f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</row>
    <row r="7" spans="1:35" x14ac:dyDescent="0.35">
      <c r="A7" s="14" t="s">
        <v>37</v>
      </c>
      <c r="B7" s="12">
        <v>0</v>
      </c>
      <c r="C7">
        <f t="shared" si="1"/>
        <v>0</v>
      </c>
      <c r="D7">
        <f t="shared" si="2"/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35">
      <c r="A8" s="14" t="s">
        <v>38</v>
      </c>
      <c r="B8" s="12">
        <v>0</v>
      </c>
      <c r="C8">
        <f t="shared" si="1"/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</row>
    <row r="9" spans="1:35" x14ac:dyDescent="0.35">
      <c r="A9" s="14" t="s">
        <v>28</v>
      </c>
      <c r="B9" s="12">
        <v>0</v>
      </c>
      <c r="C9">
        <f t="shared" si="1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</row>
    <row r="10" spans="1:35" x14ac:dyDescent="0.35">
      <c r="A10" s="29" t="s">
        <v>29</v>
      </c>
      <c r="B10" s="91">
        <f>'Petroleum Products'!K6</f>
        <v>7681838039669.5898</v>
      </c>
      <c r="C10" s="31">
        <f t="shared" si="1"/>
        <v>7681838039669.5898</v>
      </c>
      <c r="D10" s="31">
        <f>IF(('BAU Total Primary Fuel Use'!B10-('BFPIaE-production'!D10-'BFPIaE-exports'!D10))&gt;0,('BAU Total Primary Fuel Use'!B10-('BFPIaE-production'!D10-'BFPIaE-exports'!D10)),0)</f>
        <v>140567404574062.75</v>
      </c>
      <c r="E10" s="31">
        <f>IF(('BAU Total Primary Fuel Use'!C10-('BFPIaE-production'!E10-'BFPIaE-exports'!E10))&gt;0,('BAU Total Primary Fuel Use'!C10-('BFPIaE-production'!E10-'BFPIaE-exports'!E10)),0)</f>
        <v>0</v>
      </c>
      <c r="F10" s="31">
        <f>IF(('BAU Total Primary Fuel Use'!D10-('BFPIaE-production'!F10-'BFPIaE-exports'!F10))&gt;0,('BAU Total Primary Fuel Use'!D10-('BFPIaE-production'!F10-'BFPIaE-exports'!F10)),0)</f>
        <v>71497404574062.75</v>
      </c>
      <c r="G10" s="31">
        <f>IF(('BAU Total Primary Fuel Use'!E10-('BFPIaE-production'!G10-'BFPIaE-exports'!G10))&gt;0,('BAU Total Primary Fuel Use'!E10-('BFPIaE-production'!G10-'BFPIaE-exports'!G10)),0)</f>
        <v>181767404574062.75</v>
      </c>
      <c r="H10" s="31">
        <f>IF(('BAU Total Primary Fuel Use'!F10-('BFPIaE-production'!H10-'BFPIaE-exports'!H10))&gt;0,('BAU Total Primary Fuel Use'!F10-('BFPIaE-production'!H10-'BFPIaE-exports'!H10)),0)</f>
        <v>252197404574062.75</v>
      </c>
      <c r="I10" s="31">
        <f>IF(('BAU Total Primary Fuel Use'!G10-('BFPIaE-production'!I10-'BFPIaE-exports'!I10))&gt;0,('BAU Total Primary Fuel Use'!G10-('BFPIaE-production'!I10-'BFPIaE-exports'!I10)),0)</f>
        <v>301097404574062.75</v>
      </c>
      <c r="J10" s="31">
        <f>IF(('BAU Total Primary Fuel Use'!H10-('BFPIaE-production'!J10-'BFPIaE-exports'!J10))&gt;0,('BAU Total Primary Fuel Use'!H10-('BFPIaE-production'!J10-'BFPIaE-exports'!J10)),0)</f>
        <v>337467404574062.75</v>
      </c>
      <c r="K10" s="31">
        <f>IF(('BAU Total Primary Fuel Use'!I10-('BFPIaE-production'!K10-'BFPIaE-exports'!K10))&gt;0,('BAU Total Primary Fuel Use'!I10-('BFPIaE-production'!K10-'BFPIaE-exports'!K10)),0)</f>
        <v>368697404574062.75</v>
      </c>
      <c r="L10" s="31">
        <f>IF(('BAU Total Primary Fuel Use'!J10-('BFPIaE-production'!L10-'BFPIaE-exports'!L10))&gt;0,('BAU Total Primary Fuel Use'!J10-('BFPIaE-production'!L10-'BFPIaE-exports'!L10)),0)</f>
        <v>393747404574062.75</v>
      </c>
      <c r="M10" s="31">
        <f>IF(('BAU Total Primary Fuel Use'!K10-('BFPIaE-production'!M10-'BFPIaE-exports'!M10))&gt;0,('BAU Total Primary Fuel Use'!K10-('BFPIaE-production'!M10-'BFPIaE-exports'!M10)),0)</f>
        <v>413707404574062.75</v>
      </c>
      <c r="N10" s="31">
        <f>IF(('BAU Total Primary Fuel Use'!L10-('BFPIaE-production'!N10-'BFPIaE-exports'!N10))&gt;0,('BAU Total Primary Fuel Use'!L10-('BFPIaE-production'!N10-'BFPIaE-exports'!N10)),0)</f>
        <v>429327404574062.75</v>
      </c>
      <c r="O10" s="31">
        <f>IF(('BAU Total Primary Fuel Use'!M10-('BFPIaE-production'!O10-'BFPIaE-exports'!O10))&gt;0,('BAU Total Primary Fuel Use'!M10-('BFPIaE-production'!O10-'BFPIaE-exports'!O10)),0)</f>
        <v>441127404574062.75</v>
      </c>
      <c r="P10" s="31">
        <f>IF(('BAU Total Primary Fuel Use'!N10-('BFPIaE-production'!P10-'BFPIaE-exports'!P10))&gt;0,('BAU Total Primary Fuel Use'!N10-('BFPIaE-production'!P10-'BFPIaE-exports'!P10)),0)</f>
        <v>459457404574062.75</v>
      </c>
      <c r="Q10" s="31">
        <f>IF(('BAU Total Primary Fuel Use'!O10-('BFPIaE-production'!Q10-'BFPIaE-exports'!Q10))&gt;0,('BAU Total Primary Fuel Use'!O10-('BFPIaE-production'!Q10-'BFPIaE-exports'!Q10)),0)</f>
        <v>473047404574062.75</v>
      </c>
      <c r="R10" s="31">
        <f>IF(('BAU Total Primary Fuel Use'!P10-('BFPIaE-production'!R10-'BFPIaE-exports'!R10))&gt;0,('BAU Total Primary Fuel Use'!P10-('BFPIaE-production'!R10-'BFPIaE-exports'!R10)),0)</f>
        <v>483267404574062.75</v>
      </c>
      <c r="S10" s="31">
        <f>IF(('BAU Total Primary Fuel Use'!Q10-('BFPIaE-production'!S10-'BFPIaE-exports'!S10))&gt;0,('BAU Total Primary Fuel Use'!Q10-('BFPIaE-production'!S10-'BFPIaE-exports'!S10)),0)</f>
        <v>490767404574062.75</v>
      </c>
      <c r="T10" s="31">
        <f>IF(('BAU Total Primary Fuel Use'!R10-('BFPIaE-production'!T10-'BFPIaE-exports'!T10))&gt;0,('BAU Total Primary Fuel Use'!R10-('BFPIaE-production'!T10-'BFPIaE-exports'!T10)),0)</f>
        <v>495697404574062.75</v>
      </c>
      <c r="U10" s="31">
        <f>IF(('BAU Total Primary Fuel Use'!S10-('BFPIaE-production'!U10-'BFPIaE-exports'!U10))&gt;0,('BAU Total Primary Fuel Use'!S10-('BFPIaE-production'!U10-'BFPIaE-exports'!U10)),0)</f>
        <v>514127404574062.75</v>
      </c>
      <c r="V10" s="31">
        <f>IF(('BAU Total Primary Fuel Use'!T10-('BFPIaE-production'!V10-'BFPIaE-exports'!V10))&gt;0,('BAU Total Primary Fuel Use'!T10-('BFPIaE-production'!V10-'BFPIaE-exports'!V10)),0)</f>
        <v>530487404574062.75</v>
      </c>
      <c r="W10" s="31">
        <f>IF(('BAU Total Primary Fuel Use'!U10-('BFPIaE-production'!W10-'BFPIaE-exports'!W10))&gt;0,('BAU Total Primary Fuel Use'!U10-('BFPIaE-production'!W10-'BFPIaE-exports'!W10)),0)</f>
        <v>545437404574062.75</v>
      </c>
      <c r="X10" s="31">
        <f>IF(('BAU Total Primary Fuel Use'!V10-('BFPIaE-production'!X10-'BFPIaE-exports'!X10))&gt;0,('BAU Total Primary Fuel Use'!V10-('BFPIaE-production'!X10-'BFPIaE-exports'!X10)),0)</f>
        <v>560007404574062.75</v>
      </c>
      <c r="Y10" s="31">
        <f>IF(('BAU Total Primary Fuel Use'!W10-('BFPIaE-production'!Y10-'BFPIaE-exports'!Y10))&gt;0,('BAU Total Primary Fuel Use'!W10-('BFPIaE-production'!Y10-'BFPIaE-exports'!Y10)),0)</f>
        <v>575267404574062.75</v>
      </c>
      <c r="Z10" s="31">
        <f>IF(('BAU Total Primary Fuel Use'!X10-('BFPIaE-production'!Z10-'BFPIaE-exports'!Z10))&gt;0,('BAU Total Primary Fuel Use'!X10-('BFPIaE-production'!Z10-'BFPIaE-exports'!Z10)),0)</f>
        <v>606547404574062.75</v>
      </c>
      <c r="AA10" s="31">
        <f>IF(('BAU Total Primary Fuel Use'!Y10-('BFPIaE-production'!AA10-'BFPIaE-exports'!AA10))&gt;0,('BAU Total Primary Fuel Use'!Y10-('BFPIaE-production'!AA10-'BFPIaE-exports'!AA10)),0)</f>
        <v>638707404574062.75</v>
      </c>
      <c r="AB10" s="31">
        <f>IF(('BAU Total Primary Fuel Use'!Z10-('BFPIaE-production'!AB10-'BFPIaE-exports'!AB10))&gt;0,('BAU Total Primary Fuel Use'!Z10-('BFPIaE-production'!AB10-'BFPIaE-exports'!AB10)),0)</f>
        <v>672437404574062.75</v>
      </c>
      <c r="AC10" s="31">
        <f>IF(('BAU Total Primary Fuel Use'!AA10-('BFPIaE-production'!AC10-'BFPIaE-exports'!AC10))&gt;0,('BAU Total Primary Fuel Use'!AA10-('BFPIaE-production'!AC10-'BFPIaE-exports'!AC10)),0)</f>
        <v>708117404574062.75</v>
      </c>
      <c r="AD10" s="31">
        <f>IF(('BAU Total Primary Fuel Use'!AB10-('BFPIaE-production'!AD10-'BFPIaE-exports'!AD10))&gt;0,('BAU Total Primary Fuel Use'!AB10-('BFPIaE-production'!AD10-'BFPIaE-exports'!AD10)),0)</f>
        <v>745947404574062.75</v>
      </c>
      <c r="AE10" s="31">
        <f>IF(('BAU Total Primary Fuel Use'!AC10-('BFPIaE-production'!AE10-'BFPIaE-exports'!AE10))&gt;0,('BAU Total Primary Fuel Use'!AC10-('BFPIaE-production'!AE10-'BFPIaE-exports'!AE10)),0)</f>
        <v>806487404574062.75</v>
      </c>
      <c r="AF10" s="31">
        <f>IF(('BAU Total Primary Fuel Use'!AD10-('BFPIaE-production'!AF10-'BFPIaE-exports'!AF10))&gt;0,('BAU Total Primary Fuel Use'!AD10-('BFPIaE-production'!AF10-'BFPIaE-exports'!AF10)),0)</f>
        <v>867767404574062.75</v>
      </c>
      <c r="AG10" s="31">
        <f>IF(('BAU Total Primary Fuel Use'!AE10-('BFPIaE-production'!AG10-'BFPIaE-exports'!AG10))&gt;0,('BAU Total Primary Fuel Use'!AE10-('BFPIaE-production'!AG10-'BFPIaE-exports'!AG10)),0)</f>
        <v>930407404574062.75</v>
      </c>
      <c r="AH10" s="31">
        <f>IF(('BAU Total Primary Fuel Use'!AF10-('BFPIaE-production'!AH10-'BFPIaE-exports'!AH10))&gt;0,('BAU Total Primary Fuel Use'!AF10-('BFPIaE-production'!AH10-'BFPIaE-exports'!AH10)),0)</f>
        <v>994637404574062.75</v>
      </c>
      <c r="AI10" s="31">
        <f>IF(('BAU Total Primary Fuel Use'!AG10-('BFPIaE-production'!AI10-'BFPIaE-exports'!AI10))&gt;0,('BAU Total Primary Fuel Use'!AG10-('BFPIaE-production'!AI10-'BFPIaE-exports'!AI10)),0)</f>
        <v>1060257404574062.8</v>
      </c>
    </row>
    <row r="11" spans="1:35" x14ac:dyDescent="0.35">
      <c r="A11" s="29" t="s">
        <v>39</v>
      </c>
      <c r="B11" s="91">
        <f>'Petroleum Products'!K13</f>
        <v>59899030991783.617</v>
      </c>
      <c r="C11" s="31">
        <f t="shared" si="1"/>
        <v>59899030991783.617</v>
      </c>
      <c r="D11" s="31">
        <f>IF(('BAU Total Primary Fuel Use'!B11-('BFPIaE-production'!D11-'BFPIaE-exports'!D11))&gt;0,('BAU Total Primary Fuel Use'!B11-('BFPIaE-production'!D11-'BFPIaE-exports'!D11)),0)</f>
        <v>972940751802188.5</v>
      </c>
      <c r="E11" s="31">
        <f>IF(('BAU Total Primary Fuel Use'!C11-('BFPIaE-production'!E11-'BFPIaE-exports'!E11))&gt;0,('BAU Total Primary Fuel Use'!C11-('BFPIaE-production'!E11-'BFPIaE-exports'!E11)),0)</f>
        <v>149270751802188.5</v>
      </c>
      <c r="F11" s="31">
        <f>IF(('BAU Total Primary Fuel Use'!D11-('BFPIaE-production'!F11-'BFPIaE-exports'!F11))&gt;0,('BAU Total Primary Fuel Use'!D11-('BFPIaE-production'!F11-'BFPIaE-exports'!F11)),0)</f>
        <v>888800751802188.5</v>
      </c>
      <c r="G11" s="31">
        <f>IF(('BAU Total Primary Fuel Use'!E11-('BFPIaE-production'!G11-'BFPIaE-exports'!G11))&gt;0,('BAU Total Primary Fuel Use'!E11-('BFPIaE-production'!G11-'BFPIaE-exports'!G11)),0)</f>
        <v>1364510751802188.5</v>
      </c>
      <c r="H11" s="31">
        <f>IF(('BAU Total Primary Fuel Use'!F11-('BFPIaE-production'!H11-'BFPIaE-exports'!H11))&gt;0,('BAU Total Primary Fuel Use'!F11-('BFPIaE-production'!H11-'BFPIaE-exports'!H11)),0)</f>
        <v>1712680751802188.5</v>
      </c>
      <c r="I11" s="31">
        <f>IF(('BAU Total Primary Fuel Use'!G11-('BFPIaE-production'!I11-'BFPIaE-exports'!I11))&gt;0,('BAU Total Primary Fuel Use'!G11-('BFPIaE-production'!I11-'BFPIaE-exports'!I11)),0)</f>
        <v>1988230751802188.5</v>
      </c>
      <c r="J11" s="31">
        <f>IF(('BAU Total Primary Fuel Use'!H11-('BFPIaE-production'!J11-'BFPIaE-exports'!J11))&gt;0,('BAU Total Primary Fuel Use'!H11-('BFPIaE-production'!J11-'BFPIaE-exports'!J11)),0)</f>
        <v>2224640751802188.5</v>
      </c>
      <c r="K11" s="31">
        <f>IF(('BAU Total Primary Fuel Use'!I11-('BFPIaE-production'!K11-'BFPIaE-exports'!K11))&gt;0,('BAU Total Primary Fuel Use'!I11-('BFPIaE-production'!K11-'BFPIaE-exports'!K11)),0)</f>
        <v>2506960751802188.5</v>
      </c>
      <c r="L11" s="31">
        <f>IF(('BAU Total Primary Fuel Use'!J11-('BFPIaE-production'!L11-'BFPIaE-exports'!L11))&gt;0,('BAU Total Primary Fuel Use'!J11-('BFPIaE-production'!L11-'BFPIaE-exports'!L11)),0)</f>
        <v>2775390751802188.5</v>
      </c>
      <c r="M11" s="31">
        <f>IF(('BAU Total Primary Fuel Use'!K11-('BFPIaE-production'!M11-'BFPIaE-exports'!M11))&gt;0,('BAU Total Primary Fuel Use'!K11-('BFPIaE-production'!M11-'BFPIaE-exports'!M11)),0)</f>
        <v>3039050751802188.5</v>
      </c>
      <c r="N11" s="31">
        <f>IF(('BAU Total Primary Fuel Use'!L11-('BFPIaE-production'!N11-'BFPIaE-exports'!N11))&gt;0,('BAU Total Primary Fuel Use'!L11-('BFPIaE-production'!N11-'BFPIaE-exports'!N11)),0)</f>
        <v>3295920751802188.5</v>
      </c>
      <c r="O11" s="31">
        <f>IF(('BAU Total Primary Fuel Use'!M11-('BFPIaE-production'!O11-'BFPIaE-exports'!O11))&gt;0,('BAU Total Primary Fuel Use'!M11-('BFPIaE-production'!O11-'BFPIaE-exports'!O11)),0)</f>
        <v>3573390751802188.5</v>
      </c>
      <c r="P11" s="31">
        <f>IF(('BAU Total Primary Fuel Use'!N11-('BFPIaE-production'!P11-'BFPIaE-exports'!P11))&gt;0,('BAU Total Primary Fuel Use'!N11-('BFPIaE-production'!P11-'BFPIaE-exports'!P11)),0)</f>
        <v>3921760751802188.5</v>
      </c>
      <c r="Q11" s="31">
        <f>IF(('BAU Total Primary Fuel Use'!O11-('BFPIaE-production'!Q11-'BFPIaE-exports'!Q11))&gt;0,('BAU Total Primary Fuel Use'!O11-('BFPIaE-production'!Q11-'BFPIaE-exports'!Q11)),0)</f>
        <v>4279600751802188.5</v>
      </c>
      <c r="R11" s="31">
        <f>IF(('BAU Total Primary Fuel Use'!P11-('BFPIaE-production'!R11-'BFPIaE-exports'!R11))&gt;0,('BAU Total Primary Fuel Use'!P11-('BFPIaE-production'!R11-'BFPIaE-exports'!R11)),0)</f>
        <v>4629850751802188</v>
      </c>
      <c r="S11" s="31">
        <f>IF(('BAU Total Primary Fuel Use'!Q11-('BFPIaE-production'!S11-'BFPIaE-exports'!S11))&gt;0,('BAU Total Primary Fuel Use'!Q11-('BFPIaE-production'!S11-'BFPIaE-exports'!S11)),0)</f>
        <v>4975320751802188</v>
      </c>
      <c r="T11" s="31">
        <f>IF(('BAU Total Primary Fuel Use'!R11-('BFPIaE-production'!T11-'BFPIaE-exports'!T11))&gt;0,('BAU Total Primary Fuel Use'!R11-('BFPIaE-production'!T11-'BFPIaE-exports'!T11)),0)</f>
        <v>5316480751802188</v>
      </c>
      <c r="U11" s="31">
        <f>IF(('BAU Total Primary Fuel Use'!S11-('BFPIaE-production'!U11-'BFPIaE-exports'!U11))&gt;0,('BAU Total Primary Fuel Use'!S11-('BFPIaE-production'!U11-'BFPIaE-exports'!U11)),0)</f>
        <v>5722670751802188</v>
      </c>
      <c r="V11" s="31">
        <f>IF(('BAU Total Primary Fuel Use'!T11-('BFPIaE-production'!V11-'BFPIaE-exports'!V11))&gt;0,('BAU Total Primary Fuel Use'!T11-('BFPIaE-production'!V11-'BFPIaE-exports'!V11)),0)</f>
        <v>6125680751802188</v>
      </c>
      <c r="W11" s="31">
        <f>IF(('BAU Total Primary Fuel Use'!U11-('BFPIaE-production'!W11-'BFPIaE-exports'!W11))&gt;0,('BAU Total Primary Fuel Use'!U11-('BFPIaE-production'!W11-'BFPIaE-exports'!W11)),0)</f>
        <v>6527110751802188</v>
      </c>
      <c r="X11" s="31">
        <f>IF(('BAU Total Primary Fuel Use'!V11-('BFPIaE-production'!X11-'BFPIaE-exports'!X11))&gt;0,('BAU Total Primary Fuel Use'!V11-('BFPIaE-production'!X11-'BFPIaE-exports'!X11)),0)</f>
        <v>6927910751802188</v>
      </c>
      <c r="Y11" s="31">
        <f>IF(('BAU Total Primary Fuel Use'!W11-('BFPIaE-production'!Y11-'BFPIaE-exports'!Y11))&gt;0,('BAU Total Primary Fuel Use'!W11-('BFPIaE-production'!Y11-'BFPIaE-exports'!Y11)),0)</f>
        <v>7330010751802188</v>
      </c>
      <c r="Z11" s="31">
        <f>IF(('BAU Total Primary Fuel Use'!X11-('BFPIaE-production'!Z11-'BFPIaE-exports'!Z11))&gt;0,('BAU Total Primary Fuel Use'!X11-('BFPIaE-production'!Z11-'BFPIaE-exports'!Z11)),0)</f>
        <v>7811310751802188</v>
      </c>
      <c r="AA11" s="31">
        <f>IF(('BAU Total Primary Fuel Use'!Y11-('BFPIaE-production'!AA11-'BFPIaE-exports'!AA11))&gt;0,('BAU Total Primary Fuel Use'!Y11-('BFPIaE-production'!AA11-'BFPIaE-exports'!AA11)),0)</f>
        <v>8294010751802188</v>
      </c>
      <c r="AB11" s="31">
        <f>IF(('BAU Total Primary Fuel Use'!Z11-('BFPIaE-production'!AB11-'BFPIaE-exports'!AB11))&gt;0,('BAU Total Primary Fuel Use'!Z11-('BFPIaE-production'!AB11-'BFPIaE-exports'!AB11)),0)</f>
        <v>8769310751802188</v>
      </c>
      <c r="AC11" s="31">
        <f>IF(('BAU Total Primary Fuel Use'!AA11-('BFPIaE-production'!AC11-'BFPIaE-exports'!AC11))&gt;0,('BAU Total Primary Fuel Use'!AA11-('BFPIaE-production'!AC11-'BFPIaE-exports'!AC11)),0)</f>
        <v>9247210751802188</v>
      </c>
      <c r="AD11" s="31">
        <f>IF(('BAU Total Primary Fuel Use'!AB11-('BFPIaE-production'!AD11-'BFPIaE-exports'!AD11))&gt;0,('BAU Total Primary Fuel Use'!AB11-('BFPIaE-production'!AD11-'BFPIaE-exports'!AD11)),0)</f>
        <v>9727210751802188</v>
      </c>
      <c r="AE11" s="31">
        <f>IF(('BAU Total Primary Fuel Use'!AC11-('BFPIaE-production'!AE11-'BFPIaE-exports'!AE11))&gt;0,('BAU Total Primary Fuel Use'!AC11-('BFPIaE-production'!AE11-'BFPIaE-exports'!AE11)),0)</f>
        <v>1.0301010751802188E+16</v>
      </c>
      <c r="AF11" s="31">
        <f>IF(('BAU Total Primary Fuel Use'!AD11-('BFPIaE-production'!AF11-'BFPIaE-exports'!AF11))&gt;0,('BAU Total Primary Fuel Use'!AD11-('BFPIaE-production'!AF11-'BFPIaE-exports'!AF11)),0)</f>
        <v>1.0877310751802188E+16</v>
      </c>
      <c r="AG11" s="31">
        <f>IF(('BAU Total Primary Fuel Use'!AE11-('BFPIaE-production'!AG11-'BFPIaE-exports'!AG11))&gt;0,('BAU Total Primary Fuel Use'!AE11-('BFPIaE-production'!AG11-'BFPIaE-exports'!AG11)),0)</f>
        <v>1.1456010751802188E+16</v>
      </c>
      <c r="AH11" s="31">
        <f>IF(('BAU Total Primary Fuel Use'!AF11-('BFPIaE-production'!AH11-'BFPIaE-exports'!AH11))&gt;0,('BAU Total Primary Fuel Use'!AF11-('BFPIaE-production'!AH11-'BFPIaE-exports'!AH11)),0)</f>
        <v>1.2036510751802188E+16</v>
      </c>
      <c r="AI11" s="31">
        <f>IF(('BAU Total Primary Fuel Use'!AG11-('BFPIaE-production'!AI11-'BFPIaE-exports'!AI11))&gt;0,('BAU Total Primary Fuel Use'!AG11-('BFPIaE-production'!AI11-'BFPIaE-exports'!AI11)),0)</f>
        <v>1.2618610751802188E+16</v>
      </c>
    </row>
    <row r="12" spans="1:35" x14ac:dyDescent="0.35">
      <c r="A12" s="14" t="s">
        <v>40</v>
      </c>
      <c r="B12" s="12">
        <v>0</v>
      </c>
      <c r="C12">
        <f t="shared" si="1"/>
        <v>0</v>
      </c>
      <c r="D12">
        <f t="shared" ref="D12:AI13" si="3">C12</f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</row>
    <row r="13" spans="1:35" x14ac:dyDescent="0.35">
      <c r="A13" s="14" t="s">
        <v>41</v>
      </c>
      <c r="B13" s="12">
        <v>0</v>
      </c>
      <c r="C13">
        <f t="shared" si="1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</row>
    <row r="14" spans="1:35" x14ac:dyDescent="0.35">
      <c r="A14" s="29" t="s">
        <v>30</v>
      </c>
      <c r="B14" s="12">
        <f>D14</f>
        <v>0</v>
      </c>
      <c r="C14">
        <f>D14</f>
        <v>0</v>
      </c>
      <c r="D14">
        <f>'Petroleum Products'!B31</f>
        <v>0</v>
      </c>
      <c r="E14">
        <f>'Petroleum Products'!C31</f>
        <v>0</v>
      </c>
      <c r="F14">
        <f>'Petroleum Products'!D31</f>
        <v>0</v>
      </c>
      <c r="G14">
        <f>'Petroleum Products'!E31</f>
        <v>0</v>
      </c>
      <c r="H14">
        <f>'Petroleum Products'!F31</f>
        <v>0</v>
      </c>
      <c r="I14">
        <f>'Petroleum Products'!G31</f>
        <v>0</v>
      </c>
      <c r="J14">
        <f>'Petroleum Products'!H31</f>
        <v>0</v>
      </c>
      <c r="K14">
        <f>'Petroleum Products'!I31</f>
        <v>0</v>
      </c>
      <c r="L14">
        <f>'Petroleum Products'!J31</f>
        <v>0</v>
      </c>
      <c r="M14">
        <f>'Petroleum Products'!K31</f>
        <v>0</v>
      </c>
      <c r="N14">
        <f>'Petroleum Products'!L31</f>
        <v>0</v>
      </c>
      <c r="O14">
        <f>'Petroleum Products'!M31</f>
        <v>0</v>
      </c>
      <c r="P14">
        <f>'Petroleum Products'!N31</f>
        <v>0</v>
      </c>
      <c r="Q14">
        <f>'Petroleum Products'!O31</f>
        <v>0</v>
      </c>
      <c r="R14">
        <f>'Petroleum Products'!P31</f>
        <v>0</v>
      </c>
      <c r="S14">
        <f>'Petroleum Products'!Q31</f>
        <v>0</v>
      </c>
      <c r="T14">
        <f>'Petroleum Products'!R31</f>
        <v>0</v>
      </c>
      <c r="U14">
        <f>'Petroleum Products'!S31</f>
        <v>0</v>
      </c>
      <c r="V14">
        <f>'Petroleum Products'!T31</f>
        <v>0</v>
      </c>
      <c r="W14">
        <f>'Petroleum Products'!U31</f>
        <v>0</v>
      </c>
      <c r="X14">
        <f>'Petroleum Products'!V31</f>
        <v>0</v>
      </c>
      <c r="Y14">
        <f>'Petroleum Products'!W31</f>
        <v>0</v>
      </c>
      <c r="Z14">
        <f>'Petroleum Products'!X31</f>
        <v>0</v>
      </c>
      <c r="AA14">
        <f>'Petroleum Products'!Y31</f>
        <v>663774429781.5</v>
      </c>
      <c r="AB14">
        <f>'Petroleum Products'!Z31</f>
        <v>44874774429781.5</v>
      </c>
      <c r="AC14">
        <f>'Petroleum Products'!AA31</f>
        <v>88899774429781.5</v>
      </c>
      <c r="AD14">
        <f>'Petroleum Products'!AB31</f>
        <v>132672774429781.5</v>
      </c>
      <c r="AE14">
        <f>'Petroleum Products'!AC31</f>
        <v>185451774429781.5</v>
      </c>
      <c r="AF14">
        <f>'Petroleum Products'!AD31</f>
        <v>238134774429781.5</v>
      </c>
      <c r="AG14">
        <f>'Petroleum Products'!AE31</f>
        <v>290792774429781.5</v>
      </c>
      <c r="AH14">
        <f>'Petroleum Products'!AF31</f>
        <v>343285774429781.5</v>
      </c>
      <c r="AI14">
        <f>'Petroleum Products'!AG31</f>
        <v>395365774429781.5</v>
      </c>
    </row>
    <row r="15" spans="1:35" x14ac:dyDescent="0.35">
      <c r="A15" s="14" t="s">
        <v>42</v>
      </c>
      <c r="B15" s="12">
        <v>0</v>
      </c>
      <c r="C15">
        <f t="shared" si="1"/>
        <v>0</v>
      </c>
      <c r="D15">
        <f t="shared" ref="D15:AI16" si="4">C15</f>
        <v>0</v>
      </c>
      <c r="E15">
        <f t="shared" si="4"/>
        <v>0</v>
      </c>
      <c r="F15">
        <f t="shared" si="4"/>
        <v>0</v>
      </c>
      <c r="G15">
        <f t="shared" si="4"/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0</v>
      </c>
      <c r="AG15">
        <f t="shared" si="4"/>
        <v>0</v>
      </c>
      <c r="AH15">
        <f t="shared" si="4"/>
        <v>0</v>
      </c>
      <c r="AI15">
        <f t="shared" si="4"/>
        <v>0</v>
      </c>
    </row>
    <row r="16" spans="1:35" x14ac:dyDescent="0.35">
      <c r="A16" s="14" t="s">
        <v>43</v>
      </c>
      <c r="B16" s="12">
        <v>0</v>
      </c>
      <c r="C16">
        <f t="shared" si="1"/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</row>
    <row r="17" spans="1:35" x14ac:dyDescent="0.35">
      <c r="A17" s="29" t="s">
        <v>44</v>
      </c>
      <c r="B17" s="12">
        <f>'Coal &amp; Lignite'!G19</f>
        <v>138666666666.66666</v>
      </c>
      <c r="C17" s="12">
        <f>'Coal &amp; Lignite'!H19</f>
        <v>152248395533.52368</v>
      </c>
      <c r="D17" s="12">
        <f>IF('BAU Total Primary Fuel Use'!B17-('Coal &amp; Lignite'!I18-'BFPIaE-exports'!D17)&gt;0,'BAU Total Primary Fuel Use'!B17-('Coal &amp; Lignite'!I18-'BFPIaE-exports'!D17),0)</f>
        <v>0</v>
      </c>
      <c r="E17" s="12">
        <f>IF('BAU Total Primary Fuel Use'!C17-('Coal &amp; Lignite'!J18-'BFPIaE-exports'!E17)&gt;0,'BAU Total Primary Fuel Use'!C17-('Coal &amp; Lignite'!J18-'BFPIaE-exports'!E17),0)</f>
        <v>0</v>
      </c>
      <c r="F17" s="12">
        <f>IF('BAU Total Primary Fuel Use'!D17-('Coal &amp; Lignite'!K18-'BFPIaE-exports'!F17)&gt;0,'BAU Total Primary Fuel Use'!D17-('Coal &amp; Lignite'!K18-'BFPIaE-exports'!F17),0)</f>
        <v>0</v>
      </c>
      <c r="G17" s="12">
        <f>IF('BAU Total Primary Fuel Use'!E17-('Coal &amp; Lignite'!L18-'BFPIaE-exports'!G17)&gt;0,'BAU Total Primary Fuel Use'!E17-('Coal &amp; Lignite'!L18-'BFPIaE-exports'!G17),0)</f>
        <v>0</v>
      </c>
      <c r="H17" s="12">
        <f>IF('BAU Total Primary Fuel Use'!F17-('Coal &amp; Lignite'!M18-'BFPIaE-exports'!H17)&gt;0,'BAU Total Primary Fuel Use'!F17-('Coal &amp; Lignite'!M18-'BFPIaE-exports'!H17),0)</f>
        <v>0</v>
      </c>
      <c r="I17" s="12">
        <f>IF('BAU Total Primary Fuel Use'!G17-('Coal &amp; Lignite'!N18-'BFPIaE-exports'!I17)&gt;0,'BAU Total Primary Fuel Use'!G17-('Coal &amp; Lignite'!N18-'BFPIaE-exports'!I17),0)</f>
        <v>0</v>
      </c>
      <c r="J17" s="12">
        <f>IF('BAU Total Primary Fuel Use'!H17-('Coal &amp; Lignite'!O18-'BFPIaE-exports'!J17)&gt;0,'BAU Total Primary Fuel Use'!H17-('Coal &amp; Lignite'!O18-'BFPIaE-exports'!J17),0)</f>
        <v>0</v>
      </c>
      <c r="K17" s="12">
        <f>IF('BAU Total Primary Fuel Use'!I17-('Coal &amp; Lignite'!P18-'BFPIaE-exports'!K17)&gt;0,'BAU Total Primary Fuel Use'!I17-('Coal &amp; Lignite'!P18-'BFPIaE-exports'!K17),0)</f>
        <v>0</v>
      </c>
      <c r="L17" s="12">
        <f>IF('BAU Total Primary Fuel Use'!J17-('Coal &amp; Lignite'!Q18-'BFPIaE-exports'!L17)&gt;0,'BAU Total Primary Fuel Use'!J17-('Coal &amp; Lignite'!Q18-'BFPIaE-exports'!L17),0)</f>
        <v>0</v>
      </c>
      <c r="M17" s="12">
        <f>IF('BAU Total Primary Fuel Use'!K17-('Coal &amp; Lignite'!R18-'BFPIaE-exports'!M17)&gt;0,'BAU Total Primary Fuel Use'!K17-('Coal &amp; Lignite'!R18-'BFPIaE-exports'!M17),0)</f>
        <v>0</v>
      </c>
      <c r="N17" s="12">
        <f>IF('BAU Total Primary Fuel Use'!L17-('Coal &amp; Lignite'!S18-'BFPIaE-exports'!N17)&gt;0,'BAU Total Primary Fuel Use'!L17-('Coal &amp; Lignite'!S18-'BFPIaE-exports'!N17),0)</f>
        <v>0</v>
      </c>
      <c r="O17" s="12">
        <f>IF('BAU Total Primary Fuel Use'!M17-('Coal &amp; Lignite'!T18-'BFPIaE-exports'!O17)&gt;0,'BAU Total Primary Fuel Use'!M17-('Coal &amp; Lignite'!T18-'BFPIaE-exports'!O17),0)</f>
        <v>0</v>
      </c>
      <c r="P17" s="12">
        <f>IF('BAU Total Primary Fuel Use'!N17-('Coal &amp; Lignite'!U18-'BFPIaE-exports'!P17)&gt;0,'BAU Total Primary Fuel Use'!N17-('Coal &amp; Lignite'!U18-'BFPIaE-exports'!P17),0)</f>
        <v>0</v>
      </c>
      <c r="Q17" s="12">
        <f>IF('BAU Total Primary Fuel Use'!O17-('Coal &amp; Lignite'!V18-'BFPIaE-exports'!Q17)&gt;0,'BAU Total Primary Fuel Use'!O17-('Coal &amp; Lignite'!V18-'BFPIaE-exports'!Q17),0)</f>
        <v>0</v>
      </c>
      <c r="R17" s="12">
        <f>IF('BAU Total Primary Fuel Use'!P17-('Coal &amp; Lignite'!W18-'BFPIaE-exports'!R17)&gt;0,'BAU Total Primary Fuel Use'!P17-('Coal &amp; Lignite'!W18-'BFPIaE-exports'!R17),0)</f>
        <v>0</v>
      </c>
      <c r="S17" s="12">
        <f>IF('BAU Total Primary Fuel Use'!Q17-('Coal &amp; Lignite'!X18-'BFPIaE-exports'!S17)&gt;0,'BAU Total Primary Fuel Use'!Q17-('Coal &amp; Lignite'!X18-'BFPIaE-exports'!S17),0)</f>
        <v>0</v>
      </c>
      <c r="T17" s="12">
        <f>IF('BAU Total Primary Fuel Use'!R17-('Coal &amp; Lignite'!Y18-'BFPIaE-exports'!T17)&gt;0,'BAU Total Primary Fuel Use'!R17-('Coal &amp; Lignite'!Y18-'BFPIaE-exports'!T17),0)</f>
        <v>0</v>
      </c>
      <c r="U17" s="12">
        <f>IF('BAU Total Primary Fuel Use'!S17-('Coal &amp; Lignite'!Z18-'BFPIaE-exports'!U17)&gt;0,'BAU Total Primary Fuel Use'!S17-('Coal &amp; Lignite'!Z18-'BFPIaE-exports'!U17),0)</f>
        <v>0</v>
      </c>
      <c r="V17" s="12">
        <f>IF('BAU Total Primary Fuel Use'!T17-('Coal &amp; Lignite'!AA18-'BFPIaE-exports'!V17)&gt;0,'BAU Total Primary Fuel Use'!T17-('Coal &amp; Lignite'!AA18-'BFPIaE-exports'!V17),0)</f>
        <v>0</v>
      </c>
      <c r="W17" s="12">
        <f>IF('BAU Total Primary Fuel Use'!U17-('Coal &amp; Lignite'!AB18-'BFPIaE-exports'!W17)&gt;0,'BAU Total Primary Fuel Use'!U17-('Coal &amp; Lignite'!AB18-'BFPIaE-exports'!W17),0)</f>
        <v>0</v>
      </c>
      <c r="X17" s="12">
        <f>IF('BAU Total Primary Fuel Use'!V17-('Coal &amp; Lignite'!AC18-'BFPIaE-exports'!X17)&gt;0,'BAU Total Primary Fuel Use'!V17-('Coal &amp; Lignite'!AC18-'BFPIaE-exports'!X17),0)</f>
        <v>0</v>
      </c>
      <c r="Y17" s="12">
        <f>IF('BAU Total Primary Fuel Use'!W17-('Coal &amp; Lignite'!AD18-'BFPIaE-exports'!Y17)&gt;0,'BAU Total Primary Fuel Use'!W17-('Coal &amp; Lignite'!AD18-'BFPIaE-exports'!Y17),0)</f>
        <v>0</v>
      </c>
      <c r="Z17" s="12">
        <f>IF('BAU Total Primary Fuel Use'!X17-('Coal &amp; Lignite'!AE18-'BFPIaE-exports'!Z17)&gt;0,'BAU Total Primary Fuel Use'!X17-('Coal &amp; Lignite'!AE18-'BFPIaE-exports'!Z17),0)</f>
        <v>0</v>
      </c>
      <c r="AA17" s="12">
        <f>IF('BAU Total Primary Fuel Use'!Y17-('Coal &amp; Lignite'!AF18-'BFPIaE-exports'!AA17)&gt;0,'BAU Total Primary Fuel Use'!Y17-('Coal &amp; Lignite'!AF18-'BFPIaE-exports'!AA17),0)</f>
        <v>0</v>
      </c>
      <c r="AB17" s="12">
        <f>IF('BAU Total Primary Fuel Use'!Z17-('Coal &amp; Lignite'!AG18-'BFPIaE-exports'!AB17)&gt;0,'BAU Total Primary Fuel Use'!Z17-('Coal &amp; Lignite'!AG18-'BFPIaE-exports'!AB17),0)</f>
        <v>0</v>
      </c>
      <c r="AC17" s="12">
        <f>IF('BAU Total Primary Fuel Use'!AA17-('Coal &amp; Lignite'!AH18-'BFPIaE-exports'!AC17)&gt;0,'BAU Total Primary Fuel Use'!AA17-('Coal &amp; Lignite'!AH18-'BFPIaE-exports'!AC17),0)</f>
        <v>0</v>
      </c>
      <c r="AD17" s="12">
        <f>IF('BAU Total Primary Fuel Use'!AB17-('Coal &amp; Lignite'!AI18-'BFPIaE-exports'!AD17)&gt;0,'BAU Total Primary Fuel Use'!AB17-('Coal &amp; Lignite'!AI18-'BFPIaE-exports'!AD17),0)</f>
        <v>0</v>
      </c>
      <c r="AE17" s="12">
        <f>IF('BAU Total Primary Fuel Use'!AC17-('Coal &amp; Lignite'!AJ18-'BFPIaE-exports'!AE17)&gt;0,'BAU Total Primary Fuel Use'!AC17-('Coal &amp; Lignite'!AJ18-'BFPIaE-exports'!AE17),0)</f>
        <v>0</v>
      </c>
      <c r="AF17" s="12">
        <f>IF('BAU Total Primary Fuel Use'!AD17-('Coal &amp; Lignite'!AK18-'BFPIaE-exports'!AF17)&gt;0,'BAU Total Primary Fuel Use'!AD17-('Coal &amp; Lignite'!AK18-'BFPIaE-exports'!AF17),0)</f>
        <v>0</v>
      </c>
      <c r="AG17" s="12">
        <f>IF('BAU Total Primary Fuel Use'!AE17-('Coal &amp; Lignite'!AL18-'BFPIaE-exports'!AG17)&gt;0,'BAU Total Primary Fuel Use'!AE17-('Coal &amp; Lignite'!AL18-'BFPIaE-exports'!AG17),0)</f>
        <v>0</v>
      </c>
      <c r="AH17" s="12">
        <f>IF('BAU Total Primary Fuel Use'!AF17-('Coal &amp; Lignite'!AM18-'BFPIaE-exports'!AH17)&gt;0,'BAU Total Primary Fuel Use'!AF17-('Coal &amp; Lignite'!AM18-'BFPIaE-exports'!AH17),0)</f>
        <v>0</v>
      </c>
      <c r="AI17" s="12">
        <f>IF('BAU Total Primary Fuel Use'!AG17-('Coal &amp; Lignite'!AN18-'BFPIaE-exports'!AI17)&gt;0,'BAU Total Primary Fuel Use'!AG17-('Coal &amp; Lignite'!AN18-'BFPIaE-exports'!AI17),0)</f>
        <v>0</v>
      </c>
    </row>
    <row r="18" spans="1:35" x14ac:dyDescent="0.35">
      <c r="A18" s="14" t="s">
        <v>31</v>
      </c>
      <c r="B18" s="12">
        <f>'Crude Oil'!B15</f>
        <v>9910838086572000</v>
      </c>
      <c r="C18" s="12">
        <f>'Crude Oil'!C15</f>
        <v>1.060960493647856E+16</v>
      </c>
      <c r="D18" s="12">
        <f>'Crude Oil'!D15</f>
        <v>1.1357638569503076E+16</v>
      </c>
      <c r="E18" s="12">
        <f>'Crude Oil'!E15</f>
        <v>1.215841255614924E+16</v>
      </c>
      <c r="F18" s="12">
        <f>'Crude Oil'!F15</f>
        <v>1.3015645372134366E+16</v>
      </c>
      <c r="G18" s="12">
        <f>'Crude Oil'!G15</f>
        <v>1.3933317665510818E+16</v>
      </c>
      <c r="H18" s="12">
        <f>'Crude Oil'!H15</f>
        <v>1.4776595965661498E+16</v>
      </c>
      <c r="I18" s="12">
        <f>'Crude Oil'!I15</f>
        <v>1.5670911521157706E+16</v>
      </c>
      <c r="J18" s="12">
        <f>'Crude Oil'!J15</f>
        <v>1.6619353230922536E+16</v>
      </c>
      <c r="K18" s="12">
        <f>'Crude Oil'!K15</f>
        <v>1.7625196941560584E+16</v>
      </c>
      <c r="L18" s="12">
        <f>'Crude Oil'!L15</f>
        <v>1.8691916761886684E+16</v>
      </c>
      <c r="M18" s="12">
        <f>'Crude Oil'!M15</f>
        <v>1.96032838091212E+16</v>
      </c>
      <c r="N18" s="12">
        <f>'Crude Oil'!N15</f>
        <v>2.0559086636022708E+16</v>
      </c>
      <c r="O18" s="12">
        <f>'Crude Oil'!O15</f>
        <v>2.1561491810408868E+16</v>
      </c>
      <c r="P18" s="12">
        <f>'Crude Oil'!P15</f>
        <v>2.26127715360543E+16</v>
      </c>
      <c r="Q18" s="12">
        <f>'Crude Oil'!Q15</f>
        <v>2.371530880321268E+16</v>
      </c>
      <c r="R18" s="12">
        <f>'Crude Oil'!R15</f>
        <v>2.4545371827070744E+16</v>
      </c>
      <c r="S18" s="12">
        <f>'Crude Oil'!S15</f>
        <v>2.5404488009346168E+16</v>
      </c>
      <c r="T18" s="12">
        <f>'Crude Oil'!T15</f>
        <v>2.6293674243925036E+16</v>
      </c>
      <c r="U18" s="12">
        <f>'Crude Oil'!U15</f>
        <v>2.7213983017146432E+16</v>
      </c>
      <c r="V18" s="12">
        <f>'Crude Oil'!V15</f>
        <v>2.8166503653579148E+16</v>
      </c>
      <c r="W18" s="12">
        <f>'Crude Oil'!W15</f>
        <v>2.8938263262377876E+16</v>
      </c>
      <c r="X18" s="12">
        <f>'Crude Oil'!X15</f>
        <v>2.9731169013456052E+16</v>
      </c>
      <c r="Y18" s="12">
        <f>'Crude Oil'!Y15</f>
        <v>3.0545800309166692E+16</v>
      </c>
      <c r="Z18" s="12">
        <f>'Crude Oil'!Z15</f>
        <v>3.1382752427433984E+16</v>
      </c>
      <c r="AA18" s="12">
        <f>'Crude Oil'!AA15</f>
        <v>3.2242636956742472E+16</v>
      </c>
      <c r="AB18" s="12">
        <f>'Crude Oil'!AB15</f>
        <v>3.2798117427633892E+16</v>
      </c>
      <c r="AC18" s="12">
        <f>'Crude Oil'!AC15</f>
        <v>3.33631677905275E+16</v>
      </c>
      <c r="AD18" s="12">
        <f>'Crude Oil'!AD15</f>
        <v>3.393795291680534E+16</v>
      </c>
      <c r="AE18" s="12">
        <f>'Crude Oil'!AE15</f>
        <v>3.4522640518275716E+16</v>
      </c>
      <c r="AF18" s="12">
        <f>'Crude Oil'!AF15</f>
        <v>3.5117401196108456E+16</v>
      </c>
      <c r="AG18" s="12">
        <f>'Crude Oil'!AG15</f>
        <v>3.5117401196108456E+16</v>
      </c>
      <c r="AH18" s="12">
        <f>'Crude Oil'!AH15</f>
        <v>3.5117401196108456E+16</v>
      </c>
      <c r="AI18" s="12">
        <f>'Crude Oil'!AI15</f>
        <v>3.5117401196108456E+16</v>
      </c>
    </row>
    <row r="19" spans="1:35" x14ac:dyDescent="0.35">
      <c r="A19" s="29" t="s">
        <v>45</v>
      </c>
      <c r="B19" s="12">
        <f>'Petroleum Products'!C21</f>
        <v>53942585740000</v>
      </c>
      <c r="C19" s="12">
        <f>B19</f>
        <v>53942585740000</v>
      </c>
      <c r="D19" s="12">
        <f>IF(('BAU Total Primary Fuel Use'!B19-('BFPIaE-production'!D19-'BFPIaE-exports'!D19))&gt;0,('BAU Total Primary Fuel Use'!B19-('BFPIaE-production'!D19-'BFPIaE-exports'!D19)),0)</f>
        <v>55062586280000</v>
      </c>
      <c r="E19" s="12">
        <f>IF(('BAU Total Primary Fuel Use'!C19-('BFPIaE-production'!E19-'BFPIaE-exports'!E19))&gt;0,('BAU Total Primary Fuel Use'!C19-('BFPIaE-production'!E19-'BFPIaE-exports'!E19)),0)</f>
        <v>21522586280000</v>
      </c>
      <c r="F19" s="12">
        <f>IF(('BAU Total Primary Fuel Use'!D19-('BFPIaE-production'!F19-'BFPIaE-exports'!F19))&gt;0,('BAU Total Primary Fuel Use'!D19-('BFPIaE-production'!F19-'BFPIaE-exports'!F19)),0)</f>
        <v>63990586280000</v>
      </c>
      <c r="G19" s="12">
        <f>IF(('BAU Total Primary Fuel Use'!E19-('BFPIaE-production'!G19-'BFPIaE-exports'!G19))&gt;0,('BAU Total Primary Fuel Use'!E19-('BFPIaE-production'!G19-'BFPIaE-exports'!G19)),0)</f>
        <v>94726586280000</v>
      </c>
      <c r="H19" s="12">
        <f>IF(('BAU Total Primary Fuel Use'!F19-('BFPIaE-production'!H19-'BFPIaE-exports'!H19))&gt;0,('BAU Total Primary Fuel Use'!F19-('BFPIaE-production'!H19-'BFPIaE-exports'!H19)),0)</f>
        <v>122251586280000</v>
      </c>
      <c r="I19" s="12">
        <f>IF(('BAU Total Primary Fuel Use'!G19-('BFPIaE-production'!I19-'BFPIaE-exports'!I19))&gt;0,('BAU Total Primary Fuel Use'!G19-('BFPIaE-production'!I19-'BFPIaE-exports'!I19)),0)</f>
        <v>146376586280000</v>
      </c>
      <c r="J19" s="12">
        <f>IF(('BAU Total Primary Fuel Use'!H19-('BFPIaE-production'!J19-'BFPIaE-exports'!J19))&gt;0,('BAU Total Primary Fuel Use'!H19-('BFPIaE-production'!J19-'BFPIaE-exports'!J19)),0)</f>
        <v>168710586280000</v>
      </c>
      <c r="K19" s="12">
        <f>IF(('BAU Total Primary Fuel Use'!I19-('BFPIaE-production'!K19-'BFPIaE-exports'!K19))&gt;0,('BAU Total Primary Fuel Use'!I19-('BFPIaE-production'!K19-'BFPIaE-exports'!K19)),0)</f>
        <v>190975586280000</v>
      </c>
      <c r="L19" s="12">
        <f>IF(('BAU Total Primary Fuel Use'!J19-('BFPIaE-production'!L19-'BFPIaE-exports'!L19))&gt;0,('BAU Total Primary Fuel Use'!J19-('BFPIaE-production'!L19-'BFPIaE-exports'!L19)),0)</f>
        <v>212517586280000</v>
      </c>
      <c r="M19" s="12">
        <f>IF(('BAU Total Primary Fuel Use'!K19-('BFPIaE-production'!M19-'BFPIaE-exports'!M19))&gt;0,('BAU Total Primary Fuel Use'!K19-('BFPIaE-production'!M19-'BFPIaE-exports'!M19)),0)</f>
        <v>234121586280000</v>
      </c>
      <c r="N19" s="12">
        <f>IF(('BAU Total Primary Fuel Use'!L19-('BFPIaE-production'!N19-'BFPIaE-exports'!N19))&gt;0,('BAU Total Primary Fuel Use'!L19-('BFPIaE-production'!N19-'BFPIaE-exports'!N19)),0)</f>
        <v>255349586280000</v>
      </c>
      <c r="O19" s="12">
        <f>IF(('BAU Total Primary Fuel Use'!M19-('BFPIaE-production'!O19-'BFPIaE-exports'!O19))&gt;0,('BAU Total Primary Fuel Use'!M19-('BFPIaE-production'!O19-'BFPIaE-exports'!O19)),0)</f>
        <v>276416586280000</v>
      </c>
      <c r="P19" s="12">
        <f>IF(('BAU Total Primary Fuel Use'!N19-('BFPIaE-production'!P19-'BFPIaE-exports'!P19))&gt;0,('BAU Total Primary Fuel Use'!N19-('BFPIaE-production'!P19-'BFPIaE-exports'!P19)),0)</f>
        <v>297911586280000</v>
      </c>
      <c r="Q19" s="12">
        <f>IF(('BAU Total Primary Fuel Use'!O19-('BFPIaE-production'!Q19-'BFPIaE-exports'!Q19))&gt;0,('BAU Total Primary Fuel Use'!O19-('BFPIaE-production'!Q19-'BFPIaE-exports'!Q19)),0)</f>
        <v>319283586280000</v>
      </c>
      <c r="R19" s="12">
        <f>IF(('BAU Total Primary Fuel Use'!P19-('BFPIaE-production'!R19-'BFPIaE-exports'!R19))&gt;0,('BAU Total Primary Fuel Use'!P19-('BFPIaE-production'!R19-'BFPIaE-exports'!R19)),0)</f>
        <v>333213586280000</v>
      </c>
      <c r="S19" s="12">
        <f>IF(('BAU Total Primary Fuel Use'!Q19-('BFPIaE-production'!S19-'BFPIaE-exports'!S19))&gt;0,('BAU Total Primary Fuel Use'!Q19-('BFPIaE-production'!S19-'BFPIaE-exports'!S19)),0)</f>
        <v>347032586280000</v>
      </c>
      <c r="T19" s="12">
        <f>IF(('BAU Total Primary Fuel Use'!R19-('BFPIaE-production'!T19-'BFPIaE-exports'!T19))&gt;0,('BAU Total Primary Fuel Use'!R19-('BFPIaE-production'!T19-'BFPIaE-exports'!T19)),0)</f>
        <v>360822586280000</v>
      </c>
      <c r="U19" s="12">
        <f>IF(('BAU Total Primary Fuel Use'!S19-('BFPIaE-production'!U19-'BFPIaE-exports'!U19))&gt;0,('BAU Total Primary Fuel Use'!S19-('BFPIaE-production'!U19-'BFPIaE-exports'!U19)),0)</f>
        <v>374598586280000</v>
      </c>
      <c r="V19" s="12">
        <f>IF(('BAU Total Primary Fuel Use'!T19-('BFPIaE-production'!V19-'BFPIaE-exports'!V19))&gt;0,('BAU Total Primary Fuel Use'!T19-('BFPIaE-production'!V19-'BFPIaE-exports'!V19)),0)</f>
        <v>388292586280000</v>
      </c>
      <c r="W19" s="12">
        <f>IF(('BAU Total Primary Fuel Use'!U19-('BFPIaE-production'!W19-'BFPIaE-exports'!W19))&gt;0,('BAU Total Primary Fuel Use'!U19-('BFPIaE-production'!W19-'BFPIaE-exports'!W19)),0)</f>
        <v>403979586280000</v>
      </c>
      <c r="X19" s="12">
        <f>IF(('BAU Total Primary Fuel Use'!V19-('BFPIaE-production'!X19-'BFPIaE-exports'!X19))&gt;0,('BAU Total Primary Fuel Use'!V19-('BFPIaE-production'!X19-'BFPIaE-exports'!X19)),0)</f>
        <v>419580586280000</v>
      </c>
      <c r="Y19" s="12">
        <f>IF(('BAU Total Primary Fuel Use'!W19-('BFPIaE-production'!Y19-'BFPIaE-exports'!Y19))&gt;0,('BAU Total Primary Fuel Use'!W19-('BFPIaE-production'!Y19-'BFPIaE-exports'!Y19)),0)</f>
        <v>435106586280000</v>
      </c>
      <c r="Z19" s="12">
        <f>IF(('BAU Total Primary Fuel Use'!X19-('BFPIaE-production'!Z19-'BFPIaE-exports'!Z19))&gt;0,('BAU Total Primary Fuel Use'!X19-('BFPIaE-production'!Z19-'BFPIaE-exports'!Z19)),0)</f>
        <v>450307586280000</v>
      </c>
      <c r="AA19" s="12">
        <f>IF(('BAU Total Primary Fuel Use'!Y19-('BFPIaE-production'!AA19-'BFPIaE-exports'!AA19))&gt;0,('BAU Total Primary Fuel Use'!Y19-('BFPIaE-production'!AA19-'BFPIaE-exports'!AA19)),0)</f>
        <v>465506586280000</v>
      </c>
      <c r="AB19" s="12">
        <f>IF(('BAU Total Primary Fuel Use'!Z19-('BFPIaE-production'!AB19-'BFPIaE-exports'!AB19))&gt;0,('BAU Total Primary Fuel Use'!Z19-('BFPIaE-production'!AB19-'BFPIaE-exports'!AB19)),0)</f>
        <v>478148586280000</v>
      </c>
      <c r="AC19" s="12">
        <f>IF(('BAU Total Primary Fuel Use'!AA19-('BFPIaE-production'!AC19-'BFPIaE-exports'!AC19))&gt;0,('BAU Total Primary Fuel Use'!AA19-('BFPIaE-production'!AC19-'BFPIaE-exports'!AC19)),0)</f>
        <v>490793586280000</v>
      </c>
      <c r="AD19" s="12">
        <f>IF(('BAU Total Primary Fuel Use'!AB19-('BFPIaE-production'!AD19-'BFPIaE-exports'!AD19))&gt;0,('BAU Total Primary Fuel Use'!AB19-('BFPIaE-production'!AD19-'BFPIaE-exports'!AD19)),0)</f>
        <v>503422586280000</v>
      </c>
      <c r="AE19" s="12">
        <f>IF(('BAU Total Primary Fuel Use'!AC19-('BFPIaE-production'!AE19-'BFPIaE-exports'!AE19))&gt;0,('BAU Total Primary Fuel Use'!AC19-('BFPIaE-production'!AE19-'BFPIaE-exports'!AE19)),0)</f>
        <v>515442586280000</v>
      </c>
      <c r="AF19" s="12">
        <f>IF(('BAU Total Primary Fuel Use'!AD19-('BFPIaE-production'!AF19-'BFPIaE-exports'!AF19))&gt;0,('BAU Total Primary Fuel Use'!AD19-('BFPIaE-production'!AF19-'BFPIaE-exports'!AF19)),0)</f>
        <v>527459586280000</v>
      </c>
      <c r="AG19" s="12">
        <f>IF(('BAU Total Primary Fuel Use'!AE19-('BFPIaE-production'!AG19-'BFPIaE-exports'!AG19))&gt;0,('BAU Total Primary Fuel Use'!AE19-('BFPIaE-production'!AG19-'BFPIaE-exports'!AG19)),0)</f>
        <v>539490586280000</v>
      </c>
      <c r="AH19" s="12">
        <f>IF(('BAU Total Primary Fuel Use'!AF19-('BFPIaE-production'!AH19-'BFPIaE-exports'!AH19))&gt;0,('BAU Total Primary Fuel Use'!AF19-('BFPIaE-production'!AH19-'BFPIaE-exports'!AH19)),0)</f>
        <v>551518586280000</v>
      </c>
      <c r="AI19" s="12">
        <f>IF(('BAU Total Primary Fuel Use'!AG19-('BFPIaE-production'!AI19-'BFPIaE-exports'!AI19))&gt;0,('BAU Total Primary Fuel Use'!AG19-('BFPIaE-production'!AI19-'BFPIaE-exports'!AI19)),0)</f>
        <v>563509586280000</v>
      </c>
    </row>
    <row r="20" spans="1:35" x14ac:dyDescent="0.35">
      <c r="A20" s="29" t="s">
        <v>32</v>
      </c>
      <c r="B20" s="91">
        <f>'Petroleum Products'!C5</f>
        <v>510050992122000</v>
      </c>
      <c r="C20" s="31">
        <f>B20</f>
        <v>510050992122000</v>
      </c>
      <c r="D20" s="31">
        <f>IF(('BAU Total Primary Fuel Use'!B20-('BFPIaE-production'!D20-'BFPIaE-exports'!D20))&gt;0,('BAU Total Primary Fuel Use'!B20-('BFPIaE-production'!D20-'BFPIaE-exports'!D20)),0)</f>
        <v>3052534094509000</v>
      </c>
      <c r="E20" s="31">
        <f>IF(('BAU Total Primary Fuel Use'!C20-('BFPIaE-production'!E20-'BFPIaE-exports'!E20))&gt;0,('BAU Total Primary Fuel Use'!C20-('BFPIaE-production'!E20-'BFPIaE-exports'!E20)),0)</f>
        <v>2987164094509000</v>
      </c>
      <c r="F20" s="31">
        <f>IF(('BAU Total Primary Fuel Use'!D20-('BFPIaE-production'!F20-'BFPIaE-exports'!F20))&gt;0,('BAU Total Primary Fuel Use'!D20-('BFPIaE-production'!F20-'BFPIaE-exports'!F20)),0)</f>
        <v>3213694094509000</v>
      </c>
      <c r="G20" s="31">
        <f>IF(('BAU Total Primary Fuel Use'!E20-('BFPIaE-production'!G20-'BFPIaE-exports'!G20))&gt;0,('BAU Total Primary Fuel Use'!E20-('BFPIaE-production'!G20-'BFPIaE-exports'!G20)),0)</f>
        <v>3393964094509000</v>
      </c>
      <c r="H20" s="31">
        <f>IF(('BAU Total Primary Fuel Use'!F20-('BFPIaE-production'!H20-'BFPIaE-exports'!H20))&gt;0,('BAU Total Primary Fuel Use'!F20-('BFPIaE-production'!H20-'BFPIaE-exports'!H20)),0)</f>
        <v>3560144094509000</v>
      </c>
      <c r="I20" s="31">
        <f>IF(('BAU Total Primary Fuel Use'!G20-('BFPIaE-production'!I20-'BFPIaE-exports'!I20))&gt;0,('BAU Total Primary Fuel Use'!G20-('BFPIaE-production'!I20-'BFPIaE-exports'!I20)),0)</f>
        <v>3713974094509000</v>
      </c>
      <c r="J20" s="31">
        <f>IF(('BAU Total Primary Fuel Use'!H20-('BFPIaE-production'!J20-'BFPIaE-exports'!J20))&gt;0,('BAU Total Primary Fuel Use'!H20-('BFPIaE-production'!J20-'BFPIaE-exports'!J20)),0)</f>
        <v>3861454094509000</v>
      </c>
      <c r="K20" s="31">
        <f>IF(('BAU Total Primary Fuel Use'!I20-('BFPIaE-production'!K20-'BFPIaE-exports'!K20))&gt;0,('BAU Total Primary Fuel Use'!I20-('BFPIaE-production'!K20-'BFPIaE-exports'!K20)),0)</f>
        <v>4005564094509000</v>
      </c>
      <c r="L20" s="31">
        <f>IF(('BAU Total Primary Fuel Use'!J20-('BFPIaE-production'!L20-'BFPIaE-exports'!L20))&gt;0,('BAU Total Primary Fuel Use'!J20-('BFPIaE-production'!L20-'BFPIaE-exports'!L20)),0)</f>
        <v>4147764094509000</v>
      </c>
      <c r="M20" s="31">
        <f>IF(('BAU Total Primary Fuel Use'!K20-('BFPIaE-production'!M20-'BFPIaE-exports'!M20))&gt;0,('BAU Total Primary Fuel Use'!K20-('BFPIaE-production'!M20-'BFPIaE-exports'!M20)),0)</f>
        <v>4291264094509000</v>
      </c>
      <c r="N20" s="31">
        <f>IF(('BAU Total Primary Fuel Use'!L20-('BFPIaE-production'!N20-'BFPIaE-exports'!N20))&gt;0,('BAU Total Primary Fuel Use'!L20-('BFPIaE-production'!N20-'BFPIaE-exports'!N20)),0)</f>
        <v>4434124094509000</v>
      </c>
      <c r="O20" s="31">
        <f>IF(('BAU Total Primary Fuel Use'!M20-('BFPIaE-production'!O20-'BFPIaE-exports'!O20))&gt;0,('BAU Total Primary Fuel Use'!M20-('BFPIaE-production'!O20-'BFPIaE-exports'!O20)),0)</f>
        <v>4576734094509000</v>
      </c>
      <c r="P20" s="31">
        <f>IF(('BAU Total Primary Fuel Use'!N20-('BFPIaE-production'!P20-'BFPIaE-exports'!P20))&gt;0,('BAU Total Primary Fuel Use'!N20-('BFPIaE-production'!P20-'BFPIaE-exports'!P20)),0)</f>
        <v>4719344094509000</v>
      </c>
      <c r="Q20" s="31">
        <f>IF(('BAU Total Primary Fuel Use'!O20-('BFPIaE-production'!Q20-'BFPIaE-exports'!Q20))&gt;0,('BAU Total Primary Fuel Use'!O20-('BFPIaE-production'!Q20-'BFPIaE-exports'!Q20)),0)</f>
        <v>4861754094509000</v>
      </c>
      <c r="R20" s="31">
        <f>IF(('BAU Total Primary Fuel Use'!P20-('BFPIaE-production'!R20-'BFPIaE-exports'!R20))&gt;0,('BAU Total Primary Fuel Use'!P20-('BFPIaE-production'!R20-'BFPIaE-exports'!R20)),0)</f>
        <v>5024274094509000</v>
      </c>
      <c r="S20" s="31">
        <f>IF(('BAU Total Primary Fuel Use'!Q20-('BFPIaE-production'!S20-'BFPIaE-exports'!S20))&gt;0,('BAU Total Primary Fuel Use'!Q20-('BFPIaE-production'!S20-'BFPIaE-exports'!S20)),0)</f>
        <v>5186724094509000</v>
      </c>
      <c r="T20" s="31">
        <f>IF(('BAU Total Primary Fuel Use'!R20-('BFPIaE-production'!T20-'BFPIaE-exports'!T20))&gt;0,('BAU Total Primary Fuel Use'!R20-('BFPIaE-production'!T20-'BFPIaE-exports'!T20)),0)</f>
        <v>5349184094509000</v>
      </c>
      <c r="U20" s="31">
        <f>IF(('BAU Total Primary Fuel Use'!S20-('BFPIaE-production'!U20-'BFPIaE-exports'!U20))&gt;0,('BAU Total Primary Fuel Use'!S20-('BFPIaE-production'!U20-'BFPIaE-exports'!U20)),0)</f>
        <v>5512084094509000</v>
      </c>
      <c r="V20" s="31">
        <f>IF(('BAU Total Primary Fuel Use'!T20-('BFPIaE-production'!V20-'BFPIaE-exports'!V20))&gt;0,('BAU Total Primary Fuel Use'!T20-('BFPIaE-production'!V20-'BFPIaE-exports'!V20)),0)</f>
        <v>5674874094509000</v>
      </c>
      <c r="W20" s="31">
        <f>IF(('BAU Total Primary Fuel Use'!U20-('BFPIaE-production'!W20-'BFPIaE-exports'!W20))&gt;0,('BAU Total Primary Fuel Use'!U20-('BFPIaE-production'!W20-'BFPIaE-exports'!W20)),0)</f>
        <v>5866444094509000</v>
      </c>
      <c r="X20" s="31">
        <f>IF(('BAU Total Primary Fuel Use'!V20-('BFPIaE-production'!X20-'BFPIaE-exports'!X20))&gt;0,('BAU Total Primary Fuel Use'!V20-('BFPIaE-production'!X20-'BFPIaE-exports'!X20)),0)</f>
        <v>6057914094509000</v>
      </c>
      <c r="Y20" s="31">
        <f>IF(('BAU Total Primary Fuel Use'!W20-('BFPIaE-production'!Y20-'BFPIaE-exports'!Y20))&gt;0,('BAU Total Primary Fuel Use'!W20-('BFPIaE-production'!Y20-'BFPIaE-exports'!Y20)),0)</f>
        <v>6249194094509000</v>
      </c>
      <c r="Z20" s="31">
        <f>IF(('BAU Total Primary Fuel Use'!X20-('BFPIaE-production'!Z20-'BFPIaE-exports'!Z20))&gt;0,('BAU Total Primary Fuel Use'!X20-('BFPIaE-production'!Z20-'BFPIaE-exports'!Z20)),0)</f>
        <v>6440964094509000</v>
      </c>
      <c r="AA20" s="31">
        <f>IF(('BAU Total Primary Fuel Use'!Y20-('BFPIaE-production'!AA20-'BFPIaE-exports'!AA20))&gt;0,('BAU Total Primary Fuel Use'!Y20-('BFPIaE-production'!AA20-'BFPIaE-exports'!AA20)),0)</f>
        <v>6632654094509000</v>
      </c>
      <c r="AB20" s="31">
        <f>IF(('BAU Total Primary Fuel Use'!Z20-('BFPIaE-production'!AB20-'BFPIaE-exports'!AB20))&gt;0,('BAU Total Primary Fuel Use'!Z20-('BFPIaE-production'!AB20-'BFPIaE-exports'!AB20)),0)</f>
        <v>6776034094509000</v>
      </c>
      <c r="AC20" s="31">
        <f>IF(('BAU Total Primary Fuel Use'!AA20-('BFPIaE-production'!AC20-'BFPIaE-exports'!AC20))&gt;0,('BAU Total Primary Fuel Use'!AA20-('BFPIaE-production'!AC20-'BFPIaE-exports'!AC20)),0)</f>
        <v>6919354094509000</v>
      </c>
      <c r="AD20" s="31">
        <f>IF(('BAU Total Primary Fuel Use'!AB20-('BFPIaE-production'!AD20-'BFPIaE-exports'!AD20))&gt;0,('BAU Total Primary Fuel Use'!AB20-('BFPIaE-production'!AD20-'BFPIaE-exports'!AD20)),0)</f>
        <v>7062624094509000</v>
      </c>
      <c r="AE20" s="31">
        <f>IF(('BAU Total Primary Fuel Use'!AC20-('BFPIaE-production'!AE20-'BFPIaE-exports'!AE20))&gt;0,('BAU Total Primary Fuel Use'!AC20-('BFPIaE-production'!AE20-'BFPIaE-exports'!AE20)),0)</f>
        <v>7206394094509000</v>
      </c>
      <c r="AF20" s="31">
        <f>IF(('BAU Total Primary Fuel Use'!AD20-('BFPIaE-production'!AF20-'BFPIaE-exports'!AF20))&gt;0,('BAU Total Primary Fuel Use'!AD20-('BFPIaE-production'!AF20-'BFPIaE-exports'!AF20)),0)</f>
        <v>7350114094509000</v>
      </c>
      <c r="AG20" s="31">
        <f>IF(('BAU Total Primary Fuel Use'!AE20-('BFPIaE-production'!AG20-'BFPIaE-exports'!AG20))&gt;0,('BAU Total Primary Fuel Use'!AE20-('BFPIaE-production'!AG20-'BFPIaE-exports'!AG20)),0)</f>
        <v>7493754094509000</v>
      </c>
      <c r="AH20" s="31">
        <f>IF(('BAU Total Primary Fuel Use'!AF20-('BFPIaE-production'!AH20-'BFPIaE-exports'!AH20))&gt;0,('BAU Total Primary Fuel Use'!AF20-('BFPIaE-production'!AH20-'BFPIaE-exports'!AH20)),0)</f>
        <v>7637334094509000</v>
      </c>
      <c r="AI20" s="31">
        <f>IF(('BAU Total Primary Fuel Use'!AG20-('BFPIaE-production'!AI20-'BFPIaE-exports'!AI20))&gt;0,('BAU Total Primary Fuel Use'!AG20-('BFPIaE-production'!AI20-'BFPIaE-exports'!AI20)),0)</f>
        <v>7780824094509000</v>
      </c>
    </row>
    <row r="21" spans="1:35" x14ac:dyDescent="0.35">
      <c r="A21" s="14" t="s">
        <v>46</v>
      </c>
      <c r="B21" s="12">
        <v>0</v>
      </c>
      <c r="C21">
        <f>B21</f>
        <v>0</v>
      </c>
      <c r="D21">
        <f t="shared" ref="D21:AI22" si="5">C21</f>
        <v>0</v>
      </c>
      <c r="E21">
        <f t="shared" si="5"/>
        <v>0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  <c r="Q21">
        <f t="shared" si="5"/>
        <v>0</v>
      </c>
      <c r="R21">
        <f t="shared" si="5"/>
        <v>0</v>
      </c>
      <c r="S21">
        <f t="shared" si="5"/>
        <v>0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5"/>
        <v>0</v>
      </c>
      <c r="AH21">
        <f t="shared" si="5"/>
        <v>0</v>
      </c>
      <c r="AI21">
        <f t="shared" si="5"/>
        <v>0</v>
      </c>
    </row>
    <row r="22" spans="1:35" x14ac:dyDescent="0.35">
      <c r="A22" s="14" t="s">
        <v>47</v>
      </c>
      <c r="B22" s="12">
        <v>0</v>
      </c>
      <c r="C22">
        <f>B22</f>
        <v>0</v>
      </c>
      <c r="D22">
        <f t="shared" si="5"/>
        <v>0</v>
      </c>
      <c r="E22">
        <f t="shared" si="5"/>
        <v>0</v>
      </c>
      <c r="F22">
        <f t="shared" si="5"/>
        <v>0</v>
      </c>
      <c r="G22">
        <f t="shared" si="5"/>
        <v>0</v>
      </c>
      <c r="H22">
        <f t="shared" si="5"/>
        <v>0</v>
      </c>
      <c r="I22">
        <f t="shared" si="5"/>
        <v>0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0</v>
      </c>
      <c r="R22">
        <f t="shared" si="5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</row>
    <row r="23" spans="1:35" x14ac:dyDescent="0.35">
      <c r="A23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23"/>
  <sheetViews>
    <sheetView topLeftCell="A7" workbookViewId="0">
      <selection activeCell="AE27" sqref="AE27"/>
    </sheetView>
  </sheetViews>
  <sheetFormatPr defaultRowHeight="14.5" x14ac:dyDescent="0.35"/>
  <cols>
    <col min="1" max="1" width="36.26953125" customWidth="1"/>
    <col min="2" max="2" width="12" style="12" bestFit="1" customWidth="1"/>
    <col min="3" max="35" width="13" customWidth="1"/>
  </cols>
  <sheetData>
    <row r="1" spans="1:35" x14ac:dyDescent="0.35">
      <c r="A1" s="13" t="s">
        <v>198</v>
      </c>
      <c r="B1" s="33">
        <v>2017</v>
      </c>
      <c r="C1" s="5">
        <v>2018</v>
      </c>
      <c r="D1" s="33">
        <v>2019</v>
      </c>
      <c r="E1" s="5">
        <v>2020</v>
      </c>
      <c r="F1" s="33">
        <v>2021</v>
      </c>
      <c r="G1" s="5">
        <v>2022</v>
      </c>
      <c r="H1" s="33">
        <v>2023</v>
      </c>
      <c r="I1" s="5">
        <v>2024</v>
      </c>
      <c r="J1" s="33">
        <v>2025</v>
      </c>
      <c r="K1" s="5">
        <v>2026</v>
      </c>
      <c r="L1" s="33">
        <v>2027</v>
      </c>
      <c r="M1" s="5">
        <v>2028</v>
      </c>
      <c r="N1" s="33">
        <v>2029</v>
      </c>
      <c r="O1" s="5">
        <v>2030</v>
      </c>
      <c r="P1" s="33">
        <v>2031</v>
      </c>
      <c r="Q1" s="5">
        <v>2032</v>
      </c>
      <c r="R1" s="33">
        <v>2033</v>
      </c>
      <c r="S1" s="5">
        <v>2034</v>
      </c>
      <c r="T1" s="33">
        <v>2035</v>
      </c>
      <c r="U1" s="5">
        <v>2036</v>
      </c>
      <c r="V1" s="33">
        <v>2037</v>
      </c>
      <c r="W1" s="5">
        <v>2038</v>
      </c>
      <c r="X1" s="33">
        <v>2039</v>
      </c>
      <c r="Y1" s="5">
        <v>2040</v>
      </c>
      <c r="Z1" s="33">
        <v>2041</v>
      </c>
      <c r="AA1" s="5">
        <v>2042</v>
      </c>
      <c r="AB1" s="33">
        <v>2043</v>
      </c>
      <c r="AC1" s="5">
        <v>2044</v>
      </c>
      <c r="AD1" s="33">
        <v>2045</v>
      </c>
      <c r="AE1" s="5">
        <v>2046</v>
      </c>
      <c r="AF1" s="33">
        <v>2047</v>
      </c>
      <c r="AG1" s="5">
        <v>2048</v>
      </c>
      <c r="AH1" s="33">
        <v>2049</v>
      </c>
      <c r="AI1" s="5">
        <v>2050</v>
      </c>
    </row>
    <row r="2" spans="1:35" x14ac:dyDescent="0.35">
      <c r="A2" s="13" t="s">
        <v>33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</row>
    <row r="3" spans="1:35" x14ac:dyDescent="0.35">
      <c r="A3" s="29" t="s">
        <v>34</v>
      </c>
      <c r="B3" s="12">
        <f>'Coal &amp; Lignite'!D5</f>
        <v>15057155884348.047</v>
      </c>
      <c r="C3">
        <f>B3</f>
        <v>15057155884348.047</v>
      </c>
      <c r="D3">
        <f t="shared" ref="D3:AI3" si="0">C3</f>
        <v>15057155884348.047</v>
      </c>
      <c r="E3">
        <f t="shared" si="0"/>
        <v>15057155884348.047</v>
      </c>
      <c r="F3">
        <f t="shared" si="0"/>
        <v>15057155884348.047</v>
      </c>
      <c r="G3">
        <f t="shared" si="0"/>
        <v>15057155884348.047</v>
      </c>
      <c r="H3">
        <f t="shared" si="0"/>
        <v>15057155884348.047</v>
      </c>
      <c r="I3">
        <f t="shared" si="0"/>
        <v>15057155884348.047</v>
      </c>
      <c r="J3">
        <f t="shared" si="0"/>
        <v>15057155884348.047</v>
      </c>
      <c r="K3">
        <f t="shared" si="0"/>
        <v>15057155884348.047</v>
      </c>
      <c r="L3">
        <f t="shared" si="0"/>
        <v>15057155884348.047</v>
      </c>
      <c r="M3">
        <f t="shared" si="0"/>
        <v>15057155884348.047</v>
      </c>
      <c r="N3">
        <f t="shared" si="0"/>
        <v>15057155884348.047</v>
      </c>
      <c r="O3">
        <f t="shared" si="0"/>
        <v>15057155884348.047</v>
      </c>
      <c r="P3">
        <f t="shared" si="0"/>
        <v>15057155884348.047</v>
      </c>
      <c r="Q3">
        <f t="shared" si="0"/>
        <v>15057155884348.047</v>
      </c>
      <c r="R3">
        <f t="shared" si="0"/>
        <v>15057155884348.047</v>
      </c>
      <c r="S3">
        <f t="shared" si="0"/>
        <v>15057155884348.047</v>
      </c>
      <c r="T3">
        <f t="shared" si="0"/>
        <v>15057155884348.047</v>
      </c>
      <c r="U3">
        <f t="shared" si="0"/>
        <v>15057155884348.047</v>
      </c>
      <c r="V3">
        <f t="shared" si="0"/>
        <v>15057155884348.047</v>
      </c>
      <c r="W3">
        <f t="shared" si="0"/>
        <v>15057155884348.047</v>
      </c>
      <c r="X3">
        <f t="shared" si="0"/>
        <v>15057155884348.047</v>
      </c>
      <c r="Y3">
        <f t="shared" si="0"/>
        <v>15057155884348.047</v>
      </c>
      <c r="Z3">
        <f t="shared" si="0"/>
        <v>15057155884348.047</v>
      </c>
      <c r="AA3">
        <f t="shared" si="0"/>
        <v>15057155884348.047</v>
      </c>
      <c r="AB3">
        <f t="shared" si="0"/>
        <v>15057155884348.047</v>
      </c>
      <c r="AC3">
        <f t="shared" si="0"/>
        <v>15057155884348.047</v>
      </c>
      <c r="AD3">
        <f t="shared" si="0"/>
        <v>15057155884348.047</v>
      </c>
      <c r="AE3">
        <f t="shared" si="0"/>
        <v>15057155884348.047</v>
      </c>
      <c r="AF3">
        <f t="shared" si="0"/>
        <v>15057155884348.047</v>
      </c>
      <c r="AG3">
        <f t="shared" si="0"/>
        <v>15057155884348.047</v>
      </c>
      <c r="AH3">
        <f t="shared" si="0"/>
        <v>15057155884348.047</v>
      </c>
      <c r="AI3">
        <f t="shared" si="0"/>
        <v>15057155884348.047</v>
      </c>
    </row>
    <row r="4" spans="1:35" x14ac:dyDescent="0.35">
      <c r="A4" s="14" t="s">
        <v>27</v>
      </c>
      <c r="B4" s="12">
        <f>'Natural Gas'!D6</f>
        <v>0</v>
      </c>
      <c r="C4">
        <f>B4</f>
        <v>0</v>
      </c>
      <c r="D4">
        <f t="shared" ref="D4:AI4" si="1">C4</f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</row>
    <row r="5" spans="1:35" x14ac:dyDescent="0.35">
      <c r="A5" s="14" t="s">
        <v>35</v>
      </c>
      <c r="B5" s="12">
        <v>0</v>
      </c>
      <c r="C5">
        <f>B5</f>
        <v>0</v>
      </c>
      <c r="D5">
        <f t="shared" ref="D5:AI5" si="2">C5</f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</row>
    <row r="6" spans="1:35" x14ac:dyDescent="0.35">
      <c r="A6" s="14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 x14ac:dyDescent="0.35">
      <c r="A7" s="14" t="s">
        <v>37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 x14ac:dyDescent="0.35">
      <c r="A8" s="14" t="s">
        <v>38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x14ac:dyDescent="0.35">
      <c r="A9" s="14" t="s">
        <v>28</v>
      </c>
      <c r="B9" s="12">
        <v>0</v>
      </c>
      <c r="C9">
        <f>B9</f>
        <v>0</v>
      </c>
      <c r="D9">
        <f t="shared" ref="D9:AI9" si="3">C9</f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</row>
    <row r="10" spans="1:35" x14ac:dyDescent="0.35">
      <c r="A10" s="29" t="s">
        <v>29</v>
      </c>
      <c r="B10" s="91">
        <f>'Petroleum Products'!L6</f>
        <v>619624120038866</v>
      </c>
      <c r="C10" s="31">
        <f>B10</f>
        <v>619624120038866</v>
      </c>
      <c r="D10" s="31">
        <f t="shared" ref="D10:AI10" si="4">C10</f>
        <v>619624120038866</v>
      </c>
      <c r="E10" s="31">
        <f t="shared" si="4"/>
        <v>619624120038866</v>
      </c>
      <c r="F10" s="31">
        <f t="shared" si="4"/>
        <v>619624120038866</v>
      </c>
      <c r="G10" s="31">
        <f t="shared" si="4"/>
        <v>619624120038866</v>
      </c>
      <c r="H10" s="31">
        <f t="shared" si="4"/>
        <v>619624120038866</v>
      </c>
      <c r="I10" s="31">
        <f t="shared" si="4"/>
        <v>619624120038866</v>
      </c>
      <c r="J10" s="31">
        <f t="shared" si="4"/>
        <v>619624120038866</v>
      </c>
      <c r="K10" s="31">
        <f t="shared" si="4"/>
        <v>619624120038866</v>
      </c>
      <c r="L10" s="31">
        <f t="shared" si="4"/>
        <v>619624120038866</v>
      </c>
      <c r="M10" s="31">
        <f t="shared" si="4"/>
        <v>619624120038866</v>
      </c>
      <c r="N10" s="31">
        <f t="shared" si="4"/>
        <v>619624120038866</v>
      </c>
      <c r="O10" s="31">
        <f t="shared" si="4"/>
        <v>619624120038866</v>
      </c>
      <c r="P10" s="31">
        <f t="shared" si="4"/>
        <v>619624120038866</v>
      </c>
      <c r="Q10" s="31">
        <f t="shared" si="4"/>
        <v>619624120038866</v>
      </c>
      <c r="R10" s="31">
        <f t="shared" si="4"/>
        <v>619624120038866</v>
      </c>
      <c r="S10" s="31">
        <f t="shared" si="4"/>
        <v>619624120038866</v>
      </c>
      <c r="T10" s="31">
        <f t="shared" si="4"/>
        <v>619624120038866</v>
      </c>
      <c r="U10" s="31">
        <f t="shared" si="4"/>
        <v>619624120038866</v>
      </c>
      <c r="V10" s="31">
        <f t="shared" si="4"/>
        <v>619624120038866</v>
      </c>
      <c r="W10" s="31">
        <f t="shared" si="4"/>
        <v>619624120038866</v>
      </c>
      <c r="X10" s="31">
        <f t="shared" si="4"/>
        <v>619624120038866</v>
      </c>
      <c r="Y10" s="31">
        <f t="shared" si="4"/>
        <v>619624120038866</v>
      </c>
      <c r="Z10" s="31">
        <f t="shared" si="4"/>
        <v>619624120038866</v>
      </c>
      <c r="AA10" s="31">
        <f t="shared" si="4"/>
        <v>619624120038866</v>
      </c>
      <c r="AB10" s="31">
        <f t="shared" si="4"/>
        <v>619624120038866</v>
      </c>
      <c r="AC10" s="31">
        <f t="shared" si="4"/>
        <v>619624120038866</v>
      </c>
      <c r="AD10" s="31">
        <f t="shared" si="4"/>
        <v>619624120038866</v>
      </c>
      <c r="AE10" s="31">
        <f t="shared" si="4"/>
        <v>619624120038866</v>
      </c>
      <c r="AF10" s="31">
        <f t="shared" si="4"/>
        <v>619624120038866</v>
      </c>
      <c r="AG10" s="31">
        <f t="shared" si="4"/>
        <v>619624120038866</v>
      </c>
      <c r="AH10" s="31">
        <f t="shared" si="4"/>
        <v>619624120038866</v>
      </c>
      <c r="AI10" s="31">
        <f t="shared" si="4"/>
        <v>619624120038866</v>
      </c>
    </row>
    <row r="11" spans="1:35" x14ac:dyDescent="0.35">
      <c r="A11" s="29" t="s">
        <v>39</v>
      </c>
      <c r="B11" s="91">
        <f>'Petroleum Products'!L13</f>
        <v>1313794267340850.5</v>
      </c>
      <c r="C11" s="31">
        <f>B11</f>
        <v>1313794267340850.5</v>
      </c>
      <c r="D11" s="31">
        <f t="shared" ref="D11:AI11" si="5">C11</f>
        <v>1313794267340850.5</v>
      </c>
      <c r="E11" s="31">
        <f t="shared" si="5"/>
        <v>1313794267340850.5</v>
      </c>
      <c r="F11" s="31">
        <f t="shared" si="5"/>
        <v>1313794267340850.5</v>
      </c>
      <c r="G11" s="31">
        <f t="shared" si="5"/>
        <v>1313794267340850.5</v>
      </c>
      <c r="H11" s="31">
        <f t="shared" si="5"/>
        <v>1313794267340850.5</v>
      </c>
      <c r="I11" s="31">
        <f t="shared" si="5"/>
        <v>1313794267340850.5</v>
      </c>
      <c r="J11" s="31">
        <f t="shared" si="5"/>
        <v>1313794267340850.5</v>
      </c>
      <c r="K11" s="31">
        <f t="shared" si="5"/>
        <v>1313794267340850.5</v>
      </c>
      <c r="L11" s="31">
        <f t="shared" si="5"/>
        <v>1313794267340850.5</v>
      </c>
      <c r="M11" s="31">
        <f t="shared" si="5"/>
        <v>1313794267340850.5</v>
      </c>
      <c r="N11" s="31">
        <f t="shared" si="5"/>
        <v>1313794267340850.5</v>
      </c>
      <c r="O11" s="31">
        <f t="shared" si="5"/>
        <v>1313794267340850.5</v>
      </c>
      <c r="P11" s="31">
        <f t="shared" si="5"/>
        <v>1313794267340850.5</v>
      </c>
      <c r="Q11" s="31">
        <f t="shared" si="5"/>
        <v>1313794267340850.5</v>
      </c>
      <c r="R11" s="31">
        <f t="shared" si="5"/>
        <v>1313794267340850.5</v>
      </c>
      <c r="S11" s="31">
        <f t="shared" si="5"/>
        <v>1313794267340850.5</v>
      </c>
      <c r="T11" s="31">
        <f t="shared" si="5"/>
        <v>1313794267340850.5</v>
      </c>
      <c r="U11" s="31">
        <f t="shared" si="5"/>
        <v>1313794267340850.5</v>
      </c>
      <c r="V11" s="31">
        <f t="shared" si="5"/>
        <v>1313794267340850.5</v>
      </c>
      <c r="W11" s="31">
        <f t="shared" si="5"/>
        <v>1313794267340850.5</v>
      </c>
      <c r="X11" s="31">
        <f t="shared" si="5"/>
        <v>1313794267340850.5</v>
      </c>
      <c r="Y11" s="31">
        <f t="shared" si="5"/>
        <v>1313794267340850.5</v>
      </c>
      <c r="Z11" s="31">
        <f t="shared" si="5"/>
        <v>1313794267340850.5</v>
      </c>
      <c r="AA11" s="31">
        <f t="shared" si="5"/>
        <v>1313794267340850.5</v>
      </c>
      <c r="AB11" s="31">
        <f t="shared" si="5"/>
        <v>1313794267340850.5</v>
      </c>
      <c r="AC11" s="31">
        <f t="shared" si="5"/>
        <v>1313794267340850.5</v>
      </c>
      <c r="AD11" s="31">
        <f t="shared" si="5"/>
        <v>1313794267340850.5</v>
      </c>
      <c r="AE11" s="31">
        <f t="shared" si="5"/>
        <v>1313794267340850.5</v>
      </c>
      <c r="AF11" s="31">
        <f t="shared" si="5"/>
        <v>1313794267340850.5</v>
      </c>
      <c r="AG11" s="31">
        <f t="shared" si="5"/>
        <v>1313794267340850.5</v>
      </c>
      <c r="AH11" s="31">
        <f t="shared" si="5"/>
        <v>1313794267340850.5</v>
      </c>
      <c r="AI11" s="31">
        <f t="shared" si="5"/>
        <v>1313794267340850.5</v>
      </c>
    </row>
    <row r="12" spans="1:35" x14ac:dyDescent="0.35">
      <c r="A12" s="14" t="s">
        <v>40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</row>
    <row r="13" spans="1:35" x14ac:dyDescent="0.35">
      <c r="A13" s="14" t="s">
        <v>41</v>
      </c>
      <c r="B13" s="12">
        <v>0</v>
      </c>
      <c r="C13">
        <f>B13</f>
        <v>0</v>
      </c>
      <c r="D13">
        <f t="shared" ref="D13:AI13" si="6">C13</f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6"/>
        <v>0</v>
      </c>
      <c r="V13">
        <f t="shared" si="6"/>
        <v>0</v>
      </c>
      <c r="W13">
        <f t="shared" si="6"/>
        <v>0</v>
      </c>
      <c r="X13">
        <f t="shared" si="6"/>
        <v>0</v>
      </c>
      <c r="Y13">
        <f t="shared" si="6"/>
        <v>0</v>
      </c>
      <c r="Z13">
        <f t="shared" si="6"/>
        <v>0</v>
      </c>
      <c r="AA13">
        <f t="shared" si="6"/>
        <v>0</v>
      </c>
      <c r="AB13">
        <f t="shared" si="6"/>
        <v>0</v>
      </c>
      <c r="AC13">
        <f t="shared" si="6"/>
        <v>0</v>
      </c>
      <c r="AD13">
        <f t="shared" si="6"/>
        <v>0</v>
      </c>
      <c r="AE13">
        <f t="shared" si="6"/>
        <v>0</v>
      </c>
      <c r="AF13">
        <f t="shared" si="6"/>
        <v>0</v>
      </c>
      <c r="AG13">
        <f t="shared" si="6"/>
        <v>0</v>
      </c>
      <c r="AH13">
        <f t="shared" si="6"/>
        <v>0</v>
      </c>
      <c r="AI13">
        <f t="shared" si="6"/>
        <v>0</v>
      </c>
    </row>
    <row r="14" spans="1:35" x14ac:dyDescent="0.35">
      <c r="A14" s="29" t="s">
        <v>30</v>
      </c>
      <c r="B14" s="31">
        <f>C14</f>
        <v>417312225570218.5</v>
      </c>
      <c r="C14" s="31">
        <f>D14</f>
        <v>417312225570218.5</v>
      </c>
      <c r="D14" s="31">
        <f>'Petroleum Products'!B32</f>
        <v>417312225570218.5</v>
      </c>
      <c r="E14" s="31">
        <f>'Petroleum Products'!C32</f>
        <v>479955225570218.5</v>
      </c>
      <c r="F14" s="31">
        <f>'Petroleum Products'!D32</f>
        <v>482175225570218.5</v>
      </c>
      <c r="G14" s="31">
        <f>'Petroleum Products'!E32</f>
        <v>492471225570218.5</v>
      </c>
      <c r="H14" s="31">
        <f>'Petroleum Products'!F32</f>
        <v>476330225570218.5</v>
      </c>
      <c r="I14" s="31">
        <f>'Petroleum Products'!G32</f>
        <v>462978225570218.5</v>
      </c>
      <c r="J14" s="31">
        <f>'Petroleum Products'!H32</f>
        <v>451019225570218.5</v>
      </c>
      <c r="K14" s="31">
        <f>'Petroleum Products'!I32</f>
        <v>433034225570218.5</v>
      </c>
      <c r="L14" s="31">
        <f>'Petroleum Products'!J32</f>
        <v>415810225570218.5</v>
      </c>
      <c r="M14" s="31">
        <f>'Petroleum Products'!K32</f>
        <v>399214225570218.5</v>
      </c>
      <c r="N14" s="31">
        <f>'Petroleum Products'!L32</f>
        <v>383130225570218.5</v>
      </c>
      <c r="O14" s="31">
        <f>'Petroleum Products'!M32</f>
        <v>367121225570218.5</v>
      </c>
      <c r="P14" s="31">
        <f>'Petroleum Products'!N32</f>
        <v>346554225570218.5</v>
      </c>
      <c r="Q14" s="31">
        <f>'Petroleum Products'!O32</f>
        <v>326227225570218.5</v>
      </c>
      <c r="R14" s="31">
        <f>'Petroleum Products'!P32</f>
        <v>306106225570218.5</v>
      </c>
      <c r="S14" s="31">
        <f>'Petroleum Products'!Q32</f>
        <v>286166225570218.5</v>
      </c>
      <c r="T14" s="31">
        <f>'Petroleum Products'!R32</f>
        <v>266254225570218.5</v>
      </c>
      <c r="U14" s="31">
        <f>'Petroleum Products'!S32</f>
        <v>229978225570218.5</v>
      </c>
      <c r="V14" s="31">
        <f>'Petroleum Products'!T32</f>
        <v>194016225570218.5</v>
      </c>
      <c r="W14" s="31">
        <f>'Petroleum Products'!U32</f>
        <v>158523225570218.5</v>
      </c>
      <c r="X14" s="31">
        <f>'Petroleum Products'!V32</f>
        <v>123448225570218.5</v>
      </c>
      <c r="Y14" s="31">
        <f>'Petroleum Products'!W32</f>
        <v>88784225570218.5</v>
      </c>
      <c r="Z14" s="31">
        <f>'Petroleum Products'!X32</f>
        <v>43903225570218.5</v>
      </c>
      <c r="AA14" s="31">
        <f>'Petroleum Products'!Y32</f>
        <v>0</v>
      </c>
      <c r="AB14" s="31">
        <f>'Petroleum Products'!Z32</f>
        <v>0</v>
      </c>
      <c r="AC14" s="31">
        <f>'Petroleum Products'!AA32</f>
        <v>0</v>
      </c>
      <c r="AD14" s="31">
        <f>'Petroleum Products'!AB32</f>
        <v>0</v>
      </c>
      <c r="AE14" s="31">
        <f>'Petroleum Products'!AC32</f>
        <v>0</v>
      </c>
      <c r="AF14" s="31">
        <f>'Petroleum Products'!AD32</f>
        <v>0</v>
      </c>
      <c r="AG14" s="31">
        <f>'Petroleum Products'!AE32</f>
        <v>0</v>
      </c>
      <c r="AH14" s="31">
        <f>'Petroleum Products'!AF32</f>
        <v>0</v>
      </c>
      <c r="AI14" s="31">
        <f>'Petroleum Products'!AG32</f>
        <v>0</v>
      </c>
    </row>
    <row r="15" spans="1:35" x14ac:dyDescent="0.35">
      <c r="A15" s="14" t="s">
        <v>42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</row>
    <row r="16" spans="1:35" x14ac:dyDescent="0.35">
      <c r="A16" s="14" t="s">
        <v>43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</row>
    <row r="17" spans="1:35" x14ac:dyDescent="0.35">
      <c r="A17" s="29" t="s">
        <v>44</v>
      </c>
      <c r="B17" s="12">
        <f>'Coal &amp; Lignite'!D15</f>
        <v>58666666666.666664</v>
      </c>
      <c r="C17">
        <f>B17</f>
        <v>58666666666.666664</v>
      </c>
      <c r="D17">
        <f t="shared" ref="D17:AI17" si="7">C17</f>
        <v>58666666666.666664</v>
      </c>
      <c r="E17">
        <f t="shared" si="7"/>
        <v>58666666666.666664</v>
      </c>
      <c r="F17">
        <f t="shared" si="7"/>
        <v>58666666666.666664</v>
      </c>
      <c r="G17">
        <f t="shared" si="7"/>
        <v>58666666666.666664</v>
      </c>
      <c r="H17">
        <f t="shared" si="7"/>
        <v>58666666666.666664</v>
      </c>
      <c r="I17">
        <f t="shared" si="7"/>
        <v>58666666666.666664</v>
      </c>
      <c r="J17">
        <f t="shared" si="7"/>
        <v>58666666666.666664</v>
      </c>
      <c r="K17">
        <f t="shared" si="7"/>
        <v>58666666666.666664</v>
      </c>
      <c r="L17">
        <f t="shared" si="7"/>
        <v>58666666666.666664</v>
      </c>
      <c r="M17">
        <f t="shared" si="7"/>
        <v>58666666666.666664</v>
      </c>
      <c r="N17">
        <f t="shared" si="7"/>
        <v>58666666666.666664</v>
      </c>
      <c r="O17">
        <f t="shared" si="7"/>
        <v>58666666666.666664</v>
      </c>
      <c r="P17">
        <f t="shared" si="7"/>
        <v>58666666666.666664</v>
      </c>
      <c r="Q17">
        <f t="shared" si="7"/>
        <v>58666666666.666664</v>
      </c>
      <c r="R17">
        <f t="shared" si="7"/>
        <v>58666666666.666664</v>
      </c>
      <c r="S17">
        <f t="shared" si="7"/>
        <v>58666666666.666664</v>
      </c>
      <c r="T17">
        <f t="shared" si="7"/>
        <v>58666666666.666664</v>
      </c>
      <c r="U17">
        <f t="shared" si="7"/>
        <v>58666666666.666664</v>
      </c>
      <c r="V17">
        <f t="shared" si="7"/>
        <v>58666666666.666664</v>
      </c>
      <c r="W17">
        <f t="shared" si="7"/>
        <v>58666666666.666664</v>
      </c>
      <c r="X17">
        <f t="shared" si="7"/>
        <v>58666666666.666664</v>
      </c>
      <c r="Y17">
        <f t="shared" si="7"/>
        <v>58666666666.666664</v>
      </c>
      <c r="Z17">
        <f t="shared" si="7"/>
        <v>58666666666.666664</v>
      </c>
      <c r="AA17">
        <f t="shared" si="7"/>
        <v>58666666666.666664</v>
      </c>
      <c r="AB17">
        <f t="shared" si="7"/>
        <v>58666666666.666664</v>
      </c>
      <c r="AC17">
        <f t="shared" si="7"/>
        <v>58666666666.666664</v>
      </c>
      <c r="AD17">
        <f t="shared" si="7"/>
        <v>58666666666.666664</v>
      </c>
      <c r="AE17">
        <f t="shared" si="7"/>
        <v>58666666666.666664</v>
      </c>
      <c r="AF17">
        <f t="shared" si="7"/>
        <v>58666666666.666664</v>
      </c>
      <c r="AG17">
        <f t="shared" si="7"/>
        <v>58666666666.666664</v>
      </c>
      <c r="AH17">
        <f t="shared" si="7"/>
        <v>58666666666.666664</v>
      </c>
      <c r="AI17">
        <f t="shared" si="7"/>
        <v>58666666666.666664</v>
      </c>
    </row>
    <row r="18" spans="1:35" x14ac:dyDescent="0.35">
      <c r="A18" s="14" t="s">
        <v>31</v>
      </c>
      <c r="B18" s="12">
        <f>'Crude Oil'!D7</f>
        <v>0</v>
      </c>
      <c r="C18">
        <f>B18</f>
        <v>0</v>
      </c>
      <c r="D18">
        <f t="shared" ref="D18:AI18" si="8">C18</f>
        <v>0</v>
      </c>
      <c r="E18">
        <f t="shared" si="8"/>
        <v>0</v>
      </c>
      <c r="F18">
        <f t="shared" si="8"/>
        <v>0</v>
      </c>
      <c r="G18">
        <f t="shared" si="8"/>
        <v>0</v>
      </c>
      <c r="H18">
        <f t="shared" si="8"/>
        <v>0</v>
      </c>
      <c r="I18">
        <f t="shared" si="8"/>
        <v>0</v>
      </c>
      <c r="J18">
        <f t="shared" si="8"/>
        <v>0</v>
      </c>
      <c r="K18">
        <f t="shared" si="8"/>
        <v>0</v>
      </c>
      <c r="L18">
        <f t="shared" si="8"/>
        <v>0</v>
      </c>
      <c r="M18">
        <f t="shared" si="8"/>
        <v>0</v>
      </c>
      <c r="N18">
        <f t="shared" si="8"/>
        <v>0</v>
      </c>
      <c r="O18">
        <f t="shared" si="8"/>
        <v>0</v>
      </c>
      <c r="P18">
        <f t="shared" si="8"/>
        <v>0</v>
      </c>
      <c r="Q18">
        <f t="shared" si="8"/>
        <v>0</v>
      </c>
      <c r="R18">
        <f t="shared" si="8"/>
        <v>0</v>
      </c>
      <c r="S18">
        <f t="shared" si="8"/>
        <v>0</v>
      </c>
      <c r="T18">
        <f t="shared" si="8"/>
        <v>0</v>
      </c>
      <c r="U18">
        <f t="shared" si="8"/>
        <v>0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E18">
        <f t="shared" si="8"/>
        <v>0</v>
      </c>
      <c r="AF18">
        <f t="shared" si="8"/>
        <v>0</v>
      </c>
      <c r="AG18">
        <f t="shared" si="8"/>
        <v>0</v>
      </c>
      <c r="AH18">
        <f t="shared" si="8"/>
        <v>0</v>
      </c>
      <c r="AI18">
        <f t="shared" si="8"/>
        <v>0</v>
      </c>
    </row>
    <row r="19" spans="1:35" x14ac:dyDescent="0.35">
      <c r="A19" s="29" t="s">
        <v>45</v>
      </c>
      <c r="B19" s="12">
        <f>'Petroleum Products'!D21</f>
        <v>105596954960000</v>
      </c>
      <c r="C19">
        <f>B19</f>
        <v>105596954960000</v>
      </c>
      <c r="D19">
        <f t="shared" ref="D19:AI19" si="9">C19</f>
        <v>105596954960000</v>
      </c>
      <c r="E19">
        <f t="shared" si="9"/>
        <v>105596954960000</v>
      </c>
      <c r="F19">
        <f t="shared" si="9"/>
        <v>105596954960000</v>
      </c>
      <c r="G19">
        <f t="shared" si="9"/>
        <v>105596954960000</v>
      </c>
      <c r="H19">
        <f t="shared" si="9"/>
        <v>105596954960000</v>
      </c>
      <c r="I19">
        <f t="shared" si="9"/>
        <v>105596954960000</v>
      </c>
      <c r="J19">
        <f t="shared" si="9"/>
        <v>105596954960000</v>
      </c>
      <c r="K19">
        <f t="shared" si="9"/>
        <v>105596954960000</v>
      </c>
      <c r="L19">
        <f t="shared" si="9"/>
        <v>105596954960000</v>
      </c>
      <c r="M19">
        <f t="shared" si="9"/>
        <v>105596954960000</v>
      </c>
      <c r="N19">
        <f t="shared" si="9"/>
        <v>105596954960000</v>
      </c>
      <c r="O19">
        <f t="shared" si="9"/>
        <v>105596954960000</v>
      </c>
      <c r="P19">
        <f t="shared" si="9"/>
        <v>105596954960000</v>
      </c>
      <c r="Q19">
        <f t="shared" si="9"/>
        <v>105596954960000</v>
      </c>
      <c r="R19">
        <f t="shared" si="9"/>
        <v>105596954960000</v>
      </c>
      <c r="S19">
        <f t="shared" si="9"/>
        <v>105596954960000</v>
      </c>
      <c r="T19">
        <f t="shared" si="9"/>
        <v>105596954960000</v>
      </c>
      <c r="U19">
        <f t="shared" si="9"/>
        <v>105596954960000</v>
      </c>
      <c r="V19">
        <f t="shared" si="9"/>
        <v>105596954960000</v>
      </c>
      <c r="W19">
        <f t="shared" si="9"/>
        <v>105596954960000</v>
      </c>
      <c r="X19">
        <f t="shared" si="9"/>
        <v>105596954960000</v>
      </c>
      <c r="Y19">
        <f t="shared" si="9"/>
        <v>105596954960000</v>
      </c>
      <c r="Z19">
        <f t="shared" si="9"/>
        <v>105596954960000</v>
      </c>
      <c r="AA19">
        <f t="shared" si="9"/>
        <v>105596954960000</v>
      </c>
      <c r="AB19">
        <f t="shared" si="9"/>
        <v>105596954960000</v>
      </c>
      <c r="AC19">
        <f t="shared" si="9"/>
        <v>105596954960000</v>
      </c>
      <c r="AD19">
        <f t="shared" si="9"/>
        <v>105596954960000</v>
      </c>
      <c r="AE19">
        <f t="shared" si="9"/>
        <v>105596954960000</v>
      </c>
      <c r="AF19">
        <f t="shared" si="9"/>
        <v>105596954960000</v>
      </c>
      <c r="AG19">
        <f t="shared" si="9"/>
        <v>105596954960000</v>
      </c>
      <c r="AH19">
        <f t="shared" si="9"/>
        <v>105596954960000</v>
      </c>
      <c r="AI19">
        <f t="shared" si="9"/>
        <v>105596954960000</v>
      </c>
    </row>
    <row r="20" spans="1:35" x14ac:dyDescent="0.35">
      <c r="A20" s="29" t="s">
        <v>32</v>
      </c>
      <c r="B20" s="91">
        <f>'Petroleum Products'!D5</f>
        <v>16087533489000</v>
      </c>
      <c r="C20" s="31">
        <f>B20</f>
        <v>16087533489000</v>
      </c>
      <c r="D20" s="31">
        <f t="shared" ref="D20:AI20" si="10">C20</f>
        <v>16087533489000</v>
      </c>
      <c r="E20" s="31">
        <f t="shared" si="10"/>
        <v>16087533489000</v>
      </c>
      <c r="F20" s="31">
        <f t="shared" si="10"/>
        <v>16087533489000</v>
      </c>
      <c r="G20" s="31">
        <f t="shared" si="10"/>
        <v>16087533489000</v>
      </c>
      <c r="H20" s="31">
        <f t="shared" si="10"/>
        <v>16087533489000</v>
      </c>
      <c r="I20" s="31">
        <f t="shared" si="10"/>
        <v>16087533489000</v>
      </c>
      <c r="J20" s="31">
        <f t="shared" si="10"/>
        <v>16087533489000</v>
      </c>
      <c r="K20" s="31">
        <f t="shared" si="10"/>
        <v>16087533489000</v>
      </c>
      <c r="L20" s="31">
        <f t="shared" si="10"/>
        <v>16087533489000</v>
      </c>
      <c r="M20" s="31">
        <f t="shared" si="10"/>
        <v>16087533489000</v>
      </c>
      <c r="N20" s="31">
        <f t="shared" si="10"/>
        <v>16087533489000</v>
      </c>
      <c r="O20" s="31">
        <f t="shared" si="10"/>
        <v>16087533489000</v>
      </c>
      <c r="P20" s="31">
        <f t="shared" si="10"/>
        <v>16087533489000</v>
      </c>
      <c r="Q20" s="31">
        <f t="shared" si="10"/>
        <v>16087533489000</v>
      </c>
      <c r="R20" s="31">
        <f t="shared" si="10"/>
        <v>16087533489000</v>
      </c>
      <c r="S20" s="31">
        <f t="shared" si="10"/>
        <v>16087533489000</v>
      </c>
      <c r="T20" s="31">
        <f t="shared" si="10"/>
        <v>16087533489000</v>
      </c>
      <c r="U20" s="31">
        <f t="shared" si="10"/>
        <v>16087533489000</v>
      </c>
      <c r="V20" s="31">
        <f t="shared" si="10"/>
        <v>16087533489000</v>
      </c>
      <c r="W20" s="31">
        <f t="shared" si="10"/>
        <v>16087533489000</v>
      </c>
      <c r="X20" s="31">
        <f t="shared" si="10"/>
        <v>16087533489000</v>
      </c>
      <c r="Y20" s="31">
        <f t="shared" si="10"/>
        <v>16087533489000</v>
      </c>
      <c r="Z20" s="31">
        <f t="shared" si="10"/>
        <v>16087533489000</v>
      </c>
      <c r="AA20" s="31">
        <f t="shared" si="10"/>
        <v>16087533489000</v>
      </c>
      <c r="AB20" s="31">
        <f t="shared" si="10"/>
        <v>16087533489000</v>
      </c>
      <c r="AC20" s="31">
        <f t="shared" si="10"/>
        <v>16087533489000</v>
      </c>
      <c r="AD20" s="31">
        <f t="shared" si="10"/>
        <v>16087533489000</v>
      </c>
      <c r="AE20" s="31">
        <f t="shared" si="10"/>
        <v>16087533489000</v>
      </c>
      <c r="AF20" s="31">
        <f t="shared" si="10"/>
        <v>16087533489000</v>
      </c>
      <c r="AG20" s="31">
        <f t="shared" si="10"/>
        <v>16087533489000</v>
      </c>
      <c r="AH20" s="31">
        <f t="shared" si="10"/>
        <v>16087533489000</v>
      </c>
      <c r="AI20" s="31">
        <f t="shared" si="10"/>
        <v>16087533489000</v>
      </c>
    </row>
    <row r="21" spans="1:35" x14ac:dyDescent="0.35">
      <c r="A21" s="14" t="s">
        <v>46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</row>
    <row r="22" spans="1:35" x14ac:dyDescent="0.35">
      <c r="A22" s="14" t="s">
        <v>47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</row>
    <row r="23" spans="1:35" x14ac:dyDescent="0.35">
      <c r="A23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I92"/>
  <sheetViews>
    <sheetView topLeftCell="A58" workbookViewId="0">
      <selection activeCell="B63" sqref="B63"/>
    </sheetView>
  </sheetViews>
  <sheetFormatPr defaultColWidth="8.81640625" defaultRowHeight="14.5" x14ac:dyDescent="0.35"/>
  <cols>
    <col min="1" max="1" width="26" customWidth="1"/>
    <col min="2" max="2" width="21.26953125" customWidth="1"/>
    <col min="3" max="3" width="26.6328125" customWidth="1"/>
    <col min="6" max="6" width="21.08984375" customWidth="1"/>
    <col min="7" max="7" width="11.7265625" customWidth="1"/>
    <col min="8" max="8" width="26.7265625" customWidth="1"/>
    <col min="9" max="9" width="15.36328125" customWidth="1"/>
  </cols>
  <sheetData>
    <row r="1" spans="1:9" x14ac:dyDescent="0.35">
      <c r="A1" s="2" t="s">
        <v>199</v>
      </c>
      <c r="B1" s="6"/>
      <c r="C1" s="6"/>
      <c r="F1" s="2" t="s">
        <v>251</v>
      </c>
      <c r="G1" s="6"/>
      <c r="H1" s="6"/>
      <c r="I1" s="6"/>
    </row>
    <row r="2" spans="1:9" x14ac:dyDescent="0.35">
      <c r="A2" s="34" t="s">
        <v>200</v>
      </c>
      <c r="B2" s="35" t="s">
        <v>201</v>
      </c>
      <c r="C2" s="36"/>
      <c r="F2" s="38" t="s">
        <v>252</v>
      </c>
      <c r="G2" s="49" t="s">
        <v>261</v>
      </c>
      <c r="H2" s="49" t="s">
        <v>262</v>
      </c>
      <c r="I2" s="49" t="s">
        <v>264</v>
      </c>
    </row>
    <row r="3" spans="1:9" x14ac:dyDescent="0.35">
      <c r="A3" s="37" t="s">
        <v>202</v>
      </c>
      <c r="B3" s="37" t="s">
        <v>203</v>
      </c>
      <c r="C3" s="37" t="s">
        <v>204</v>
      </c>
      <c r="F3" s="38"/>
      <c r="G3" s="49" t="s">
        <v>260</v>
      </c>
      <c r="H3" s="49" t="s">
        <v>263</v>
      </c>
      <c r="I3" s="49" t="s">
        <v>265</v>
      </c>
    </row>
    <row r="4" spans="1:9" x14ac:dyDescent="0.35">
      <c r="A4" s="38">
        <v>2010</v>
      </c>
      <c r="B4" s="39">
        <v>9.4700000000000006E-2</v>
      </c>
      <c r="C4" s="40">
        <v>0.84470208721577789</v>
      </c>
      <c r="F4" s="42" t="s">
        <v>253</v>
      </c>
      <c r="G4" s="49">
        <v>1</v>
      </c>
      <c r="H4" s="49">
        <v>1.8440000000000001</v>
      </c>
      <c r="I4" s="49">
        <v>11.6</v>
      </c>
    </row>
    <row r="5" spans="1:9" x14ac:dyDescent="0.35">
      <c r="A5" s="38">
        <v>2011</v>
      </c>
      <c r="B5" s="39">
        <v>6.4899999999999999E-2</v>
      </c>
      <c r="C5" s="40">
        <v>0.8995232526760818</v>
      </c>
      <c r="F5" s="42" t="s">
        <v>254</v>
      </c>
      <c r="G5" s="49">
        <v>1</v>
      </c>
      <c r="H5" s="49">
        <v>1.411</v>
      </c>
      <c r="I5" s="49">
        <v>8.8800000000000008</v>
      </c>
    </row>
    <row r="6" spans="1:9" x14ac:dyDescent="0.35">
      <c r="A6" s="38">
        <v>2012</v>
      </c>
      <c r="B6" s="39">
        <v>0.11169999999999999</v>
      </c>
      <c r="C6" s="38">
        <v>1</v>
      </c>
      <c r="F6" s="42" t="s">
        <v>255</v>
      </c>
      <c r="G6" s="49">
        <v>1</v>
      </c>
      <c r="H6" s="49">
        <v>1.21</v>
      </c>
      <c r="I6" s="49">
        <v>7.61</v>
      </c>
    </row>
    <row r="7" spans="1:9" x14ac:dyDescent="0.35">
      <c r="A7" s="38">
        <v>2013</v>
      </c>
      <c r="B7" s="39">
        <v>9.1300000000000006E-2</v>
      </c>
      <c r="C7" s="40">
        <v>1.0912999999999999</v>
      </c>
      <c r="F7" s="42" t="s">
        <v>256</v>
      </c>
      <c r="G7" s="49">
        <v>1</v>
      </c>
      <c r="H7" s="49">
        <v>1.2849999999999999</v>
      </c>
      <c r="I7" s="49">
        <v>8.08</v>
      </c>
    </row>
    <row r="8" spans="1:9" x14ac:dyDescent="0.35">
      <c r="A8" s="38">
        <v>2014</v>
      </c>
      <c r="B8" s="39">
        <v>5.8599999999999999E-2</v>
      </c>
      <c r="C8" s="40">
        <v>1.1552501799999999</v>
      </c>
      <c r="F8" s="42" t="s">
        <v>257</v>
      </c>
      <c r="G8" s="49">
        <v>1</v>
      </c>
      <c r="H8" s="49">
        <v>1.288</v>
      </c>
      <c r="I8" s="49">
        <v>8.1</v>
      </c>
    </row>
    <row r="9" spans="1:9" x14ac:dyDescent="0.35">
      <c r="A9" s="38">
        <v>2015</v>
      </c>
      <c r="B9" s="39">
        <v>6.3200000000000006E-2</v>
      </c>
      <c r="C9" s="40">
        <v>1.2282619913759998</v>
      </c>
      <c r="F9" s="42" t="s">
        <v>258</v>
      </c>
      <c r="G9" s="49">
        <v>1</v>
      </c>
      <c r="H9" s="49">
        <v>1.1719999999999999</v>
      </c>
      <c r="I9" s="49">
        <v>7.37</v>
      </c>
    </row>
    <row r="10" spans="1:9" x14ac:dyDescent="0.35">
      <c r="A10" s="38">
        <v>2016</v>
      </c>
      <c r="B10" s="39">
        <v>2.23E-2</v>
      </c>
      <c r="C10" s="40">
        <v>1.2556522337836846</v>
      </c>
      <c r="F10" s="42" t="s">
        <v>259</v>
      </c>
      <c r="G10" s="49">
        <v>1</v>
      </c>
      <c r="H10" s="49">
        <v>1.071</v>
      </c>
      <c r="I10" s="49">
        <v>6.74</v>
      </c>
    </row>
    <row r="11" spans="1:9" x14ac:dyDescent="0.35">
      <c r="A11" s="38">
        <v>2017</v>
      </c>
      <c r="B11" s="41">
        <v>0.04</v>
      </c>
      <c r="C11" s="40">
        <v>1.3058783231350322</v>
      </c>
      <c r="F11" s="42" t="s">
        <v>10</v>
      </c>
      <c r="G11" s="49">
        <v>1</v>
      </c>
      <c r="H11" s="49">
        <v>1.17</v>
      </c>
      <c r="I11" s="49">
        <v>7.33</v>
      </c>
    </row>
    <row r="12" spans="1:9" x14ac:dyDescent="0.35">
      <c r="A12" s="38">
        <v>2018</v>
      </c>
      <c r="B12" s="39">
        <v>5.2400000000000002E-2</v>
      </c>
      <c r="C12" s="38">
        <v>1.3740000000000001</v>
      </c>
      <c r="F12" s="50" t="s">
        <v>266</v>
      </c>
    </row>
    <row r="13" spans="1:9" x14ac:dyDescent="0.35">
      <c r="A13" s="34" t="s">
        <v>205</v>
      </c>
      <c r="B13" s="35" t="s">
        <v>201</v>
      </c>
      <c r="C13" s="38"/>
    </row>
    <row r="14" spans="1:9" x14ac:dyDescent="0.35">
      <c r="A14" s="38">
        <v>2010</v>
      </c>
      <c r="B14" s="38">
        <v>44.81</v>
      </c>
      <c r="C14" s="38"/>
    </row>
    <row r="15" spans="1:9" x14ac:dyDescent="0.35">
      <c r="A15" s="38">
        <v>2011</v>
      </c>
      <c r="B15" s="38">
        <v>53.26</v>
      </c>
      <c r="C15" s="38"/>
    </row>
    <row r="16" spans="1:9" x14ac:dyDescent="0.35">
      <c r="A16" s="38">
        <v>2012</v>
      </c>
      <c r="B16" s="38">
        <v>54.77</v>
      </c>
      <c r="C16" s="38"/>
    </row>
    <row r="17" spans="1:3" x14ac:dyDescent="0.35">
      <c r="A17" s="38">
        <v>2013</v>
      </c>
      <c r="B17" s="38">
        <v>61.89</v>
      </c>
      <c r="C17" s="38"/>
    </row>
    <row r="18" spans="1:3" ht="18.75" customHeight="1" x14ac:dyDescent="0.35">
      <c r="A18" s="38">
        <v>2014</v>
      </c>
      <c r="B18" s="38">
        <v>63.33</v>
      </c>
      <c r="C18" s="38"/>
    </row>
    <row r="19" spans="1:3" x14ac:dyDescent="0.35">
      <c r="A19" s="38">
        <v>2015</v>
      </c>
      <c r="B19" s="38">
        <v>66.319999999999993</v>
      </c>
      <c r="C19" s="38"/>
    </row>
    <row r="20" spans="1:3" x14ac:dyDescent="0.35">
      <c r="A20" s="38">
        <v>2016</v>
      </c>
      <c r="B20" s="38">
        <v>67.95</v>
      </c>
      <c r="C20" s="38"/>
    </row>
    <row r="21" spans="1:3" x14ac:dyDescent="0.35">
      <c r="A21" s="38">
        <v>2017</v>
      </c>
      <c r="B21" s="38">
        <v>63.92</v>
      </c>
      <c r="C21" s="38"/>
    </row>
    <row r="22" spans="1:3" x14ac:dyDescent="0.35">
      <c r="A22" s="38">
        <v>2018</v>
      </c>
      <c r="B22" s="38">
        <v>68.66</v>
      </c>
      <c r="C22" s="38"/>
    </row>
    <row r="23" spans="1:3" x14ac:dyDescent="0.35">
      <c r="A23" s="2" t="s">
        <v>206</v>
      </c>
      <c r="B23" s="6"/>
      <c r="C23" s="6"/>
    </row>
    <row r="24" spans="1:3" x14ac:dyDescent="0.35">
      <c r="A24" s="38" t="s">
        <v>207</v>
      </c>
      <c r="B24" s="38">
        <v>158.9873</v>
      </c>
      <c r="C24" s="38"/>
    </row>
    <row r="25" spans="1:3" x14ac:dyDescent="0.35">
      <c r="A25" s="38" t="s">
        <v>208</v>
      </c>
      <c r="B25" s="38">
        <v>3.9656699999999998</v>
      </c>
      <c r="C25" s="38"/>
    </row>
    <row r="26" spans="1:3" ht="29" x14ac:dyDescent="0.35">
      <c r="A26" s="42" t="s">
        <v>209</v>
      </c>
      <c r="B26" s="38">
        <v>3412.14</v>
      </c>
      <c r="C26" s="38"/>
    </row>
    <row r="28" spans="1:3" x14ac:dyDescent="0.35">
      <c r="A28" s="2" t="s">
        <v>210</v>
      </c>
      <c r="B28" s="6"/>
      <c r="C28" s="6"/>
    </row>
    <row r="29" spans="1:3" x14ac:dyDescent="0.35">
      <c r="A29" t="s">
        <v>211</v>
      </c>
      <c r="B29">
        <f>AVERAGE(2500,3850)</f>
        <v>3175</v>
      </c>
      <c r="C29" t="s">
        <v>212</v>
      </c>
    </row>
    <row r="30" spans="1:3" x14ac:dyDescent="0.35">
      <c r="A30" t="s">
        <v>213</v>
      </c>
      <c r="B30">
        <f>AVERAGE(3140,3290)</f>
        <v>3215</v>
      </c>
      <c r="C30" t="s">
        <v>212</v>
      </c>
    </row>
    <row r="31" spans="1:3" x14ac:dyDescent="0.35">
      <c r="A31" t="s">
        <v>214</v>
      </c>
      <c r="B31">
        <f>AVERAGE(B29:B30)</f>
        <v>3195</v>
      </c>
      <c r="C31" t="s">
        <v>212</v>
      </c>
    </row>
    <row r="32" spans="1:3" x14ac:dyDescent="0.35">
      <c r="B32" s="43">
        <v>3.9656699999999998</v>
      </c>
      <c r="C32" t="s">
        <v>208</v>
      </c>
    </row>
    <row r="33" spans="1:3" x14ac:dyDescent="0.35">
      <c r="B33" s="15">
        <f>B31*B32</f>
        <v>12670.315649999999</v>
      </c>
      <c r="C33" t="s">
        <v>215</v>
      </c>
    </row>
    <row r="34" spans="1:3" x14ac:dyDescent="0.35">
      <c r="B34" s="31">
        <f>B33*1000</f>
        <v>12670315.649999999</v>
      </c>
      <c r="C34" t="s">
        <v>216</v>
      </c>
    </row>
    <row r="36" spans="1:3" x14ac:dyDescent="0.35">
      <c r="A36" s="2" t="s">
        <v>475</v>
      </c>
      <c r="B36" s="6"/>
      <c r="C36" s="6"/>
    </row>
    <row r="37" spans="1:3" x14ac:dyDescent="0.35">
      <c r="B37">
        <v>5670000</v>
      </c>
      <c r="C37" t="s">
        <v>217</v>
      </c>
    </row>
    <row r="38" spans="1:3" x14ac:dyDescent="0.35">
      <c r="B38" s="15">
        <f>B37/B24</f>
        <v>35663.225930624649</v>
      </c>
      <c r="C38" t="s">
        <v>218</v>
      </c>
    </row>
    <row r="40" spans="1:3" x14ac:dyDescent="0.35">
      <c r="A40" s="2" t="s">
        <v>219</v>
      </c>
      <c r="B40" s="6"/>
      <c r="C40" s="6"/>
    </row>
    <row r="41" spans="1:3" x14ac:dyDescent="0.35">
      <c r="B41">
        <v>10700</v>
      </c>
      <c r="C41" t="s">
        <v>212</v>
      </c>
    </row>
    <row r="42" spans="1:3" x14ac:dyDescent="0.35">
      <c r="B42">
        <v>8.5299999999999994</v>
      </c>
      <c r="C42" t="s">
        <v>220</v>
      </c>
    </row>
    <row r="43" spans="1:3" x14ac:dyDescent="0.35">
      <c r="B43" s="31">
        <f>B41*1000/B42</f>
        <v>1254396.248534584</v>
      </c>
      <c r="C43" t="s">
        <v>221</v>
      </c>
    </row>
    <row r="44" spans="1:3" x14ac:dyDescent="0.35">
      <c r="B44" s="31">
        <f>B43*B25</f>
        <v>4974521.5709261429</v>
      </c>
      <c r="C44" t="s">
        <v>217</v>
      </c>
    </row>
    <row r="45" spans="1:3" x14ac:dyDescent="0.35">
      <c r="B45" s="31">
        <f>B44/B24</f>
        <v>31288.798356385338</v>
      </c>
      <c r="C45" t="s">
        <v>218</v>
      </c>
    </row>
    <row r="47" spans="1:3" x14ac:dyDescent="0.35">
      <c r="A47" s="2" t="s">
        <v>222</v>
      </c>
      <c r="B47" s="6"/>
      <c r="C47" s="6"/>
    </row>
    <row r="48" spans="1:3" x14ac:dyDescent="0.35">
      <c r="B48">
        <v>5.8170000000000002</v>
      </c>
      <c r="C48" t="s">
        <v>223</v>
      </c>
    </row>
    <row r="49" spans="1:3" x14ac:dyDescent="0.35">
      <c r="B49">
        <f>B48/B24</f>
        <v>3.6587828084381581E-2</v>
      </c>
      <c r="C49" t="s">
        <v>224</v>
      </c>
    </row>
    <row r="50" spans="1:3" x14ac:dyDescent="0.35">
      <c r="B50" s="31">
        <f>B49*10^6</f>
        <v>36587.828084381581</v>
      </c>
      <c r="C50" t="s">
        <v>225</v>
      </c>
    </row>
    <row r="51" spans="1:3" x14ac:dyDescent="0.35">
      <c r="B51" s="31"/>
    </row>
    <row r="52" spans="1:3" x14ac:dyDescent="0.35">
      <c r="A52" s="2" t="s">
        <v>226</v>
      </c>
      <c r="B52" s="44"/>
      <c r="C52" s="6"/>
    </row>
    <row r="53" spans="1:3" x14ac:dyDescent="0.35">
      <c r="A53" s="38"/>
      <c r="B53" s="38">
        <v>11300</v>
      </c>
      <c r="C53" s="38" t="s">
        <v>212</v>
      </c>
    </row>
    <row r="54" spans="1:3" x14ac:dyDescent="0.35">
      <c r="A54" s="38"/>
      <c r="B54" s="38">
        <f>B53*1000</f>
        <v>11300000</v>
      </c>
      <c r="C54" s="38" t="s">
        <v>476</v>
      </c>
    </row>
    <row r="55" spans="1:3" x14ac:dyDescent="0.35">
      <c r="A55" s="38"/>
      <c r="B55" s="45">
        <f>B54*B25</f>
        <v>44812071</v>
      </c>
      <c r="C55" s="38" t="s">
        <v>216</v>
      </c>
    </row>
    <row r="57" spans="1:3" x14ac:dyDescent="0.35">
      <c r="A57" s="2" t="s">
        <v>227</v>
      </c>
      <c r="B57" s="6"/>
      <c r="C57" s="6"/>
    </row>
    <row r="58" spans="1:3" x14ac:dyDescent="0.35">
      <c r="A58" s="38"/>
      <c r="B58" s="38">
        <v>36</v>
      </c>
      <c r="C58" s="38" t="s">
        <v>228</v>
      </c>
    </row>
    <row r="59" spans="1:3" x14ac:dyDescent="0.35">
      <c r="A59" s="38"/>
      <c r="B59" s="38">
        <f>B58*10^6</f>
        <v>36000000</v>
      </c>
      <c r="C59" s="38" t="s">
        <v>229</v>
      </c>
    </row>
    <row r="61" spans="1:3" x14ac:dyDescent="0.35">
      <c r="A61" s="2" t="s">
        <v>230</v>
      </c>
      <c r="B61" s="6"/>
      <c r="C61" s="6"/>
    </row>
    <row r="62" spans="1:3" x14ac:dyDescent="0.35">
      <c r="B62" s="17">
        <f>'Heat content of coal'!B9</f>
        <v>3616.0720537220332</v>
      </c>
      <c r="C62" t="s">
        <v>212</v>
      </c>
    </row>
    <row r="63" spans="1:3" x14ac:dyDescent="0.35">
      <c r="B63">
        <f>B25*B62</f>
        <v>14340.148461283854</v>
      </c>
      <c r="C63" t="s">
        <v>215</v>
      </c>
    </row>
    <row r="64" spans="1:3" x14ac:dyDescent="0.35">
      <c r="B64">
        <f>B63*1000</f>
        <v>14340148.461283853</v>
      </c>
      <c r="C64" t="s">
        <v>216</v>
      </c>
    </row>
    <row r="66" spans="1:3" x14ac:dyDescent="0.35">
      <c r="A66" s="2" t="s">
        <v>10</v>
      </c>
      <c r="B66" s="6"/>
      <c r="C66" s="6"/>
    </row>
    <row r="67" spans="1:3" x14ac:dyDescent="0.35">
      <c r="B67">
        <v>5.8</v>
      </c>
      <c r="C67" t="s">
        <v>232</v>
      </c>
    </row>
    <row r="68" spans="1:3" x14ac:dyDescent="0.35">
      <c r="B68">
        <f>B67*10^6</f>
        <v>5800000</v>
      </c>
      <c r="C68" t="s">
        <v>233</v>
      </c>
    </row>
    <row r="70" spans="1:3" x14ac:dyDescent="0.35">
      <c r="A70" s="2" t="s">
        <v>11</v>
      </c>
      <c r="B70" s="6"/>
      <c r="C70" s="6"/>
    </row>
    <row r="71" spans="1:3" x14ac:dyDescent="0.35">
      <c r="B71">
        <v>12.93</v>
      </c>
      <c r="C71" t="s">
        <v>325</v>
      </c>
    </row>
    <row r="72" spans="1:3" x14ac:dyDescent="0.35">
      <c r="B72">
        <v>3.2589999999999999</v>
      </c>
      <c r="C72" t="s">
        <v>232</v>
      </c>
    </row>
    <row r="73" spans="1:3" x14ac:dyDescent="0.35">
      <c r="B73">
        <v>6.2899999999999996E-3</v>
      </c>
      <c r="C73" t="s">
        <v>331</v>
      </c>
    </row>
    <row r="75" spans="1:3" x14ac:dyDescent="0.35">
      <c r="A75" s="2" t="s">
        <v>366</v>
      </c>
      <c r="B75" s="6"/>
      <c r="C75" s="6"/>
    </row>
    <row r="76" spans="1:3" x14ac:dyDescent="0.35">
      <c r="B76">
        <v>3750</v>
      </c>
      <c r="C76" t="s">
        <v>212</v>
      </c>
    </row>
    <row r="77" spans="1:3" x14ac:dyDescent="0.35">
      <c r="B77" s="43">
        <v>3.9656699999999998</v>
      </c>
      <c r="C77" t="s">
        <v>208</v>
      </c>
    </row>
    <row r="78" spans="1:3" x14ac:dyDescent="0.35">
      <c r="B78">
        <f>B76*B77</f>
        <v>14871.262499999999</v>
      </c>
      <c r="C78" t="s">
        <v>215</v>
      </c>
    </row>
    <row r="79" spans="1:3" x14ac:dyDescent="0.35">
      <c r="B79">
        <f>B78*1000</f>
        <v>14871262.499999998</v>
      </c>
      <c r="C79" t="s">
        <v>216</v>
      </c>
    </row>
    <row r="81" spans="1:3" x14ac:dyDescent="0.35">
      <c r="A81" s="2" t="s">
        <v>48</v>
      </c>
      <c r="B81" s="6"/>
      <c r="C81" s="6"/>
    </row>
    <row r="82" spans="1:3" x14ac:dyDescent="0.35">
      <c r="B82" s="43">
        <f>1/3</f>
        <v>0.33333333333333331</v>
      </c>
      <c r="C82" t="s">
        <v>468</v>
      </c>
    </row>
    <row r="83" spans="1:3" x14ac:dyDescent="0.35">
      <c r="B83">
        <v>40</v>
      </c>
      <c r="C83" t="s">
        <v>469</v>
      </c>
    </row>
    <row r="84" spans="1:3" x14ac:dyDescent="0.35">
      <c r="B84" s="17">
        <f>B82*B83</f>
        <v>13.333333333333332</v>
      </c>
      <c r="C84" t="s">
        <v>470</v>
      </c>
    </row>
    <row r="85" spans="1:3" x14ac:dyDescent="0.35">
      <c r="B85">
        <f>B84*10^6</f>
        <v>13333333.333333332</v>
      </c>
      <c r="C85" t="s">
        <v>216</v>
      </c>
    </row>
    <row r="87" spans="1:3" x14ac:dyDescent="0.35">
      <c r="A87" s="2" t="s">
        <v>483</v>
      </c>
      <c r="B87" s="6"/>
      <c r="C87" s="6"/>
    </row>
    <row r="88" spans="1:3" x14ac:dyDescent="0.35">
      <c r="B88" s="88">
        <v>1000</v>
      </c>
      <c r="C88" t="s">
        <v>484</v>
      </c>
    </row>
    <row r="89" spans="1:3" x14ac:dyDescent="0.35">
      <c r="B89" s="88">
        <v>2.2050000000000001</v>
      </c>
      <c r="C89" t="s">
        <v>485</v>
      </c>
    </row>
    <row r="90" spans="1:3" x14ac:dyDescent="0.35">
      <c r="B90" s="88">
        <f>B88*B89</f>
        <v>2205</v>
      </c>
      <c r="C90" t="s">
        <v>486</v>
      </c>
    </row>
    <row r="91" spans="1:3" x14ac:dyDescent="0.35">
      <c r="B91">
        <v>180000000</v>
      </c>
      <c r="C91" t="s">
        <v>487</v>
      </c>
    </row>
    <row r="92" spans="1:3" x14ac:dyDescent="0.35">
      <c r="B92">
        <f>B91*B90</f>
        <v>396900000000</v>
      </c>
      <c r="C92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C11" sqref="C11"/>
    </sheetView>
  </sheetViews>
  <sheetFormatPr defaultRowHeight="14.5" x14ac:dyDescent="0.35"/>
  <cols>
    <col min="1" max="1" width="25.08984375" customWidth="1"/>
    <col min="2" max="2" width="22.90625" customWidth="1"/>
    <col min="3" max="3" width="20.7265625" customWidth="1"/>
  </cols>
  <sheetData>
    <row r="1" spans="1:4" x14ac:dyDescent="0.35">
      <c r="A1" s="93"/>
      <c r="B1" s="95" t="s">
        <v>559</v>
      </c>
      <c r="C1" s="95"/>
      <c r="D1" s="4" t="s">
        <v>560</v>
      </c>
    </row>
    <row r="2" spans="1:4" x14ac:dyDescent="0.35">
      <c r="A2" s="93"/>
      <c r="B2" s="93" t="s">
        <v>561</v>
      </c>
      <c r="C2" s="93" t="s">
        <v>562</v>
      </c>
    </row>
    <row r="3" spans="1:4" x14ac:dyDescent="0.35">
      <c r="A3" s="93" t="s">
        <v>563</v>
      </c>
      <c r="B3" s="93">
        <v>942.63</v>
      </c>
      <c r="C3" s="93">
        <v>14262</v>
      </c>
    </row>
    <row r="5" spans="1:4" x14ac:dyDescent="0.35">
      <c r="A5" t="s">
        <v>564</v>
      </c>
    </row>
    <row r="6" spans="1:4" x14ac:dyDescent="0.35">
      <c r="A6" t="s">
        <v>565</v>
      </c>
      <c r="B6">
        <f>2.39 * 10^11</f>
        <v>239000000000</v>
      </c>
    </row>
    <row r="7" spans="1:4" x14ac:dyDescent="0.35">
      <c r="A7" t="s">
        <v>566</v>
      </c>
      <c r="B7" s="31">
        <f>1 * 10^9</f>
        <v>1000000000</v>
      </c>
    </row>
    <row r="9" spans="1:4" x14ac:dyDescent="0.35">
      <c r="A9" s="85" t="s">
        <v>567</v>
      </c>
      <c r="B9" s="94">
        <f>(C3*B6)/(B3*B7)</f>
        <v>3616.0720537220332</v>
      </c>
    </row>
  </sheetData>
  <mergeCells count="1">
    <mergeCell ref="B1:C1"/>
  </mergeCells>
  <hyperlinks>
    <hyperlink ref="D1" r:id="rId1" xr:uid="{00000000-0004-0000-0200-000000000000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2"/>
  <sheetViews>
    <sheetView topLeftCell="G1" workbookViewId="0">
      <selection activeCell="A14" sqref="A14:XFD14"/>
    </sheetView>
  </sheetViews>
  <sheetFormatPr defaultRowHeight="14.5" x14ac:dyDescent="0.35"/>
  <cols>
    <col min="1" max="1" width="65.36328125" bestFit="1" customWidth="1"/>
  </cols>
  <sheetData>
    <row r="1" spans="1:33" x14ac:dyDescent="0.35">
      <c r="A1" s="13" t="s">
        <v>198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533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s="85" t="s">
        <v>534</v>
      </c>
      <c r="B3" s="31">
        <v>1.48792E+16</v>
      </c>
      <c r="C3" s="31">
        <v>1.44178E+16</v>
      </c>
      <c r="D3" s="31">
        <v>1.56556E+16</v>
      </c>
      <c r="E3" s="31">
        <v>1.65617E+16</v>
      </c>
      <c r="F3" s="31">
        <v>1.76477E+16</v>
      </c>
      <c r="G3" s="31">
        <v>1.84952E+16</v>
      </c>
      <c r="H3" s="31">
        <v>1.9246E+16</v>
      </c>
      <c r="I3" s="31">
        <v>1.98262E+16</v>
      </c>
      <c r="J3" s="31">
        <v>2.02327E+16</v>
      </c>
      <c r="K3" s="31">
        <v>2.09015E+16</v>
      </c>
      <c r="L3" s="31">
        <v>2.15738E+16</v>
      </c>
      <c r="M3" s="31">
        <v>2.22312E+16</v>
      </c>
      <c r="N3" s="31">
        <v>2.29509E+16</v>
      </c>
      <c r="O3" s="31">
        <v>2.36603E+16</v>
      </c>
      <c r="P3" s="31">
        <v>2.44633E+16</v>
      </c>
      <c r="Q3" s="31">
        <v>2.50461E+16</v>
      </c>
      <c r="R3" s="31">
        <v>2.56288E+16</v>
      </c>
      <c r="S3" s="31">
        <v>2.62089E+16</v>
      </c>
      <c r="T3" s="31">
        <v>2.67877E+16</v>
      </c>
      <c r="U3" s="31">
        <v>2.73272E+16</v>
      </c>
      <c r="V3" s="31">
        <v>2.77782E+16</v>
      </c>
      <c r="W3" s="31">
        <v>2.84398E+16</v>
      </c>
      <c r="X3" s="31">
        <v>2.88912E+16</v>
      </c>
      <c r="Y3" s="31">
        <v>2.94102E+16</v>
      </c>
      <c r="Z3" s="31">
        <v>2.98584E+16</v>
      </c>
      <c r="AA3" s="31">
        <v>3.02415E+16</v>
      </c>
      <c r="AB3" s="31">
        <v>3.06601E+16</v>
      </c>
      <c r="AC3" s="31">
        <v>3.10668E+16</v>
      </c>
      <c r="AD3" s="31">
        <v>3.13388E+16</v>
      </c>
      <c r="AE3" s="31">
        <v>3.19958E+16</v>
      </c>
      <c r="AF3" s="31">
        <v>3.22766E+16</v>
      </c>
      <c r="AG3" s="31">
        <v>3.26766E+16</v>
      </c>
    </row>
    <row r="4" spans="1:33" x14ac:dyDescent="0.35">
      <c r="A4" t="s">
        <v>535</v>
      </c>
      <c r="B4" s="31">
        <v>2750850000000000</v>
      </c>
      <c r="C4" s="31">
        <v>2570950000000000</v>
      </c>
      <c r="D4" s="31">
        <v>2667460000000000</v>
      </c>
      <c r="E4" s="31">
        <v>2735430000000000</v>
      </c>
      <c r="F4" s="31">
        <v>2780450000000000</v>
      </c>
      <c r="G4" s="31">
        <v>2798970000000000</v>
      </c>
      <c r="H4" s="31">
        <v>2807630000000000</v>
      </c>
      <c r="I4" s="31">
        <v>2924330000000000</v>
      </c>
      <c r="J4" s="31">
        <v>2943260000000000</v>
      </c>
      <c r="K4" s="31">
        <v>2960800000000000</v>
      </c>
      <c r="L4" s="31">
        <v>3076580000000000</v>
      </c>
      <c r="M4" s="31">
        <v>3234090000000000</v>
      </c>
      <c r="N4" s="31">
        <v>4412550000000000</v>
      </c>
      <c r="O4" s="31">
        <v>4592490000000000</v>
      </c>
      <c r="P4" s="31">
        <v>4782320000000000</v>
      </c>
      <c r="Q4" s="31">
        <v>4962020000000000</v>
      </c>
      <c r="R4" s="31">
        <v>5137940000000000</v>
      </c>
      <c r="S4" s="31">
        <v>5312840000000000</v>
      </c>
      <c r="T4" s="31">
        <v>5583500000000000</v>
      </c>
      <c r="U4" s="31">
        <v>5755430000000000</v>
      </c>
      <c r="V4" s="31">
        <v>6914320000000000</v>
      </c>
      <c r="W4" s="31">
        <v>7074970000000000</v>
      </c>
      <c r="X4" s="31">
        <v>7228450000000000</v>
      </c>
      <c r="Y4" s="31">
        <v>7373360000000000</v>
      </c>
      <c r="Z4" s="31">
        <v>7468700000000000</v>
      </c>
      <c r="AA4" s="31">
        <v>7577420000000000</v>
      </c>
      <c r="AB4" s="31">
        <v>8682140000000000</v>
      </c>
      <c r="AC4" s="31">
        <v>8760430000000000</v>
      </c>
      <c r="AD4" s="31">
        <v>8854680000000000</v>
      </c>
      <c r="AE4" s="31">
        <v>9036450000000000</v>
      </c>
      <c r="AF4" s="31">
        <v>9107480000000000</v>
      </c>
      <c r="AG4" s="31">
        <v>9179250000000000</v>
      </c>
    </row>
    <row r="5" spans="1:33" x14ac:dyDescent="0.35">
      <c r="A5" t="s">
        <v>536</v>
      </c>
      <c r="B5" s="31">
        <v>374046000000000</v>
      </c>
      <c r="C5" s="31">
        <v>402143000000000</v>
      </c>
      <c r="D5" s="31">
        <v>431265000000000</v>
      </c>
      <c r="E5" s="31">
        <v>461412000000000</v>
      </c>
      <c r="F5" s="31">
        <v>581186000000000</v>
      </c>
      <c r="G5" s="31">
        <v>705189000000000</v>
      </c>
      <c r="H5" s="31">
        <v>833290000000000</v>
      </c>
      <c r="I5" s="31">
        <v>965491000000000</v>
      </c>
      <c r="J5" s="31">
        <v>1070150000000000</v>
      </c>
      <c r="K5" s="31">
        <v>1081420000000000</v>
      </c>
      <c r="L5" s="31">
        <v>1091760000000000</v>
      </c>
      <c r="M5" s="31">
        <v>1103030000000000</v>
      </c>
      <c r="N5" s="31">
        <v>1114300000000000</v>
      </c>
      <c r="O5" s="31">
        <v>1159740000000000</v>
      </c>
      <c r="P5" s="31">
        <v>1159740000000000</v>
      </c>
      <c r="Q5" s="31">
        <v>1159740000000000</v>
      </c>
      <c r="R5" s="31">
        <v>1159740000000000</v>
      </c>
      <c r="S5" s="31">
        <v>1159740000000000</v>
      </c>
      <c r="T5" s="31">
        <v>1159740000000000</v>
      </c>
      <c r="U5" s="31">
        <v>1159740000000000</v>
      </c>
      <c r="V5" s="31">
        <v>1159740000000000</v>
      </c>
      <c r="W5" s="31">
        <v>1159740000000000</v>
      </c>
      <c r="X5" s="31">
        <v>1159740000000000</v>
      </c>
      <c r="Y5" s="31">
        <v>1159740000000000</v>
      </c>
      <c r="Z5" s="31">
        <v>1159740000000000</v>
      </c>
      <c r="AA5" s="31">
        <v>1159740000000000</v>
      </c>
      <c r="AB5" s="31">
        <v>1159740000000000</v>
      </c>
      <c r="AC5" s="31">
        <v>1159740000000000</v>
      </c>
      <c r="AD5" s="31">
        <v>1159740000000000</v>
      </c>
      <c r="AE5" s="31">
        <v>1159740000000000</v>
      </c>
      <c r="AF5" s="31">
        <v>1159740000000000</v>
      </c>
      <c r="AG5" s="31">
        <v>1159740000000000</v>
      </c>
    </row>
    <row r="6" spans="1:33" x14ac:dyDescent="0.35">
      <c r="A6" t="s">
        <v>537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538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539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540</v>
      </c>
      <c r="B9" s="31">
        <v>6419690000000000</v>
      </c>
      <c r="C9" s="31">
        <v>6303150000000000</v>
      </c>
      <c r="D9" s="31">
        <v>6288560000000000</v>
      </c>
      <c r="E9" s="31">
        <v>6255840000000000</v>
      </c>
      <c r="F9" s="31">
        <v>6216030000000000</v>
      </c>
      <c r="G9" s="31">
        <v>6162880000000000</v>
      </c>
      <c r="H9" s="31">
        <v>6115750000000000</v>
      </c>
      <c r="I9" s="31">
        <v>6056840000000000</v>
      </c>
      <c r="J9" s="31">
        <v>5996860000000000</v>
      </c>
      <c r="K9" s="31">
        <v>6094240000000000</v>
      </c>
      <c r="L9" s="31">
        <v>6190270000000000</v>
      </c>
      <c r="M9" s="31">
        <v>6287080000000000</v>
      </c>
      <c r="N9" s="31">
        <v>6382790000000000</v>
      </c>
      <c r="O9" s="31">
        <v>6479510000000000</v>
      </c>
      <c r="P9" s="31">
        <v>6466930000000000</v>
      </c>
      <c r="Q9" s="31">
        <v>6445350000000000</v>
      </c>
      <c r="R9" s="31">
        <v>6432770000000000</v>
      </c>
      <c r="S9" s="31">
        <v>6421190000000000</v>
      </c>
      <c r="T9" s="31">
        <v>6408710000000000</v>
      </c>
      <c r="U9" s="31">
        <v>6520470000000000</v>
      </c>
      <c r="V9" s="31">
        <v>6632210000000000</v>
      </c>
      <c r="W9" s="31">
        <v>6754050000000000</v>
      </c>
      <c r="X9" s="31">
        <v>6865800000000000</v>
      </c>
      <c r="Y9" s="31">
        <v>6977540000000000</v>
      </c>
      <c r="Z9" s="31">
        <v>7033230000000000</v>
      </c>
      <c r="AA9" s="31">
        <v>7098920000000000</v>
      </c>
      <c r="AB9" s="31">
        <v>7154700000000000</v>
      </c>
      <c r="AC9" s="31">
        <v>7210390000000000</v>
      </c>
      <c r="AD9" s="31">
        <v>7276080000000000</v>
      </c>
      <c r="AE9" s="31">
        <v>7336900000000000</v>
      </c>
      <c r="AF9" s="31">
        <v>7397840000000000</v>
      </c>
      <c r="AG9" s="31">
        <v>7468660000000000</v>
      </c>
    </row>
    <row r="10" spans="1:33" x14ac:dyDescent="0.35">
      <c r="A10" s="85" t="s">
        <v>541</v>
      </c>
      <c r="B10" s="31">
        <v>1189050000000000</v>
      </c>
      <c r="C10" s="31">
        <v>934045000000000</v>
      </c>
      <c r="D10" s="31">
        <v>1119980000000000</v>
      </c>
      <c r="E10" s="31">
        <v>1230250000000000</v>
      </c>
      <c r="F10" s="31">
        <v>1300680000000000</v>
      </c>
      <c r="G10" s="31">
        <v>1349580000000000</v>
      </c>
      <c r="H10" s="31">
        <v>1385950000000000</v>
      </c>
      <c r="I10" s="31">
        <v>1417180000000000</v>
      </c>
      <c r="J10" s="31">
        <v>1442230000000000</v>
      </c>
      <c r="K10" s="31">
        <v>1462190000000000</v>
      </c>
      <c r="L10" s="31">
        <v>1477810000000000</v>
      </c>
      <c r="M10" s="31">
        <v>1489610000000000</v>
      </c>
      <c r="N10" s="31">
        <v>1507940000000000</v>
      </c>
      <c r="O10" s="31">
        <v>1521530000000000</v>
      </c>
      <c r="P10" s="31">
        <v>1531750000000000</v>
      </c>
      <c r="Q10" s="31">
        <v>1539250000000000</v>
      </c>
      <c r="R10" s="31">
        <v>1544180000000000</v>
      </c>
      <c r="S10" s="31">
        <v>1562610000000000</v>
      </c>
      <c r="T10" s="31">
        <v>1578970000000000</v>
      </c>
      <c r="U10" s="31">
        <v>1593920000000000</v>
      </c>
      <c r="V10" s="31">
        <v>1608490000000000</v>
      </c>
      <c r="W10" s="31">
        <v>1623750000000000</v>
      </c>
      <c r="X10" s="31">
        <v>1655030000000000</v>
      </c>
      <c r="Y10" s="31">
        <v>1687190000000000</v>
      </c>
      <c r="Z10" s="31">
        <v>1720920000000000</v>
      </c>
      <c r="AA10" s="31">
        <v>1756600000000000</v>
      </c>
      <c r="AB10" s="31">
        <v>1794430000000000</v>
      </c>
      <c r="AC10" s="31">
        <v>1854970000000000</v>
      </c>
      <c r="AD10" s="31">
        <v>1916250000000000</v>
      </c>
      <c r="AE10" s="31">
        <v>1978890000000000</v>
      </c>
      <c r="AF10" s="31">
        <v>2043120000000000</v>
      </c>
      <c r="AG10" s="31">
        <v>2108740000000000</v>
      </c>
    </row>
    <row r="11" spans="1:33" x14ac:dyDescent="0.35">
      <c r="A11" s="85" t="s">
        <v>542</v>
      </c>
      <c r="B11" s="31">
        <v>4461030000000000</v>
      </c>
      <c r="C11" s="31">
        <v>3637360000000000</v>
      </c>
      <c r="D11" s="31">
        <v>4376890000000000</v>
      </c>
      <c r="E11" s="31">
        <v>4852600000000000</v>
      </c>
      <c r="F11" s="31">
        <v>5200770000000000</v>
      </c>
      <c r="G11" s="31">
        <v>5476320000000000</v>
      </c>
      <c r="H11" s="31">
        <v>5712730000000000</v>
      </c>
      <c r="I11" s="31">
        <v>5995050000000000</v>
      </c>
      <c r="J11" s="31">
        <v>6263480000000000</v>
      </c>
      <c r="K11" s="31">
        <v>6527140000000000</v>
      </c>
      <c r="L11" s="31">
        <v>6784010000000000</v>
      </c>
      <c r="M11" s="31">
        <v>7061480000000000</v>
      </c>
      <c r="N11" s="31">
        <v>7409850000000000</v>
      </c>
      <c r="O11" s="31">
        <v>7767690000000000</v>
      </c>
      <c r="P11" s="31">
        <v>8117940000000000</v>
      </c>
      <c r="Q11" s="31">
        <v>8463410000000000</v>
      </c>
      <c r="R11" s="31">
        <v>8804570000000000</v>
      </c>
      <c r="S11" s="31">
        <v>9210760000000000</v>
      </c>
      <c r="T11" s="31">
        <v>9613770000000000</v>
      </c>
      <c r="U11" s="31">
        <v>1.00152E+16</v>
      </c>
      <c r="V11" s="31">
        <v>1.0416E+16</v>
      </c>
      <c r="W11" s="31">
        <v>1.08181E+16</v>
      </c>
      <c r="X11" s="31">
        <v>1.12994E+16</v>
      </c>
      <c r="Y11" s="31">
        <v>1.17821E+16</v>
      </c>
      <c r="Z11" s="31">
        <v>1.22574E+16</v>
      </c>
      <c r="AA11" s="31">
        <v>1.27353E+16</v>
      </c>
      <c r="AB11" s="31">
        <v>1.32153E+16</v>
      </c>
      <c r="AC11" s="31">
        <v>1.37891E+16</v>
      </c>
      <c r="AD11" s="31">
        <v>1.43654E+16</v>
      </c>
      <c r="AE11" s="31">
        <v>1.49441E+16</v>
      </c>
      <c r="AF11" s="31">
        <v>1.55246E+16</v>
      </c>
      <c r="AG11" s="31">
        <v>1.61067E+16</v>
      </c>
    </row>
    <row r="12" spans="1:33" x14ac:dyDescent="0.35">
      <c r="A12" t="s">
        <v>543</v>
      </c>
      <c r="B12" s="31">
        <v>37280600000000</v>
      </c>
      <c r="C12" s="31">
        <v>32775200000000</v>
      </c>
      <c r="D12" s="31">
        <v>43514600000000</v>
      </c>
      <c r="E12" s="31">
        <v>52329000000000</v>
      </c>
      <c r="F12" s="31">
        <v>60291100000000</v>
      </c>
      <c r="G12" s="31">
        <v>67748100000000</v>
      </c>
      <c r="H12" s="31">
        <v>74943600000000</v>
      </c>
      <c r="I12" s="31">
        <v>82005500000000</v>
      </c>
      <c r="J12" s="31">
        <v>89124700000000</v>
      </c>
      <c r="K12" s="31">
        <v>96149500000000</v>
      </c>
      <c r="L12" s="31">
        <v>103073000000000</v>
      </c>
      <c r="M12" s="31">
        <v>109886000000000</v>
      </c>
      <c r="N12" s="31">
        <v>111238000000000</v>
      </c>
      <c r="O12" s="31">
        <v>112240000000000</v>
      </c>
      <c r="P12" s="31">
        <v>112994000000000</v>
      </c>
      <c r="Q12" s="31">
        <v>113547000000000</v>
      </c>
      <c r="R12" s="31">
        <v>113911000000000</v>
      </c>
      <c r="S12" s="31">
        <v>115270000000000</v>
      </c>
      <c r="T12" s="31">
        <v>116477000000000</v>
      </c>
      <c r="U12" s="31">
        <v>117580000000000</v>
      </c>
      <c r="V12" s="31">
        <v>118655000000000</v>
      </c>
      <c r="W12" s="31">
        <v>119780000000000</v>
      </c>
      <c r="X12" s="31">
        <v>122088000000000</v>
      </c>
      <c r="Y12" s="31">
        <v>124460000000000</v>
      </c>
      <c r="Z12" s="31">
        <v>126948000000000</v>
      </c>
      <c r="AA12" s="31">
        <v>129581000000000</v>
      </c>
      <c r="AB12" s="31">
        <v>132371000000000</v>
      </c>
      <c r="AC12" s="31">
        <v>136837000000000</v>
      </c>
      <c r="AD12" s="31">
        <v>141357000000000</v>
      </c>
      <c r="AE12" s="31">
        <v>145979000000000</v>
      </c>
      <c r="AF12" s="31">
        <v>150717000000000</v>
      </c>
      <c r="AG12" s="31">
        <v>155557000000000</v>
      </c>
    </row>
    <row r="13" spans="1:33" x14ac:dyDescent="0.35">
      <c r="A13" t="s">
        <v>544</v>
      </c>
      <c r="B13" s="31">
        <v>197343000000000</v>
      </c>
      <c r="C13" s="31">
        <v>155892000000000</v>
      </c>
      <c r="D13" s="31">
        <v>191140000000000</v>
      </c>
      <c r="E13" s="31">
        <v>213362000000000</v>
      </c>
      <c r="F13" s="31">
        <v>228952000000000</v>
      </c>
      <c r="G13" s="31">
        <v>240954000000000</v>
      </c>
      <c r="H13" s="31">
        <v>251019000000000</v>
      </c>
      <c r="I13" s="31">
        <v>263564000000000</v>
      </c>
      <c r="J13" s="31">
        <v>275410000000000</v>
      </c>
      <c r="K13" s="31">
        <v>286800000000000</v>
      </c>
      <c r="L13" s="31">
        <v>297835000000000</v>
      </c>
      <c r="M13" s="31">
        <v>309972000000000</v>
      </c>
      <c r="N13" s="31">
        <v>325836000000000</v>
      </c>
      <c r="O13" s="31">
        <v>342212000000000</v>
      </c>
      <c r="P13" s="31">
        <v>358248000000000</v>
      </c>
      <c r="Q13" s="31">
        <v>374040000000000</v>
      </c>
      <c r="R13" s="31">
        <v>389604000000000</v>
      </c>
      <c r="S13" s="31">
        <v>408597000000000</v>
      </c>
      <c r="T13" s="31">
        <v>427420000000000</v>
      </c>
      <c r="U13" s="31">
        <v>446156000000000</v>
      </c>
      <c r="V13" s="31">
        <v>464861000000000</v>
      </c>
      <c r="W13" s="31">
        <v>483628000000000</v>
      </c>
      <c r="X13" s="31">
        <v>506582000000000</v>
      </c>
      <c r="Y13" s="31">
        <v>529604000000000</v>
      </c>
      <c r="Z13" s="31">
        <v>552754000000000</v>
      </c>
      <c r="AA13" s="31">
        <v>576033000000000</v>
      </c>
      <c r="AB13" s="31">
        <v>599432000000000</v>
      </c>
      <c r="AC13" s="31">
        <v>627769000000000</v>
      </c>
      <c r="AD13" s="31">
        <v>656246000000000</v>
      </c>
      <c r="AE13" s="31">
        <v>684838000000000</v>
      </c>
      <c r="AF13" s="31">
        <v>713537000000000</v>
      </c>
      <c r="AG13" s="31">
        <v>742314000000000</v>
      </c>
    </row>
    <row r="14" spans="1:33" x14ac:dyDescent="0.35">
      <c r="A14" s="85" t="s">
        <v>545</v>
      </c>
      <c r="B14" s="31">
        <v>253052000000000</v>
      </c>
      <c r="C14" s="31">
        <v>190409000000000</v>
      </c>
      <c r="D14" s="31">
        <v>188189000000000</v>
      </c>
      <c r="E14" s="31">
        <v>177893000000000</v>
      </c>
      <c r="F14" s="31">
        <v>194034000000000</v>
      </c>
      <c r="G14" s="31">
        <v>207386000000000</v>
      </c>
      <c r="H14" s="31">
        <v>219345000000000</v>
      </c>
      <c r="I14" s="31">
        <v>237330000000000</v>
      </c>
      <c r="J14" s="31">
        <v>254554000000000</v>
      </c>
      <c r="K14" s="31">
        <v>271150000000000</v>
      </c>
      <c r="L14" s="31">
        <v>287234000000000</v>
      </c>
      <c r="M14" s="31">
        <v>303243000000000</v>
      </c>
      <c r="N14" s="31">
        <v>323810000000000</v>
      </c>
      <c r="O14" s="31">
        <v>344137000000000</v>
      </c>
      <c r="P14" s="31">
        <v>364258000000000</v>
      </c>
      <c r="Q14" s="31">
        <v>384198000000000</v>
      </c>
      <c r="R14" s="31">
        <v>404110000000000</v>
      </c>
      <c r="S14" s="31">
        <v>440386000000000</v>
      </c>
      <c r="T14" s="31">
        <v>476348000000000</v>
      </c>
      <c r="U14" s="31">
        <v>511841000000000</v>
      </c>
      <c r="V14" s="31">
        <v>546916000000000</v>
      </c>
      <c r="W14" s="31">
        <v>581580000000000</v>
      </c>
      <c r="X14" s="31">
        <v>626461000000000</v>
      </c>
      <c r="Y14" s="31">
        <v>671028000000000</v>
      </c>
      <c r="Z14" s="31">
        <v>715239000000000</v>
      </c>
      <c r="AA14" s="31">
        <v>759264000000000</v>
      </c>
      <c r="AB14" s="31">
        <v>803037000000000</v>
      </c>
      <c r="AC14" s="31">
        <v>855816000000000</v>
      </c>
      <c r="AD14" s="31">
        <v>908499000000000</v>
      </c>
      <c r="AE14" s="31">
        <v>961157000000000</v>
      </c>
      <c r="AF14" s="31">
        <v>1013650000000000</v>
      </c>
      <c r="AG14" s="31">
        <v>1065730000000000</v>
      </c>
    </row>
    <row r="15" spans="1:33" x14ac:dyDescent="0.35">
      <c r="A15" t="s">
        <v>546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547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s="85" t="s">
        <v>548</v>
      </c>
      <c r="B17" s="31">
        <v>2371100000000</v>
      </c>
      <c r="C17" s="31">
        <v>2029710000000</v>
      </c>
      <c r="D17" s="31">
        <v>2191930000000</v>
      </c>
      <c r="E17" s="31">
        <v>2249770000000</v>
      </c>
      <c r="F17" s="31">
        <v>2454420000000</v>
      </c>
      <c r="G17" s="31">
        <v>2352070000000</v>
      </c>
      <c r="H17" s="31">
        <v>2285590000000</v>
      </c>
      <c r="I17" s="31">
        <v>2243040000000</v>
      </c>
      <c r="J17" s="31">
        <v>2244140000000</v>
      </c>
      <c r="K17" s="31">
        <v>2256330000000</v>
      </c>
      <c r="L17" s="31">
        <v>2311370000000</v>
      </c>
      <c r="M17" s="31">
        <v>2367390000000</v>
      </c>
      <c r="N17" s="31">
        <v>2477620000000</v>
      </c>
      <c r="O17" s="31">
        <v>2580470000000</v>
      </c>
      <c r="P17" s="31">
        <v>2724860000000</v>
      </c>
      <c r="Q17" s="31">
        <v>2729490000000</v>
      </c>
      <c r="R17" s="31">
        <v>2741910000000</v>
      </c>
      <c r="S17" s="31">
        <v>2745470000000</v>
      </c>
      <c r="T17" s="31">
        <v>2741900000000</v>
      </c>
      <c r="U17" s="31">
        <v>2752050000000</v>
      </c>
      <c r="V17" s="31">
        <v>2707490000000</v>
      </c>
      <c r="W17" s="31">
        <v>2804270000000</v>
      </c>
      <c r="X17" s="31">
        <v>2790120000000</v>
      </c>
      <c r="Y17" s="31">
        <v>2748490000000</v>
      </c>
      <c r="Z17" s="31">
        <v>2780520000000</v>
      </c>
      <c r="AA17" s="31">
        <v>2766840000000</v>
      </c>
      <c r="AB17" s="31">
        <v>2772040000000</v>
      </c>
      <c r="AC17" s="31">
        <v>2775090000000</v>
      </c>
      <c r="AD17" s="31">
        <v>2685590000000</v>
      </c>
      <c r="AE17" s="31">
        <v>2864810000000</v>
      </c>
      <c r="AF17" s="31">
        <v>2776050000000</v>
      </c>
      <c r="AG17" s="31">
        <v>2775440000000</v>
      </c>
    </row>
    <row r="18" spans="1:33" x14ac:dyDescent="0.35">
      <c r="A18" t="s">
        <v>549</v>
      </c>
      <c r="B18" s="31">
        <v>1.23549E+16</v>
      </c>
      <c r="C18" s="31">
        <v>1.18882E+16</v>
      </c>
      <c r="D18" s="31">
        <v>1.30743E+16</v>
      </c>
      <c r="E18" s="31">
        <v>1.40085E+16</v>
      </c>
      <c r="F18" s="31">
        <v>1.50893E+16</v>
      </c>
      <c r="G18" s="31">
        <v>1.61032E+16</v>
      </c>
      <c r="H18" s="31">
        <v>1.7081E+16</v>
      </c>
      <c r="I18" s="31">
        <v>1.80396E+16</v>
      </c>
      <c r="J18" s="31">
        <v>1.89879E+16</v>
      </c>
      <c r="K18" s="31">
        <v>2.02488E+16</v>
      </c>
      <c r="L18" s="31">
        <v>2.15069E+16</v>
      </c>
      <c r="M18" s="31">
        <v>2.27636E+16</v>
      </c>
      <c r="N18" s="31">
        <v>2.40194E+16</v>
      </c>
      <c r="O18" s="31">
        <v>2.52753E+16</v>
      </c>
      <c r="P18" s="31">
        <v>2.66186E+16</v>
      </c>
      <c r="Q18" s="31">
        <v>2.79619E+16</v>
      </c>
      <c r="R18" s="31">
        <v>2.93052E+16</v>
      </c>
      <c r="S18" s="31">
        <v>3.06485E+16</v>
      </c>
      <c r="T18" s="31">
        <v>3.19919E+16</v>
      </c>
      <c r="U18" s="31">
        <v>3.2964E+16</v>
      </c>
      <c r="V18" s="31">
        <v>3.39361E+16</v>
      </c>
      <c r="W18" s="31">
        <v>3.49082E+16</v>
      </c>
      <c r="X18" s="31">
        <v>3.58804E+16</v>
      </c>
      <c r="Y18" s="31">
        <v>3.68525E+16</v>
      </c>
      <c r="Z18" s="31">
        <v>3.74888E+16</v>
      </c>
      <c r="AA18" s="31">
        <v>3.81251E+16</v>
      </c>
      <c r="AB18" s="31">
        <v>3.87614E+16</v>
      </c>
      <c r="AC18" s="31">
        <v>3.93977E+16</v>
      </c>
      <c r="AD18" s="31">
        <v>4.0034E+16</v>
      </c>
      <c r="AE18" s="31">
        <v>4.06703E+16</v>
      </c>
      <c r="AF18" s="31">
        <v>4.13066E+16</v>
      </c>
      <c r="AG18" s="31">
        <v>4.19429E+16</v>
      </c>
    </row>
    <row r="19" spans="1:33" x14ac:dyDescent="0.35">
      <c r="A19" s="85" t="s">
        <v>550</v>
      </c>
      <c r="B19" s="31">
        <v>351429000000000</v>
      </c>
      <c r="C19" s="31">
        <v>317889000000000</v>
      </c>
      <c r="D19" s="31">
        <v>360357000000000</v>
      </c>
      <c r="E19" s="31">
        <v>391093000000000</v>
      </c>
      <c r="F19" s="31">
        <v>418618000000000</v>
      </c>
      <c r="G19" s="31">
        <v>442743000000000</v>
      </c>
      <c r="H19" s="31">
        <v>465077000000000</v>
      </c>
      <c r="I19" s="31">
        <v>487342000000000</v>
      </c>
      <c r="J19" s="31">
        <v>508884000000000</v>
      </c>
      <c r="K19" s="31">
        <v>530488000000000</v>
      </c>
      <c r="L19" s="31">
        <v>551716000000000</v>
      </c>
      <c r="M19" s="31">
        <v>572783000000000</v>
      </c>
      <c r="N19" s="31">
        <v>594278000000000</v>
      </c>
      <c r="O19" s="31">
        <v>615650000000000</v>
      </c>
      <c r="P19" s="31">
        <v>629580000000000</v>
      </c>
      <c r="Q19" s="31">
        <v>643399000000000</v>
      </c>
      <c r="R19" s="31">
        <v>657189000000000</v>
      </c>
      <c r="S19" s="31">
        <v>670965000000000</v>
      </c>
      <c r="T19" s="31">
        <v>684659000000000</v>
      </c>
      <c r="U19" s="31">
        <v>700346000000000</v>
      </c>
      <c r="V19" s="31">
        <v>715947000000000</v>
      </c>
      <c r="W19" s="31">
        <v>731473000000000</v>
      </c>
      <c r="X19" s="31">
        <v>746674000000000</v>
      </c>
      <c r="Y19" s="31">
        <v>761873000000000</v>
      </c>
      <c r="Z19" s="31">
        <v>774515000000000</v>
      </c>
      <c r="AA19" s="31">
        <v>787160000000000</v>
      </c>
      <c r="AB19" s="31">
        <v>799789000000000</v>
      </c>
      <c r="AC19" s="31">
        <v>811809000000000</v>
      </c>
      <c r="AD19" s="31">
        <v>823826000000000</v>
      </c>
      <c r="AE19" s="31">
        <v>835857000000000</v>
      </c>
      <c r="AF19" s="31">
        <v>847885000000000</v>
      </c>
      <c r="AG19" s="31">
        <v>859876000000000</v>
      </c>
    </row>
    <row r="20" spans="1:33" x14ac:dyDescent="0.35">
      <c r="A20" s="85" t="s">
        <v>551</v>
      </c>
      <c r="B20" s="31">
        <v>3591220000000000</v>
      </c>
      <c r="C20" s="31">
        <v>3525850000000000</v>
      </c>
      <c r="D20" s="31">
        <v>3752380000000000</v>
      </c>
      <c r="E20" s="31">
        <v>3932650000000000</v>
      </c>
      <c r="F20" s="31">
        <v>4098830000000000</v>
      </c>
      <c r="G20" s="31">
        <v>4252660000000000</v>
      </c>
      <c r="H20" s="31">
        <v>4400140000000000</v>
      </c>
      <c r="I20" s="31">
        <v>4544250000000000</v>
      </c>
      <c r="J20" s="31">
        <v>4686450000000000</v>
      </c>
      <c r="K20" s="31">
        <v>4829950000000000</v>
      </c>
      <c r="L20" s="31">
        <v>4972810000000000</v>
      </c>
      <c r="M20" s="31">
        <v>5115420000000000</v>
      </c>
      <c r="N20" s="31">
        <v>5258030000000000</v>
      </c>
      <c r="O20" s="31">
        <v>5400440000000000</v>
      </c>
      <c r="P20" s="31">
        <v>5562960000000000</v>
      </c>
      <c r="Q20" s="31">
        <v>5725410000000000</v>
      </c>
      <c r="R20" s="31">
        <v>5887870000000000</v>
      </c>
      <c r="S20" s="31">
        <v>6050770000000000</v>
      </c>
      <c r="T20" s="31">
        <v>6213560000000000</v>
      </c>
      <c r="U20" s="31">
        <v>6405130000000000</v>
      </c>
      <c r="V20" s="31">
        <v>6596600000000000</v>
      </c>
      <c r="W20" s="31">
        <v>6787880000000000</v>
      </c>
      <c r="X20" s="31">
        <v>6979650000000000</v>
      </c>
      <c r="Y20" s="31">
        <v>7171340000000000</v>
      </c>
      <c r="Z20" s="31">
        <v>7314720000000000</v>
      </c>
      <c r="AA20" s="31">
        <v>7458040000000000</v>
      </c>
      <c r="AB20" s="31">
        <v>7601310000000000</v>
      </c>
      <c r="AC20" s="31">
        <v>7745080000000000</v>
      </c>
      <c r="AD20" s="31">
        <v>7888800000000000</v>
      </c>
      <c r="AE20" s="31">
        <v>8032440000000000</v>
      </c>
      <c r="AF20" s="31">
        <v>8176020000000000</v>
      </c>
      <c r="AG20" s="31">
        <v>8319510000000000</v>
      </c>
    </row>
    <row r="21" spans="1:33" x14ac:dyDescent="0.35">
      <c r="A21" t="s">
        <v>552</v>
      </c>
      <c r="B21" s="31">
        <v>106064000000</v>
      </c>
      <c r="C21" s="31">
        <v>93721600000</v>
      </c>
      <c r="D21" s="31">
        <v>93313700000</v>
      </c>
      <c r="E21" s="31">
        <v>88145300000</v>
      </c>
      <c r="F21" s="31">
        <v>90803600000</v>
      </c>
      <c r="G21" s="31">
        <v>84688600000</v>
      </c>
      <c r="H21" s="31">
        <v>77856600000</v>
      </c>
      <c r="I21" s="31">
        <v>78629400000</v>
      </c>
      <c r="J21" s="31">
        <v>80899700000</v>
      </c>
      <c r="K21" s="31">
        <v>79081900000</v>
      </c>
      <c r="L21" s="31">
        <v>80958600000</v>
      </c>
      <c r="M21" s="31">
        <v>82874900000</v>
      </c>
      <c r="N21" s="31">
        <v>84257400000</v>
      </c>
      <c r="O21" s="31">
        <v>87716200000</v>
      </c>
      <c r="P21" s="31">
        <v>95256700000</v>
      </c>
      <c r="Q21" s="31">
        <v>95418700000</v>
      </c>
      <c r="R21" s="31">
        <v>93190900000</v>
      </c>
      <c r="S21" s="31">
        <v>93312200000</v>
      </c>
      <c r="T21" s="31">
        <v>95853800000</v>
      </c>
      <c r="U21" s="31">
        <v>96209700000</v>
      </c>
      <c r="V21" s="31">
        <v>92018700000</v>
      </c>
      <c r="W21" s="31">
        <v>95321100000</v>
      </c>
      <c r="X21" s="31">
        <v>94837000000</v>
      </c>
      <c r="Y21" s="31">
        <v>93415100000</v>
      </c>
      <c r="Z21" s="31">
        <v>94508600000</v>
      </c>
      <c r="AA21" s="31">
        <v>94041300000</v>
      </c>
      <c r="AB21" s="31">
        <v>94219100000</v>
      </c>
      <c r="AC21" s="31">
        <v>94323200000</v>
      </c>
      <c r="AD21" s="31">
        <v>91274500000</v>
      </c>
      <c r="AE21" s="31">
        <v>97397300000</v>
      </c>
      <c r="AF21" s="31">
        <v>94355900000</v>
      </c>
      <c r="AG21" s="31">
        <v>94335000000</v>
      </c>
    </row>
    <row r="22" spans="1:33" x14ac:dyDescent="0.35">
      <c r="A22" t="s">
        <v>553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7"/>
  <sheetViews>
    <sheetView workbookViewId="0">
      <selection activeCell="J1" sqref="J1"/>
    </sheetView>
  </sheetViews>
  <sheetFormatPr defaultRowHeight="14.5" x14ac:dyDescent="0.35"/>
  <cols>
    <col min="1" max="1" width="15.81640625" customWidth="1"/>
    <col min="2" max="2" width="14.81640625" customWidth="1"/>
    <col min="3" max="3" width="9.6328125" customWidth="1"/>
    <col min="6" max="6" width="11.81640625" customWidth="1"/>
    <col min="8" max="8" width="9.81640625" customWidth="1"/>
    <col min="13" max="13" width="12" bestFit="1" customWidth="1"/>
    <col min="18" max="18" width="12" bestFit="1" customWidth="1"/>
    <col min="23" max="23" width="12" bestFit="1" customWidth="1"/>
    <col min="28" max="28" width="12" bestFit="1" customWidth="1"/>
    <col min="33" max="33" width="12" bestFit="1" customWidth="1"/>
  </cols>
  <sheetData>
    <row r="1" spans="1:35" x14ac:dyDescent="0.35">
      <c r="A1" s="51" t="s">
        <v>270</v>
      </c>
      <c r="B1" s="51"/>
      <c r="C1" s="51"/>
      <c r="D1" s="54"/>
      <c r="F1" s="81" t="s">
        <v>450</v>
      </c>
      <c r="M1" s="83" t="s">
        <v>451</v>
      </c>
    </row>
    <row r="2" spans="1:35" x14ac:dyDescent="0.35">
      <c r="A2" s="52" t="s">
        <v>187</v>
      </c>
      <c r="B2" s="52" t="s">
        <v>271</v>
      </c>
      <c r="C2" s="52" t="s">
        <v>8</v>
      </c>
      <c r="D2" s="52" t="s">
        <v>274</v>
      </c>
      <c r="G2" s="82">
        <v>2017</v>
      </c>
      <c r="H2" s="82">
        <v>2022</v>
      </c>
      <c r="I2" s="82">
        <v>2027</v>
      </c>
      <c r="J2" s="82">
        <v>2032</v>
      </c>
      <c r="K2" s="82">
        <v>2037</v>
      </c>
      <c r="L2" s="82">
        <v>2042</v>
      </c>
      <c r="M2" s="82">
        <v>2047</v>
      </c>
    </row>
    <row r="3" spans="1:35" x14ac:dyDescent="0.35">
      <c r="A3" t="s">
        <v>231</v>
      </c>
      <c r="B3">
        <v>35.700000000000003</v>
      </c>
      <c r="C3">
        <v>220.4</v>
      </c>
      <c r="D3">
        <v>0</v>
      </c>
      <c r="G3" s="17">
        <v>480.42646736389997</v>
      </c>
      <c r="H3" s="17">
        <v>506.73094463842949</v>
      </c>
      <c r="I3" s="17">
        <v>537.47256747133986</v>
      </c>
      <c r="J3" s="17">
        <v>570.18140351646389</v>
      </c>
      <c r="K3" s="17">
        <v>604.99048197186255</v>
      </c>
      <c r="L3" s="17">
        <v>642.04230533834652</v>
      </c>
      <c r="M3" s="17">
        <v>681.48955457326065</v>
      </c>
    </row>
    <row r="4" spans="1:35" x14ac:dyDescent="0.35">
      <c r="A4" t="s">
        <v>267</v>
      </c>
      <c r="B4">
        <f>B3*10^6</f>
        <v>35700000</v>
      </c>
      <c r="C4">
        <f>C3*10^6</f>
        <v>220400000</v>
      </c>
      <c r="D4">
        <v>0</v>
      </c>
      <c r="F4" t="s">
        <v>447</v>
      </c>
      <c r="H4" s="84">
        <f>(H3-G3)/G3</f>
        <v>5.4752348301837291E-2</v>
      </c>
      <c r="I4" s="84">
        <f t="shared" ref="I4:M4" si="0">(I3-H3)/H3</f>
        <v>6.0666559163552965E-2</v>
      </c>
      <c r="J4" s="84">
        <f t="shared" si="0"/>
        <v>6.0856754418202368E-2</v>
      </c>
      <c r="K4" s="84">
        <f t="shared" si="0"/>
        <v>6.1049129699287982E-2</v>
      </c>
      <c r="L4" s="84">
        <f t="shared" si="0"/>
        <v>6.1243646752457859E-2</v>
      </c>
      <c r="M4" s="84">
        <f t="shared" si="0"/>
        <v>6.1440264772157069E-2</v>
      </c>
    </row>
    <row r="5" spans="1:35" x14ac:dyDescent="0.35">
      <c r="A5" t="s">
        <v>268</v>
      </c>
      <c r="B5">
        <f>B4*'Conversion Factors'!$I$11</f>
        <v>261681000</v>
      </c>
      <c r="C5">
        <f>C4*'Conversion Factors'!$I$11</f>
        <v>1615532000</v>
      </c>
      <c r="D5">
        <v>0</v>
      </c>
      <c r="F5" t="s">
        <v>448</v>
      </c>
      <c r="H5" s="84">
        <f>H4/5</f>
        <v>1.0950469660367458E-2</v>
      </c>
      <c r="I5" s="84">
        <f t="shared" ref="I5:M5" si="1">I4/5</f>
        <v>1.2133311832710592E-2</v>
      </c>
      <c r="J5" s="84">
        <f t="shared" si="1"/>
        <v>1.2171350883640474E-2</v>
      </c>
      <c r="K5" s="84">
        <f t="shared" si="1"/>
        <v>1.2209825939857597E-2</v>
      </c>
      <c r="L5" s="84">
        <f t="shared" si="1"/>
        <v>1.2248729350491571E-2</v>
      </c>
      <c r="M5" s="84">
        <f t="shared" si="1"/>
        <v>1.2288052954431413E-2</v>
      </c>
    </row>
    <row r="6" spans="1:35" x14ac:dyDescent="0.35">
      <c r="A6" t="s">
        <v>269</v>
      </c>
      <c r="B6">
        <f>B5*'AEO Table 73'!D48</f>
        <v>1496798572.4159999</v>
      </c>
      <c r="C6">
        <f>C5*'AEO Table 73'!$D49</f>
        <v>9910838086.5720005</v>
      </c>
      <c r="D6">
        <v>0</v>
      </c>
      <c r="F6" s="81" t="s">
        <v>455</v>
      </c>
    </row>
    <row r="7" spans="1:35" x14ac:dyDescent="0.35">
      <c r="A7" t="s">
        <v>169</v>
      </c>
      <c r="B7">
        <f>B6*10^6</f>
        <v>1496798572416000</v>
      </c>
      <c r="C7">
        <f>C6*10^6</f>
        <v>9910838086572000</v>
      </c>
      <c r="D7">
        <v>0</v>
      </c>
      <c r="G7">
        <v>1937.2733773918817</v>
      </c>
      <c r="H7">
        <v>2620.2138126523832</v>
      </c>
      <c r="I7">
        <v>3413.1224016218976</v>
      </c>
      <c r="J7">
        <v>4245.1952501803535</v>
      </c>
      <c r="K7">
        <v>4988.1287779434906</v>
      </c>
      <c r="L7">
        <v>5671.5001259904775</v>
      </c>
      <c r="M7">
        <v>6160.0469475287728</v>
      </c>
    </row>
    <row r="8" spans="1:35" x14ac:dyDescent="0.35">
      <c r="F8" t="s">
        <v>447</v>
      </c>
      <c r="H8" s="84">
        <f>(H7-G7)/G7</f>
        <v>0.35252661974838712</v>
      </c>
      <c r="I8" s="84">
        <f t="shared" ref="I8:M8" si="2">(I7-H7)/H7</f>
        <v>0.30261217048042</v>
      </c>
      <c r="J8" s="84">
        <f t="shared" si="2"/>
        <v>0.24378640747342062</v>
      </c>
      <c r="K8" s="84">
        <f t="shared" si="2"/>
        <v>0.1750057380120677</v>
      </c>
      <c r="L8" s="84">
        <f t="shared" si="2"/>
        <v>0.13699954000159709</v>
      </c>
      <c r="M8" s="84">
        <f t="shared" si="2"/>
        <v>8.6140670137598713E-2</v>
      </c>
    </row>
    <row r="9" spans="1:35" x14ac:dyDescent="0.35">
      <c r="A9" s="53" t="s">
        <v>272</v>
      </c>
      <c r="F9" t="s">
        <v>448</v>
      </c>
      <c r="H9" s="84">
        <f>H8/5</f>
        <v>7.0505323949677429E-2</v>
      </c>
      <c r="I9" s="84">
        <f t="shared" ref="I9:M9" si="3">I8/5</f>
        <v>6.0522434096084002E-2</v>
      </c>
      <c r="J9" s="84">
        <f t="shared" si="3"/>
        <v>4.8757281494684127E-2</v>
      </c>
      <c r="K9" s="84">
        <f t="shared" si="3"/>
        <v>3.5001147602413539E-2</v>
      </c>
      <c r="L9" s="84">
        <f t="shared" si="3"/>
        <v>2.7399908000319419E-2</v>
      </c>
      <c r="M9" s="84">
        <f t="shared" si="3"/>
        <v>1.7228134027519743E-2</v>
      </c>
    </row>
    <row r="10" spans="1:35" x14ac:dyDescent="0.35">
      <c r="A10" s="53" t="s">
        <v>273</v>
      </c>
      <c r="F10" s="53" t="s">
        <v>353</v>
      </c>
    </row>
    <row r="11" spans="1:35" x14ac:dyDescent="0.35">
      <c r="A11" s="53" t="s">
        <v>275</v>
      </c>
      <c r="F11" s="53" t="s">
        <v>454</v>
      </c>
    </row>
    <row r="13" spans="1:35" x14ac:dyDescent="0.35">
      <c r="A13" s="51" t="s">
        <v>449</v>
      </c>
      <c r="B13" s="29">
        <v>2017</v>
      </c>
      <c r="C13" s="1">
        <f>B13+1</f>
        <v>2018</v>
      </c>
      <c r="D13" s="1">
        <f t="shared" ref="D13:AI13" si="4">C13+1</f>
        <v>2019</v>
      </c>
      <c r="E13" s="1">
        <f>D13+1</f>
        <v>2020</v>
      </c>
      <c r="F13" s="1">
        <f t="shared" si="4"/>
        <v>2021</v>
      </c>
      <c r="G13" s="29">
        <f t="shared" si="4"/>
        <v>2022</v>
      </c>
      <c r="H13" s="1">
        <f t="shared" si="4"/>
        <v>2023</v>
      </c>
      <c r="I13" s="1">
        <f t="shared" si="4"/>
        <v>2024</v>
      </c>
      <c r="J13" s="1">
        <f t="shared" si="4"/>
        <v>2025</v>
      </c>
      <c r="K13" s="1">
        <f t="shared" si="4"/>
        <v>2026</v>
      </c>
      <c r="L13" s="29">
        <f t="shared" si="4"/>
        <v>2027</v>
      </c>
      <c r="M13" s="1">
        <f t="shared" si="4"/>
        <v>2028</v>
      </c>
      <c r="N13" s="1">
        <f t="shared" si="4"/>
        <v>2029</v>
      </c>
      <c r="O13" s="1">
        <f t="shared" si="4"/>
        <v>2030</v>
      </c>
      <c r="P13" s="1">
        <f t="shared" si="4"/>
        <v>2031</v>
      </c>
      <c r="Q13" s="29">
        <f t="shared" si="4"/>
        <v>2032</v>
      </c>
      <c r="R13" s="1">
        <f t="shared" si="4"/>
        <v>2033</v>
      </c>
      <c r="S13" s="1">
        <f t="shared" si="4"/>
        <v>2034</v>
      </c>
      <c r="T13" s="1">
        <f t="shared" si="4"/>
        <v>2035</v>
      </c>
      <c r="U13" s="1">
        <f t="shared" si="4"/>
        <v>2036</v>
      </c>
      <c r="V13" s="29">
        <f t="shared" si="4"/>
        <v>2037</v>
      </c>
      <c r="W13" s="1">
        <f t="shared" si="4"/>
        <v>2038</v>
      </c>
      <c r="X13" s="1">
        <f t="shared" si="4"/>
        <v>2039</v>
      </c>
      <c r="Y13" s="1">
        <f t="shared" si="4"/>
        <v>2040</v>
      </c>
      <c r="Z13" s="1">
        <f t="shared" si="4"/>
        <v>2041</v>
      </c>
      <c r="AA13" s="29">
        <f t="shared" si="4"/>
        <v>2042</v>
      </c>
      <c r="AB13" s="1">
        <f t="shared" si="4"/>
        <v>2043</v>
      </c>
      <c r="AC13" s="1">
        <f t="shared" si="4"/>
        <v>2044</v>
      </c>
      <c r="AD13" s="1">
        <f t="shared" si="4"/>
        <v>2045</v>
      </c>
      <c r="AE13" s="1">
        <f t="shared" si="4"/>
        <v>2046</v>
      </c>
      <c r="AF13" s="29">
        <f t="shared" si="4"/>
        <v>2047</v>
      </c>
      <c r="AG13" s="1">
        <f t="shared" si="4"/>
        <v>2048</v>
      </c>
      <c r="AH13" s="1">
        <f t="shared" si="4"/>
        <v>2049</v>
      </c>
      <c r="AI13" s="1">
        <f t="shared" si="4"/>
        <v>2050</v>
      </c>
    </row>
    <row r="14" spans="1:35" x14ac:dyDescent="0.35">
      <c r="A14" t="s">
        <v>452</v>
      </c>
      <c r="B14">
        <f>B7</f>
        <v>1496798572416000</v>
      </c>
      <c r="C14">
        <f>B14*(1+$H$5)</f>
        <v>1513189219770922.8</v>
      </c>
      <c r="D14">
        <f t="shared" ref="D14:G14" si="5">C14*(1+$H$5)</f>
        <v>1529759352412419.5</v>
      </c>
      <c r="E14">
        <f t="shared" si="5"/>
        <v>1546510935788675.3</v>
      </c>
      <c r="F14">
        <f t="shared" si="5"/>
        <v>1563445956870455.8</v>
      </c>
      <c r="G14">
        <f t="shared" si="5"/>
        <v>1580566424386790</v>
      </c>
      <c r="H14">
        <f>G14*(1+$I$5)</f>
        <v>1599743929686187.3</v>
      </c>
      <c r="I14">
        <f t="shared" ref="I14:L14" si="6">H14*(1+$I$5)</f>
        <v>1619154121637555.5</v>
      </c>
      <c r="J14">
        <f t="shared" si="6"/>
        <v>1638799823500602.5</v>
      </c>
      <c r="K14">
        <f t="shared" si="6"/>
        <v>1658683892790526.3</v>
      </c>
      <c r="L14">
        <f t="shared" si="6"/>
        <v>1678809221693647.8</v>
      </c>
      <c r="M14">
        <f>L14*(1+$J$5)</f>
        <v>1699242597797572.5</v>
      </c>
      <c r="N14">
        <f t="shared" ref="N14:Q14" si="7">M14*(1+$J$5)</f>
        <v>1719924675691795.5</v>
      </c>
      <c r="O14">
        <f t="shared" si="7"/>
        <v>1740858482413072</v>
      </c>
      <c r="P14">
        <f t="shared" si="7"/>
        <v>1762047081841283.5</v>
      </c>
      <c r="Q14">
        <f t="shared" si="7"/>
        <v>1783493575147868.5</v>
      </c>
      <c r="R14">
        <f>Q14*(1+$K$5)</f>
        <v>1805269721265278.3</v>
      </c>
      <c r="S14">
        <f t="shared" ref="S14:V14" si="8">R14*(1+$K$5)</f>
        <v>1827311750336422.5</v>
      </c>
      <c r="T14">
        <f t="shared" si="8"/>
        <v>1849622908745886.5</v>
      </c>
      <c r="U14">
        <f t="shared" si="8"/>
        <v>1872206482516046.8</v>
      </c>
      <c r="V14">
        <f t="shared" si="8"/>
        <v>1895065797791040.5</v>
      </c>
      <c r="W14">
        <f>V14*(1+$L$5)</f>
        <v>1918277945849556.5</v>
      </c>
      <c r="X14">
        <f t="shared" ref="X14:AA14" si="9">W14*(1+$L$5)</f>
        <v>1941774413227284.8</v>
      </c>
      <c r="Y14">
        <f t="shared" si="9"/>
        <v>1965558682474615.5</v>
      </c>
      <c r="Z14">
        <f t="shared" si="9"/>
        <v>1989634278798756</v>
      </c>
      <c r="AA14">
        <f t="shared" si="9"/>
        <v>2014004770586222.5</v>
      </c>
      <c r="AB14">
        <f>AA14*(1+$M$5)</f>
        <v>2038752967857663.5</v>
      </c>
      <c r="AC14">
        <f t="shared" ref="AC14:AF14" si="10">AB14*(1+$M$5)</f>
        <v>2063805272287702.5</v>
      </c>
      <c r="AD14">
        <f t="shared" si="10"/>
        <v>2089165420761208.5</v>
      </c>
      <c r="AE14">
        <f t="shared" si="10"/>
        <v>2114837196082089</v>
      </c>
      <c r="AF14">
        <f t="shared" si="10"/>
        <v>2140824427537546.8</v>
      </c>
      <c r="AG14">
        <f>AF14</f>
        <v>2140824427537546.8</v>
      </c>
      <c r="AH14">
        <f t="shared" ref="AH14:AI14" si="11">AG14</f>
        <v>2140824427537546.8</v>
      </c>
      <c r="AI14">
        <f t="shared" si="11"/>
        <v>2140824427537546.8</v>
      </c>
    </row>
    <row r="15" spans="1:35" x14ac:dyDescent="0.35">
      <c r="A15" t="s">
        <v>461</v>
      </c>
      <c r="B15">
        <f>C7</f>
        <v>9910838086572000</v>
      </c>
      <c r="C15">
        <f>B15*(1+$H$9)</f>
        <v>1.060960493647856E+16</v>
      </c>
      <c r="D15">
        <f t="shared" ref="D15:G15" si="12">C15*(1+$H$9)</f>
        <v>1.1357638569503076E+16</v>
      </c>
      <c r="E15">
        <f t="shared" si="12"/>
        <v>1.215841255614924E+16</v>
      </c>
      <c r="F15">
        <f t="shared" si="12"/>
        <v>1.3015645372134366E+16</v>
      </c>
      <c r="G15">
        <f t="shared" si="12"/>
        <v>1.3933317665510818E+16</v>
      </c>
      <c r="H15">
        <f>G15*(1+$I$9)</f>
        <v>1.4776595965661498E+16</v>
      </c>
      <c r="I15">
        <f t="shared" ref="I15:L15" si="13">H15*(1+$I$9)</f>
        <v>1.5670911521157706E+16</v>
      </c>
      <c r="J15">
        <f t="shared" si="13"/>
        <v>1.6619353230922536E+16</v>
      </c>
      <c r="K15">
        <f t="shared" si="13"/>
        <v>1.7625196941560584E+16</v>
      </c>
      <c r="L15">
        <f t="shared" si="13"/>
        <v>1.8691916761886684E+16</v>
      </c>
      <c r="M15">
        <f>L15*(1+$J$9)</f>
        <v>1.96032838091212E+16</v>
      </c>
      <c r="N15">
        <f t="shared" ref="N15:Q15" si="14">M15*(1+$J$9)</f>
        <v>2.0559086636022708E+16</v>
      </c>
      <c r="O15">
        <f t="shared" si="14"/>
        <v>2.1561491810408868E+16</v>
      </c>
      <c r="P15">
        <f t="shared" si="14"/>
        <v>2.26127715360543E+16</v>
      </c>
      <c r="Q15">
        <f t="shared" si="14"/>
        <v>2.371530880321268E+16</v>
      </c>
      <c r="R15">
        <f>Q15*(1+$K$9)</f>
        <v>2.4545371827070744E+16</v>
      </c>
      <c r="S15">
        <f t="shared" ref="S15:V15" si="15">R15*(1+$K$9)</f>
        <v>2.5404488009346168E+16</v>
      </c>
      <c r="T15">
        <f t="shared" si="15"/>
        <v>2.6293674243925036E+16</v>
      </c>
      <c r="U15">
        <f t="shared" si="15"/>
        <v>2.7213983017146432E+16</v>
      </c>
      <c r="V15">
        <f t="shared" si="15"/>
        <v>2.8166503653579148E+16</v>
      </c>
      <c r="W15">
        <f>V15*(1+$L$9)</f>
        <v>2.8938263262377876E+16</v>
      </c>
      <c r="X15">
        <f t="shared" ref="X15:AA15" si="16">W15*(1+$L$9)</f>
        <v>2.9731169013456052E+16</v>
      </c>
      <c r="Y15">
        <f t="shared" si="16"/>
        <v>3.0545800309166692E+16</v>
      </c>
      <c r="Z15">
        <f t="shared" si="16"/>
        <v>3.1382752427433984E+16</v>
      </c>
      <c r="AA15">
        <f t="shared" si="16"/>
        <v>3.2242636956742472E+16</v>
      </c>
      <c r="AB15">
        <f>AA15*(1+$M$9)</f>
        <v>3.2798117427633892E+16</v>
      </c>
      <c r="AC15">
        <f t="shared" ref="AC15:AF15" si="17">AB15*(1+$M$9)</f>
        <v>3.33631677905275E+16</v>
      </c>
      <c r="AD15">
        <f t="shared" si="17"/>
        <v>3.393795291680534E+16</v>
      </c>
      <c r="AE15">
        <f t="shared" si="17"/>
        <v>3.4522640518275716E+16</v>
      </c>
      <c r="AF15">
        <f t="shared" si="17"/>
        <v>3.5117401196108456E+16</v>
      </c>
      <c r="AG15">
        <f>AF15</f>
        <v>3.5117401196108456E+16</v>
      </c>
      <c r="AH15">
        <f t="shared" ref="AH15:AI15" si="18">AG15</f>
        <v>3.5117401196108456E+16</v>
      </c>
      <c r="AI15">
        <f t="shared" si="18"/>
        <v>3.5117401196108456E+16</v>
      </c>
    </row>
    <row r="17" spans="2:2" x14ac:dyDescent="0.35">
      <c r="B17" s="3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5"/>
  <sheetViews>
    <sheetView workbookViewId="0">
      <selection activeCell="C9" sqref="C9"/>
    </sheetView>
  </sheetViews>
  <sheetFormatPr defaultRowHeight="14.5" x14ac:dyDescent="0.35"/>
  <cols>
    <col min="1" max="1" width="17.7265625" customWidth="1"/>
    <col min="2" max="2" width="17.81640625" bestFit="1" customWidth="1"/>
    <col min="3" max="3" width="15.08984375" customWidth="1"/>
    <col min="4" max="4" width="8.6328125" bestFit="1" customWidth="1"/>
    <col min="6" max="6" width="12.7265625" customWidth="1"/>
    <col min="8" max="8" width="11" bestFit="1" customWidth="1"/>
    <col min="13" max="13" width="11" bestFit="1" customWidth="1"/>
    <col min="18" max="18" width="11" bestFit="1" customWidth="1"/>
    <col min="23" max="23" width="11" bestFit="1" customWidth="1"/>
    <col min="28" max="28" width="11" bestFit="1" customWidth="1"/>
    <col min="33" max="33" width="11" bestFit="1" customWidth="1"/>
  </cols>
  <sheetData>
    <row r="1" spans="1:35" x14ac:dyDescent="0.35">
      <c r="A1" s="51" t="s">
        <v>276</v>
      </c>
      <c r="B1" s="51"/>
      <c r="C1" s="51"/>
      <c r="D1" s="54"/>
      <c r="F1" s="81" t="s">
        <v>453</v>
      </c>
      <c r="M1" s="83" t="s">
        <v>451</v>
      </c>
    </row>
    <row r="2" spans="1:35" x14ac:dyDescent="0.35">
      <c r="A2" s="52" t="s">
        <v>187</v>
      </c>
      <c r="B2" s="52" t="s">
        <v>277</v>
      </c>
      <c r="C2" s="52" t="s">
        <v>8</v>
      </c>
      <c r="D2" s="52" t="s">
        <v>274</v>
      </c>
      <c r="G2" s="86">
        <v>2017</v>
      </c>
      <c r="H2" s="86">
        <v>2022</v>
      </c>
      <c r="I2" s="86">
        <v>2027</v>
      </c>
      <c r="J2" s="86">
        <v>2032</v>
      </c>
      <c r="K2" s="86">
        <v>2037</v>
      </c>
      <c r="L2" s="86">
        <v>2042</v>
      </c>
      <c r="M2" s="86">
        <v>2047</v>
      </c>
    </row>
    <row r="3" spans="1:35" x14ac:dyDescent="0.35">
      <c r="A3" t="s">
        <v>278</v>
      </c>
      <c r="B3">
        <v>32648</v>
      </c>
      <c r="C3">
        <v>26238</v>
      </c>
      <c r="D3">
        <v>0</v>
      </c>
      <c r="G3" s="17">
        <v>371.9158874786242</v>
      </c>
      <c r="H3" s="17">
        <v>433.90327958798514</v>
      </c>
      <c r="I3" s="17">
        <v>535.14673973098036</v>
      </c>
      <c r="J3" s="17">
        <v>654.19532204525899</v>
      </c>
      <c r="K3" s="17">
        <v>793.31201948281432</v>
      </c>
      <c r="L3" s="17">
        <v>971.28353267009959</v>
      </c>
      <c r="M3" s="17">
        <v>1202.5874060242666</v>
      </c>
    </row>
    <row r="4" spans="1:35" x14ac:dyDescent="0.35">
      <c r="A4" t="s">
        <v>279</v>
      </c>
      <c r="B4">
        <f>B3*10^6</f>
        <v>32648000000</v>
      </c>
      <c r="C4">
        <f>C3*10^6</f>
        <v>26238000000</v>
      </c>
      <c r="D4">
        <v>0</v>
      </c>
      <c r="F4" t="s">
        <v>447</v>
      </c>
      <c r="H4" s="43">
        <f>(H3-G3)/G3</f>
        <v>0.16667046016667855</v>
      </c>
      <c r="I4" s="43">
        <f t="shared" ref="I4:M4" si="0">(I3-H3)/H3</f>
        <v>0.23333186197424324</v>
      </c>
      <c r="J4" s="43">
        <f t="shared" si="0"/>
        <v>0.22245969838875346</v>
      </c>
      <c r="K4" s="43">
        <f t="shared" si="0"/>
        <v>0.21265315227663897</v>
      </c>
      <c r="L4" s="43">
        <f t="shared" si="0"/>
        <v>0.22433986731136463</v>
      </c>
      <c r="M4" s="43">
        <f t="shared" si="0"/>
        <v>0.23814248422219494</v>
      </c>
    </row>
    <row r="5" spans="1:35" x14ac:dyDescent="0.35">
      <c r="A5" s="55" t="s">
        <v>280</v>
      </c>
      <c r="B5">
        <f>B4/1000</f>
        <v>32648000</v>
      </c>
      <c r="C5">
        <f>C4/1000</f>
        <v>26238000</v>
      </c>
      <c r="D5">
        <v>0</v>
      </c>
      <c r="F5" t="s">
        <v>448</v>
      </c>
      <c r="H5" s="43">
        <f>H4/5</f>
        <v>3.3334092033335712E-2</v>
      </c>
      <c r="I5" s="43">
        <f t="shared" ref="I5:M5" si="1">I4/5</f>
        <v>4.6666372394848651E-2</v>
      </c>
      <c r="J5" s="43">
        <f t="shared" si="1"/>
        <v>4.449193967775069E-2</v>
      </c>
      <c r="K5" s="43">
        <f t="shared" si="1"/>
        <v>4.2530630455327796E-2</v>
      </c>
      <c r="L5" s="43">
        <f t="shared" si="1"/>
        <v>4.4867973462272927E-2</v>
      </c>
      <c r="M5" s="43">
        <f t="shared" si="1"/>
        <v>4.762849684443899E-2</v>
      </c>
    </row>
    <row r="6" spans="1:35" x14ac:dyDescent="0.35">
      <c r="A6" t="s">
        <v>169</v>
      </c>
      <c r="B6">
        <f>B5*'Conversion Factors'!$B$59</f>
        <v>1175328000000000</v>
      </c>
      <c r="C6">
        <f>C5*'Conversion Factors'!$B$59</f>
        <v>944568000000000</v>
      </c>
      <c r="D6">
        <v>0</v>
      </c>
      <c r="F6" s="81" t="s">
        <v>456</v>
      </c>
    </row>
    <row r="7" spans="1:35" x14ac:dyDescent="0.35">
      <c r="G7">
        <v>466.15766709765376</v>
      </c>
      <c r="H7">
        <v>587.77856181491325</v>
      </c>
      <c r="I7">
        <v>659.32116834347391</v>
      </c>
      <c r="J7">
        <v>751.15016167662702</v>
      </c>
      <c r="K7">
        <v>820.51577226963036</v>
      </c>
      <c r="L7">
        <v>878.34685451847383</v>
      </c>
      <c r="M7">
        <v>839.55514940809985</v>
      </c>
    </row>
    <row r="8" spans="1:35" x14ac:dyDescent="0.35">
      <c r="A8" s="53" t="s">
        <v>272</v>
      </c>
      <c r="F8" t="s">
        <v>447</v>
      </c>
      <c r="H8" s="43">
        <f>(H7-G7)/G7</f>
        <v>0.26090077092260194</v>
      </c>
      <c r="I8" s="43">
        <f t="shared" ref="I8:M8" si="2">(I7-H7)/H7</f>
        <v>0.12171693759577584</v>
      </c>
      <c r="J8" s="43">
        <f t="shared" si="2"/>
        <v>0.13927809046973405</v>
      </c>
      <c r="K8" s="43">
        <f t="shared" si="2"/>
        <v>9.2345863892478924E-2</v>
      </c>
      <c r="L8" s="43">
        <f t="shared" si="2"/>
        <v>7.048137793729034E-2</v>
      </c>
      <c r="M8" s="43">
        <f t="shared" si="2"/>
        <v>-4.4164449284264037E-2</v>
      </c>
    </row>
    <row r="9" spans="1:35" x14ac:dyDescent="0.35">
      <c r="A9" s="53" t="s">
        <v>281</v>
      </c>
      <c r="F9" t="s">
        <v>448</v>
      </c>
      <c r="H9" s="43">
        <f>H8/5</f>
        <v>5.2180154184520391E-2</v>
      </c>
      <c r="I9" s="43">
        <f t="shared" ref="I9:M9" si="3">I8/5</f>
        <v>2.4343387519155168E-2</v>
      </c>
      <c r="J9" s="43">
        <f t="shared" si="3"/>
        <v>2.7855618093946811E-2</v>
      </c>
      <c r="K9" s="43">
        <f t="shared" si="3"/>
        <v>1.8469172778495784E-2</v>
      </c>
      <c r="L9" s="43">
        <f t="shared" si="3"/>
        <v>1.4096275587458068E-2</v>
      </c>
      <c r="M9" s="43">
        <f t="shared" si="3"/>
        <v>-8.8328898568528075E-3</v>
      </c>
    </row>
    <row r="10" spans="1:35" x14ac:dyDescent="0.35">
      <c r="A10" s="53" t="s">
        <v>282</v>
      </c>
      <c r="F10" s="53" t="s">
        <v>353</v>
      </c>
    </row>
    <row r="11" spans="1:35" x14ac:dyDescent="0.35">
      <c r="F11" s="53" t="s">
        <v>457</v>
      </c>
    </row>
    <row r="13" spans="1:35" x14ac:dyDescent="0.35">
      <c r="A13" s="51" t="s">
        <v>449</v>
      </c>
      <c r="B13" s="29">
        <v>2017</v>
      </c>
      <c r="C13" s="1">
        <f>B13+1</f>
        <v>2018</v>
      </c>
      <c r="D13" s="1">
        <f t="shared" ref="D13:AI13" si="4">C13+1</f>
        <v>2019</v>
      </c>
      <c r="E13" s="1">
        <f>D13+1</f>
        <v>2020</v>
      </c>
      <c r="F13" s="1">
        <f t="shared" si="4"/>
        <v>2021</v>
      </c>
      <c r="G13" s="29">
        <f t="shared" si="4"/>
        <v>2022</v>
      </c>
      <c r="H13" s="1">
        <f t="shared" si="4"/>
        <v>2023</v>
      </c>
      <c r="I13" s="1">
        <f t="shared" si="4"/>
        <v>2024</v>
      </c>
      <c r="J13" s="1">
        <f t="shared" si="4"/>
        <v>2025</v>
      </c>
      <c r="K13" s="1">
        <f t="shared" si="4"/>
        <v>2026</v>
      </c>
      <c r="L13" s="29">
        <f t="shared" si="4"/>
        <v>2027</v>
      </c>
      <c r="M13" s="1">
        <f t="shared" si="4"/>
        <v>2028</v>
      </c>
      <c r="N13" s="1">
        <f t="shared" si="4"/>
        <v>2029</v>
      </c>
      <c r="O13" s="1">
        <f t="shared" si="4"/>
        <v>2030</v>
      </c>
      <c r="P13" s="1">
        <f t="shared" si="4"/>
        <v>2031</v>
      </c>
      <c r="Q13" s="29">
        <f t="shared" si="4"/>
        <v>2032</v>
      </c>
      <c r="R13" s="1">
        <f t="shared" si="4"/>
        <v>2033</v>
      </c>
      <c r="S13" s="1">
        <f t="shared" si="4"/>
        <v>2034</v>
      </c>
      <c r="T13" s="1">
        <f t="shared" si="4"/>
        <v>2035</v>
      </c>
      <c r="U13" s="1">
        <f t="shared" si="4"/>
        <v>2036</v>
      </c>
      <c r="V13" s="29">
        <f t="shared" si="4"/>
        <v>2037</v>
      </c>
      <c r="W13" s="1">
        <f t="shared" si="4"/>
        <v>2038</v>
      </c>
      <c r="X13" s="1">
        <f t="shared" si="4"/>
        <v>2039</v>
      </c>
      <c r="Y13" s="1">
        <f t="shared" si="4"/>
        <v>2040</v>
      </c>
      <c r="Z13" s="1">
        <f t="shared" si="4"/>
        <v>2041</v>
      </c>
      <c r="AA13" s="29">
        <f t="shared" si="4"/>
        <v>2042</v>
      </c>
      <c r="AB13" s="1">
        <f t="shared" si="4"/>
        <v>2043</v>
      </c>
      <c r="AC13" s="1">
        <f t="shared" si="4"/>
        <v>2044</v>
      </c>
      <c r="AD13" s="1">
        <f t="shared" si="4"/>
        <v>2045</v>
      </c>
      <c r="AE13" s="1">
        <f t="shared" si="4"/>
        <v>2046</v>
      </c>
      <c r="AF13" s="29">
        <f t="shared" si="4"/>
        <v>2047</v>
      </c>
      <c r="AG13" s="1">
        <f t="shared" si="4"/>
        <v>2048</v>
      </c>
      <c r="AH13" s="1">
        <f t="shared" si="4"/>
        <v>2049</v>
      </c>
      <c r="AI13" s="1">
        <f t="shared" si="4"/>
        <v>2050</v>
      </c>
    </row>
    <row r="14" spans="1:35" x14ac:dyDescent="0.35">
      <c r="A14" t="s">
        <v>452</v>
      </c>
      <c r="B14">
        <f>B6</f>
        <v>1175328000000000</v>
      </c>
      <c r="C14">
        <f>B14*(1+$H$5)</f>
        <v>1214506491721356.5</v>
      </c>
      <c r="D14">
        <f t="shared" ref="D14:G14" si="5">C14*(1+$H$5)</f>
        <v>1254990962891480</v>
      </c>
      <c r="E14">
        <f t="shared" si="5"/>
        <v>1296824947149509.3</v>
      </c>
      <c r="F14">
        <f t="shared" si="5"/>
        <v>1340053429288916.8</v>
      </c>
      <c r="G14">
        <f t="shared" si="5"/>
        <v>1384722893630420.8</v>
      </c>
      <c r="H14">
        <f>G14*(1+$I$5)</f>
        <v>1449342887848250.3</v>
      </c>
      <c r="I14">
        <f t="shared" ref="I14:L14" si="6">H14*(1+$I$5)</f>
        <v>1516978462780402</v>
      </c>
      <c r="J14">
        <f t="shared" si="6"/>
        <v>1587770344639477.3</v>
      </c>
      <c r="K14">
        <f t="shared" si="6"/>
        <v>1661865826819920.3</v>
      </c>
      <c r="L14">
        <f t="shared" si="6"/>
        <v>1739419076364571.8</v>
      </c>
      <c r="M14">
        <f>L14*(1+$J$5)</f>
        <v>1816809204984513.3</v>
      </c>
      <c r="N14">
        <f t="shared" ref="N14:Q14" si="7">M14*(1+$J$5)</f>
        <v>1897642570538666.5</v>
      </c>
      <c r="O14">
        <f t="shared" si="7"/>
        <v>1982072369317004.8</v>
      </c>
      <c r="P14">
        <f t="shared" si="7"/>
        <v>2070258613609593.5</v>
      </c>
      <c r="Q14">
        <f t="shared" si="7"/>
        <v>2162368434963655.5</v>
      </c>
      <c r="R14">
        <f>Q14*(1+$K$5)</f>
        <v>2254335327779360.5</v>
      </c>
      <c r="S14">
        <f t="shared" ref="S14:V14" si="8">R14*(1+$K$5)</f>
        <v>2350213630527535</v>
      </c>
      <c r="T14">
        <f t="shared" si="8"/>
        <v>2450169697938576</v>
      </c>
      <c r="U14">
        <f t="shared" si="8"/>
        <v>2554376959914444</v>
      </c>
      <c r="V14">
        <f t="shared" si="8"/>
        <v>2663016222440169</v>
      </c>
      <c r="W14">
        <f>V14*(1+$L$5)</f>
        <v>2782500363638217</v>
      </c>
      <c r="X14">
        <f t="shared" ref="X14:AA14" si="9">W14*(1+$L$5)</f>
        <v>2907345516112701.5</v>
      </c>
      <c r="Y14">
        <f t="shared" si="9"/>
        <v>3037792217575304.5</v>
      </c>
      <c r="Z14">
        <f t="shared" si="9"/>
        <v>3174091798177372.5</v>
      </c>
      <c r="AA14">
        <f t="shared" si="9"/>
        <v>3316506864744813</v>
      </c>
      <c r="AB14">
        <f>AA14*(1+$M$5)</f>
        <v>3474467101486871.5</v>
      </c>
      <c r="AC14">
        <f t="shared" ref="AC14:AF14" si="10">AB14*(1+$M$5)</f>
        <v>3639950746866146</v>
      </c>
      <c r="AD14">
        <f t="shared" si="10"/>
        <v>3813316129527173.5</v>
      </c>
      <c r="AE14">
        <f t="shared" si="10"/>
        <v>3994938644769206.5</v>
      </c>
      <c r="AF14">
        <f t="shared" si="10"/>
        <v>4185211567405324</v>
      </c>
      <c r="AG14">
        <f>AF14</f>
        <v>4185211567405324</v>
      </c>
      <c r="AH14">
        <f t="shared" ref="AH14:AI14" si="11">AG14</f>
        <v>4185211567405324</v>
      </c>
      <c r="AI14">
        <f t="shared" si="11"/>
        <v>4185211567405324</v>
      </c>
    </row>
    <row r="15" spans="1:35" x14ac:dyDescent="0.35">
      <c r="A15" t="s">
        <v>461</v>
      </c>
      <c r="B15">
        <f>C6</f>
        <v>944568000000000</v>
      </c>
      <c r="C15">
        <f>B15*(1+$H$9)</f>
        <v>993855703877764</v>
      </c>
      <c r="D15">
        <f t="shared" ref="D15:G15" si="12">C15*(1+$H$9)</f>
        <v>1045715247743270.8</v>
      </c>
      <c r="E15">
        <f t="shared" si="12"/>
        <v>1100280830603618.5</v>
      </c>
      <c r="F15">
        <f t="shared" si="12"/>
        <v>1157693653990787.5</v>
      </c>
      <c r="G15">
        <f t="shared" si="12"/>
        <v>1218102287354467.5</v>
      </c>
      <c r="H15">
        <f>G15*(1+$I$9)</f>
        <v>1247755023373506.8</v>
      </c>
      <c r="I15">
        <f t="shared" ref="I15:L15" si="13">H15*(1+$I$9)</f>
        <v>1278129607436460.5</v>
      </c>
      <c r="J15">
        <f t="shared" si="13"/>
        <v>1309243611769992</v>
      </c>
      <c r="K15">
        <f t="shared" si="13"/>
        <v>1341115036368287.3</v>
      </c>
      <c r="L15">
        <f t="shared" si="13"/>
        <v>1373762319406366.5</v>
      </c>
      <c r="M15">
        <f>L15*(1+$J$9)</f>
        <v>1412029317927605</v>
      </c>
      <c r="N15">
        <f t="shared" ref="N15:Q15" si="14">M15*(1+$J$9)</f>
        <v>1451362267345252.8</v>
      </c>
      <c r="O15">
        <f t="shared" si="14"/>
        <v>1491790860380387</v>
      </c>
      <c r="P15">
        <f t="shared" si="14"/>
        <v>1533345616863183.5</v>
      </c>
      <c r="Q15">
        <f t="shared" si="14"/>
        <v>1576057906772551.8</v>
      </c>
      <c r="R15">
        <f>Q15*(1+$K$9)</f>
        <v>1605166392561648.5</v>
      </c>
      <c r="S15">
        <f t="shared" ref="S15:V15" si="15">R15*(1+$K$9)</f>
        <v>1634812488004104.5</v>
      </c>
      <c r="T15">
        <f t="shared" si="15"/>
        <v>1665006122305495</v>
      </c>
      <c r="U15">
        <f t="shared" si="15"/>
        <v>1695757408055608.5</v>
      </c>
      <c r="V15">
        <f t="shared" si="15"/>
        <v>1727076644615401.8</v>
      </c>
      <c r="W15">
        <f>V15*(1+$L$9)</f>
        <v>1751421992958562.8</v>
      </c>
      <c r="X15">
        <f t="shared" ref="X15:AA15" si="16">W15*(1+$L$9)</f>
        <v>1776110520041241.8</v>
      </c>
      <c r="Y15">
        <f t="shared" si="16"/>
        <v>1801147063405526.5</v>
      </c>
      <c r="Z15">
        <f t="shared" si="16"/>
        <v>1826536528784831.5</v>
      </c>
      <c r="AA15">
        <f t="shared" si="16"/>
        <v>1852283891065141.5</v>
      </c>
      <c r="AB15">
        <f>AA15*(1+$M$9)</f>
        <v>1835922871471740.3</v>
      </c>
      <c r="AC15">
        <f t="shared" ref="AC15:AF15" si="17">AB15*(1+$M$9)</f>
        <v>1819706366962353.5</v>
      </c>
      <c r="AD15">
        <f t="shared" si="17"/>
        <v>1803633101051161.3</v>
      </c>
      <c r="AE15">
        <f t="shared" si="17"/>
        <v>1787701808527402.5</v>
      </c>
      <c r="AF15">
        <f t="shared" si="17"/>
        <v>1771911235355783.3</v>
      </c>
      <c r="AG15">
        <f>AF15</f>
        <v>1771911235355783.3</v>
      </c>
      <c r="AH15">
        <f t="shared" ref="AH15:AI15" si="18">AG15</f>
        <v>1771911235355783.3</v>
      </c>
      <c r="AI15">
        <f t="shared" si="18"/>
        <v>1771911235355783.3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34"/>
  <sheetViews>
    <sheetView workbookViewId="0">
      <selection activeCell="X37" sqref="X37"/>
    </sheetView>
  </sheetViews>
  <sheetFormatPr defaultRowHeight="14.5" x14ac:dyDescent="0.35"/>
  <cols>
    <col min="1" max="1" width="10.6328125" customWidth="1"/>
    <col min="2" max="2" width="16.81640625" customWidth="1"/>
    <col min="3" max="3" width="15.6328125" customWidth="1"/>
    <col min="4" max="4" width="22.7265625" customWidth="1"/>
    <col min="6" max="6" width="11.6328125" bestFit="1" customWidth="1"/>
    <col min="9" max="9" width="15.08984375" customWidth="1"/>
    <col min="10" max="10" width="12" bestFit="1" customWidth="1"/>
    <col min="11" max="11" width="11" bestFit="1" customWidth="1"/>
    <col min="12" max="12" width="12" bestFit="1" customWidth="1"/>
  </cols>
  <sheetData>
    <row r="1" spans="1:12" x14ac:dyDescent="0.35">
      <c r="A1" s="51" t="s">
        <v>300</v>
      </c>
      <c r="B1" s="51"/>
      <c r="C1" s="51"/>
      <c r="D1" s="54"/>
      <c r="I1" s="51" t="s">
        <v>303</v>
      </c>
      <c r="J1" s="51"/>
      <c r="K1" s="51"/>
      <c r="L1" s="54"/>
    </row>
    <row r="2" spans="1:12" x14ac:dyDescent="0.35">
      <c r="A2" s="52" t="s">
        <v>187</v>
      </c>
      <c r="B2" s="52" t="s">
        <v>271</v>
      </c>
      <c r="C2" s="52" t="s">
        <v>8</v>
      </c>
      <c r="D2" s="52" t="s">
        <v>9</v>
      </c>
      <c r="I2" s="52" t="s">
        <v>187</v>
      </c>
      <c r="J2" s="52" t="s">
        <v>271</v>
      </c>
      <c r="K2" s="52" t="s">
        <v>8</v>
      </c>
      <c r="L2" s="52" t="s">
        <v>9</v>
      </c>
    </row>
    <row r="3" spans="1:12" x14ac:dyDescent="0.35">
      <c r="A3" s="55" t="s">
        <v>290</v>
      </c>
      <c r="B3">
        <v>12380</v>
      </c>
      <c r="C3">
        <v>11382</v>
      </c>
      <c r="D3">
        <v>359</v>
      </c>
      <c r="I3" s="55" t="s">
        <v>290</v>
      </c>
      <c r="J3">
        <v>37784</v>
      </c>
      <c r="K3">
        <v>174</v>
      </c>
      <c r="L3">
        <v>14035</v>
      </c>
    </row>
    <row r="4" spans="1:12" x14ac:dyDescent="0.35">
      <c r="A4" t="s">
        <v>267</v>
      </c>
      <c r="B4">
        <f>B3*1000</f>
        <v>12380000</v>
      </c>
      <c r="C4">
        <f t="shared" ref="C4:D4" si="0">C3*1000</f>
        <v>11382000</v>
      </c>
      <c r="D4">
        <f t="shared" si="0"/>
        <v>359000</v>
      </c>
      <c r="I4" t="s">
        <v>267</v>
      </c>
      <c r="J4">
        <f>J3*1000</f>
        <v>37784000</v>
      </c>
      <c r="K4">
        <f t="shared" ref="K4:L4" si="1">K3*1000</f>
        <v>174000</v>
      </c>
      <c r="L4">
        <f t="shared" si="1"/>
        <v>14035000</v>
      </c>
    </row>
    <row r="5" spans="1:12" x14ac:dyDescent="0.35">
      <c r="A5" s="55" t="s">
        <v>169</v>
      </c>
      <c r="B5" s="31">
        <f>B4*'Conversion Factors'!$B$55</f>
        <v>554773438980000</v>
      </c>
      <c r="C5" s="31">
        <f>C4*'Conversion Factors'!$B$55</f>
        <v>510050992122000</v>
      </c>
      <c r="D5" s="31">
        <f>D4*'Conversion Factors'!$B$55</f>
        <v>16087533489000</v>
      </c>
      <c r="I5" s="55" t="s">
        <v>478</v>
      </c>
      <c r="J5">
        <f>J4*'Conversion Factors'!$H$5*1000</f>
        <v>53313224000</v>
      </c>
      <c r="K5">
        <f>K4*'Conversion Factors'!$H$5*1000</f>
        <v>245514000</v>
      </c>
      <c r="L5">
        <f>L4*'Conversion Factors'!$H$5*1000</f>
        <v>19803385000</v>
      </c>
    </row>
    <row r="6" spans="1:12" x14ac:dyDescent="0.35">
      <c r="D6">
        <v>0</v>
      </c>
      <c r="I6" t="s">
        <v>169</v>
      </c>
      <c r="J6" s="31">
        <f>J5*'Conversion Factors'!$B$45</f>
        <v>1668106715464803.3</v>
      </c>
      <c r="K6" s="31">
        <f>K5*'Conversion Factors'!$B$45</f>
        <v>7681838039669.5898</v>
      </c>
      <c r="L6" s="31">
        <f>L5*'Conversion Factors'!$B$45</f>
        <v>619624120038866</v>
      </c>
    </row>
    <row r="8" spans="1:12" x14ac:dyDescent="0.35">
      <c r="A8" s="51" t="s">
        <v>301</v>
      </c>
      <c r="B8" s="51"/>
      <c r="C8" s="51"/>
      <c r="D8" s="54"/>
      <c r="E8" s="12"/>
      <c r="F8" s="12"/>
      <c r="I8" s="51" t="s">
        <v>304</v>
      </c>
      <c r="J8" s="51"/>
      <c r="K8" s="51"/>
      <c r="L8" s="54"/>
    </row>
    <row r="9" spans="1:12" x14ac:dyDescent="0.35">
      <c r="A9" s="52" t="s">
        <v>187</v>
      </c>
      <c r="B9" s="52" t="s">
        <v>271</v>
      </c>
      <c r="C9" s="52" t="s">
        <v>8</v>
      </c>
      <c r="D9" s="52" t="s">
        <v>9</v>
      </c>
      <c r="E9" s="12"/>
      <c r="F9" s="12"/>
      <c r="I9" s="52" t="s">
        <v>187</v>
      </c>
      <c r="J9" s="52" t="s">
        <v>271</v>
      </c>
      <c r="K9" s="52" t="s">
        <v>8</v>
      </c>
      <c r="L9" s="52" t="s">
        <v>9</v>
      </c>
    </row>
    <row r="10" spans="1:12" x14ac:dyDescent="0.35">
      <c r="A10" s="55" t="s">
        <v>290</v>
      </c>
      <c r="B10">
        <v>14594</v>
      </c>
      <c r="C10">
        <v>291</v>
      </c>
      <c r="D10">
        <v>7183</v>
      </c>
      <c r="E10" s="12"/>
      <c r="F10" s="12"/>
      <c r="I10" s="55" t="s">
        <v>290</v>
      </c>
      <c r="J10">
        <v>108465</v>
      </c>
      <c r="K10">
        <v>1353</v>
      </c>
      <c r="L10">
        <v>29676</v>
      </c>
    </row>
    <row r="11" spans="1:12" x14ac:dyDescent="0.35">
      <c r="A11" t="s">
        <v>267</v>
      </c>
      <c r="B11">
        <f>B10*1000</f>
        <v>14594000</v>
      </c>
      <c r="C11">
        <f t="shared" ref="C11:D11" si="2">C10*1000</f>
        <v>291000</v>
      </c>
      <c r="D11">
        <f t="shared" si="2"/>
        <v>7183000</v>
      </c>
      <c r="E11" s="12"/>
      <c r="F11" s="12"/>
      <c r="I11" t="s">
        <v>267</v>
      </c>
      <c r="J11">
        <f>J10*1000</f>
        <v>108465000</v>
      </c>
      <c r="K11">
        <f t="shared" ref="K11:L11" si="3">K10*1000</f>
        <v>1353000</v>
      </c>
      <c r="L11">
        <f t="shared" si="3"/>
        <v>29676000</v>
      </c>
    </row>
    <row r="12" spans="1:12" x14ac:dyDescent="0.35">
      <c r="A12" s="55" t="s">
        <v>332</v>
      </c>
      <c r="B12">
        <f>B11*'Conversion Factors'!$H$8*1000</f>
        <v>18797072000</v>
      </c>
      <c r="C12">
        <f>C11*'Conversion Factors'!$H$8*1000</f>
        <v>374808000</v>
      </c>
      <c r="D12">
        <f>D11*'Conversion Factors'!$H$8*1000</f>
        <v>9251704000</v>
      </c>
      <c r="F12" s="12"/>
      <c r="I12" s="55" t="s">
        <v>478</v>
      </c>
      <c r="J12">
        <f>J11*'Conversion Factors'!$H$6*1000</f>
        <v>131242650000</v>
      </c>
      <c r="K12">
        <f>K11*'Conversion Factors'!$H$6*1000</f>
        <v>1637130000</v>
      </c>
      <c r="L12">
        <f>L11*'Conversion Factors'!$H$6*1000</f>
        <v>35907960000</v>
      </c>
    </row>
    <row r="13" spans="1:12" x14ac:dyDescent="0.35">
      <c r="A13" t="s">
        <v>169</v>
      </c>
      <c r="B13">
        <f>B12*'Conversion Factors'!$B$38</f>
        <v>670364225570218.5</v>
      </c>
      <c r="C13">
        <f>C12*'Conversion Factors'!$B$38</f>
        <v>13366862384605.563</v>
      </c>
      <c r="D13">
        <f>D12*'Conversion Factors'!$B$38</f>
        <v>329945609995263.81</v>
      </c>
      <c r="E13" s="12"/>
      <c r="F13" s="12"/>
      <c r="I13" t="s">
        <v>169</v>
      </c>
      <c r="J13" s="31">
        <f>J12*'Conversion Factors'!$B$50</f>
        <v>4801883515538662</v>
      </c>
      <c r="K13" s="31">
        <f>K12*'Conversion Factors'!$B$50</f>
        <v>59899030991783.617</v>
      </c>
      <c r="L13" s="31">
        <f>L12*'Conversion Factors'!$B$50</f>
        <v>1313794267340850.5</v>
      </c>
    </row>
    <row r="14" spans="1:12" x14ac:dyDescent="0.35">
      <c r="E14" s="12"/>
      <c r="F14" s="12"/>
    </row>
    <row r="15" spans="1:12" x14ac:dyDescent="0.35">
      <c r="A15" s="51" t="s">
        <v>302</v>
      </c>
      <c r="B15" s="51"/>
      <c r="C15" s="51"/>
      <c r="D15" s="54"/>
      <c r="E15" s="12"/>
      <c r="F15" s="12"/>
      <c r="I15" s="53" t="s">
        <v>285</v>
      </c>
    </row>
    <row r="16" spans="1:12" x14ac:dyDescent="0.35">
      <c r="A16" s="52" t="s">
        <v>187</v>
      </c>
      <c r="B16" s="52" t="s">
        <v>271</v>
      </c>
      <c r="C16" s="52" t="s">
        <v>8</v>
      </c>
      <c r="D16" s="52" t="s">
        <v>9</v>
      </c>
      <c r="E16" s="12"/>
      <c r="F16" s="12"/>
      <c r="I16" s="53" t="s">
        <v>286</v>
      </c>
    </row>
    <row r="17" spans="1:33" x14ac:dyDescent="0.35">
      <c r="A17" s="55" t="s">
        <v>290</v>
      </c>
      <c r="B17">
        <v>9486</v>
      </c>
      <c r="C17">
        <v>1273</v>
      </c>
      <c r="D17">
        <v>2492</v>
      </c>
      <c r="I17" s="1" t="s">
        <v>526</v>
      </c>
    </row>
    <row r="18" spans="1:33" x14ac:dyDescent="0.35">
      <c r="A18" t="s">
        <v>267</v>
      </c>
      <c r="B18">
        <f>B17*1000</f>
        <v>9486000</v>
      </c>
      <c r="C18">
        <f t="shared" ref="C18:D18" si="4">C17*1000</f>
        <v>1273000</v>
      </c>
      <c r="D18">
        <f t="shared" si="4"/>
        <v>2492000</v>
      </c>
      <c r="I18" t="s">
        <v>524</v>
      </c>
      <c r="J18" t="s">
        <v>445</v>
      </c>
      <c r="K18" t="s">
        <v>446</v>
      </c>
      <c r="L18" t="s">
        <v>525</v>
      </c>
    </row>
    <row r="19" spans="1:33" x14ac:dyDescent="0.35">
      <c r="A19" s="55" t="s">
        <v>268</v>
      </c>
      <c r="B19">
        <f>B18*'Conversion Factors'!$I$10</f>
        <v>63935640</v>
      </c>
      <c r="C19">
        <f>C18*'Conversion Factors'!$I$10</f>
        <v>8580020</v>
      </c>
      <c r="D19">
        <f>D18*'Conversion Factors'!$I$10</f>
        <v>16796080</v>
      </c>
      <c r="I19" t="s">
        <v>253</v>
      </c>
      <c r="J19" s="17">
        <f>B5/J25</f>
        <v>5.7825704529220902E-2</v>
      </c>
      <c r="K19" s="17">
        <f>C5/K25</f>
        <v>4.8319595644687643E-2</v>
      </c>
      <c r="L19" s="17">
        <f>D5/L25</f>
        <v>6.7451599347432651E-3</v>
      </c>
    </row>
    <row r="20" spans="1:33" x14ac:dyDescent="0.35">
      <c r="A20" t="s">
        <v>269</v>
      </c>
      <c r="B20">
        <f>B19*'AEO Table 73'!$D$41</f>
        <v>401963368.68000001</v>
      </c>
      <c r="C20">
        <f>C19*'AEO Table 73'!$D$41</f>
        <v>53942585.740000002</v>
      </c>
      <c r="D20">
        <f>D19*'AEO Table 73'!$D$41</f>
        <v>105596954.95999999</v>
      </c>
      <c r="I20" t="s">
        <v>257</v>
      </c>
      <c r="J20" s="17">
        <f>B13/J25</f>
        <v>6.9874079959658858E-2</v>
      </c>
      <c r="K20" s="17">
        <f>C13/K25</f>
        <v>1.2663074779547462E-3</v>
      </c>
      <c r="L20" s="17">
        <f>D13/L25</f>
        <v>0.13833916247672218</v>
      </c>
    </row>
    <row r="21" spans="1:33" x14ac:dyDescent="0.35">
      <c r="A21" t="s">
        <v>169</v>
      </c>
      <c r="B21">
        <f>B20*10^6</f>
        <v>401963368680000</v>
      </c>
      <c r="C21">
        <f t="shared" ref="C21:D21" si="5">C20*10^6</f>
        <v>53942585740000</v>
      </c>
      <c r="D21">
        <f t="shared" si="5"/>
        <v>105596954960000</v>
      </c>
      <c r="I21" t="s">
        <v>520</v>
      </c>
      <c r="J21" s="17">
        <f>B21/J25</f>
        <v>4.18978511869562E-2</v>
      </c>
      <c r="K21" s="17">
        <f>C21/K25</f>
        <v>5.110241860606447E-3</v>
      </c>
      <c r="L21" s="17">
        <f>D21/L25</f>
        <v>4.4274552734519634E-2</v>
      </c>
    </row>
    <row r="22" spans="1:33" x14ac:dyDescent="0.35">
      <c r="A22" s="53" t="s">
        <v>285</v>
      </c>
      <c r="I22" t="s">
        <v>522</v>
      </c>
      <c r="J22" s="17">
        <f>J6/J25</f>
        <v>0.17387178129693104</v>
      </c>
      <c r="K22" s="17">
        <f>K6/K25</f>
        <v>7.2773764509418022E-4</v>
      </c>
      <c r="L22" s="17">
        <f>L6/L25</f>
        <v>0.25979518811534769</v>
      </c>
    </row>
    <row r="23" spans="1:33" x14ac:dyDescent="0.35">
      <c r="A23" s="53" t="s">
        <v>286</v>
      </c>
      <c r="I23" t="s">
        <v>521</v>
      </c>
      <c r="J23" s="17">
        <f>J13/J25</f>
        <v>0.5005147648449072</v>
      </c>
      <c r="K23" s="17">
        <f>K13/K25</f>
        <v>5.6745247077949132E-3</v>
      </c>
      <c r="L23" s="17">
        <f>L13/L25</f>
        <v>0.55084593673866733</v>
      </c>
    </row>
    <row r="24" spans="1:33" x14ac:dyDescent="0.35">
      <c r="I24" t="s">
        <v>10</v>
      </c>
      <c r="J24" s="17">
        <f>'Crude Oil'!B14/'Petroleum Products'!J25</f>
        <v>0.15601581818232574</v>
      </c>
      <c r="K24" s="17">
        <f>'Crude Oil'!B15/'Petroleum Products'!K25</f>
        <v>0.93890159266386219</v>
      </c>
      <c r="L24">
        <v>0</v>
      </c>
    </row>
    <row r="25" spans="1:33" x14ac:dyDescent="0.35">
      <c r="I25" t="s">
        <v>523</v>
      </c>
      <c r="J25" s="31">
        <f>SUM(B5,B13,B21,J6,J13)+'Crude Oil'!B14</f>
        <v>9593889836649684</v>
      </c>
      <c r="K25" s="31">
        <f>SUM(C5,C13,C21,K6,K13)+'Crude Oil'!B15</f>
        <v>1.0555779395850058E+16</v>
      </c>
      <c r="L25" s="31">
        <f>SUM(D5,D13,D21,L6,L13)</f>
        <v>2385048485823980</v>
      </c>
    </row>
    <row r="28" spans="1:33" x14ac:dyDescent="0.35">
      <c r="A28" t="s">
        <v>568</v>
      </c>
    </row>
    <row r="29" spans="1:33" x14ac:dyDescent="0.35">
      <c r="B29">
        <v>2019</v>
      </c>
      <c r="C29">
        <v>2020</v>
      </c>
      <c r="D29">
        <v>2021</v>
      </c>
      <c r="E29">
        <v>2022</v>
      </c>
      <c r="F29">
        <v>2023</v>
      </c>
      <c r="G29">
        <v>2024</v>
      </c>
      <c r="H29">
        <v>2025</v>
      </c>
      <c r="I29">
        <v>2026</v>
      </c>
      <c r="J29">
        <v>2027</v>
      </c>
      <c r="K29">
        <v>2028</v>
      </c>
      <c r="L29">
        <v>2029</v>
      </c>
      <c r="M29">
        <v>2030</v>
      </c>
      <c r="N29">
        <v>2031</v>
      </c>
      <c r="O29">
        <v>2032</v>
      </c>
      <c r="P29">
        <v>2033</v>
      </c>
      <c r="Q29">
        <v>2034</v>
      </c>
      <c r="R29">
        <v>2035</v>
      </c>
      <c r="S29">
        <v>2036</v>
      </c>
      <c r="T29">
        <v>2037</v>
      </c>
      <c r="U29">
        <v>2038</v>
      </c>
      <c r="V29">
        <v>2039</v>
      </c>
      <c r="W29">
        <v>2040</v>
      </c>
      <c r="X29">
        <v>2041</v>
      </c>
      <c r="Y29">
        <v>2042</v>
      </c>
      <c r="Z29">
        <v>2043</v>
      </c>
      <c r="AA29">
        <v>2044</v>
      </c>
      <c r="AB29">
        <v>2045</v>
      </c>
      <c r="AC29">
        <v>2046</v>
      </c>
      <c r="AD29">
        <v>2047</v>
      </c>
      <c r="AE29">
        <v>2048</v>
      </c>
      <c r="AF29">
        <v>2049</v>
      </c>
      <c r="AG29">
        <v>2050</v>
      </c>
    </row>
    <row r="30" spans="1:33" x14ac:dyDescent="0.35">
      <c r="A30" t="s">
        <v>569</v>
      </c>
      <c r="B30">
        <f>$B$13</f>
        <v>670364225570218.5</v>
      </c>
      <c r="C30">
        <f t="shared" ref="C30:AG30" si="6">$B$13</f>
        <v>670364225570218.5</v>
      </c>
      <c r="D30">
        <f t="shared" si="6"/>
        <v>670364225570218.5</v>
      </c>
      <c r="E30">
        <f t="shared" si="6"/>
        <v>670364225570218.5</v>
      </c>
      <c r="F30">
        <f t="shared" si="6"/>
        <v>670364225570218.5</v>
      </c>
      <c r="G30">
        <f t="shared" si="6"/>
        <v>670364225570218.5</v>
      </c>
      <c r="H30">
        <f t="shared" si="6"/>
        <v>670364225570218.5</v>
      </c>
      <c r="I30">
        <f t="shared" si="6"/>
        <v>670364225570218.5</v>
      </c>
      <c r="J30">
        <f t="shared" si="6"/>
        <v>670364225570218.5</v>
      </c>
      <c r="K30">
        <f t="shared" si="6"/>
        <v>670364225570218.5</v>
      </c>
      <c r="L30">
        <f t="shared" si="6"/>
        <v>670364225570218.5</v>
      </c>
      <c r="M30">
        <f t="shared" si="6"/>
        <v>670364225570218.5</v>
      </c>
      <c r="N30">
        <f t="shared" si="6"/>
        <v>670364225570218.5</v>
      </c>
      <c r="O30">
        <f t="shared" si="6"/>
        <v>670364225570218.5</v>
      </c>
      <c r="P30">
        <f t="shared" si="6"/>
        <v>670364225570218.5</v>
      </c>
      <c r="Q30">
        <f t="shared" si="6"/>
        <v>670364225570218.5</v>
      </c>
      <c r="R30">
        <f t="shared" si="6"/>
        <v>670364225570218.5</v>
      </c>
      <c r="S30">
        <f t="shared" si="6"/>
        <v>670364225570218.5</v>
      </c>
      <c r="T30">
        <f t="shared" si="6"/>
        <v>670364225570218.5</v>
      </c>
      <c r="U30">
        <f t="shared" si="6"/>
        <v>670364225570218.5</v>
      </c>
      <c r="V30">
        <f t="shared" si="6"/>
        <v>670364225570218.5</v>
      </c>
      <c r="W30">
        <f t="shared" si="6"/>
        <v>670364225570218.5</v>
      </c>
      <c r="X30">
        <f t="shared" si="6"/>
        <v>670364225570218.5</v>
      </c>
      <c r="Y30">
        <f t="shared" si="6"/>
        <v>670364225570218.5</v>
      </c>
      <c r="Z30">
        <f t="shared" si="6"/>
        <v>670364225570218.5</v>
      </c>
      <c r="AA30">
        <f t="shared" si="6"/>
        <v>670364225570218.5</v>
      </c>
      <c r="AB30">
        <f t="shared" si="6"/>
        <v>670364225570218.5</v>
      </c>
      <c r="AC30">
        <f t="shared" si="6"/>
        <v>670364225570218.5</v>
      </c>
      <c r="AD30">
        <f t="shared" si="6"/>
        <v>670364225570218.5</v>
      </c>
      <c r="AE30">
        <f t="shared" si="6"/>
        <v>670364225570218.5</v>
      </c>
      <c r="AF30">
        <f t="shared" si="6"/>
        <v>670364225570218.5</v>
      </c>
      <c r="AG30">
        <f t="shared" si="6"/>
        <v>670364225570218.5</v>
      </c>
    </row>
    <row r="31" spans="1:33" x14ac:dyDescent="0.35">
      <c r="A31" t="s">
        <v>570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31">
        <f>'BAU Total Primary Fuel Use'!Y14-'Petroleum Products'!Y30</f>
        <v>663774429781.5</v>
      </c>
      <c r="Z31" s="31">
        <f>'BAU Total Primary Fuel Use'!Z14-'Petroleum Products'!Z30</f>
        <v>44874774429781.5</v>
      </c>
      <c r="AA31" s="31">
        <f>'BAU Total Primary Fuel Use'!AA14-'Petroleum Products'!AA30</f>
        <v>88899774429781.5</v>
      </c>
      <c r="AB31" s="31">
        <f>'BAU Total Primary Fuel Use'!AB14-'Petroleum Products'!AB30</f>
        <v>132672774429781.5</v>
      </c>
      <c r="AC31" s="31">
        <f>'BAU Total Primary Fuel Use'!AC14-'Petroleum Products'!AC30</f>
        <v>185451774429781.5</v>
      </c>
      <c r="AD31" s="31">
        <f>'BAU Total Primary Fuel Use'!AD14-'Petroleum Products'!AD30</f>
        <v>238134774429781.5</v>
      </c>
      <c r="AE31" s="31">
        <f>'BAU Total Primary Fuel Use'!AE14-'Petroleum Products'!AE30</f>
        <v>290792774429781.5</v>
      </c>
      <c r="AF31" s="31">
        <f>'BAU Total Primary Fuel Use'!AF14-'Petroleum Products'!AF30</f>
        <v>343285774429781.5</v>
      </c>
      <c r="AG31" s="31">
        <f>'BAU Total Primary Fuel Use'!AG14-'Petroleum Products'!AG30</f>
        <v>395365774429781.5</v>
      </c>
    </row>
    <row r="32" spans="1:33" x14ac:dyDescent="0.35">
      <c r="A32" t="s">
        <v>571</v>
      </c>
      <c r="B32" s="31">
        <f>B30-'BAU Total Primary Fuel Use'!B14</f>
        <v>417312225570218.5</v>
      </c>
      <c r="C32" s="31">
        <f>C30-'BAU Total Primary Fuel Use'!C14</f>
        <v>479955225570218.5</v>
      </c>
      <c r="D32" s="31">
        <f>D30-'BAU Total Primary Fuel Use'!D14</f>
        <v>482175225570218.5</v>
      </c>
      <c r="E32" s="31">
        <f>E30-'BAU Total Primary Fuel Use'!E14</f>
        <v>492471225570218.5</v>
      </c>
      <c r="F32" s="31">
        <f>F30-'BAU Total Primary Fuel Use'!F14</f>
        <v>476330225570218.5</v>
      </c>
      <c r="G32" s="31">
        <f>G30-'BAU Total Primary Fuel Use'!G14</f>
        <v>462978225570218.5</v>
      </c>
      <c r="H32" s="31">
        <f>H30-'BAU Total Primary Fuel Use'!H14</f>
        <v>451019225570218.5</v>
      </c>
      <c r="I32" s="31">
        <f>I30-'BAU Total Primary Fuel Use'!I14</f>
        <v>433034225570218.5</v>
      </c>
      <c r="J32" s="31">
        <f>J30-'BAU Total Primary Fuel Use'!J14</f>
        <v>415810225570218.5</v>
      </c>
      <c r="K32" s="31">
        <f>K30-'BAU Total Primary Fuel Use'!K14</f>
        <v>399214225570218.5</v>
      </c>
      <c r="L32" s="31">
        <f>L30-'BAU Total Primary Fuel Use'!L14</f>
        <v>383130225570218.5</v>
      </c>
      <c r="M32" s="31">
        <f>M30-'BAU Total Primary Fuel Use'!M14</f>
        <v>367121225570218.5</v>
      </c>
      <c r="N32" s="31">
        <f>N30-'BAU Total Primary Fuel Use'!N14</f>
        <v>346554225570218.5</v>
      </c>
      <c r="O32" s="31">
        <f>O30-'BAU Total Primary Fuel Use'!O14</f>
        <v>326227225570218.5</v>
      </c>
      <c r="P32" s="31">
        <f>P30-'BAU Total Primary Fuel Use'!P14</f>
        <v>306106225570218.5</v>
      </c>
      <c r="Q32" s="31">
        <f>Q30-'BAU Total Primary Fuel Use'!Q14</f>
        <v>286166225570218.5</v>
      </c>
      <c r="R32" s="31">
        <f>R30-'BAU Total Primary Fuel Use'!R14</f>
        <v>266254225570218.5</v>
      </c>
      <c r="S32" s="31">
        <f>S30-'BAU Total Primary Fuel Use'!S14</f>
        <v>229978225570218.5</v>
      </c>
      <c r="T32" s="31">
        <f>T30-'BAU Total Primary Fuel Use'!T14</f>
        <v>194016225570218.5</v>
      </c>
      <c r="U32" s="31">
        <f>U30-'BAU Total Primary Fuel Use'!U14</f>
        <v>158523225570218.5</v>
      </c>
      <c r="V32" s="31">
        <f>V30-'BAU Total Primary Fuel Use'!V14</f>
        <v>123448225570218.5</v>
      </c>
      <c r="W32" s="31">
        <f>W30-'BAU Total Primary Fuel Use'!W14</f>
        <v>88784225570218.5</v>
      </c>
      <c r="X32" s="31">
        <f>X30-'BAU Total Primary Fuel Use'!X14</f>
        <v>43903225570218.5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</row>
    <row r="34" spans="2:33" x14ac:dyDescent="0.35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20"/>
  <sheetViews>
    <sheetView topLeftCell="A7" workbookViewId="0">
      <selection activeCell="J14" sqref="J14"/>
    </sheetView>
  </sheetViews>
  <sheetFormatPr defaultRowHeight="14.5" x14ac:dyDescent="0.35"/>
  <cols>
    <col min="1" max="1" width="14" customWidth="1"/>
    <col min="2" max="2" width="11.08984375" customWidth="1"/>
    <col min="3" max="3" width="11.6328125" customWidth="1"/>
    <col min="4" max="4" width="8" bestFit="1" customWidth="1"/>
    <col min="5" max="5" width="4.08984375" customWidth="1"/>
    <col min="6" max="6" width="21.6328125" customWidth="1"/>
    <col min="7" max="7" width="11" customWidth="1"/>
    <col min="8" max="8" width="12" bestFit="1" customWidth="1"/>
    <col min="13" max="13" width="9.81640625" customWidth="1"/>
    <col min="18" max="18" width="9.36328125" customWidth="1"/>
    <col min="23" max="23" width="12" bestFit="1" customWidth="1"/>
    <col min="28" max="28" width="12" bestFit="1" customWidth="1"/>
    <col min="33" max="33" width="12" bestFit="1" customWidth="1"/>
    <col min="38" max="38" width="12" bestFit="1" customWidth="1"/>
  </cols>
  <sheetData>
    <row r="1" spans="1:40" x14ac:dyDescent="0.35">
      <c r="A1" s="51" t="s">
        <v>291</v>
      </c>
      <c r="B1" s="51"/>
      <c r="C1" s="51"/>
      <c r="D1" s="54"/>
      <c r="G1" s="81" t="s">
        <v>459</v>
      </c>
      <c r="N1" s="83" t="s">
        <v>451</v>
      </c>
    </row>
    <row r="2" spans="1:40" x14ac:dyDescent="0.35">
      <c r="A2" s="52" t="s">
        <v>187</v>
      </c>
      <c r="B2" s="52" t="s">
        <v>271</v>
      </c>
      <c r="C2" s="52" t="s">
        <v>8</v>
      </c>
      <c r="D2" s="52" t="s">
        <v>9</v>
      </c>
      <c r="H2" s="82">
        <v>2017</v>
      </c>
      <c r="I2" s="82">
        <v>2022</v>
      </c>
      <c r="J2" s="82">
        <v>2027</v>
      </c>
      <c r="K2" s="82">
        <v>2032</v>
      </c>
      <c r="L2" s="82">
        <v>2037</v>
      </c>
      <c r="M2" s="82">
        <v>2042</v>
      </c>
      <c r="N2" s="82">
        <v>2047</v>
      </c>
    </row>
    <row r="3" spans="1:40" x14ac:dyDescent="0.35">
      <c r="A3" t="s">
        <v>296</v>
      </c>
      <c r="B3">
        <f>730.873</f>
        <v>730.87300000000005</v>
      </c>
      <c r="C3">
        <v>251.41</v>
      </c>
      <c r="D3">
        <v>1.05</v>
      </c>
      <c r="H3">
        <v>3408.4500000000003</v>
      </c>
      <c r="I3">
        <v>4203.6000000000004</v>
      </c>
      <c r="J3">
        <v>4887.1500000000005</v>
      </c>
      <c r="K3">
        <v>5356.8</v>
      </c>
      <c r="L3">
        <v>5538.1500000000005</v>
      </c>
      <c r="M3">
        <v>5528.85</v>
      </c>
      <c r="N3">
        <v>5380.05</v>
      </c>
    </row>
    <row r="4" spans="1:40" ht="17.25" customHeight="1" x14ac:dyDescent="0.35">
      <c r="A4" t="s">
        <v>267</v>
      </c>
      <c r="B4">
        <f>B3*10^6</f>
        <v>730873000</v>
      </c>
      <c r="C4">
        <f t="shared" ref="C4:D4" si="0">C3*10^6</f>
        <v>251410000</v>
      </c>
      <c r="D4">
        <f t="shared" si="0"/>
        <v>1050000</v>
      </c>
      <c r="G4" t="s">
        <v>447</v>
      </c>
      <c r="I4" s="84">
        <f>(I3-H3)/H3</f>
        <v>0.23328785811732605</v>
      </c>
      <c r="J4" s="84">
        <f t="shared" ref="J4:N4" si="1">(J3-I3)/I3</f>
        <v>0.16261061946902658</v>
      </c>
      <c r="K4" s="84">
        <f t="shared" si="1"/>
        <v>9.6098953377735399E-2</v>
      </c>
      <c r="L4" s="84">
        <f t="shared" si="1"/>
        <v>3.3854166666666734E-2</v>
      </c>
      <c r="M4" s="84">
        <f t="shared" si="1"/>
        <v>-1.6792611251049865E-3</v>
      </c>
      <c r="N4" s="84">
        <f t="shared" si="1"/>
        <v>-2.6913372582001712E-2</v>
      </c>
    </row>
    <row r="5" spans="1:40" ht="18" customHeight="1" x14ac:dyDescent="0.35">
      <c r="A5" s="55" t="s">
        <v>169</v>
      </c>
      <c r="B5">
        <f>B4*'Conversion Factors'!$B$64</f>
        <v>1.0480827326343914E+16</v>
      </c>
      <c r="C5">
        <f>C4*'Conversion Factors'!$B$64</f>
        <v>3605256724651373.5</v>
      </c>
      <c r="D5">
        <f>D4*'Conversion Factors'!$B$64</f>
        <v>15057155884348.047</v>
      </c>
      <c r="G5" t="s">
        <v>448</v>
      </c>
      <c r="I5" s="84">
        <f>I4/5</f>
        <v>4.6657571623465212E-2</v>
      </c>
      <c r="J5" s="84">
        <f t="shared" ref="J5:N5" si="2">J4/5</f>
        <v>3.2522123893805314E-2</v>
      </c>
      <c r="K5" s="84">
        <f t="shared" si="2"/>
        <v>1.9219790675547081E-2</v>
      </c>
      <c r="L5" s="84">
        <f t="shared" si="2"/>
        <v>6.7708333333333466E-3</v>
      </c>
      <c r="M5" s="84">
        <f t="shared" si="2"/>
        <v>-3.3585222502099731E-4</v>
      </c>
      <c r="N5" s="84">
        <f t="shared" si="2"/>
        <v>-5.3826745164003422E-3</v>
      </c>
    </row>
    <row r="6" spans="1:40" ht="14.25" customHeight="1" x14ac:dyDescent="0.4">
      <c r="D6">
        <v>0</v>
      </c>
      <c r="G6" s="81" t="s">
        <v>460</v>
      </c>
      <c r="I6" s="56"/>
      <c r="J6" s="56"/>
      <c r="K6" s="56"/>
    </row>
    <row r="7" spans="1:40" ht="15" customHeight="1" x14ac:dyDescent="0.35">
      <c r="H7">
        <v>1075.4762345933309</v>
      </c>
      <c r="I7">
        <v>1602.1646944849763</v>
      </c>
      <c r="J7">
        <v>2139.2195786710681</v>
      </c>
      <c r="K7">
        <v>2801.5113646318014</v>
      </c>
      <c r="L7">
        <v>4453.5601338359456</v>
      </c>
      <c r="M7">
        <v>6258.043550293507</v>
      </c>
      <c r="N7">
        <v>7765.1919130140896</v>
      </c>
    </row>
    <row r="8" spans="1:40" x14ac:dyDescent="0.35">
      <c r="A8" s="53" t="s">
        <v>292</v>
      </c>
      <c r="G8" t="s">
        <v>447</v>
      </c>
      <c r="I8" s="84">
        <f>(I7-H7)/H7</f>
        <v>0.48972580048763398</v>
      </c>
      <c r="J8" s="84">
        <f t="shared" ref="J8:N8" si="3">(J7-I7)/I7</f>
        <v>0.33520579128647621</v>
      </c>
      <c r="K8" s="84">
        <f t="shared" si="3"/>
        <v>0.30959504698071433</v>
      </c>
      <c r="L8" s="84">
        <f t="shared" si="3"/>
        <v>0.58969911386430185</v>
      </c>
      <c r="M8" s="84">
        <f t="shared" si="3"/>
        <v>0.40517773696328685</v>
      </c>
      <c r="N8" s="84">
        <f t="shared" si="3"/>
        <v>0.24083379263953766</v>
      </c>
    </row>
    <row r="9" spans="1:40" x14ac:dyDescent="0.35">
      <c r="A9" s="53" t="s">
        <v>294</v>
      </c>
      <c r="G9" t="s">
        <v>448</v>
      </c>
      <c r="I9" s="84">
        <f>I8/5</f>
        <v>9.7945160097526796E-2</v>
      </c>
      <c r="J9" s="84">
        <f t="shared" ref="J9:N9" si="4">J8/5</f>
        <v>6.7041158257295244E-2</v>
      </c>
      <c r="K9" s="84">
        <f t="shared" si="4"/>
        <v>6.1919009396142866E-2</v>
      </c>
      <c r="L9" s="84">
        <f t="shared" si="4"/>
        <v>0.11793982277286037</v>
      </c>
      <c r="M9" s="84">
        <f t="shared" si="4"/>
        <v>8.1035547392657364E-2</v>
      </c>
      <c r="N9" s="84">
        <f t="shared" si="4"/>
        <v>4.8166758527907534E-2</v>
      </c>
    </row>
    <row r="10" spans="1:40" x14ac:dyDescent="0.35">
      <c r="A10" s="53" t="s">
        <v>295</v>
      </c>
      <c r="G10" s="53" t="s">
        <v>353</v>
      </c>
    </row>
    <row r="11" spans="1:40" x14ac:dyDescent="0.35">
      <c r="A11" s="51" t="s">
        <v>293</v>
      </c>
      <c r="B11" s="51"/>
      <c r="C11" s="51"/>
      <c r="D11" s="54"/>
      <c r="G11" s="53" t="s">
        <v>458</v>
      </c>
    </row>
    <row r="12" spans="1:40" x14ac:dyDescent="0.35">
      <c r="A12" s="52" t="s">
        <v>187</v>
      </c>
      <c r="B12" s="52" t="s">
        <v>271</v>
      </c>
      <c r="C12" s="52" t="s">
        <v>8</v>
      </c>
      <c r="D12" s="52" t="s">
        <v>9</v>
      </c>
    </row>
    <row r="13" spans="1:40" x14ac:dyDescent="0.35">
      <c r="A13" t="s">
        <v>296</v>
      </c>
      <c r="B13">
        <v>46.64</v>
      </c>
      <c r="C13">
        <v>1.04E-2</v>
      </c>
      <c r="D13">
        <v>4.4000000000000003E-3</v>
      </c>
      <c r="F13" s="51" t="s">
        <v>462</v>
      </c>
      <c r="G13" s="29">
        <v>2017</v>
      </c>
      <c r="H13" s="1">
        <f>G13+1</f>
        <v>2018</v>
      </c>
      <c r="I13" s="1">
        <f t="shared" ref="I13:AN13" si="5">H13+1</f>
        <v>2019</v>
      </c>
      <c r="J13" s="1">
        <f>I13+1</f>
        <v>2020</v>
      </c>
      <c r="K13" s="1">
        <f t="shared" si="5"/>
        <v>2021</v>
      </c>
      <c r="L13" s="29">
        <f t="shared" si="5"/>
        <v>2022</v>
      </c>
      <c r="M13" s="1">
        <f t="shared" si="5"/>
        <v>2023</v>
      </c>
      <c r="N13" s="1">
        <f t="shared" si="5"/>
        <v>2024</v>
      </c>
      <c r="O13" s="1">
        <f t="shared" si="5"/>
        <v>2025</v>
      </c>
      <c r="P13" s="1">
        <f t="shared" si="5"/>
        <v>2026</v>
      </c>
      <c r="Q13" s="29">
        <f t="shared" si="5"/>
        <v>2027</v>
      </c>
      <c r="R13" s="1">
        <f t="shared" si="5"/>
        <v>2028</v>
      </c>
      <c r="S13" s="1">
        <f t="shared" si="5"/>
        <v>2029</v>
      </c>
      <c r="T13" s="1">
        <f t="shared" si="5"/>
        <v>2030</v>
      </c>
      <c r="U13" s="1">
        <f t="shared" si="5"/>
        <v>2031</v>
      </c>
      <c r="V13" s="29">
        <f t="shared" si="5"/>
        <v>2032</v>
      </c>
      <c r="W13" s="1">
        <f t="shared" si="5"/>
        <v>2033</v>
      </c>
      <c r="X13" s="1">
        <f t="shared" si="5"/>
        <v>2034</v>
      </c>
      <c r="Y13" s="1">
        <f t="shared" si="5"/>
        <v>2035</v>
      </c>
      <c r="Z13" s="1">
        <f t="shared" si="5"/>
        <v>2036</v>
      </c>
      <c r="AA13" s="29">
        <f t="shared" si="5"/>
        <v>2037</v>
      </c>
      <c r="AB13" s="1">
        <f t="shared" si="5"/>
        <v>2038</v>
      </c>
      <c r="AC13" s="1">
        <f t="shared" si="5"/>
        <v>2039</v>
      </c>
      <c r="AD13" s="1">
        <f t="shared" si="5"/>
        <v>2040</v>
      </c>
      <c r="AE13" s="1">
        <f t="shared" si="5"/>
        <v>2041</v>
      </c>
      <c r="AF13" s="29">
        <f t="shared" si="5"/>
        <v>2042</v>
      </c>
      <c r="AG13" s="1">
        <f t="shared" si="5"/>
        <v>2043</v>
      </c>
      <c r="AH13" s="1">
        <f t="shared" si="5"/>
        <v>2044</v>
      </c>
      <c r="AI13" s="1">
        <f t="shared" si="5"/>
        <v>2045</v>
      </c>
      <c r="AJ13" s="1">
        <f t="shared" si="5"/>
        <v>2046</v>
      </c>
      <c r="AK13" s="29">
        <f t="shared" si="5"/>
        <v>2047</v>
      </c>
      <c r="AL13" s="1">
        <f t="shared" si="5"/>
        <v>2048</v>
      </c>
      <c r="AM13" s="1">
        <f t="shared" si="5"/>
        <v>2049</v>
      </c>
      <c r="AN13" s="1">
        <f t="shared" si="5"/>
        <v>2050</v>
      </c>
    </row>
    <row r="14" spans="1:40" x14ac:dyDescent="0.35">
      <c r="A14" t="s">
        <v>267</v>
      </c>
      <c r="B14">
        <f>B13*10^6</f>
        <v>46640000</v>
      </c>
      <c r="C14">
        <f t="shared" ref="C14:D14" si="6">C13*10^6</f>
        <v>10400</v>
      </c>
      <c r="D14">
        <f t="shared" si="6"/>
        <v>4400</v>
      </c>
      <c r="F14" t="s">
        <v>452</v>
      </c>
      <c r="G14">
        <f>B5</f>
        <v>1.0480827326343914E+16</v>
      </c>
      <c r="H14">
        <f>G14*(1+$I$5)</f>
        <v>1.0969837277995976E+16</v>
      </c>
      <c r="I14">
        <f t="shared" ref="I14:L14" si="7">H14*(1+$I$5)</f>
        <v>1.1481663246491832E+16</v>
      </c>
      <c r="J14">
        <f t="shared" si="7"/>
        <v>1.2017369771771532E+16</v>
      </c>
      <c r="K14">
        <f t="shared" si="7"/>
        <v>1.2578071062623628E+16</v>
      </c>
      <c r="L14">
        <f t="shared" si="7"/>
        <v>1.3164933314113024E+16</v>
      </c>
      <c r="M14">
        <f>L14*(1+$J$5)</f>
        <v>1.3593084906408294E+16</v>
      </c>
      <c r="N14">
        <f t="shared" ref="N14:Q14" si="8">M14*(1+$J$5)</f>
        <v>1.403516089783352E+16</v>
      </c>
      <c r="O14">
        <f t="shared" si="8"/>
        <v>1.4491614139422354E+16</v>
      </c>
      <c r="P14">
        <f t="shared" si="8"/>
        <v>1.496291220988587E+16</v>
      </c>
      <c r="Q14">
        <f t="shared" si="8"/>
        <v>1.5449537894587912E+16</v>
      </c>
      <c r="R14">
        <f>Q14*(1+$K$5)</f>
        <v>1.5746474778955824E+16</v>
      </c>
      <c r="S14">
        <f t="shared" ref="S14:U14" si="9">R14*(1+$K$5)</f>
        <v>1.6049118728085138E+16</v>
      </c>
      <c r="T14">
        <f t="shared" si="9"/>
        <v>1.6357579430565938E+16</v>
      </c>
      <c r="U14">
        <f t="shared" si="9"/>
        <v>1.667196868318005E+16</v>
      </c>
      <c r="V14">
        <f>U14*(1+$K$5)</f>
        <v>1.6992400431420048E+16</v>
      </c>
      <c r="W14">
        <f>V14*(1+$L$5)</f>
        <v>1.7107453142674456E+16</v>
      </c>
      <c r="X14">
        <f t="shared" ref="X14:AA14" si="10">W14*(1+$L$5)</f>
        <v>1.7223284856661316E+16</v>
      </c>
      <c r="Y14">
        <f t="shared" si="10"/>
        <v>1.7339900847878294E+16</v>
      </c>
      <c r="Z14">
        <f t="shared" si="10"/>
        <v>1.7457306426535804E+16</v>
      </c>
      <c r="AA14">
        <f t="shared" si="10"/>
        <v>1.7575506938798808E+16</v>
      </c>
      <c r="AB14">
        <f>AA14*(1+$M$5)</f>
        <v>1.756960416568754E+16</v>
      </c>
      <c r="AC14">
        <f t="shared" ref="AC14:AF14" si="11">AB14*(1+$M$5)</f>
        <v>1.7563703375035756E+16</v>
      </c>
      <c r="AD14">
        <f t="shared" si="11"/>
        <v>1.7557804566177642E+16</v>
      </c>
      <c r="AE14">
        <f t="shared" si="11"/>
        <v>1.7551907738447608E+16</v>
      </c>
      <c r="AF14">
        <f t="shared" si="11"/>
        <v>1.7546012891180288E+16</v>
      </c>
      <c r="AG14">
        <f>AF14*(1+$N$5)</f>
        <v>1.74515684147265E+16</v>
      </c>
      <c r="AH14">
        <f t="shared" ref="AH14:AK14" si="12">AG14*(1+$N$5)</f>
        <v>1.7357632302149336E+16</v>
      </c>
      <c r="AI14">
        <f t="shared" si="12"/>
        <v>1.726420181709151E+16</v>
      </c>
      <c r="AJ14">
        <f t="shared" si="12"/>
        <v>1.717127423792466E+16</v>
      </c>
      <c r="AK14">
        <f t="shared" si="12"/>
        <v>1.7078846857670062E+16</v>
      </c>
      <c r="AL14">
        <f>AK14</f>
        <v>1.7078846857670062E+16</v>
      </c>
      <c r="AM14">
        <f t="shared" ref="AM14:AN14" si="13">AL14</f>
        <v>1.7078846857670062E+16</v>
      </c>
      <c r="AN14">
        <f t="shared" si="13"/>
        <v>1.7078846857670062E+16</v>
      </c>
    </row>
    <row r="15" spans="1:40" x14ac:dyDescent="0.35">
      <c r="A15" s="55" t="s">
        <v>169</v>
      </c>
      <c r="B15">
        <f>B14*'Conversion Factors'!$B$85</f>
        <v>621866666666666.63</v>
      </c>
      <c r="C15">
        <f>C14*'Conversion Factors'!$B$85</f>
        <v>138666666666.66666</v>
      </c>
      <c r="D15">
        <f>D14*'Conversion Factors'!$B$85</f>
        <v>58666666666.666664</v>
      </c>
      <c r="F15" t="s">
        <v>461</v>
      </c>
      <c r="G15">
        <f>C5</f>
        <v>3605256724651373.5</v>
      </c>
      <c r="H15">
        <f>G15*(1+$I$9)</f>
        <v>3958374171740037</v>
      </c>
      <c r="I15">
        <f t="shared" ref="I15:L15" si="14">H15*(1+$I$9)</f>
        <v>4346077763717029.5</v>
      </c>
      <c r="J15">
        <f t="shared" si="14"/>
        <v>4771755046080595</v>
      </c>
      <c r="K15">
        <f t="shared" si="14"/>
        <v>5239125358015140</v>
      </c>
      <c r="L15">
        <f t="shared" si="14"/>
        <v>5752272329976945</v>
      </c>
      <c r="M15">
        <f>L15*(1+$J$9)</f>
        <v>6137911329589989</v>
      </c>
      <c r="N15">
        <f t="shared" ref="N15:P15" si="15">M15*(1+$J$9)</f>
        <v>6549404014406276</v>
      </c>
      <c r="O15">
        <f t="shared" si="15"/>
        <v>6988483645427051</v>
      </c>
      <c r="P15">
        <f t="shared" si="15"/>
        <v>7456999683478645</v>
      </c>
      <c r="Q15">
        <f>P15*(1+$J$9)</f>
        <v>7956925579383337</v>
      </c>
      <c r="R15">
        <f>Q15*(1+$K$9)</f>
        <v>8449610529097583</v>
      </c>
      <c r="S15">
        <f t="shared" ref="S15:V15" si="16">R15*(1+$K$9)</f>
        <v>8972802042842523</v>
      </c>
      <c r="T15">
        <f t="shared" si="16"/>
        <v>9528389056843018</v>
      </c>
      <c r="U15">
        <f t="shared" si="16"/>
        <v>1.0118377468383786E+16</v>
      </c>
      <c r="V15">
        <f t="shared" si="16"/>
        <v>1.0744897377922362E+16</v>
      </c>
      <c r="W15">
        <f>V15*(1+$L$9)</f>
        <v>1.2012148670387096E+16</v>
      </c>
      <c r="X15">
        <f t="shared" ref="X15:AA15" si="17">W15*(1+$L$9)</f>
        <v>1.34288593556938E+16</v>
      </c>
      <c r="Y15">
        <f t="shared" si="17"/>
        <v>1.5012656648145994E+16</v>
      </c>
      <c r="Z15">
        <f t="shared" si="17"/>
        <v>1.6783246712578136E+16</v>
      </c>
      <c r="AA15">
        <f t="shared" si="17"/>
        <v>1.8762659855412792E+16</v>
      </c>
      <c r="AB15">
        <f>AA15*(1+$M$9)</f>
        <v>2.0283102267338404E+16</v>
      </c>
      <c r="AC15">
        <f t="shared" ref="AC15:AF15" si="18">AB15*(1+$M$9)</f>
        <v>2.192675456239342E+16</v>
      </c>
      <c r="AD15">
        <f t="shared" si="18"/>
        <v>2.370360112090142E+16</v>
      </c>
      <c r="AE15">
        <f t="shared" si="18"/>
        <v>2.5624435412910872E+16</v>
      </c>
      <c r="AF15">
        <f t="shared" si="18"/>
        <v>2.77009255632239E+16</v>
      </c>
      <c r="AG15">
        <f>AF15*(1+$N$9)</f>
        <v>2.9035189355827248E+16</v>
      </c>
      <c r="AH15">
        <f t="shared" ref="AH15:AK15" si="19">AG15*(1+$N$9)</f>
        <v>3.0433720310341448E+16</v>
      </c>
      <c r="AI15">
        <f t="shared" si="19"/>
        <v>3.189961396763554E+16</v>
      </c>
      <c r="AJ15">
        <f t="shared" si="19"/>
        <v>3.3436114970748108E+16</v>
      </c>
      <c r="AK15">
        <f t="shared" si="19"/>
        <v>3.5046624246655484E+16</v>
      </c>
      <c r="AL15">
        <f>AK15</f>
        <v>3.5046624246655484E+16</v>
      </c>
      <c r="AM15">
        <f t="shared" ref="AM15:AN15" si="20">AL15</f>
        <v>3.5046624246655484E+16</v>
      </c>
      <c r="AN15">
        <f t="shared" si="20"/>
        <v>3.5046624246655484E+16</v>
      </c>
    </row>
    <row r="16" spans="1:40" x14ac:dyDescent="0.35">
      <c r="D16">
        <v>0</v>
      </c>
    </row>
    <row r="17" spans="1:40" x14ac:dyDescent="0.35">
      <c r="F17" s="51" t="s">
        <v>463</v>
      </c>
    </row>
    <row r="18" spans="1:40" x14ac:dyDescent="0.35">
      <c r="A18" s="53" t="s">
        <v>292</v>
      </c>
      <c r="F18" t="s">
        <v>452</v>
      </c>
      <c r="G18">
        <f>B15</f>
        <v>621866666666666.63</v>
      </c>
      <c r="H18">
        <f>G18*(1+$I$5)</f>
        <v>650881455206912.13</v>
      </c>
      <c r="I18">
        <f t="shared" ref="I18:L18" si="21">H18*(1+$I$5)</f>
        <v>681250003321613.88</v>
      </c>
      <c r="J18">
        <f t="shared" si="21"/>
        <v>713035474145078</v>
      </c>
      <c r="K18">
        <f t="shared" si="21"/>
        <v>746303977850073.38</v>
      </c>
      <c r="L18">
        <f t="shared" si="21"/>
        <v>781124709149490.13</v>
      </c>
      <c r="M18">
        <f>L18*(1+$J$5)</f>
        <v>806528543716962.5</v>
      </c>
      <c r="N18">
        <f t="shared" ref="N18:Q18" si="22">M18*(1+$J$5)</f>
        <v>832758564939616</v>
      </c>
      <c r="O18">
        <f t="shared" si="22"/>
        <v>859841642162209.75</v>
      </c>
      <c r="P18">
        <f t="shared" si="22"/>
        <v>887805518577662.25</v>
      </c>
      <c r="Q18">
        <f t="shared" si="22"/>
        <v>916678839646449.13</v>
      </c>
      <c r="R18">
        <f>Q18*(1+$K$5)</f>
        <v>934297215061157.38</v>
      </c>
      <c r="S18">
        <f t="shared" ref="S18:V18" si="23">R18*(1+$K$5)</f>
        <v>952254211963379.5</v>
      </c>
      <c r="T18">
        <f t="shared" si="23"/>
        <v>970556338587223.75</v>
      </c>
      <c r="U18">
        <f t="shared" si="23"/>
        <v>989210228253695.63</v>
      </c>
      <c r="V18">
        <f t="shared" si="23"/>
        <v>1008222641774841.9</v>
      </c>
      <c r="W18">
        <f>V18*(1+$L$5)</f>
        <v>1015049149245192.4</v>
      </c>
      <c r="X18">
        <f t="shared" ref="X18:AA18" si="24">W18*(1+$L$5)</f>
        <v>1021921877859873.4</v>
      </c>
      <c r="Y18">
        <f t="shared" si="24"/>
        <v>1028841140574549.6</v>
      </c>
      <c r="Z18">
        <f t="shared" si="24"/>
        <v>1035807252463856.5</v>
      </c>
      <c r="AA18">
        <f t="shared" si="24"/>
        <v>1042820530735747.3</v>
      </c>
      <c r="AB18">
        <f>AA18*(1+$M$5)</f>
        <v>1042470297140202.1</v>
      </c>
      <c r="AC18">
        <f t="shared" ref="AC18:AF18" si="25">AB18*(1+$M$5)</f>
        <v>1042120181171389.4</v>
      </c>
      <c r="AD18">
        <f t="shared" si="25"/>
        <v>1041770182789803.8</v>
      </c>
      <c r="AE18">
        <f t="shared" si="25"/>
        <v>1041420301955953.3</v>
      </c>
      <c r="AF18">
        <f t="shared" si="25"/>
        <v>1041070538630359.4</v>
      </c>
      <c r="AG18">
        <f>AF18*(1+$N$5)</f>
        <v>1035466794772298.6</v>
      </c>
      <c r="AH18">
        <f t="shared" ref="AH18:AK18" si="26">AG18*(1+$N$5)</f>
        <v>1029893214043499.1</v>
      </c>
      <c r="AI18">
        <f t="shared" si="26"/>
        <v>1024349634085653.6</v>
      </c>
      <c r="AJ18">
        <f t="shared" si="26"/>
        <v>1018835893414376.9</v>
      </c>
      <c r="AK18">
        <f t="shared" si="26"/>
        <v>1013351831414501.4</v>
      </c>
      <c r="AL18">
        <f>AK18</f>
        <v>1013351831414501.4</v>
      </c>
      <c r="AM18">
        <f t="shared" ref="AM18:AN18" si="27">AL18</f>
        <v>1013351831414501.4</v>
      </c>
      <c r="AN18">
        <f t="shared" si="27"/>
        <v>1013351831414501.4</v>
      </c>
    </row>
    <row r="19" spans="1:40" x14ac:dyDescent="0.35">
      <c r="A19" s="53" t="s">
        <v>297</v>
      </c>
      <c r="F19" t="s">
        <v>461</v>
      </c>
      <c r="G19">
        <f>C15</f>
        <v>138666666666.66666</v>
      </c>
      <c r="H19">
        <f>G19*(1+$I$9)</f>
        <v>152248395533.52368</v>
      </c>
      <c r="I19">
        <f t="shared" ref="I19:L19" si="28">H19*(1+$I$9)</f>
        <v>167160389008.64624</v>
      </c>
      <c r="J19">
        <f t="shared" si="28"/>
        <v>183532940072.06296</v>
      </c>
      <c r="K19">
        <f t="shared" si="28"/>
        <v>201509103270.59094</v>
      </c>
      <c r="L19">
        <f t="shared" si="28"/>
        <v>221245944651.53802</v>
      </c>
      <c r="M19">
        <f>L19*(1+$J$9)</f>
        <v>236078529040.70654</v>
      </c>
      <c r="N19">
        <f t="shared" ref="N19:Q19" si="29">M19*(1+$J$9)</f>
        <v>251905507067.27402</v>
      </c>
      <c r="O19">
        <f t="shared" si="29"/>
        <v>268793544032.45532</v>
      </c>
      <c r="P19">
        <f t="shared" si="29"/>
        <v>286813774556.47443</v>
      </c>
      <c r="Q19">
        <f t="shared" si="29"/>
        <v>306042102206.88721</v>
      </c>
      <c r="R19">
        <f>Q19*(1+$K$9)</f>
        <v>324991926009.05078</v>
      </c>
      <c r="S19">
        <f t="shared" ref="S19:V19" si="30">R19*(1+$K$9)</f>
        <v>345115104129.27576</v>
      </c>
      <c r="T19">
        <f t="shared" si="30"/>
        <v>366484289504.60718</v>
      </c>
      <c r="U19">
        <f t="shared" si="30"/>
        <v>389176633669.98169</v>
      </c>
      <c r="V19">
        <f t="shared" si="30"/>
        <v>413274065306.95251</v>
      </c>
      <c r="W19">
        <f>V19*(1+$L$9)</f>
        <v>462015535325.87396</v>
      </c>
      <c r="X19">
        <f t="shared" ref="X19:AA19" si="31">W19*(1+$L$9)</f>
        <v>516505565680.51569</v>
      </c>
      <c r="Y19">
        <f t="shared" si="31"/>
        <v>577422140558.07166</v>
      </c>
      <c r="Z19">
        <f t="shared" si="31"/>
        <v>645523205480.61621</v>
      </c>
      <c r="AA19">
        <f t="shared" si="31"/>
        <v>721656097930.7688</v>
      </c>
      <c r="AB19">
        <f>AA19*(1+$M$9)</f>
        <v>780135894855.83777</v>
      </c>
      <c r="AC19">
        <f t="shared" ref="AC19:AF19" si="32">AB19*(1+$M$9)</f>
        <v>843354634136.14124</v>
      </c>
      <c r="AD19">
        <f t="shared" si="32"/>
        <v>911696338559.4978</v>
      </c>
      <c r="AE19">
        <f t="shared" si="32"/>
        <v>985576150410.54822</v>
      </c>
      <c r="AF19">
        <f t="shared" si="32"/>
        <v>1065442853256.2151</v>
      </c>
      <c r="AG19">
        <f>AF19*(1+$N$9)</f>
        <v>1116761781894.292</v>
      </c>
      <c r="AH19">
        <f t="shared" ref="AH19:AK19" si="33">AG19*(1+$N$9)</f>
        <v>1170552576975.99</v>
      </c>
      <c r="AI19">
        <f t="shared" si="33"/>
        <v>1226934300295.4124</v>
      </c>
      <c r="AJ19">
        <f t="shared" si="33"/>
        <v>1286031748467.3486</v>
      </c>
      <c r="AK19">
        <f t="shared" si="33"/>
        <v>1347975729154.998</v>
      </c>
      <c r="AL19">
        <f>AK19</f>
        <v>1347975729154.998</v>
      </c>
      <c r="AM19">
        <f t="shared" ref="AM19:AN19" si="34">AL19</f>
        <v>1347975729154.998</v>
      </c>
      <c r="AN19">
        <f t="shared" si="34"/>
        <v>1347975729154.998</v>
      </c>
    </row>
    <row r="20" spans="1:40" x14ac:dyDescent="0.35">
      <c r="A20" s="53" t="s">
        <v>298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30"/>
  <sheetViews>
    <sheetView workbookViewId="0">
      <selection activeCell="G12" sqref="G12"/>
    </sheetView>
  </sheetViews>
  <sheetFormatPr defaultRowHeight="14.5" x14ac:dyDescent="0.35"/>
  <cols>
    <col min="1" max="1" width="37.6328125" customWidth="1"/>
    <col min="2" max="3" width="12" bestFit="1" customWidth="1"/>
    <col min="4" max="4" width="10.81640625" customWidth="1"/>
    <col min="5" max="5" width="12" bestFit="1" customWidth="1"/>
    <col min="6" max="6" width="10.7265625" bestFit="1" customWidth="1"/>
    <col min="7" max="7" width="59.6328125" bestFit="1" customWidth="1"/>
    <col min="8" max="9" width="12" bestFit="1" customWidth="1"/>
    <col min="13" max="13" width="12" bestFit="1" customWidth="1"/>
    <col min="18" max="18" width="12" bestFit="1" customWidth="1"/>
    <col min="23" max="23" width="12" bestFit="1" customWidth="1"/>
    <col min="28" max="28" width="12" bestFit="1" customWidth="1"/>
    <col min="33" max="33" width="12" bestFit="1" customWidth="1"/>
  </cols>
  <sheetData>
    <row r="1" spans="1:10" x14ac:dyDescent="0.35">
      <c r="A1" s="51" t="s">
        <v>305</v>
      </c>
      <c r="B1" s="51"/>
      <c r="C1" s="51"/>
      <c r="D1" s="54"/>
      <c r="G1" s="51" t="s">
        <v>337</v>
      </c>
      <c r="H1" s="51"/>
      <c r="I1" s="51"/>
    </row>
    <row r="2" spans="1:10" x14ac:dyDescent="0.35">
      <c r="A2" s="52" t="s">
        <v>187</v>
      </c>
      <c r="B2" s="52" t="s">
        <v>271</v>
      </c>
      <c r="C2" s="52" t="s">
        <v>8</v>
      </c>
      <c r="D2" s="52" t="s">
        <v>9</v>
      </c>
      <c r="G2" t="s">
        <v>313</v>
      </c>
      <c r="H2">
        <v>270</v>
      </c>
      <c r="I2" t="s">
        <v>314</v>
      </c>
    </row>
    <row r="3" spans="1:10" x14ac:dyDescent="0.35">
      <c r="A3" t="s">
        <v>306</v>
      </c>
      <c r="B3">
        <v>1023</v>
      </c>
      <c r="C3">
        <v>0</v>
      </c>
      <c r="D3">
        <v>0</v>
      </c>
      <c r="G3" t="s">
        <v>315</v>
      </c>
      <c r="H3">
        <v>329</v>
      </c>
      <c r="I3" t="s">
        <v>316</v>
      </c>
    </row>
    <row r="4" spans="1:10" x14ac:dyDescent="0.35">
      <c r="A4" t="s">
        <v>326</v>
      </c>
      <c r="B4">
        <f>B3*1000</f>
        <v>1023000</v>
      </c>
      <c r="C4">
        <v>0</v>
      </c>
      <c r="D4">
        <v>0</v>
      </c>
      <c r="G4" s="53" t="s">
        <v>317</v>
      </c>
    </row>
    <row r="5" spans="1:10" x14ac:dyDescent="0.35">
      <c r="A5" s="55" t="s">
        <v>324</v>
      </c>
      <c r="B5">
        <f>B4*40</f>
        <v>40920000</v>
      </c>
      <c r="C5">
        <v>0</v>
      </c>
      <c r="D5">
        <v>0</v>
      </c>
      <c r="G5" s="53" t="s">
        <v>318</v>
      </c>
    </row>
    <row r="6" spans="1:10" x14ac:dyDescent="0.35">
      <c r="A6" t="s">
        <v>169</v>
      </c>
      <c r="B6">
        <f>B5*10^6</f>
        <v>40920000000000</v>
      </c>
      <c r="C6">
        <v>0</v>
      </c>
      <c r="D6">
        <v>0</v>
      </c>
    </row>
    <row r="7" spans="1:10" x14ac:dyDescent="0.35">
      <c r="G7" t="s">
        <v>319</v>
      </c>
      <c r="H7">
        <v>20</v>
      </c>
      <c r="I7" t="s">
        <v>320</v>
      </c>
    </row>
    <row r="8" spans="1:10" x14ac:dyDescent="0.35">
      <c r="A8" s="53" t="s">
        <v>310</v>
      </c>
      <c r="G8" t="s">
        <v>321</v>
      </c>
      <c r="H8">
        <v>5</v>
      </c>
      <c r="I8" t="s">
        <v>320</v>
      </c>
    </row>
    <row r="9" spans="1:10" x14ac:dyDescent="0.35">
      <c r="A9" s="53" t="s">
        <v>311</v>
      </c>
    </row>
    <row r="10" spans="1:10" x14ac:dyDescent="0.35">
      <c r="A10" s="53"/>
      <c r="G10" t="s">
        <v>322</v>
      </c>
      <c r="I10">
        <f>(H7/SUM(H7:H8))*H2*10^7</f>
        <v>2160000000</v>
      </c>
      <c r="J10" t="s">
        <v>332</v>
      </c>
    </row>
    <row r="11" spans="1:10" x14ac:dyDescent="0.35">
      <c r="A11" s="53"/>
      <c r="I11">
        <f>Biofuels!I10*'Conversion Factors'!B73</f>
        <v>13586400</v>
      </c>
      <c r="J11" t="s">
        <v>268</v>
      </c>
    </row>
    <row r="12" spans="1:10" x14ac:dyDescent="0.35">
      <c r="I12">
        <f>I11*'Conversion Factors'!B72</f>
        <v>44278077.600000001</v>
      </c>
      <c r="J12" t="s">
        <v>269</v>
      </c>
    </row>
    <row r="13" spans="1:10" x14ac:dyDescent="0.35">
      <c r="I13" s="90">
        <f>I12*10^6</f>
        <v>44278077600000</v>
      </c>
      <c r="J13" t="s">
        <v>169</v>
      </c>
    </row>
    <row r="14" spans="1:10" x14ac:dyDescent="0.35">
      <c r="G14" t="s">
        <v>323</v>
      </c>
      <c r="I14">
        <f>H2*10^7-I10</f>
        <v>540000000</v>
      </c>
      <c r="J14" t="s">
        <v>332</v>
      </c>
    </row>
    <row r="15" spans="1:10" x14ac:dyDescent="0.35">
      <c r="I15">
        <f>I14*'Conversion Factors'!B73</f>
        <v>3396600</v>
      </c>
      <c r="J15" t="s">
        <v>268</v>
      </c>
    </row>
    <row r="16" spans="1:10" x14ac:dyDescent="0.35">
      <c r="I16">
        <f>I15*'Conversion Factors'!B72</f>
        <v>11069519.4</v>
      </c>
      <c r="J16" t="s">
        <v>269</v>
      </c>
    </row>
    <row r="17" spans="1:35" x14ac:dyDescent="0.35">
      <c r="I17" s="90">
        <f>I16*10^6</f>
        <v>11069519400000</v>
      </c>
      <c r="J17" t="s">
        <v>169</v>
      </c>
    </row>
    <row r="18" spans="1:35" x14ac:dyDescent="0.35">
      <c r="G18" s="53" t="s">
        <v>336</v>
      </c>
    </row>
    <row r="20" spans="1:35" x14ac:dyDescent="0.35">
      <c r="B20" s="1">
        <v>2017</v>
      </c>
      <c r="C20" s="1">
        <v>2022</v>
      </c>
      <c r="D20" s="1">
        <v>2027</v>
      </c>
      <c r="E20" s="1">
        <v>2032</v>
      </c>
      <c r="F20" s="1">
        <v>2037</v>
      </c>
      <c r="G20" s="1">
        <v>2042</v>
      </c>
      <c r="H20" s="1">
        <v>2047</v>
      </c>
      <c r="I20" t="s">
        <v>352</v>
      </c>
    </row>
    <row r="21" spans="1:35" x14ac:dyDescent="0.35">
      <c r="A21" s="81" t="s">
        <v>503</v>
      </c>
      <c r="B21" s="17">
        <v>3.5269803118062502</v>
      </c>
      <c r="C21" s="17">
        <v>6.3229757435541671</v>
      </c>
      <c r="D21" s="17">
        <v>10.113685889233334</v>
      </c>
      <c r="E21" s="17">
        <v>10.172828546400002</v>
      </c>
      <c r="F21" s="17">
        <v>10.232609952500001</v>
      </c>
      <c r="G21" s="17">
        <v>10.339732078000001</v>
      </c>
      <c r="H21" s="17">
        <v>10.494265886000001</v>
      </c>
    </row>
    <row r="22" spans="1:35" x14ac:dyDescent="0.35">
      <c r="A22" s="81" t="s">
        <v>504</v>
      </c>
      <c r="B22" s="17">
        <v>8.510885612671693</v>
      </c>
      <c r="C22" s="17">
        <v>19.483758920108034</v>
      </c>
      <c r="D22" s="17">
        <v>33.85182598465984</v>
      </c>
      <c r="E22" s="17">
        <v>51.957282607198884</v>
      </c>
      <c r="F22" s="17">
        <v>75.599196498502394</v>
      </c>
      <c r="G22" s="17">
        <v>104.66167409980413</v>
      </c>
      <c r="H22" s="17">
        <v>141.81257947309263</v>
      </c>
    </row>
    <row r="23" spans="1:35" x14ac:dyDescent="0.35">
      <c r="A23" t="s">
        <v>505</v>
      </c>
      <c r="B23" s="17">
        <f>SUM(B21:B22)</f>
        <v>12.037865924477943</v>
      </c>
      <c r="C23" s="17">
        <f t="shared" ref="C23:H23" si="0">SUM(C21:C22)</f>
        <v>25.806734663662201</v>
      </c>
      <c r="D23" s="17">
        <f t="shared" si="0"/>
        <v>43.965511873893178</v>
      </c>
      <c r="E23" s="17">
        <f t="shared" si="0"/>
        <v>62.130111153598889</v>
      </c>
      <c r="F23" s="17">
        <f t="shared" si="0"/>
        <v>85.831806451002393</v>
      </c>
      <c r="G23" s="17">
        <f t="shared" si="0"/>
        <v>115.00140617780413</v>
      </c>
      <c r="H23" s="17">
        <f t="shared" si="0"/>
        <v>152.30684535909262</v>
      </c>
    </row>
    <row r="24" spans="1:35" x14ac:dyDescent="0.35">
      <c r="A24" t="s">
        <v>447</v>
      </c>
      <c r="C24" s="43">
        <f>(C23-B23)/B23</f>
        <v>1.1437964856533642</v>
      </c>
      <c r="D24" s="43">
        <f t="shared" ref="D24:H24" si="1">(D23-C23)/C23</f>
        <v>0.70364489916656847</v>
      </c>
      <c r="E24" s="43">
        <f t="shared" si="1"/>
        <v>0.41315564189966575</v>
      </c>
      <c r="F24" s="43">
        <f t="shared" si="1"/>
        <v>0.38148483653615001</v>
      </c>
      <c r="G24" s="43">
        <f t="shared" si="1"/>
        <v>0.33984604231128906</v>
      </c>
      <c r="H24" s="43">
        <f t="shared" si="1"/>
        <v>0.3243911567795128</v>
      </c>
    </row>
    <row r="25" spans="1:35" x14ac:dyDescent="0.35">
      <c r="A25" t="s">
        <v>448</v>
      </c>
      <c r="C25" s="89">
        <f>C24/5</f>
        <v>0.22875929713067283</v>
      </c>
      <c r="D25" s="89">
        <f t="shared" ref="D25:H25" si="2">D24/5</f>
        <v>0.1407289798333137</v>
      </c>
      <c r="E25" s="89">
        <f t="shared" si="2"/>
        <v>8.2631128379933153E-2</v>
      </c>
      <c r="F25" s="89">
        <f t="shared" si="2"/>
        <v>7.6296967307229999E-2</v>
      </c>
      <c r="G25" s="89">
        <f t="shared" si="2"/>
        <v>6.7969208462257819E-2</v>
      </c>
      <c r="H25" s="89">
        <f t="shared" si="2"/>
        <v>6.4878231355902566E-2</v>
      </c>
    </row>
    <row r="26" spans="1:35" x14ac:dyDescent="0.35">
      <c r="A26" s="53" t="s">
        <v>353</v>
      </c>
    </row>
    <row r="27" spans="1:35" x14ac:dyDescent="0.35">
      <c r="A27" s="53" t="s">
        <v>506</v>
      </c>
    </row>
    <row r="28" spans="1:35" x14ac:dyDescent="0.35">
      <c r="A28" s="51" t="s">
        <v>449</v>
      </c>
      <c r="B28" s="29">
        <v>2017</v>
      </c>
      <c r="C28" s="1">
        <f>B28+1</f>
        <v>2018</v>
      </c>
      <c r="D28" s="1">
        <f t="shared" ref="D28:AI28" si="3">C28+1</f>
        <v>2019</v>
      </c>
      <c r="E28" s="1">
        <f>D28+1</f>
        <v>2020</v>
      </c>
      <c r="F28" s="1">
        <f t="shared" si="3"/>
        <v>2021</v>
      </c>
      <c r="G28" s="29">
        <f t="shared" si="3"/>
        <v>2022</v>
      </c>
      <c r="H28" s="1">
        <f t="shared" si="3"/>
        <v>2023</v>
      </c>
      <c r="I28" s="1">
        <f t="shared" si="3"/>
        <v>2024</v>
      </c>
      <c r="J28" s="1">
        <f t="shared" si="3"/>
        <v>2025</v>
      </c>
      <c r="K28" s="1">
        <f t="shared" si="3"/>
        <v>2026</v>
      </c>
      <c r="L28" s="29">
        <f t="shared" si="3"/>
        <v>2027</v>
      </c>
      <c r="M28" s="1">
        <f t="shared" si="3"/>
        <v>2028</v>
      </c>
      <c r="N28" s="1">
        <f t="shared" si="3"/>
        <v>2029</v>
      </c>
      <c r="O28" s="1">
        <f t="shared" si="3"/>
        <v>2030</v>
      </c>
      <c r="P28" s="1">
        <f t="shared" si="3"/>
        <v>2031</v>
      </c>
      <c r="Q28" s="29">
        <f t="shared" si="3"/>
        <v>2032</v>
      </c>
      <c r="R28" s="1">
        <f t="shared" si="3"/>
        <v>2033</v>
      </c>
      <c r="S28" s="1">
        <f t="shared" si="3"/>
        <v>2034</v>
      </c>
      <c r="T28" s="1">
        <f t="shared" si="3"/>
        <v>2035</v>
      </c>
      <c r="U28" s="1">
        <f t="shared" si="3"/>
        <v>2036</v>
      </c>
      <c r="V28" s="29">
        <f t="shared" si="3"/>
        <v>2037</v>
      </c>
      <c r="W28" s="1">
        <f t="shared" si="3"/>
        <v>2038</v>
      </c>
      <c r="X28" s="1">
        <f t="shared" si="3"/>
        <v>2039</v>
      </c>
      <c r="Y28" s="1">
        <f t="shared" si="3"/>
        <v>2040</v>
      </c>
      <c r="Z28" s="1">
        <f t="shared" si="3"/>
        <v>2041</v>
      </c>
      <c r="AA28" s="29">
        <f t="shared" si="3"/>
        <v>2042</v>
      </c>
      <c r="AB28" s="1">
        <f t="shared" si="3"/>
        <v>2043</v>
      </c>
      <c r="AC28" s="1">
        <f t="shared" si="3"/>
        <v>2044</v>
      </c>
      <c r="AD28" s="1">
        <f t="shared" si="3"/>
        <v>2045</v>
      </c>
      <c r="AE28" s="1">
        <f t="shared" si="3"/>
        <v>2046</v>
      </c>
      <c r="AF28" s="29">
        <f t="shared" si="3"/>
        <v>2047</v>
      </c>
      <c r="AG28" s="1">
        <f t="shared" si="3"/>
        <v>2048</v>
      </c>
      <c r="AH28" s="1">
        <f t="shared" si="3"/>
        <v>2049</v>
      </c>
      <c r="AI28" s="1">
        <f t="shared" si="3"/>
        <v>2050</v>
      </c>
    </row>
    <row r="29" spans="1:35" x14ac:dyDescent="0.35">
      <c r="A29" t="s">
        <v>508</v>
      </c>
      <c r="B29">
        <f>I13</f>
        <v>44278077600000</v>
      </c>
      <c r="C29">
        <f>B29</f>
        <v>44278077600000</v>
      </c>
      <c r="D29">
        <f>C29</f>
        <v>44278077600000</v>
      </c>
      <c r="E29">
        <f t="shared" ref="E29:G30" si="4">D29*(1+$C$25)</f>
        <v>54407099510073.391</v>
      </c>
      <c r="F29">
        <f t="shared" si="4"/>
        <v>66853229352916.359</v>
      </c>
      <c r="G29">
        <f t="shared" si="4"/>
        <v>82146527110605.172</v>
      </c>
      <c r="H29">
        <f>G29*(1+$D$25)</f>
        <v>93706924067730.297</v>
      </c>
      <c r="I29">
        <f t="shared" ref="I29:L29" si="5">H29*(1+$D$25)</f>
        <v>106894203895099.78</v>
      </c>
      <c r="J29">
        <f t="shared" si="5"/>
        <v>121937316159351.41</v>
      </c>
      <c r="K29">
        <f t="shared" si="5"/>
        <v>139097430266069.17</v>
      </c>
      <c r="L29">
        <f t="shared" si="5"/>
        <v>158672469724848.59</v>
      </c>
      <c r="M29">
        <f>L29*(1+$E$25)</f>
        <v>171783754941043.63</v>
      </c>
      <c r="N29">
        <f t="shared" ref="N29:Q29" si="6">M29*(1+$E$25)</f>
        <v>185978440449164</v>
      </c>
      <c r="O29">
        <f t="shared" si="6"/>
        <v>201346048837818.66</v>
      </c>
      <c r="P29">
        <f t="shared" si="6"/>
        <v>217983500048128.75</v>
      </c>
      <c r="Q29">
        <f t="shared" si="6"/>
        <v>235995722625312.88</v>
      </c>
      <c r="R29">
        <f>Q29*(1+$F$25)</f>
        <v>254001480559102.5</v>
      </c>
      <c r="S29">
        <f t="shared" ref="S29:V29" si="7">R29*(1+$F$25)</f>
        <v>273381023217308.38</v>
      </c>
      <c r="T29">
        <f t="shared" si="7"/>
        <v>294239166208136.44</v>
      </c>
      <c r="U29">
        <f t="shared" si="7"/>
        <v>316688722252825.25</v>
      </c>
      <c r="V29">
        <f t="shared" si="7"/>
        <v>340851111341117.5</v>
      </c>
      <c r="W29">
        <f>V29*(1+$G$25)</f>
        <v>364018491582454.19</v>
      </c>
      <c r="X29">
        <f t="shared" ref="X29:AA29" si="8">W29*(1+$G$25)</f>
        <v>388760540320938.69</v>
      </c>
      <c r="Y29">
        <f t="shared" si="8"/>
        <v>415184286527912.56</v>
      </c>
      <c r="Z29">
        <f t="shared" si="8"/>
        <v>443404033849182.06</v>
      </c>
      <c r="AA29">
        <f t="shared" si="8"/>
        <v>473541855058883.13</v>
      </c>
      <c r="AB29">
        <f>AA29*(1+$H$25)</f>
        <v>504264413088096.69</v>
      </c>
      <c r="AC29">
        <f t="shared" ref="AC29:AI29" si="9">AB29*(1+$H$25)</f>
        <v>536980196344974.69</v>
      </c>
      <c r="AD29">
        <f t="shared" si="9"/>
        <v>571818521756982</v>
      </c>
      <c r="AE29">
        <f t="shared" si="9"/>
        <v>608917096105121.75</v>
      </c>
      <c r="AF29">
        <f t="shared" si="9"/>
        <v>648422560342794.25</v>
      </c>
      <c r="AG29">
        <f t="shared" si="9"/>
        <v>690491069229100.75</v>
      </c>
      <c r="AH29">
        <f t="shared" si="9"/>
        <v>735288908567731</v>
      </c>
      <c r="AI29">
        <f t="shared" si="9"/>
        <v>782993152491217.38</v>
      </c>
    </row>
    <row r="30" spans="1:35" x14ac:dyDescent="0.35">
      <c r="A30" t="s">
        <v>509</v>
      </c>
      <c r="B30">
        <f>I17</f>
        <v>11069519400000</v>
      </c>
      <c r="C30">
        <f>B30</f>
        <v>11069519400000</v>
      </c>
      <c r="D30">
        <f>C30</f>
        <v>11069519400000</v>
      </c>
      <c r="E30">
        <f t="shared" si="4"/>
        <v>13601774877518.348</v>
      </c>
      <c r="F30">
        <f t="shared" si="4"/>
        <v>16713307338229.09</v>
      </c>
      <c r="G30">
        <f t="shared" si="4"/>
        <v>20536631777651.293</v>
      </c>
      <c r="H30">
        <f>G30*(1+$D$25)</f>
        <v>23426731016932.574</v>
      </c>
      <c r="I30">
        <f t="shared" ref="I30:L30" si="10">H30*(1+$D$25)</f>
        <v>26723550973774.945</v>
      </c>
      <c r="J30">
        <f t="shared" si="10"/>
        <v>30484329039837.852</v>
      </c>
      <c r="K30">
        <f t="shared" si="10"/>
        <v>34774357566517.293</v>
      </c>
      <c r="L30">
        <f t="shared" si="10"/>
        <v>39668117431212.148</v>
      </c>
      <c r="M30">
        <f>L30*(1+$E$25)</f>
        <v>42945938735260.906</v>
      </c>
      <c r="N30">
        <f t="shared" ref="N30:Q30" si="11">M30*(1+$E$25)</f>
        <v>46494610112291</v>
      </c>
      <c r="O30">
        <f t="shared" si="11"/>
        <v>50336512209454.664</v>
      </c>
      <c r="P30">
        <f t="shared" si="11"/>
        <v>54495875012032.188</v>
      </c>
      <c r="Q30">
        <f t="shared" si="11"/>
        <v>58998930656328.219</v>
      </c>
      <c r="R30">
        <f>Q30*(1+$F$25)</f>
        <v>63500370139775.625</v>
      </c>
      <c r="S30">
        <f t="shared" ref="S30:V30" si="12">R30*(1+$F$25)</f>
        <v>68345255804327.094</v>
      </c>
      <c r="T30">
        <f t="shared" si="12"/>
        <v>73559791552034.109</v>
      </c>
      <c r="U30">
        <f t="shared" si="12"/>
        <v>79172180563206.313</v>
      </c>
      <c r="V30">
        <f t="shared" si="12"/>
        <v>85212777835279.375</v>
      </c>
      <c r="W30">
        <f>V30*(1+$G$25)</f>
        <v>91004622895613.547</v>
      </c>
      <c r="X30">
        <f t="shared" ref="X30:AA30" si="13">W30*(1+$G$25)</f>
        <v>97190135080234.672</v>
      </c>
      <c r="Y30">
        <f t="shared" si="13"/>
        <v>103796071631978.14</v>
      </c>
      <c r="Z30">
        <f t="shared" si="13"/>
        <v>110851008462295.52</v>
      </c>
      <c r="AA30">
        <f t="shared" si="13"/>
        <v>118385463764720.78</v>
      </c>
      <c r="AB30">
        <f>AA30*(1+$H$25)</f>
        <v>126066103272024.17</v>
      </c>
      <c r="AC30">
        <f t="shared" ref="AC30:AI30" si="14">AB30*(1+$H$25)</f>
        <v>134245049086243.67</v>
      </c>
      <c r="AD30">
        <f t="shared" si="14"/>
        <v>142954630439245.5</v>
      </c>
      <c r="AE30">
        <f t="shared" si="14"/>
        <v>152229274026280.44</v>
      </c>
      <c r="AF30">
        <f t="shared" si="14"/>
        <v>162105640085698.56</v>
      </c>
      <c r="AG30">
        <f t="shared" si="14"/>
        <v>172622767307275.19</v>
      </c>
      <c r="AH30">
        <f t="shared" si="14"/>
        <v>183822227141932.75</v>
      </c>
      <c r="AI30">
        <f t="shared" si="14"/>
        <v>195748288122804.34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Conversion Factors</vt:lpstr>
      <vt:lpstr>Heat content of coal</vt:lpstr>
      <vt:lpstr>BAU Total Primary Fuel Use</vt:lpstr>
      <vt:lpstr>Crude Oil</vt:lpstr>
      <vt:lpstr>Natural Gas</vt:lpstr>
      <vt:lpstr>Petroleum Products</vt:lpstr>
      <vt:lpstr>Coal &amp; Lignite</vt:lpstr>
      <vt:lpstr>Biofuels</vt:lpstr>
      <vt:lpstr>MSW</vt:lpstr>
      <vt:lpstr>Biomass</vt:lpstr>
      <vt:lpstr>Nuclear</vt:lpstr>
      <vt:lpstr>AEO Table 73</vt:lpstr>
      <vt:lpstr>BFPIaE-production</vt:lpstr>
      <vt:lpstr>BFPIaE-imports</vt:lpstr>
      <vt:lpstr>BFPIaE-exports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2019-07-26T21:45:06Z</dcterms:created>
  <dcterms:modified xsi:type="dcterms:W3CDTF">2022-03-09T22:53:01Z</dcterms:modified>
</cp:coreProperties>
</file>