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anM\Documents\eps-india\InputData\elec\BPMCCS\"/>
    </mc:Choice>
  </mc:AlternateContent>
  <bookViews>
    <workbookView xWindow="0" yWindow="0" windowWidth="14385" windowHeight="3180" activeTab="7"/>
  </bookViews>
  <sheets>
    <sheet name="About" sheetId="1" r:id="rId1"/>
    <sheet name="MNRE+CEA" sheetId="4" r:id="rId2"/>
    <sheet name="Actuals-based BPMCCS adjustment" sheetId="5" r:id="rId3"/>
    <sheet name="Installed Capacities - 2017-19" sheetId="6" r:id="rId4"/>
    <sheet name="BCRbQ Data" sheetId="7" r:id="rId5"/>
    <sheet name="Pumped Hydro" sheetId="8" r:id="rId6"/>
    <sheet name="Calcs" sheetId="3" r:id="rId7"/>
    <sheet name="BPMCCS"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5" l="1"/>
  <c r="J10" i="2" l="1"/>
  <c r="I10" i="2"/>
  <c r="E10" i="2"/>
  <c r="D22" i="8"/>
  <c r="G22" i="8" s="1"/>
  <c r="H22" i="8" s="1"/>
  <c r="I22" i="8" s="1"/>
  <c r="D14" i="8"/>
  <c r="C22" i="8" l="1"/>
  <c r="F22" i="8" s="1"/>
  <c r="B22" i="8"/>
  <c r="E22" i="8" s="1"/>
  <c r="J22" i="8"/>
  <c r="K22" i="8" s="1"/>
  <c r="L22" i="8" s="1"/>
  <c r="M22" i="8" s="1"/>
  <c r="N22" i="8" s="1"/>
  <c r="O22" i="8" s="1"/>
  <c r="P22" i="8" s="1"/>
  <c r="Q22" i="8" s="1"/>
  <c r="R22" i="8" s="1"/>
  <c r="S22" i="8" s="1"/>
  <c r="T22" i="8" s="1"/>
  <c r="U22" i="8" s="1"/>
  <c r="V22" i="8" s="1"/>
  <c r="W22" i="8" s="1"/>
  <c r="X22" i="8" s="1"/>
  <c r="Y22" i="8" s="1"/>
  <c r="Z22" i="8" s="1"/>
  <c r="AA22" i="8" s="1"/>
  <c r="AB22" i="8" s="1"/>
  <c r="AC22" i="8" s="1"/>
  <c r="AD22" i="8" s="1"/>
  <c r="AE22" i="8" s="1"/>
  <c r="AF22" i="8" s="1"/>
  <c r="AG22" i="8" s="1"/>
  <c r="AH22" i="8" s="1"/>
  <c r="AI22" i="8" s="1"/>
  <c r="AJ22" i="8" s="1"/>
  <c r="G11" i="6"/>
  <c r="E14" i="2" l="1"/>
  <c r="G15" i="6" s="1"/>
  <c r="J3" i="2"/>
  <c r="J5" i="2"/>
  <c r="J6" i="2"/>
  <c r="J7" i="2"/>
  <c r="J8" i="2"/>
  <c r="J9" i="2"/>
  <c r="J11" i="2"/>
  <c r="J12" i="2"/>
  <c r="J13" i="2"/>
  <c r="J14" i="2"/>
  <c r="J15" i="2"/>
  <c r="J16" i="2"/>
  <c r="J17" i="2"/>
  <c r="I8" i="2"/>
  <c r="I12" i="2"/>
  <c r="I13" i="2"/>
  <c r="I14" i="2"/>
  <c r="I15" i="2"/>
  <c r="I16" i="2"/>
  <c r="H8" i="2"/>
  <c r="H10" i="2"/>
  <c r="H12" i="2"/>
  <c r="H13" i="2"/>
  <c r="H14" i="2"/>
  <c r="H15" i="2"/>
  <c r="H16" i="2"/>
  <c r="G8" i="2"/>
  <c r="G10" i="2"/>
  <c r="G14" i="2"/>
  <c r="G15" i="2"/>
  <c r="G16" i="2"/>
  <c r="F8" i="2"/>
  <c r="F10" i="2"/>
  <c r="H11" i="6" s="1"/>
  <c r="F14" i="2"/>
  <c r="F15" i="2"/>
  <c r="F16" i="2"/>
  <c r="E8" i="2"/>
  <c r="G9" i="6" s="1"/>
  <c r="E15" i="2"/>
  <c r="G16" i="6" s="1"/>
  <c r="H16" i="6" s="1"/>
  <c r="E16" i="2"/>
  <c r="G17" i="6" s="1"/>
  <c r="H17" i="6" s="1"/>
  <c r="H15" i="6" l="1"/>
  <c r="H9" i="6"/>
  <c r="G48" i="5"/>
  <c r="H48" i="5" s="1"/>
  <c r="I48" i="5" s="1"/>
  <c r="J48" i="5" s="1"/>
  <c r="K48" i="5" s="1"/>
  <c r="G47" i="5"/>
  <c r="F48" i="5"/>
  <c r="F11" i="3" s="1"/>
  <c r="I11" i="2" s="1"/>
  <c r="E48" i="5"/>
  <c r="E11" i="3" s="1"/>
  <c r="H11" i="2" s="1"/>
  <c r="E47" i="5"/>
  <c r="D37" i="5" l="1"/>
  <c r="C37" i="5"/>
  <c r="B37" i="5"/>
  <c r="B12" i="6" s="1"/>
  <c r="B48" i="5" l="1"/>
  <c r="B11" i="3" s="1"/>
  <c r="E11" i="2" s="1"/>
  <c r="G12" i="6" s="1"/>
  <c r="H12" i="6" s="1"/>
  <c r="C48" i="5"/>
  <c r="C11" i="3" s="1"/>
  <c r="F11" i="2" s="1"/>
  <c r="D12" i="6"/>
  <c r="D48" i="5"/>
  <c r="D11" i="3" s="1"/>
  <c r="G11" i="2" s="1"/>
  <c r="C12" i="6"/>
  <c r="B36" i="5" l="1"/>
  <c r="B13" i="6" s="1"/>
  <c r="B32" i="5" l="1"/>
  <c r="B4" i="6" s="1"/>
  <c r="J2" i="2"/>
  <c r="K2" i="2"/>
  <c r="L2" i="2"/>
  <c r="M2" i="2"/>
  <c r="N2" i="2"/>
  <c r="G4" i="3" l="1"/>
  <c r="J4" i="2" s="1"/>
  <c r="G1" i="3"/>
  <c r="H1" i="3" s="1"/>
  <c r="I1" i="3" s="1"/>
  <c r="J1" i="3" s="1"/>
  <c r="K1" i="3" s="1"/>
  <c r="G42" i="5"/>
  <c r="F46" i="5"/>
  <c r="F47" i="5"/>
  <c r="E46" i="5"/>
  <c r="H47" i="5"/>
  <c r="I47" i="5"/>
  <c r="J47" i="5"/>
  <c r="K47" i="5"/>
  <c r="H46" i="5"/>
  <c r="I46" i="5"/>
  <c r="J46" i="5"/>
  <c r="K46" i="5"/>
  <c r="G46" i="5"/>
  <c r="H45" i="5"/>
  <c r="I45" i="5"/>
  <c r="J45" i="5"/>
  <c r="K45" i="5"/>
  <c r="G45" i="5"/>
  <c r="H44" i="5"/>
  <c r="H4" i="3" s="1"/>
  <c r="K4" i="2" s="1"/>
  <c r="I44" i="5"/>
  <c r="I4" i="3" s="1"/>
  <c r="L4" i="2" s="1"/>
  <c r="J44" i="5"/>
  <c r="J4" i="3" s="1"/>
  <c r="M4" i="2" s="1"/>
  <c r="K44" i="5"/>
  <c r="K4" i="3" s="1"/>
  <c r="N4" i="2" s="1"/>
  <c r="G44" i="5"/>
  <c r="J43" i="5"/>
  <c r="H43" i="5"/>
  <c r="I43" i="5"/>
  <c r="K43" i="5"/>
  <c r="G43" i="5"/>
  <c r="H42" i="5"/>
  <c r="I42" i="5"/>
  <c r="J42" i="5"/>
  <c r="K42" i="5"/>
  <c r="D36" i="5"/>
  <c r="C36" i="5"/>
  <c r="D35" i="5"/>
  <c r="D34" i="5"/>
  <c r="D33" i="5"/>
  <c r="D31" i="5"/>
  <c r="C35" i="5"/>
  <c r="C34" i="5"/>
  <c r="C33" i="5"/>
  <c r="C31" i="5"/>
  <c r="B35" i="5"/>
  <c r="B14" i="6" s="1"/>
  <c r="B34" i="5"/>
  <c r="B33" i="5"/>
  <c r="B5" i="6" s="1"/>
  <c r="B31" i="5"/>
  <c r="B3" i="6" s="1"/>
  <c r="B42" i="5" l="1"/>
  <c r="B2" i="3" s="1"/>
  <c r="E2" i="2" s="1"/>
  <c r="G3" i="6" s="1"/>
  <c r="H3" i="6" s="1"/>
  <c r="C3" i="6"/>
  <c r="E31" i="5"/>
  <c r="C42" i="5"/>
  <c r="C2" i="3" s="1"/>
  <c r="F2" i="2" s="1"/>
  <c r="D3" i="6"/>
  <c r="C32" i="5"/>
  <c r="C4" i="6" s="1"/>
  <c r="B3" i="7" s="1"/>
  <c r="B43" i="5" s="1"/>
  <c r="B3" i="3" s="1"/>
  <c r="E3" i="2" s="1"/>
  <c r="G4" i="6" s="1"/>
  <c r="C13" i="6"/>
  <c r="B47" i="5"/>
  <c r="B12" i="3" s="1"/>
  <c r="E12" i="2" s="1"/>
  <c r="G13" i="6" s="1"/>
  <c r="B44" i="5"/>
  <c r="B4" i="3" s="1"/>
  <c r="E4" i="2" s="1"/>
  <c r="G5" i="6" s="1"/>
  <c r="H5" i="6" s="1"/>
  <c r="C5" i="6"/>
  <c r="E33" i="5"/>
  <c r="F33" i="5" s="1"/>
  <c r="G33" i="5" s="1"/>
  <c r="C44" i="5"/>
  <c r="C4" i="3" s="1"/>
  <c r="F4" i="2" s="1"/>
  <c r="D5" i="6"/>
  <c r="D32" i="5"/>
  <c r="D13" i="6"/>
  <c r="C47" i="5"/>
  <c r="C12" i="3" s="1"/>
  <c r="F12" i="2" s="1"/>
  <c r="B45" i="5"/>
  <c r="C45" i="5"/>
  <c r="B46" i="5"/>
  <c r="B13" i="3" s="1"/>
  <c r="E13" i="2" s="1"/>
  <c r="G14" i="6" s="1"/>
  <c r="H14" i="6" s="1"/>
  <c r="C14" i="6"/>
  <c r="D46" i="5"/>
  <c r="D13" i="3" s="1"/>
  <c r="G13" i="2" s="1"/>
  <c r="C46" i="5"/>
  <c r="C13" i="3" s="1"/>
  <c r="F13" i="2" s="1"/>
  <c r="D14" i="6"/>
  <c r="E34" i="5"/>
  <c r="F34" i="5" s="1"/>
  <c r="E32" i="5"/>
  <c r="F31" i="5"/>
  <c r="D42" i="5"/>
  <c r="G34" i="5"/>
  <c r="F45" i="5" s="1"/>
  <c r="E45" i="5"/>
  <c r="D47" i="5"/>
  <c r="D12" i="3" s="1"/>
  <c r="G12" i="2" s="1"/>
  <c r="F44" i="5"/>
  <c r="F4" i="3" s="1"/>
  <c r="I4" i="2" s="1"/>
  <c r="E44" i="5"/>
  <c r="E4" i="3" s="1"/>
  <c r="H4" i="2" s="1"/>
  <c r="D2" i="3" l="1"/>
  <c r="G2" i="2" s="1"/>
  <c r="H13" i="6"/>
  <c r="D44" i="5"/>
  <c r="D4" i="3" s="1"/>
  <c r="G4" i="2" s="1"/>
  <c r="D45" i="5"/>
  <c r="C43" i="5"/>
  <c r="C3" i="3" s="1"/>
  <c r="F3" i="2" s="1"/>
  <c r="H4" i="6" s="1"/>
  <c r="D4" i="6"/>
  <c r="D43" i="5"/>
  <c r="D3" i="3" s="1"/>
  <c r="G3" i="2" s="1"/>
  <c r="F32" i="5"/>
  <c r="E42" i="5"/>
  <c r="G31" i="5"/>
  <c r="F42" i="5" s="1"/>
  <c r="B16" i="5"/>
  <c r="B18" i="6" s="1"/>
  <c r="B15" i="5"/>
  <c r="B6" i="6" s="1"/>
  <c r="B14" i="5"/>
  <c r="B10" i="6" s="1"/>
  <c r="B13" i="5"/>
  <c r="B7" i="6" s="1"/>
  <c r="B12" i="5"/>
  <c r="B8" i="6" s="1"/>
  <c r="E2" i="3" l="1"/>
  <c r="H2" i="2" s="1"/>
  <c r="I2" i="2"/>
  <c r="F2" i="3"/>
  <c r="G32" i="5"/>
  <c r="F43" i="5" s="1"/>
  <c r="F3" i="3" s="1"/>
  <c r="I3" i="2" s="1"/>
  <c r="E43" i="5"/>
  <c r="E3" i="3" s="1"/>
  <c r="H3" i="2" s="1"/>
  <c r="F6" i="5"/>
  <c r="F5" i="5"/>
  <c r="C12" i="5"/>
  <c r="D16" i="5"/>
  <c r="D18" i="6" s="1"/>
  <c r="D15" i="5"/>
  <c r="D6" i="6" s="1"/>
  <c r="D14" i="5"/>
  <c r="D10" i="6" s="1"/>
  <c r="D13" i="5"/>
  <c r="D7" i="6" s="1"/>
  <c r="D12" i="5"/>
  <c r="C16" i="5"/>
  <c r="C15" i="5"/>
  <c r="C14" i="5"/>
  <c r="C10" i="6" s="1"/>
  <c r="C13" i="5"/>
  <c r="C4" i="5"/>
  <c r="C5" i="5"/>
  <c r="C6" i="5"/>
  <c r="C3" i="5"/>
  <c r="B21" i="5" l="1"/>
  <c r="B7" i="3" s="1"/>
  <c r="E7" i="2" s="1"/>
  <c r="G8" i="6" s="1"/>
  <c r="C8" i="6"/>
  <c r="B25" i="5"/>
  <c r="B17" i="3" s="1"/>
  <c r="E17" i="2" s="1"/>
  <c r="G18" i="6" s="1"/>
  <c r="H18" i="6" s="1"/>
  <c r="C18" i="6"/>
  <c r="B22" i="5"/>
  <c r="B6" i="3" s="1"/>
  <c r="E6" i="2" s="1"/>
  <c r="G7" i="6" s="1"/>
  <c r="C7" i="6"/>
  <c r="C21" i="5"/>
  <c r="C7" i="3" s="1"/>
  <c r="F7" i="2" s="1"/>
  <c r="D8" i="6"/>
  <c r="B24" i="5"/>
  <c r="B5" i="3" s="1"/>
  <c r="E5" i="2" s="1"/>
  <c r="G6" i="6" s="1"/>
  <c r="C6" i="6"/>
  <c r="F14" i="5"/>
  <c r="B23" i="5"/>
  <c r="B9" i="3" s="1"/>
  <c r="E9" i="2" s="1"/>
  <c r="G10" i="6" s="1"/>
  <c r="F16" i="5"/>
  <c r="G3" i="5"/>
  <c r="E15" i="5"/>
  <c r="D24" i="5" s="1"/>
  <c r="D5" i="3" s="1"/>
  <c r="G5" i="2" s="1"/>
  <c r="C23" i="5"/>
  <c r="C9" i="3" s="1"/>
  <c r="F9" i="2" s="1"/>
  <c r="C24" i="5"/>
  <c r="C5" i="3" s="1"/>
  <c r="F5" i="2" s="1"/>
  <c r="C25" i="5"/>
  <c r="C17" i="3" s="1"/>
  <c r="F17" i="2" s="1"/>
  <c r="C22" i="5"/>
  <c r="C6" i="3" s="1"/>
  <c r="F6" i="2" s="1"/>
  <c r="G15" i="5"/>
  <c r="E14" i="5"/>
  <c r="D23" i="5" s="1"/>
  <c r="D9" i="3" s="1"/>
  <c r="G9" i="2" s="1"/>
  <c r="G14" i="5"/>
  <c r="F15" i="5"/>
  <c r="E16" i="5"/>
  <c r="D25" i="5" s="1"/>
  <c r="D17" i="3" s="1"/>
  <c r="G17" i="2" s="1"/>
  <c r="G16" i="5"/>
  <c r="G4" i="5"/>
  <c r="C17" i="2"/>
  <c r="D17" i="2" s="1"/>
  <c r="K17" i="2" s="1"/>
  <c r="L17" i="2" s="1"/>
  <c r="M17" i="2" s="1"/>
  <c r="N17" i="2" s="1"/>
  <c r="O17" i="2" s="1"/>
  <c r="P17" i="2" s="1"/>
  <c r="Q17" i="2" s="1"/>
  <c r="R17" i="2" s="1"/>
  <c r="S17" i="2" s="1"/>
  <c r="T17" i="2" s="1"/>
  <c r="U17" i="2" s="1"/>
  <c r="V17" i="2" s="1"/>
  <c r="W17" i="2" s="1"/>
  <c r="X17" i="2" s="1"/>
  <c r="Y17" i="2" s="1"/>
  <c r="Z17" i="2" s="1"/>
  <c r="AA17" i="2" s="1"/>
  <c r="AB17" i="2" s="1"/>
  <c r="AC17" i="2" s="1"/>
  <c r="AD17" i="2" s="1"/>
  <c r="AE17" i="2" s="1"/>
  <c r="AF17" i="2" s="1"/>
  <c r="AG17" i="2" s="1"/>
  <c r="AH17" i="2" s="1"/>
  <c r="AI17" i="2" s="1"/>
  <c r="AJ17" i="2" s="1"/>
  <c r="AK17" i="2" s="1"/>
  <c r="C16" i="2"/>
  <c r="D16" i="2" s="1"/>
  <c r="K16" i="2" s="1"/>
  <c r="L16" i="2" s="1"/>
  <c r="M16" i="2" s="1"/>
  <c r="N16" i="2" s="1"/>
  <c r="O16" i="2" s="1"/>
  <c r="P16" i="2" s="1"/>
  <c r="Q16" i="2" s="1"/>
  <c r="R16" i="2" s="1"/>
  <c r="S16" i="2" s="1"/>
  <c r="T16" i="2" s="1"/>
  <c r="U16" i="2" s="1"/>
  <c r="V16" i="2" s="1"/>
  <c r="W16" i="2" s="1"/>
  <c r="X16" i="2" s="1"/>
  <c r="Y16" i="2" s="1"/>
  <c r="Z16" i="2" s="1"/>
  <c r="AA16" i="2" s="1"/>
  <c r="AB16" i="2" s="1"/>
  <c r="AC16" i="2" s="1"/>
  <c r="AD16" i="2" s="1"/>
  <c r="AE16" i="2" s="1"/>
  <c r="AF16" i="2" s="1"/>
  <c r="AG16" i="2" s="1"/>
  <c r="AH16" i="2" s="1"/>
  <c r="AI16" i="2" s="1"/>
  <c r="AJ16" i="2" s="1"/>
  <c r="AK16" i="2" s="1"/>
  <c r="C15" i="2"/>
  <c r="D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G15" i="2" s="1"/>
  <c r="AH15" i="2" s="1"/>
  <c r="AI15" i="2" s="1"/>
  <c r="AJ15" i="2" s="1"/>
  <c r="AK15" i="2" s="1"/>
  <c r="H10" i="6" l="1"/>
  <c r="H6" i="6"/>
  <c r="H7" i="6"/>
  <c r="H8" i="6"/>
  <c r="E12" i="5"/>
  <c r="D21" i="5" s="1"/>
  <c r="D7" i="3" s="1"/>
  <c r="G7" i="2" s="1"/>
  <c r="E13" i="5"/>
  <c r="F13" i="5" s="1"/>
  <c r="F24" i="5"/>
  <c r="F5" i="3" s="1"/>
  <c r="I5" i="2" s="1"/>
  <c r="F25" i="5"/>
  <c r="F17" i="3" s="1"/>
  <c r="I17" i="2" s="1"/>
  <c r="E24" i="5"/>
  <c r="E5" i="3" s="1"/>
  <c r="H5" i="2" s="1"/>
  <c r="F23" i="5"/>
  <c r="F9" i="3" s="1"/>
  <c r="I9" i="2" s="1"/>
  <c r="E25" i="5"/>
  <c r="E17" i="3" s="1"/>
  <c r="H17" i="2" s="1"/>
  <c r="E23" i="5"/>
  <c r="E9" i="3" s="1"/>
  <c r="H9" i="2" s="1"/>
  <c r="C25" i="4"/>
  <c r="E25" i="4" s="1"/>
  <c r="C23" i="4"/>
  <c r="E23" i="4" s="1"/>
  <c r="C22" i="4"/>
  <c r="E22" i="4" s="1"/>
  <c r="C21" i="4"/>
  <c r="E21" i="4" s="1"/>
  <c r="C20" i="4"/>
  <c r="D20" i="4" s="1"/>
  <c r="E20" i="4" s="1"/>
  <c r="C18" i="4"/>
  <c r="E18" i="4" s="1"/>
  <c r="C16" i="4"/>
  <c r="E16" i="4" s="1"/>
  <c r="B24" i="4"/>
  <c r="C24" i="4" s="1"/>
  <c r="E24" i="4" s="1"/>
  <c r="F8" i="4"/>
  <c r="F12" i="5" l="1"/>
  <c r="D22" i="5"/>
  <c r="D6" i="3" s="1"/>
  <c r="G6" i="2" s="1"/>
  <c r="G13" i="5"/>
  <c r="F22" i="5" s="1"/>
  <c r="F6" i="3" s="1"/>
  <c r="I6" i="2" s="1"/>
  <c r="E22" i="5"/>
  <c r="E6" i="3" s="1"/>
  <c r="H6" i="2" s="1"/>
  <c r="G12" i="5" l="1"/>
  <c r="F21" i="5" s="1"/>
  <c r="F7" i="3" s="1"/>
  <c r="I7" i="2" s="1"/>
  <c r="E21" i="5"/>
  <c r="E7" i="3" s="1"/>
  <c r="H7" i="2" s="1"/>
</calcChain>
</file>

<file path=xl/comments1.xml><?xml version="1.0" encoding="utf-8"?>
<comments xmlns="http://schemas.openxmlformats.org/spreadsheetml/2006/main">
  <authors>
    <author>Deepthi Swamy</author>
  </authors>
  <commentList>
    <comment ref="B15" authorId="0" shapeId="0">
      <text>
        <r>
          <rPr>
            <b/>
            <sz val="9"/>
            <color indexed="81"/>
            <rFont val="Tahoma"/>
            <family val="2"/>
          </rPr>
          <t>Deepthi Swamy:</t>
        </r>
        <r>
          <rPr>
            <sz val="9"/>
            <color indexed="81"/>
            <rFont val="Tahoma"/>
            <family val="2"/>
          </rPr>
          <t xml:space="preserve">
CEA Monthly Installed Capacity report - Sep 2019
</t>
        </r>
      </text>
    </comment>
  </commentList>
</comments>
</file>

<file path=xl/comments2.xml><?xml version="1.0" encoding="utf-8"?>
<comments xmlns="http://schemas.openxmlformats.org/spreadsheetml/2006/main">
  <authors>
    <author>tc={F92AF8FB-E5BB-489C-8308-3BA53514DA9A}</author>
    <author>tc={A1EF28D1-9FBF-4412-8119-632B82C52746}</author>
    <author>tc={04199A82-E924-4B1D-8DF3-98C0B7CAC9B8}</author>
    <author>tc={4E066AF6-143F-4678-9F67-AAC39185483E}</author>
    <author>tc={0D7EEB2D-8A59-4BCA-906A-61DA703F8E6B}</author>
    <author>tc={E75C4685-8DFE-44D4-ADC3-BC68F658A250}</author>
  </authors>
  <commentList>
    <comment ref="I4"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http://www.cea.nic.in/reports/monthly/installedcapacity/2017/installed_capacity-12.pdf</t>
        </r>
      </text>
    </comment>
    <comment ref="I5"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http://cea.nic.in/reports/monthly/installedcapacity/2018/installed_capacity-12.pdf</t>
        </r>
      </text>
    </comment>
    <comment ref="I6"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http://cea.nic.in/reports/monthly/installedcapacity/2019/installed_capacity-12.pdf</t>
        </r>
      </text>
    </comment>
    <comment ref="I21"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http://www.cea.nic.in/reports/monthly/installedcapacity/2017/installed_capacity-12.pdf</t>
        </r>
      </text>
    </comment>
    <comment ref="I22"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http://cea.nic.in/reports/monthly/installedcapacity/2018/installed_capacity-12.pdf</t>
        </r>
      </text>
    </comment>
    <comment ref="I23"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http://cea.nic.in/reports/monthly/installedcapacity/2019/installed_capacity-12.pdf</t>
        </r>
      </text>
    </comment>
  </commentList>
</comments>
</file>

<file path=xl/comments3.xml><?xml version="1.0" encoding="utf-8"?>
<comments xmlns="http://schemas.openxmlformats.org/spreadsheetml/2006/main">
  <authors>
    <author>tc={8138639F-3EC1-4320-8981-54E26E79ABF9}</author>
  </authors>
  <commentList>
    <comment ref="B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Extra retirement is reflected between the installed capacity figures of 2018 &amp; 2017, as compared to collected data in BCRbQ. This could possibly be stranded capacity that is not retired, but we account for it to match with the installed operational capacity reported for 2018 by CEA.</t>
        </r>
      </text>
    </comment>
  </commentList>
</comments>
</file>

<file path=xl/sharedStrings.xml><?xml version="1.0" encoding="utf-8"?>
<sst xmlns="http://schemas.openxmlformats.org/spreadsheetml/2006/main" count="328" uniqueCount="212">
  <si>
    <t>Note:</t>
  </si>
  <si>
    <t>Year</t>
  </si>
  <si>
    <t>nuclear (MW)</t>
  </si>
  <si>
    <t>hydro (MW)</t>
  </si>
  <si>
    <t>solar PV (MW)</t>
  </si>
  <si>
    <t>solar thermal (MW)</t>
  </si>
  <si>
    <t>biomass (MW)</t>
  </si>
  <si>
    <t>BPMCCS BAU Policy Mandated Capacity Construction Schedule</t>
  </si>
  <si>
    <t>Sources:</t>
  </si>
  <si>
    <t>natural gas nonpeaker (MW)</t>
  </si>
  <si>
    <t>geothermal (MW)</t>
  </si>
  <si>
    <t>petroleum (MW)</t>
  </si>
  <si>
    <t>natural gas peaker (MW)</t>
  </si>
  <si>
    <t>lignite (MW)</t>
  </si>
  <si>
    <t>hard coal (MW)</t>
  </si>
  <si>
    <t>onshore wind (MW)</t>
  </si>
  <si>
    <t>offshore wind (MW)</t>
  </si>
  <si>
    <t>Coal</t>
  </si>
  <si>
    <t>Nuclear</t>
  </si>
  <si>
    <t>2017-2022</t>
  </si>
  <si>
    <t>2022-2027</t>
  </si>
  <si>
    <t>hydro</t>
  </si>
  <si>
    <t>National Electricity Plan</t>
  </si>
  <si>
    <t>http://www.cea.nic.in/reports/committee/nep/nep_jan_2018.pdf</t>
  </si>
  <si>
    <t>Annexures 5.1, 5.2, 5.3, 5.4</t>
  </si>
  <si>
    <t>Battery storage</t>
  </si>
  <si>
    <t>Biomass</t>
  </si>
  <si>
    <t>Wind</t>
  </si>
  <si>
    <t>Solar</t>
  </si>
  <si>
    <t>Gas</t>
  </si>
  <si>
    <t>Hydro imports</t>
  </si>
  <si>
    <t>Small hydro</t>
  </si>
  <si>
    <t>Hydro</t>
  </si>
  <si>
    <t>Total installed capacity (2029-30)</t>
  </si>
  <si>
    <t>Committed Capacity 
Additions (MW)</t>
  </si>
  <si>
    <t>Natural Gas 
Nonpeaker</t>
  </si>
  <si>
    <t>Source: CEA's optimal generation mix for 2029-30</t>
  </si>
  <si>
    <t>http://cea.nic.in/reports/others/planning/irp/Optimal_generation_mix_report.pdf</t>
  </si>
  <si>
    <t>Table 6.3</t>
  </si>
  <si>
    <t>Year-wise targets of Renewable Energy Sources (MW)</t>
  </si>
  <si>
    <t>Category</t>
  </si>
  <si>
    <t>2017-18</t>
  </si>
  <si>
    <t>2018-19</t>
  </si>
  <si>
    <t>2019-20</t>
  </si>
  <si>
    <t>2020-21</t>
  </si>
  <si>
    <t>2021-22</t>
  </si>
  <si>
    <t>Capacity Addition *</t>
  </si>
  <si>
    <t xml:space="preserve">Small Hydro </t>
  </si>
  <si>
    <t>*The capacity has been adjusted to arrive at total RES capacity of 175 GW by 2021-22</t>
  </si>
  <si>
    <t>Total</t>
  </si>
  <si>
    <t>Lignite</t>
  </si>
  <si>
    <t>Diesel</t>
  </si>
  <si>
    <t xml:space="preserve">Hydro </t>
  </si>
  <si>
    <t>Small Hydro</t>
  </si>
  <si>
    <t xml:space="preserve">Wind </t>
  </si>
  <si>
    <t xml:space="preserve">Solar </t>
  </si>
  <si>
    <t>Balance from 
2030 optimal mx</t>
  </si>
  <si>
    <t xml:space="preserve">If we subtract [existing capacity + NEP additions till 2022] from the 2030 target of the optimal gen mix, </t>
  </si>
  <si>
    <t>Capacity as on 
30.09.2019</t>
  </si>
  <si>
    <t>As on2022</t>
  </si>
  <si>
    <t>As on 2027</t>
  </si>
  <si>
    <t>Mandated Construction (MW)</t>
  </si>
  <si>
    <t>hard coal</t>
  </si>
  <si>
    <t>natural gas nonpeaker</t>
  </si>
  <si>
    <t>nuclear</t>
  </si>
  <si>
    <t>onshore wind</t>
  </si>
  <si>
    <t>solar PV</t>
  </si>
  <si>
    <t>solar thermal</t>
  </si>
  <si>
    <t>biomass</t>
  </si>
  <si>
    <t>geothermal</t>
  </si>
  <si>
    <t>petroleum</t>
  </si>
  <si>
    <t>natural gas peaker</t>
  </si>
  <si>
    <t>lignite</t>
  </si>
  <si>
    <t>offshore wind</t>
  </si>
  <si>
    <t>crude oil</t>
  </si>
  <si>
    <t>heavy or residual fuel oil</t>
  </si>
  <si>
    <t>municipal solid waste</t>
  </si>
  <si>
    <t>The purpose of this variable is to specify the electricity generating capacity</t>
  </si>
  <si>
    <t>in MW that will be built each year in the BAU case before the model considers</t>
  </si>
  <si>
    <t>what else to build in order to satisfy demand, satisfy an RPS (in the policy</t>
  </si>
  <si>
    <t>case), etc.</t>
  </si>
  <si>
    <t>40% installed capacity is from non-fossil fuels.</t>
  </si>
  <si>
    <t>we are still left with a balance of capacities that can be added between 2023-30, for wind, solar, hydro and coal.</t>
  </si>
  <si>
    <t>Hence, we don't account for this balance capacity between 2023-30, as the draft report is not an official plan like the NEP,</t>
  </si>
  <si>
    <t>(Further, there are media reports of verbal announcements of a 450 GW RE target by 2030, under the Paris Agreement.</t>
  </si>
  <si>
    <t>However, the target is yet to be reflected in official policy documents of MNRE or CEA).</t>
  </si>
  <si>
    <t>SHP</t>
  </si>
  <si>
    <t>MSW</t>
  </si>
  <si>
    <t>Solar PV</t>
  </si>
  <si>
    <t>http://cea.nic.in/reports/monthly/installedcapacity/2019/installed_capacity-12.pdf</t>
  </si>
  <si>
    <t>Installed Capacity (MW)</t>
  </si>
  <si>
    <t xml:space="preserve">Solar PV </t>
  </si>
  <si>
    <t>% ratio</t>
  </si>
  <si>
    <t>|</t>
  </si>
  <si>
    <t>2022 RE Target (GW)</t>
  </si>
  <si>
    <t>Balance 
requirement</t>
  </si>
  <si>
    <t>Draft Report on Optimal Generation Mix for 2029-30</t>
  </si>
  <si>
    <t>Central Electricity Authority</t>
  </si>
  <si>
    <t>Table 4</t>
  </si>
  <si>
    <t>NITI Aayog</t>
  </si>
  <si>
    <t>Page iv</t>
  </si>
  <si>
    <t>https://niti.gov.in/writereaddata/files/175-GW-Renewable-Energy.pdf</t>
  </si>
  <si>
    <t>Report of the Expert Group on 175 GW RE by 2022</t>
  </si>
  <si>
    <t>RE Wind, Solar, Biomass, SHP capacity target - 2022</t>
  </si>
  <si>
    <t>Source: NITI Aayog</t>
  </si>
  <si>
    <t>Expected target 
achievement (MW)*</t>
  </si>
  <si>
    <t>Source: CEA - National Electricity Plan Vol I</t>
  </si>
  <si>
    <t>Official RE target for 2022</t>
  </si>
  <si>
    <t>|&lt;-- Balance requirement capacity added till 2022 (wind and solar)</t>
  </si>
  <si>
    <t>|&lt;-- Trend based (2018 - 2019) capacity added till 2022 (biomass, SHP and MSW)</t>
  </si>
  <si>
    <t>Yearly Capacity Addition (MW)</t>
  </si>
  <si>
    <t>Monthly Installed Capacity Reports</t>
  </si>
  <si>
    <t>http://cea.nic.in/reports/monthly/installedcapacity/2018/installed_capacity-12.pdf</t>
  </si>
  <si>
    <t>Analysis of progress towards 175 GW target</t>
  </si>
  <si>
    <t>CRISIL</t>
  </si>
  <si>
    <t>REturn to Uncertainty</t>
  </si>
  <si>
    <t>https://www.crisil.com/en/home/our-analysis/reports/2019/10/return-to-uncertainty.html</t>
  </si>
  <si>
    <t>Projected RE installed capacity for FY22</t>
  </si>
  <si>
    <t>Classification of large hydro as RE</t>
  </si>
  <si>
    <t>Hindu/Central Electricity Authority</t>
  </si>
  <si>
    <t xml:space="preserve">New hydro policy to help meet renewables target </t>
  </si>
  <si>
    <t>https://www.thehindu.com/business/Economy/hydro-policy-target/article26561711.ece</t>
  </si>
  <si>
    <t xml:space="preserve">with downward trends in solar and wind capacity additions in the recent years. A study by CRISIL </t>
  </si>
  <si>
    <t>estimates that only 104 GW would be achieved by 2022 (which is ~60% of the intended target),</t>
  </si>
  <si>
    <t>For SHP, biomass (and MSW), the targets are already almost reached, and we assume that</t>
  </si>
  <si>
    <t>they will continue to grow at the same rate till 2022 to help reach the 175 GW combined target.</t>
  </si>
  <si>
    <r>
      <rPr>
        <i/>
        <sz val="11"/>
        <color theme="1"/>
        <rFont val="Calibri"/>
        <family val="2"/>
        <scheme val="minor"/>
      </rPr>
      <t>Note:</t>
    </r>
    <r>
      <rPr>
        <sz val="11"/>
        <color theme="1"/>
        <rFont val="Calibri"/>
        <family val="2"/>
        <scheme val="minor"/>
      </rPr>
      <t xml:space="preserve"> The draft Optimal Generation Mix for 2029-30 by CEA contains higher targets of RE by 2030 which would be in line with NDC target of:</t>
    </r>
  </si>
  <si>
    <t>and more suited to a high RE scenario than a BAU.</t>
  </si>
  <si>
    <t>the main source for capacity additions till 2027 for conventional sources.</t>
  </si>
  <si>
    <t xml:space="preserve">Renewable Energy Sources (RES): </t>
  </si>
  <si>
    <r>
      <rPr>
        <b/>
        <sz val="11"/>
        <color theme="1"/>
        <rFont val="Calibri"/>
        <family val="2"/>
        <scheme val="minor"/>
      </rPr>
      <t xml:space="preserve">Conventional Sources (including large hydro): </t>
    </r>
    <r>
      <rPr>
        <sz val="11"/>
        <color theme="1"/>
        <rFont val="Calibri"/>
        <family val="2"/>
        <scheme val="minor"/>
      </rPr>
      <t xml:space="preserve">National Electricity Plan (NEP) is considered </t>
    </r>
  </si>
  <si>
    <t>Capacity Additions 2030 (for calculation only - not used)</t>
  </si>
  <si>
    <t>Actual RE capacity additions 2017,2018, 2019</t>
  </si>
  <si>
    <t>Dec- 2017, 2018, 2019</t>
  </si>
  <si>
    <t>http://www.cea.nic.in/reports/monthly/installedcapacity/2017/installed_capacity-12.pdf</t>
  </si>
  <si>
    <t xml:space="preserve">In case of 2018 and 2019, actual capacity added is used for the mandated values as actuals are available. </t>
  </si>
  <si>
    <t>|&lt;-------------Planned------------------------&gt;|</t>
  </si>
  <si>
    <t>|&lt;-----Actual-------&gt;|</t>
  </si>
  <si>
    <t>Actual RE addition (2018 &amp;2019) and balance yearly addition to reach expected target</t>
  </si>
  <si>
    <t>Source: CEA monthly reports for Dec 2017, 2018, 2019</t>
  </si>
  <si>
    <t>Actual Installed Capacity for RE &amp; Hydro in 2017, 2018 and 2019</t>
  </si>
  <si>
    <t>RES addition is adjusted by NEP to reach 175 GW by 2022. However, the target is less than 50% reached as of 2019.</t>
  </si>
  <si>
    <t>Hard Coal</t>
  </si>
  <si>
    <t>NatGas</t>
  </si>
  <si>
    <t>Actual Conventional addition (2018 &amp;2019) and balance yearly addition to reach expected target</t>
  </si>
  <si>
    <t>Peaker Gas in 2017</t>
  </si>
  <si>
    <t>MW</t>
  </si>
  <si>
    <t>Nat Gas non peaker</t>
  </si>
  <si>
    <t>Nat gas peaker</t>
  </si>
  <si>
    <t>Installed Capacity RE Actuals (2017, 2018, 2019) &amp; Balance required to reach expected target</t>
  </si>
  <si>
    <t>Installed Capacity Conventional Actuals (2017, 2018, 2019) &amp; Balance required to reach planned CEA additions</t>
  </si>
  <si>
    <t xml:space="preserve">|&lt;-- 2020-22 capacity added based on CEA committed capacity for 2017-22 </t>
  </si>
  <si>
    <t>|(2017-22 commited capacity additions divided by 5 for yearly)</t>
  </si>
  <si>
    <t>source: see variable elec/SYC</t>
  </si>
  <si>
    <t>Balance Capacity Addition required to meet realistic target</t>
  </si>
  <si>
    <t>|&lt;--------------------------------------------------------------Planned----------------------------------------------------------------&gt;|</t>
  </si>
  <si>
    <t>(assumed to be operational through 2017-2019 for actuals, in the absence of disaggregated data for natural gas plant types)</t>
  </si>
  <si>
    <t>Planned Capacity Additions till 2027 (conventional sources)</t>
  </si>
  <si>
    <t>Planned Capacity Additions till 2022 (RE)</t>
  </si>
  <si>
    <t>Year/MW</t>
  </si>
  <si>
    <t>Actual Installed Capacity for Conventional Sources in 2017, 2018 and 2019</t>
  </si>
  <si>
    <t>Petroleum</t>
  </si>
  <si>
    <t>BAU Capacity Retirements (MW)</t>
  </si>
  <si>
    <t>solar pv</t>
  </si>
  <si>
    <t xml:space="preserve">This helps to keep the BAU closer to reality. Since the installed capacity data reported by CEA reflects net capacity added </t>
  </si>
  <si>
    <t>Actual capacity retirements 2017,2018, 2019</t>
  </si>
  <si>
    <t>see variable elec/BCRbQ</t>
  </si>
  <si>
    <t>that account for retirements of fossil fuel plants, we add these back in from BCRbQ while adjusting for yearly deployments.</t>
  </si>
  <si>
    <t xml:space="preserve">In case of no capacity added in 2018 &amp; 2019, or capacity only retired (i.e. negative capacity additions), </t>
  </si>
  <si>
    <t>a negligible capacity of 1 MW is added to avoid zero values to model input.</t>
  </si>
  <si>
    <t>Calculated Capacity 
(Prev. yr cap + BPMCCS - BCR)</t>
  </si>
  <si>
    <t>PUMPED STORAGE DEVELOPMENT IN INDIA</t>
  </si>
  <si>
    <t>(Installed Capacity above 25 MW)</t>
  </si>
  <si>
    <t>As on 30.09.2019</t>
  </si>
  <si>
    <t>Installed Capacity</t>
  </si>
  <si>
    <t>S.No.</t>
  </si>
  <si>
    <t>SCHEMES</t>
  </si>
  <si>
    <t>no. of units 
X unit size (MW)</t>
  </si>
  <si>
    <t>Remarks</t>
  </si>
  <si>
    <t>A. Schemes Constructed</t>
  </si>
  <si>
    <t>a) Working in pumping mode</t>
  </si>
  <si>
    <t>Nagarjuna Sagar -Telangana</t>
  </si>
  <si>
    <t>7x100.80</t>
  </si>
  <si>
    <t>Kadamparai -T.N</t>
  </si>
  <si>
    <t>4x100</t>
  </si>
  <si>
    <t>Bhira -Mah.</t>
  </si>
  <si>
    <t>1x150</t>
  </si>
  <si>
    <t>Srisailam LBPH -Telangana</t>
  </si>
  <si>
    <t>6x150</t>
  </si>
  <si>
    <t>Purlia PSS -W.B.</t>
  </si>
  <si>
    <t>4x225</t>
  </si>
  <si>
    <t>Ghatgar -Mah.</t>
  </si>
  <si>
    <t>2x125</t>
  </si>
  <si>
    <t>Working tot.</t>
  </si>
  <si>
    <t>A. Schemes under construction</t>
  </si>
  <si>
    <t xml:space="preserve">Tehri St.-II -Uttarakhand </t>
  </si>
  <si>
    <t>4x250</t>
  </si>
  <si>
    <t>Likely commissioning by 2021-23 (June’22)</t>
  </si>
  <si>
    <t>Koyna Left Bank -Mah.</t>
  </si>
  <si>
    <t>2x40</t>
  </si>
  <si>
    <t>Likely commissioning by 2022-23</t>
  </si>
  <si>
    <t>Kundah Pump Storage (Stage I,II,II&amp;IV)-T. N</t>
  </si>
  <si>
    <t>4x 125</t>
  </si>
  <si>
    <t>Pumped Storage Capacity (MW)</t>
  </si>
  <si>
    <t>In the India EPS, the geothermal plant type is repurposed as pumped hydro capacity.</t>
  </si>
  <si>
    <t>Pumped hydro</t>
  </si>
  <si>
    <t>Pumped Storage Development in India</t>
  </si>
  <si>
    <t>http://www.cea.nic.in/reports/monthly/hydro/2019/pump_storage-09.pdf</t>
  </si>
  <si>
    <t>due to various hurdles in project commissioning. We assume this conservative estimate till 2022.</t>
  </si>
  <si>
    <t>* based on CRISIL estimate</t>
  </si>
  <si>
    <t>The balance capacity remaining, after subtracting the current RE capacities</t>
  </si>
  <si>
    <t>from the CRISIL estimate, is apportioned between 2020 to 2022 for wind and 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</si>
</sst>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theme="1"/>
      <name val="Calibri"/>
      <family val="2"/>
      <scheme val="minor"/>
    </font>
    <font>
      <b/>
      <sz val="11"/>
      <color theme="1"/>
      <name val="Calibri"/>
      <family val="2"/>
      <scheme val="minor"/>
    </font>
    <font>
      <b/>
      <sz val="11"/>
      <color rgb="FF000000"/>
      <name val="Calibri"/>
      <family val="2"/>
    </font>
    <font>
      <u/>
      <sz val="11"/>
      <color theme="10"/>
      <name val="Calibri"/>
      <family val="2"/>
      <scheme val="minor"/>
    </font>
    <font>
      <sz val="10"/>
      <color theme="1"/>
      <name val="Arial"/>
      <family val="2"/>
    </font>
    <font>
      <sz val="10"/>
      <color theme="1"/>
      <name val="Calibri"/>
      <family val="2"/>
      <scheme val="minor"/>
    </font>
    <font>
      <sz val="9"/>
      <color indexed="81"/>
      <name val="Tahoma"/>
      <family val="2"/>
    </font>
    <font>
      <b/>
      <sz val="9"/>
      <color indexed="81"/>
      <name val="Tahoma"/>
      <family val="2"/>
    </font>
    <font>
      <i/>
      <sz val="11"/>
      <color theme="1"/>
      <name val="Calibri"/>
      <family val="2"/>
      <scheme val="minor"/>
    </font>
    <font>
      <b/>
      <sz val="10"/>
      <color theme="1"/>
      <name val="Arial"/>
      <family val="2"/>
    </font>
    <font>
      <i/>
      <sz val="10"/>
      <color theme="1"/>
      <name val="Calibri"/>
      <family val="2"/>
      <scheme val="minor"/>
    </font>
    <font>
      <sz val="11"/>
      <color rgb="FF000000"/>
      <name val="Calibri"/>
      <family val="2"/>
    </font>
    <font>
      <b/>
      <sz val="10"/>
      <color theme="1"/>
      <name val="Calibri"/>
      <family val="2"/>
      <scheme val="minor"/>
    </font>
    <font>
      <sz val="12"/>
      <color theme="1"/>
      <name val="Arial"/>
      <family val="2"/>
    </font>
    <font>
      <b/>
      <sz val="12"/>
      <color theme="1"/>
      <name val="Arial"/>
      <family val="2"/>
    </font>
    <font>
      <sz val="13"/>
      <color theme="1"/>
      <name val="Arial"/>
      <family val="2"/>
    </font>
    <font>
      <sz val="11"/>
      <color rgb="FF00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14999847407452621"/>
        <bgColor indexed="64"/>
      </patternFill>
    </fill>
  </fills>
  <borders count="2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31">
    <xf numFmtId="0" fontId="0" fillId="0" borderId="0" xfId="0"/>
    <xf numFmtId="0" fontId="1" fillId="0" borderId="0" xfId="0" applyFont="1"/>
    <xf numFmtId="0" fontId="0" fillId="0" borderId="0" xfId="0" applyFont="1"/>
    <xf numFmtId="0" fontId="2" fillId="2" borderId="0" xfId="0" applyFont="1" applyFill="1"/>
    <xf numFmtId="0" fontId="3" fillId="0" borderId="0" xfId="1"/>
    <xf numFmtId="0" fontId="4" fillId="0" borderId="0" xfId="0" applyFont="1"/>
    <xf numFmtId="0" fontId="5" fillId="0" borderId="0" xfId="0" applyFont="1"/>
    <xf numFmtId="3" fontId="0" fillId="0" borderId="1" xfId="0" applyNumberFormat="1" applyBorder="1" applyAlignment="1">
      <alignment horizontal="right" vertical="center" wrapText="1"/>
    </xf>
    <xf numFmtId="0" fontId="0" fillId="0" borderId="2" xfId="0" applyBorder="1" applyAlignment="1">
      <alignment vertical="center" wrapText="1"/>
    </xf>
    <xf numFmtId="3" fontId="0" fillId="0" borderId="3" xfId="0" applyNumberFormat="1" applyBorder="1" applyAlignment="1">
      <alignment horizontal="right" vertical="center" wrapText="1"/>
    </xf>
    <xf numFmtId="0" fontId="0" fillId="0" borderId="4" xfId="0" applyBorder="1" applyAlignment="1">
      <alignment vertical="center" wrapText="1"/>
    </xf>
    <xf numFmtId="0" fontId="5" fillId="0" borderId="0" xfId="0" applyFont="1" applyBorder="1"/>
    <xf numFmtId="0" fontId="4" fillId="0" borderId="0" xfId="0" applyFont="1" applyBorder="1"/>
    <xf numFmtId="0" fontId="0" fillId="0" borderId="8" xfId="0" applyBorder="1"/>
    <xf numFmtId="0" fontId="0" fillId="0" borderId="0" xfId="0" applyFill="1" applyBorder="1" applyAlignment="1">
      <alignment vertical="center" wrapText="1"/>
    </xf>
    <xf numFmtId="3" fontId="0" fillId="0" borderId="0" xfId="0" applyNumberFormat="1"/>
    <xf numFmtId="0" fontId="4" fillId="0" borderId="8" xfId="0" applyFont="1" applyBorder="1"/>
    <xf numFmtId="3" fontId="4" fillId="0" borderId="8" xfId="0" applyNumberFormat="1" applyFont="1" applyBorder="1"/>
    <xf numFmtId="0" fontId="5" fillId="0" borderId="8" xfId="0" applyFont="1" applyBorder="1"/>
    <xf numFmtId="3" fontId="5" fillId="0" borderId="8" xfId="0" applyNumberFormat="1" applyFont="1" applyBorder="1"/>
    <xf numFmtId="0" fontId="4" fillId="0" borderId="8" xfId="0" applyFont="1" applyBorder="1" applyAlignment="1">
      <alignment horizontal="center"/>
    </xf>
    <xf numFmtId="0" fontId="5" fillId="0" borderId="8" xfId="0" applyFont="1" applyBorder="1" applyAlignment="1">
      <alignment wrapText="1"/>
    </xf>
    <xf numFmtId="0" fontId="8" fillId="0" borderId="0" xfId="0" applyFont="1"/>
    <xf numFmtId="0" fontId="9" fillId="0" borderId="0" xfId="0" applyFont="1" applyBorder="1"/>
    <xf numFmtId="0" fontId="0" fillId="0" borderId="0" xfId="0" applyBorder="1"/>
    <xf numFmtId="0" fontId="4" fillId="0" borderId="0" xfId="0" applyFont="1" applyBorder="1" applyAlignment="1">
      <alignment horizontal="center"/>
    </xf>
    <xf numFmtId="3" fontId="4" fillId="0" borderId="0" xfId="0" applyNumberFormat="1" applyFont="1" applyBorder="1"/>
    <xf numFmtId="3" fontId="5" fillId="0" borderId="0" xfId="0" applyNumberFormat="1" applyFont="1" applyBorder="1"/>
    <xf numFmtId="1" fontId="0" fillId="0" borderId="0" xfId="0" applyNumberFormat="1"/>
    <xf numFmtId="1" fontId="0" fillId="0" borderId="8" xfId="0" applyNumberFormat="1" applyBorder="1"/>
    <xf numFmtId="3" fontId="4" fillId="0" borderId="8" xfId="0" applyNumberFormat="1" applyFont="1" applyFill="1" applyBorder="1"/>
    <xf numFmtId="2" fontId="0" fillId="0" borderId="8" xfId="0" applyNumberFormat="1" applyBorder="1"/>
    <xf numFmtId="0" fontId="1" fillId="0" borderId="8" xfId="0" applyFont="1" applyBorder="1" applyAlignment="1">
      <alignment horizontal="center"/>
    </xf>
    <xf numFmtId="0" fontId="0" fillId="4" borderId="8" xfId="0" applyFill="1" applyBorder="1"/>
    <xf numFmtId="0" fontId="0" fillId="0" borderId="27" xfId="0" applyBorder="1"/>
    <xf numFmtId="0" fontId="0" fillId="0" borderId="24" xfId="0" applyBorder="1"/>
    <xf numFmtId="0" fontId="0" fillId="0" borderId="28" xfId="0" applyBorder="1"/>
    <xf numFmtId="1" fontId="0" fillId="0" borderId="24" xfId="0" applyNumberFormat="1" applyBorder="1"/>
    <xf numFmtId="0" fontId="1" fillId="0" borderId="8" xfId="0" applyFont="1" applyBorder="1" applyAlignment="1">
      <alignment wrapText="1"/>
    </xf>
    <xf numFmtId="1" fontId="0" fillId="2" borderId="24" xfId="0" applyNumberFormat="1" applyFill="1" applyBorder="1"/>
    <xf numFmtId="1" fontId="0" fillId="2" borderId="28" xfId="0" applyNumberFormat="1" applyFill="1" applyBorder="1"/>
    <xf numFmtId="164" fontId="0" fillId="0" borderId="0" xfId="0" applyNumberFormat="1" applyBorder="1"/>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0" fillId="0" borderId="0" xfId="0" applyFont="1"/>
    <xf numFmtId="1" fontId="0" fillId="0" borderId="25" xfId="0" applyNumberFormat="1" applyFill="1" applyBorder="1"/>
    <xf numFmtId="1" fontId="0" fillId="0" borderId="27" xfId="0" applyNumberFormat="1" applyFill="1" applyBorder="1"/>
    <xf numFmtId="1" fontId="0" fillId="0" borderId="20" xfId="0" applyNumberFormat="1" applyFill="1" applyBorder="1"/>
    <xf numFmtId="1" fontId="0" fillId="0" borderId="24" xfId="0" applyNumberFormat="1" applyFill="1" applyBorder="1"/>
    <xf numFmtId="1" fontId="0" fillId="0" borderId="22" xfId="0" applyNumberFormat="1" applyFill="1" applyBorder="1"/>
    <xf numFmtId="1" fontId="0" fillId="0" borderId="28" xfId="0" applyNumberFormat="1" applyFill="1" applyBorder="1"/>
    <xf numFmtId="0" fontId="4" fillId="0" borderId="27" xfId="0" applyFont="1" applyBorder="1" applyAlignment="1">
      <alignment horizontal="center"/>
    </xf>
    <xf numFmtId="0" fontId="4" fillId="0" borderId="26" xfId="0" applyFont="1" applyBorder="1" applyAlignment="1">
      <alignment horizontal="center"/>
    </xf>
    <xf numFmtId="1" fontId="0" fillId="5" borderId="27" xfId="0" applyNumberFormat="1" applyFill="1" applyBorder="1" applyAlignment="1">
      <alignment horizontal="right"/>
    </xf>
    <xf numFmtId="1" fontId="0" fillId="5" borderId="26" xfId="0" applyNumberFormat="1" applyFill="1" applyBorder="1" applyAlignment="1">
      <alignment horizontal="right"/>
    </xf>
    <xf numFmtId="1" fontId="0" fillId="5" borderId="24" xfId="0" applyNumberFormat="1" applyFill="1" applyBorder="1" applyAlignment="1">
      <alignment horizontal="right"/>
    </xf>
    <xf numFmtId="1" fontId="0" fillId="5" borderId="21" xfId="0" applyNumberFormat="1" applyFill="1" applyBorder="1" applyAlignment="1">
      <alignment horizontal="right"/>
    </xf>
    <xf numFmtId="1" fontId="0" fillId="5" borderId="28" xfId="0" applyNumberFormat="1" applyFill="1" applyBorder="1" applyAlignment="1">
      <alignment horizontal="right"/>
    </xf>
    <xf numFmtId="1" fontId="0" fillId="5" borderId="23" xfId="0" applyNumberFormat="1" applyFill="1" applyBorder="1" applyAlignment="1">
      <alignment horizontal="right"/>
    </xf>
    <xf numFmtId="0" fontId="0" fillId="0" borderId="0" xfId="0" applyFill="1"/>
    <xf numFmtId="0" fontId="11" fillId="0" borderId="0" xfId="0" applyFont="1" applyFill="1"/>
    <xf numFmtId="0" fontId="0" fillId="0" borderId="0" xfId="0" applyNumberFormat="1" applyAlignment="1">
      <alignment horizontal="left"/>
    </xf>
    <xf numFmtId="0" fontId="1" fillId="0" borderId="8" xfId="0" applyFont="1" applyBorder="1" applyAlignment="1">
      <alignment horizontal="right" wrapText="1"/>
    </xf>
    <xf numFmtId="0" fontId="1" fillId="0" borderId="28" xfId="0" applyFont="1" applyBorder="1" applyAlignment="1">
      <alignment horizontal="center"/>
    </xf>
    <xf numFmtId="0" fontId="0" fillId="2" borderId="18" xfId="0" applyFill="1" applyBorder="1"/>
    <xf numFmtId="0" fontId="0" fillId="2" borderId="19" xfId="0" applyFill="1" applyBorder="1"/>
    <xf numFmtId="0" fontId="1" fillId="2" borderId="17" xfId="0" applyFont="1" applyFill="1" applyBorder="1" applyAlignment="1">
      <alignment horizontal="left"/>
    </xf>
    <xf numFmtId="0" fontId="1" fillId="2" borderId="0" xfId="0" applyFont="1" applyFill="1"/>
    <xf numFmtId="0" fontId="0" fillId="2" borderId="0" xfId="0" applyFill="1"/>
    <xf numFmtId="0" fontId="9" fillId="2" borderId="0" xfId="0" applyFont="1" applyFill="1" applyBorder="1"/>
    <xf numFmtId="0" fontId="0" fillId="2" borderId="0" xfId="0" applyFill="1" applyBorder="1"/>
    <xf numFmtId="0" fontId="4" fillId="2" borderId="0" xfId="0" applyFont="1" applyFill="1" applyBorder="1"/>
    <xf numFmtId="0" fontId="0" fillId="0" borderId="0" xfId="0" applyFont="1" applyFill="1"/>
    <xf numFmtId="0" fontId="0" fillId="6" borderId="0" xfId="0" applyFill="1"/>
    <xf numFmtId="1" fontId="0" fillId="0" borderId="0" xfId="0" applyNumberFormat="1" applyBorder="1" applyAlignment="1">
      <alignment horizontal="center"/>
    </xf>
    <xf numFmtId="0" fontId="0" fillId="3" borderId="9" xfId="0" applyFill="1" applyBorder="1" applyAlignment="1">
      <alignment wrapText="1"/>
    </xf>
    <xf numFmtId="0" fontId="0" fillId="3" borderId="10" xfId="0" applyFill="1" applyBorder="1"/>
    <xf numFmtId="0" fontId="0" fillId="3" borderId="11" xfId="0" applyFill="1" applyBorder="1"/>
    <xf numFmtId="0" fontId="0" fillId="3" borderId="12" xfId="0" applyFill="1" applyBorder="1"/>
    <xf numFmtId="0" fontId="0" fillId="3" borderId="8" xfId="0" applyFill="1" applyBorder="1"/>
    <xf numFmtId="0" fontId="0" fillId="3" borderId="13" xfId="0" applyFill="1" applyBorder="1"/>
    <xf numFmtId="0" fontId="0" fillId="3" borderId="12" xfId="0" applyFill="1" applyBorder="1" applyAlignment="1">
      <alignment wrapText="1"/>
    </xf>
    <xf numFmtId="0" fontId="0" fillId="3" borderId="14" xfId="0" applyFill="1" applyBorder="1"/>
    <xf numFmtId="0" fontId="0" fillId="3" borderId="15" xfId="0" applyFill="1" applyBorder="1"/>
    <xf numFmtId="0" fontId="0" fillId="3" borderId="16" xfId="0" applyFill="1" applyBorder="1"/>
    <xf numFmtId="1" fontId="0" fillId="7" borderId="27" xfId="0" applyNumberFormat="1" applyFill="1" applyBorder="1" applyAlignment="1">
      <alignment horizontal="right"/>
    </xf>
    <xf numFmtId="1" fontId="0" fillId="7" borderId="24" xfId="0" applyNumberFormat="1" applyFill="1" applyBorder="1" applyAlignment="1">
      <alignment horizontal="right"/>
    </xf>
    <xf numFmtId="1" fontId="0" fillId="7" borderId="28" xfId="0" applyNumberFormat="1" applyFill="1" applyBorder="1" applyAlignment="1">
      <alignment horizontal="right"/>
    </xf>
    <xf numFmtId="0" fontId="4" fillId="0" borderId="0" xfId="0" applyFont="1" applyFill="1" applyBorder="1"/>
    <xf numFmtId="0" fontId="5" fillId="3" borderId="10" xfId="0" applyFont="1" applyFill="1" applyBorder="1"/>
    <xf numFmtId="0" fontId="5" fillId="3" borderId="11" xfId="0" applyFont="1" applyFill="1" applyBorder="1"/>
    <xf numFmtId="0" fontId="5" fillId="3" borderId="12" xfId="0" applyFont="1" applyFill="1" applyBorder="1"/>
    <xf numFmtId="0" fontId="5" fillId="3" borderId="8" xfId="0" applyFont="1" applyFill="1" applyBorder="1"/>
    <xf numFmtId="0" fontId="5" fillId="3" borderId="13" xfId="0" applyFont="1" applyFill="1" applyBorder="1"/>
    <xf numFmtId="0" fontId="5" fillId="3" borderId="12" xfId="0" applyFont="1" applyFill="1" applyBorder="1" applyAlignment="1">
      <alignment wrapText="1"/>
    </xf>
    <xf numFmtId="0" fontId="5" fillId="3" borderId="14" xfId="0" applyFont="1" applyFill="1" applyBorder="1"/>
    <xf numFmtId="0" fontId="5" fillId="3" borderId="15" xfId="0" applyFont="1" applyFill="1" applyBorder="1"/>
    <xf numFmtId="0" fontId="5" fillId="3" borderId="16" xfId="0" applyFont="1" applyFill="1" applyBorder="1"/>
    <xf numFmtId="0" fontId="4" fillId="0" borderId="19" xfId="0" applyFont="1" applyBorder="1" applyAlignment="1">
      <alignment horizontal="center"/>
    </xf>
    <xf numFmtId="0" fontId="12" fillId="3" borderId="9" xfId="0" applyFont="1" applyFill="1" applyBorder="1" applyAlignment="1">
      <alignment wrapText="1"/>
    </xf>
    <xf numFmtId="0" fontId="13" fillId="0" borderId="0" xfId="0" applyFont="1"/>
    <xf numFmtId="0" fontId="13" fillId="0" borderId="8" xfId="0" applyFont="1" applyBorder="1"/>
    <xf numFmtId="0" fontId="9" fillId="0" borderId="8" xfId="0" applyFont="1" applyBorder="1" applyAlignment="1">
      <alignment horizontal="center"/>
    </xf>
    <xf numFmtId="0" fontId="1" fillId="0" borderId="8" xfId="0" applyFont="1" applyBorder="1" applyAlignment="1">
      <alignment horizontal="center" wrapText="1"/>
    </xf>
    <xf numFmtId="0" fontId="14" fillId="0" borderId="8" xfId="0" applyFont="1" applyBorder="1"/>
    <xf numFmtId="0" fontId="15" fillId="0" borderId="0" xfId="0" applyFont="1"/>
    <xf numFmtId="0" fontId="16" fillId="0" borderId="0" xfId="0" applyFont="1" applyAlignment="1">
      <alignment vertical="center"/>
    </xf>
    <xf numFmtId="17" fontId="0" fillId="0" borderId="0" xfId="0" applyNumberFormat="1" applyAlignment="1">
      <alignment horizontal="left"/>
    </xf>
    <xf numFmtId="0" fontId="2" fillId="0" borderId="0" xfId="0" applyFont="1" applyFill="1"/>
    <xf numFmtId="0" fontId="4" fillId="0" borderId="8" xfId="0" applyFont="1" applyBorder="1" applyAlignment="1"/>
    <xf numFmtId="0" fontId="5" fillId="0" borderId="8" xfId="0" applyFont="1" applyBorder="1" applyAlignment="1"/>
    <xf numFmtId="0" fontId="5" fillId="0" borderId="8" xfId="0" applyFont="1" applyBorder="1" applyAlignment="1">
      <alignment horizontal="center"/>
    </xf>
    <xf numFmtId="0" fontId="10" fillId="0" borderId="5" xfId="0" applyFont="1" applyFill="1" applyBorder="1" applyAlignment="1">
      <alignment vertical="center" wrapText="1"/>
    </xf>
    <xf numFmtId="0" fontId="10" fillId="0" borderId="6" xfId="0" applyFont="1" applyBorder="1" applyAlignment="1"/>
    <xf numFmtId="0" fontId="4" fillId="0" borderId="0" xfId="0" applyFont="1" applyBorder="1" applyAlignment="1"/>
    <xf numFmtId="0" fontId="5" fillId="0" borderId="0" xfId="0" applyFont="1" applyBorder="1" applyAlignment="1"/>
    <xf numFmtId="0" fontId="5" fillId="0" borderId="0" xfId="0" applyFont="1" applyBorder="1" applyAlignment="1">
      <alignment horizontal="center"/>
    </xf>
    <xf numFmtId="0" fontId="3" fillId="0" borderId="7" xfId="1" applyFill="1" applyBorder="1" applyAlignment="1">
      <alignment vertical="center" wrapText="1"/>
    </xf>
    <xf numFmtId="0" fontId="0" fillId="0" borderId="0" xfId="0" applyAlignment="1"/>
    <xf numFmtId="0" fontId="5" fillId="0" borderId="19" xfId="0" applyFont="1" applyBorder="1" applyAlignment="1">
      <alignment horizontal="center"/>
    </xf>
    <xf numFmtId="0" fontId="0" fillId="0" borderId="8" xfId="0" applyBorder="1" applyAlignment="1"/>
    <xf numFmtId="0" fontId="5" fillId="0" borderId="18" xfId="0" applyFont="1" applyBorder="1" applyAlignment="1">
      <alignment horizontal="center"/>
    </xf>
    <xf numFmtId="0" fontId="0" fillId="0" borderId="18" xfId="0" applyBorder="1" applyAlignment="1"/>
    <xf numFmtId="0" fontId="0" fillId="0" borderId="19" xfId="0" applyBorder="1" applyAlignment="1"/>
    <xf numFmtId="0" fontId="1" fillId="0" borderId="17" xfId="0" applyNumberFormat="1"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 fillId="0" borderId="0" xfId="0" applyFont="1" applyAlignment="1">
      <alignment horizontal="center" wrapText="1"/>
    </xf>
    <xf numFmtId="0" fontId="0" fillId="0" borderId="0" xfId="0" applyAlignment="1">
      <alignment horizontal="center"/>
    </xf>
    <xf numFmtId="0" fontId="1" fillId="0" borderId="8"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53</xdr:row>
      <xdr:rowOff>25977</xdr:rowOff>
    </xdr:from>
    <xdr:to>
      <xdr:col>1</xdr:col>
      <xdr:colOff>3757533</xdr:colOff>
      <xdr:row>63</xdr:row>
      <xdr:rowOff>110538</xdr:rowOff>
    </xdr:to>
    <xdr:pic>
      <xdr:nvPicPr>
        <xdr:cNvPr id="2" name="Picture 1">
          <a:extLst>
            <a:ext uri="{FF2B5EF4-FFF2-40B4-BE49-F238E27FC236}">
              <a16:creationId xmlns:a16="http://schemas.microsoft.com/office/drawing/2014/main" id="{D6D40D24-2210-4F41-9C04-B84C529D41E9}"/>
            </a:ext>
          </a:extLst>
        </xdr:cNvPr>
        <xdr:cNvPicPr>
          <a:picLocks noChangeAspect="1"/>
        </xdr:cNvPicPr>
      </xdr:nvPicPr>
      <xdr:blipFill>
        <a:blip xmlns:r="http://schemas.openxmlformats.org/officeDocument/2006/relationships" r:embed="rId1"/>
        <a:stretch>
          <a:fillRect/>
        </a:stretch>
      </xdr:blipFill>
      <xdr:spPr>
        <a:xfrm>
          <a:off x="701386" y="10122477"/>
          <a:ext cx="3662283" cy="198956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eepthi Swamy" id="{210B3C1B-F5E7-4C56-B823-E1EECCDB5F2A}" userId="0118328b9c39827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4" dT="2020-06-24T11:14:31.23" personId="{210B3C1B-F5E7-4C56-B823-E1EECCDB5F2A}" id="{F92AF8FB-E5BB-489C-8308-3BA53514DA9A}">
    <text>http://www.cea.nic.in/reports/monthly/installedcapacity/2017/installed_capacity-12.pdf</text>
  </threadedComment>
  <threadedComment ref="I5" dT="2020-02-13T17:43:38.19" personId="{210B3C1B-F5E7-4C56-B823-E1EECCDB5F2A}" id="{A1EF28D1-9FBF-4412-8119-632B82C52746}">
    <text>http://cea.nic.in/reports/monthly/installedcapacity/2018/installed_capacity-12.pdf</text>
  </threadedComment>
  <threadedComment ref="I6" dT="2020-02-13T06:08:56.66" personId="{210B3C1B-F5E7-4C56-B823-E1EECCDB5F2A}" id="{04199A82-E924-4B1D-8DF3-98C0B7CAC9B8}">
    <text>http://cea.nic.in/reports/monthly/installedcapacity/2019/installed_capacity-12.pdf</text>
  </threadedComment>
  <threadedComment ref="I21" dT="2020-06-24T11:14:31.23" personId="{210B3C1B-F5E7-4C56-B823-E1EECCDB5F2A}" id="{4E066AF6-143F-4678-9F67-AAC39185483E}">
    <text>http://www.cea.nic.in/reports/monthly/installedcapacity/2017/installed_capacity-12.pdf</text>
  </threadedComment>
  <threadedComment ref="I22" dT="2020-02-13T17:43:38.19" personId="{210B3C1B-F5E7-4C56-B823-E1EECCDB5F2A}" id="{0D7EEB2D-8A59-4BCA-906A-61DA703F8E6B}">
    <text>http://cea.nic.in/reports/monthly/installedcapacity/2018/installed_capacity-12.pdf</text>
  </threadedComment>
  <threadedComment ref="I23" dT="2020-02-13T06:08:56.66" personId="{210B3C1B-F5E7-4C56-B823-E1EECCDB5F2A}" id="{E75C4685-8DFE-44D4-ADC3-BC68F658A250}">
    <text>http://cea.nic.in/reports/monthly/installedcapacity/2019/installed_capacity-12.pdf</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0-06-25T10:47:21.67" personId="{210B3C1B-F5E7-4C56-B823-E1EECCDB5F2A}" id="{8138639F-3EC1-4320-8981-54E26E79ABF9}">
    <text>Extra retirement is reflected between the installed capacity figures of 2018 &amp; 2017, as compared to collected data in BCRbQ. This could possibly be stranded capacity that is not retired, but we account for it to match with the installed operational capacity reported for 2018 by CEA.</text>
  </threadedComment>
</ThreadedComment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cea.nic.in/reports/monthly/installedcapacity/2018/installed_capacity-12.pdf" TargetMode="External"/><Relationship Id="rId7" Type="http://schemas.openxmlformats.org/officeDocument/2006/relationships/printerSettings" Target="../printerSettings/printerSettings1.bin"/><Relationship Id="rId2" Type="http://schemas.openxmlformats.org/officeDocument/2006/relationships/hyperlink" Target="http://www.cea.nic.in/reports/committee/nep/nep_jan_2018.pdf" TargetMode="External"/><Relationship Id="rId1" Type="http://schemas.openxmlformats.org/officeDocument/2006/relationships/hyperlink" Target="http://www.cea.nic.in/reports/committee/nep/nep_jan_2018.pdf" TargetMode="External"/><Relationship Id="rId6" Type="http://schemas.openxmlformats.org/officeDocument/2006/relationships/hyperlink" Target="https://www.crisil.com/en/home/our-analysis/reports/2019/10/return-to-uncertainty.html" TargetMode="External"/><Relationship Id="rId5" Type="http://schemas.openxmlformats.org/officeDocument/2006/relationships/hyperlink" Target="http://www.cea.nic.in/reports/monthly/hydro/2019/pump_storage-09.pdf" TargetMode="External"/><Relationship Id="rId4" Type="http://schemas.openxmlformats.org/officeDocument/2006/relationships/hyperlink" Target="http://www.cea.nic.in/reports/monthly/installedcapacity/2017/installed_capacity-12.pdf"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zoomScale="110" zoomScaleNormal="110" workbookViewId="0">
      <selection activeCell="D60" sqref="D60"/>
    </sheetView>
  </sheetViews>
  <sheetFormatPr defaultRowHeight="14.25" x14ac:dyDescent="0.45"/>
  <cols>
    <col min="2" max="2" width="67.1328125" customWidth="1"/>
    <col min="4" max="4" width="59.73046875" customWidth="1"/>
  </cols>
  <sheetData>
    <row r="1" spans="1:4" x14ac:dyDescent="0.45">
      <c r="A1" s="1" t="s">
        <v>7</v>
      </c>
    </row>
    <row r="3" spans="1:4" x14ac:dyDescent="0.45">
      <c r="A3" s="1" t="s">
        <v>8</v>
      </c>
      <c r="B3" s="3" t="s">
        <v>157</v>
      </c>
      <c r="D3" s="3" t="s">
        <v>131</v>
      </c>
    </row>
    <row r="4" spans="1:4" x14ac:dyDescent="0.45">
      <c r="A4" s="1"/>
      <c r="B4" s="61" t="s">
        <v>97</v>
      </c>
      <c r="C4" s="60"/>
      <c r="D4" s="61" t="s">
        <v>97</v>
      </c>
    </row>
    <row r="5" spans="1:4" x14ac:dyDescent="0.45">
      <c r="A5" s="2"/>
      <c r="B5" t="s">
        <v>22</v>
      </c>
      <c r="D5" t="s">
        <v>96</v>
      </c>
    </row>
    <row r="6" spans="1:4" x14ac:dyDescent="0.45">
      <c r="B6" s="62">
        <v>2018</v>
      </c>
      <c r="D6" s="62">
        <v>2019</v>
      </c>
    </row>
    <row r="7" spans="1:4" x14ac:dyDescent="0.45">
      <c r="B7" s="4" t="s">
        <v>23</v>
      </c>
      <c r="D7" s="4" t="s">
        <v>37</v>
      </c>
    </row>
    <row r="8" spans="1:4" x14ac:dyDescent="0.45">
      <c r="B8" t="s">
        <v>24</v>
      </c>
      <c r="D8" t="s">
        <v>98</v>
      </c>
    </row>
    <row r="10" spans="1:4" x14ac:dyDescent="0.45">
      <c r="B10" s="3" t="s">
        <v>158</v>
      </c>
      <c r="D10" s="3" t="s">
        <v>103</v>
      </c>
    </row>
    <row r="11" spans="1:4" x14ac:dyDescent="0.45">
      <c r="B11" s="61" t="s">
        <v>97</v>
      </c>
      <c r="D11" s="61" t="s">
        <v>99</v>
      </c>
    </row>
    <row r="12" spans="1:4" x14ac:dyDescent="0.45">
      <c r="B12" t="s">
        <v>22</v>
      </c>
      <c r="D12" t="s">
        <v>102</v>
      </c>
    </row>
    <row r="13" spans="1:4" x14ac:dyDescent="0.45">
      <c r="B13" s="62">
        <v>2018</v>
      </c>
      <c r="D13" s="62">
        <v>2015</v>
      </c>
    </row>
    <row r="14" spans="1:4" x14ac:dyDescent="0.45">
      <c r="A14" s="2"/>
      <c r="B14" s="4" t="s">
        <v>23</v>
      </c>
      <c r="D14" s="4" t="s">
        <v>101</v>
      </c>
    </row>
    <row r="15" spans="1:4" x14ac:dyDescent="0.45">
      <c r="A15" s="2"/>
      <c r="B15" t="s">
        <v>38</v>
      </c>
      <c r="D15" t="s">
        <v>100</v>
      </c>
    </row>
    <row r="16" spans="1:4" x14ac:dyDescent="0.45">
      <c r="A16" s="2"/>
    </row>
    <row r="17" spans="1:4" x14ac:dyDescent="0.45">
      <c r="A17" s="2"/>
      <c r="B17" s="3" t="s">
        <v>132</v>
      </c>
      <c r="D17" s="3" t="s">
        <v>165</v>
      </c>
    </row>
    <row r="18" spans="1:4" x14ac:dyDescent="0.45">
      <c r="A18" s="2"/>
      <c r="B18" s="61" t="s">
        <v>97</v>
      </c>
      <c r="D18" s="61" t="s">
        <v>166</v>
      </c>
    </row>
    <row r="19" spans="1:4" x14ac:dyDescent="0.45">
      <c r="A19" s="2"/>
      <c r="B19" t="s">
        <v>111</v>
      </c>
    </row>
    <row r="20" spans="1:4" x14ac:dyDescent="0.45">
      <c r="A20" s="2"/>
      <c r="B20" s="62" t="s">
        <v>133</v>
      </c>
      <c r="D20" s="62"/>
    </row>
    <row r="21" spans="1:4" x14ac:dyDescent="0.45">
      <c r="A21" s="2"/>
      <c r="B21" s="4" t="s">
        <v>134</v>
      </c>
      <c r="D21" s="4"/>
    </row>
    <row r="22" spans="1:4" x14ac:dyDescent="0.45">
      <c r="A22" s="2"/>
      <c r="B22" s="4" t="s">
        <v>112</v>
      </c>
    </row>
    <row r="23" spans="1:4" x14ac:dyDescent="0.45">
      <c r="A23" s="2"/>
      <c r="B23" t="s">
        <v>89</v>
      </c>
    </row>
    <row r="24" spans="1:4" x14ac:dyDescent="0.45">
      <c r="A24" s="2"/>
    </row>
    <row r="25" spans="1:4" x14ac:dyDescent="0.45">
      <c r="A25" s="2"/>
      <c r="B25" s="3" t="s">
        <v>113</v>
      </c>
      <c r="D25" s="109"/>
    </row>
    <row r="26" spans="1:4" x14ac:dyDescent="0.45">
      <c r="A26" s="2"/>
      <c r="B26" s="61" t="s">
        <v>114</v>
      </c>
      <c r="D26" s="61"/>
    </row>
    <row r="27" spans="1:4" x14ac:dyDescent="0.45">
      <c r="A27" s="2"/>
      <c r="B27" t="s">
        <v>115</v>
      </c>
    </row>
    <row r="28" spans="1:4" x14ac:dyDescent="0.45">
      <c r="A28" s="2"/>
      <c r="B28" s="62">
        <v>2019</v>
      </c>
      <c r="D28" s="62"/>
    </row>
    <row r="29" spans="1:4" x14ac:dyDescent="0.45">
      <c r="A29" s="2"/>
      <c r="B29" s="4" t="s">
        <v>116</v>
      </c>
      <c r="D29" s="4"/>
    </row>
    <row r="30" spans="1:4" x14ac:dyDescent="0.45">
      <c r="A30" s="2"/>
      <c r="B30" t="s">
        <v>117</v>
      </c>
    </row>
    <row r="31" spans="1:4" x14ac:dyDescent="0.45">
      <c r="A31" s="2"/>
    </row>
    <row r="32" spans="1:4" x14ac:dyDescent="0.45">
      <c r="A32" s="2"/>
      <c r="B32" s="3" t="s">
        <v>118</v>
      </c>
      <c r="D32" s="3" t="s">
        <v>205</v>
      </c>
    </row>
    <row r="33" spans="1:4" x14ac:dyDescent="0.45">
      <c r="A33" s="2"/>
      <c r="B33" s="61" t="s">
        <v>119</v>
      </c>
      <c r="D33" t="s">
        <v>97</v>
      </c>
    </row>
    <row r="34" spans="1:4" x14ac:dyDescent="0.45">
      <c r="A34" s="2"/>
      <c r="B34" t="s">
        <v>120</v>
      </c>
      <c r="D34" s="108">
        <v>43709</v>
      </c>
    </row>
    <row r="35" spans="1:4" x14ac:dyDescent="0.45">
      <c r="A35" s="2"/>
      <c r="B35" s="62">
        <v>2019</v>
      </c>
      <c r="D35" t="s">
        <v>206</v>
      </c>
    </row>
    <row r="36" spans="1:4" x14ac:dyDescent="0.45">
      <c r="A36" s="2"/>
      <c r="B36" s="4" t="s">
        <v>121</v>
      </c>
      <c r="D36" s="4" t="s">
        <v>207</v>
      </c>
    </row>
    <row r="38" spans="1:4" x14ac:dyDescent="0.45">
      <c r="A38" s="1" t="s">
        <v>0</v>
      </c>
    </row>
    <row r="39" spans="1:4" x14ac:dyDescent="0.45">
      <c r="A39" s="2" t="s">
        <v>77</v>
      </c>
    </row>
    <row r="40" spans="1:4" x14ac:dyDescent="0.45">
      <c r="A40" s="2" t="s">
        <v>78</v>
      </c>
    </row>
    <row r="41" spans="1:4" x14ac:dyDescent="0.45">
      <c r="A41" s="2" t="s">
        <v>79</v>
      </c>
    </row>
    <row r="42" spans="1:4" x14ac:dyDescent="0.45">
      <c r="A42" s="2" t="s">
        <v>80</v>
      </c>
    </row>
    <row r="43" spans="1:4" x14ac:dyDescent="0.45">
      <c r="A43" s="2"/>
    </row>
    <row r="44" spans="1:4" x14ac:dyDescent="0.45">
      <c r="A44" s="107" t="s">
        <v>204</v>
      </c>
    </row>
    <row r="45" spans="1:4" x14ac:dyDescent="0.45">
      <c r="A45" s="2"/>
    </row>
    <row r="46" spans="1:4" x14ac:dyDescent="0.45">
      <c r="A46" s="2" t="s">
        <v>130</v>
      </c>
    </row>
    <row r="47" spans="1:4" x14ac:dyDescent="0.45">
      <c r="A47" s="2" t="s">
        <v>128</v>
      </c>
    </row>
    <row r="48" spans="1:4" x14ac:dyDescent="0.45">
      <c r="A48" s="2"/>
    </row>
    <row r="49" spans="1:1" x14ac:dyDescent="0.45">
      <c r="A49" s="1" t="s">
        <v>129</v>
      </c>
    </row>
    <row r="50" spans="1:1" x14ac:dyDescent="0.45">
      <c r="A50" s="2" t="s">
        <v>141</v>
      </c>
    </row>
    <row r="51" spans="1:1" x14ac:dyDescent="0.45">
      <c r="A51" s="2" t="s">
        <v>122</v>
      </c>
    </row>
    <row r="52" spans="1:1" x14ac:dyDescent="0.45">
      <c r="A52" s="2" t="s">
        <v>123</v>
      </c>
    </row>
    <row r="53" spans="1:1" x14ac:dyDescent="0.45">
      <c r="A53" s="2" t="s">
        <v>208</v>
      </c>
    </row>
    <row r="54" spans="1:1" x14ac:dyDescent="0.45">
      <c r="A54" s="2"/>
    </row>
    <row r="55" spans="1:1" x14ac:dyDescent="0.45">
      <c r="A55" s="2"/>
    </row>
    <row r="56" spans="1:1" x14ac:dyDescent="0.45">
      <c r="A56" s="2"/>
    </row>
    <row r="57" spans="1:1" x14ac:dyDescent="0.45">
      <c r="A57" s="2"/>
    </row>
    <row r="58" spans="1:1" x14ac:dyDescent="0.45">
      <c r="A58" s="2"/>
    </row>
    <row r="59" spans="1:1" x14ac:dyDescent="0.45">
      <c r="A59" s="2"/>
    </row>
    <row r="60" spans="1:1" x14ac:dyDescent="0.45">
      <c r="A60" s="2"/>
    </row>
    <row r="61" spans="1:1" x14ac:dyDescent="0.45">
      <c r="A61" s="2"/>
    </row>
    <row r="62" spans="1:1" x14ac:dyDescent="0.45">
      <c r="A62" s="2"/>
    </row>
    <row r="63" spans="1:1" x14ac:dyDescent="0.45">
      <c r="A63" s="2"/>
    </row>
    <row r="64" spans="1:1" x14ac:dyDescent="0.45">
      <c r="A64" s="2"/>
    </row>
    <row r="65" spans="1:1" x14ac:dyDescent="0.45">
      <c r="A65" s="2" t="s">
        <v>210</v>
      </c>
    </row>
    <row r="66" spans="1:1" x14ac:dyDescent="0.45">
      <c r="A66" s="2" t="s">
        <v>211</v>
      </c>
    </row>
    <row r="67" spans="1:1" x14ac:dyDescent="0.45">
      <c r="A67" s="2" t="s">
        <v>124</v>
      </c>
    </row>
    <row r="68" spans="1:1" x14ac:dyDescent="0.45">
      <c r="A68" s="2" t="s">
        <v>125</v>
      </c>
    </row>
    <row r="69" spans="1:1" x14ac:dyDescent="0.45">
      <c r="A69" s="73"/>
    </row>
    <row r="70" spans="1:1" x14ac:dyDescent="0.45">
      <c r="A70" s="2" t="s">
        <v>135</v>
      </c>
    </row>
    <row r="71" spans="1:1" x14ac:dyDescent="0.45">
      <c r="A71" s="2" t="s">
        <v>164</v>
      </c>
    </row>
    <row r="72" spans="1:1" x14ac:dyDescent="0.45">
      <c r="A72" s="2" t="s">
        <v>167</v>
      </c>
    </row>
    <row r="73" spans="1:1" x14ac:dyDescent="0.45">
      <c r="A73" s="2" t="s">
        <v>168</v>
      </c>
    </row>
    <row r="74" spans="1:1" x14ac:dyDescent="0.45">
      <c r="A74" s="2" t="s">
        <v>169</v>
      </c>
    </row>
    <row r="75" spans="1:1" x14ac:dyDescent="0.45">
      <c r="A75" s="2"/>
    </row>
    <row r="76" spans="1:1" x14ac:dyDescent="0.45">
      <c r="A76" s="2" t="s">
        <v>126</v>
      </c>
    </row>
    <row r="77" spans="1:1" x14ac:dyDescent="0.45">
      <c r="A77" s="22" t="s">
        <v>81</v>
      </c>
    </row>
    <row r="78" spans="1:1" x14ac:dyDescent="0.45">
      <c r="A78" s="2" t="s">
        <v>57</v>
      </c>
    </row>
    <row r="79" spans="1:1" x14ac:dyDescent="0.45">
      <c r="A79" s="2" t="s">
        <v>82</v>
      </c>
    </row>
    <row r="80" spans="1:1" x14ac:dyDescent="0.45">
      <c r="A80" s="2" t="s">
        <v>84</v>
      </c>
    </row>
    <row r="81" spans="1:1" x14ac:dyDescent="0.45">
      <c r="A81" s="2" t="s">
        <v>85</v>
      </c>
    </row>
    <row r="82" spans="1:1" x14ac:dyDescent="0.45">
      <c r="A82" s="2" t="s">
        <v>83</v>
      </c>
    </row>
    <row r="83" spans="1:1" x14ac:dyDescent="0.45">
      <c r="A83" s="2" t="s">
        <v>127</v>
      </c>
    </row>
  </sheetData>
  <hyperlinks>
    <hyperlink ref="B7" r:id="rId1"/>
    <hyperlink ref="B14" r:id="rId2"/>
    <hyperlink ref="B22" r:id="rId3"/>
    <hyperlink ref="B21" r:id="rId4"/>
    <hyperlink ref="D36" r:id="rId5"/>
    <hyperlink ref="B29" r:id="rId6"/>
  </hyperlinks>
  <pageMargins left="0.7" right="0.7" top="0.75" bottom="0.75" header="0.3" footer="0.3"/>
  <pageSetup orientation="portrait" horizontalDpi="1200" verticalDpi="1200"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workbookViewId="0">
      <selection activeCell="B12" sqref="B12"/>
    </sheetView>
  </sheetViews>
  <sheetFormatPr defaultRowHeight="14.25" x14ac:dyDescent="0.45"/>
  <cols>
    <col min="1" max="1" width="19" customWidth="1"/>
    <col min="2" max="2" width="10.3984375" bestFit="1" customWidth="1"/>
    <col min="3" max="3" width="10" bestFit="1" customWidth="1"/>
    <col min="4" max="4" width="9.86328125" bestFit="1" customWidth="1"/>
    <col min="5" max="5" width="14.265625" customWidth="1"/>
    <col min="6" max="6" width="10.73046875" customWidth="1"/>
    <col min="7" max="7" width="11" customWidth="1"/>
    <col min="8" max="8" width="25.3984375" customWidth="1"/>
    <col min="11" max="11" width="19.86328125" customWidth="1"/>
    <col min="13" max="13" width="11" customWidth="1"/>
  </cols>
  <sheetData>
    <row r="1" spans="1:13" ht="39" customHeight="1" thickBot="1" x14ac:dyDescent="0.5">
      <c r="A1" s="23" t="s">
        <v>39</v>
      </c>
      <c r="B1" s="11"/>
      <c r="C1" s="11"/>
      <c r="D1" s="11"/>
      <c r="E1" s="11"/>
      <c r="F1" s="11"/>
      <c r="G1" s="6"/>
      <c r="H1" s="10" t="s">
        <v>33</v>
      </c>
      <c r="I1" s="9">
        <v>831502</v>
      </c>
      <c r="J1" s="6"/>
      <c r="K1" s="76" t="s">
        <v>34</v>
      </c>
      <c r="L1" s="77" t="s">
        <v>19</v>
      </c>
      <c r="M1" s="78" t="s">
        <v>20</v>
      </c>
    </row>
    <row r="2" spans="1:13" ht="14.65" thickBot="1" x14ac:dyDescent="0.5">
      <c r="A2" s="110" t="s">
        <v>40</v>
      </c>
      <c r="B2" s="112" t="s">
        <v>46</v>
      </c>
      <c r="C2" s="112"/>
      <c r="D2" s="112"/>
      <c r="E2" s="112"/>
      <c r="F2" s="112"/>
      <c r="G2" s="6"/>
      <c r="H2" s="8" t="s">
        <v>32</v>
      </c>
      <c r="I2" s="7">
        <v>64089</v>
      </c>
      <c r="J2" s="6"/>
      <c r="K2" s="79" t="s">
        <v>17</v>
      </c>
      <c r="L2" s="80">
        <v>47855</v>
      </c>
      <c r="M2" s="81">
        <v>0</v>
      </c>
    </row>
    <row r="3" spans="1:13" ht="14.65" thickBot="1" x14ac:dyDescent="0.5">
      <c r="A3" s="111"/>
      <c r="B3" s="20" t="s">
        <v>41</v>
      </c>
      <c r="C3" s="20" t="s">
        <v>42</v>
      </c>
      <c r="D3" s="20" t="s">
        <v>43</v>
      </c>
      <c r="E3" s="20" t="s">
        <v>44</v>
      </c>
      <c r="F3" s="20" t="s">
        <v>45</v>
      </c>
      <c r="G3" s="6"/>
      <c r="H3" s="8" t="s">
        <v>31</v>
      </c>
      <c r="I3" s="7">
        <v>5000</v>
      </c>
      <c r="J3" s="6"/>
      <c r="K3" s="79" t="s">
        <v>18</v>
      </c>
      <c r="L3" s="80">
        <v>3300</v>
      </c>
      <c r="M3" s="81">
        <v>6800</v>
      </c>
    </row>
    <row r="4" spans="1:13" ht="28.9" thickBot="1" x14ac:dyDescent="0.5">
      <c r="A4" s="16" t="s">
        <v>28</v>
      </c>
      <c r="B4" s="17">
        <v>15000</v>
      </c>
      <c r="C4" s="17">
        <v>16000</v>
      </c>
      <c r="D4" s="17">
        <v>19000</v>
      </c>
      <c r="E4" s="17">
        <v>19000</v>
      </c>
      <c r="F4" s="17">
        <v>18711</v>
      </c>
      <c r="G4" s="6"/>
      <c r="H4" s="8" t="s">
        <v>30</v>
      </c>
      <c r="I4" s="7">
        <v>4356</v>
      </c>
      <c r="J4" s="6"/>
      <c r="K4" s="82" t="s">
        <v>35</v>
      </c>
      <c r="L4" s="80">
        <v>406.15</v>
      </c>
      <c r="M4" s="81">
        <v>0</v>
      </c>
    </row>
    <row r="5" spans="1:13" ht="14.65" thickBot="1" x14ac:dyDescent="0.5">
      <c r="A5" s="16" t="s">
        <v>27</v>
      </c>
      <c r="B5" s="17">
        <v>4700</v>
      </c>
      <c r="C5" s="17">
        <v>5300</v>
      </c>
      <c r="D5" s="17">
        <v>6000</v>
      </c>
      <c r="E5" s="17">
        <v>6000</v>
      </c>
      <c r="F5" s="17">
        <v>5720</v>
      </c>
      <c r="G5" s="6"/>
      <c r="H5" s="8" t="s">
        <v>29</v>
      </c>
      <c r="I5" s="7">
        <v>24350</v>
      </c>
      <c r="J5" s="6"/>
      <c r="K5" s="83" t="s">
        <v>21</v>
      </c>
      <c r="L5" s="84">
        <v>6822.5</v>
      </c>
      <c r="M5" s="85">
        <v>0</v>
      </c>
    </row>
    <row r="6" spans="1:13" ht="15" customHeight="1" thickBot="1" x14ac:dyDescent="0.5">
      <c r="A6" s="16" t="s">
        <v>26</v>
      </c>
      <c r="B6" s="16">
        <v>350</v>
      </c>
      <c r="C6" s="16">
        <v>350</v>
      </c>
      <c r="D6" s="16">
        <v>350</v>
      </c>
      <c r="E6" s="16">
        <v>350</v>
      </c>
      <c r="F6" s="16">
        <v>304</v>
      </c>
      <c r="G6" s="6"/>
      <c r="H6" s="8" t="s">
        <v>17</v>
      </c>
      <c r="I6" s="7">
        <v>266827</v>
      </c>
      <c r="J6" s="6"/>
      <c r="K6" s="113" t="s">
        <v>106</v>
      </c>
      <c r="L6" s="114"/>
      <c r="M6" s="114"/>
    </row>
    <row r="7" spans="1:13" ht="14.65" thickBot="1" x14ac:dyDescent="0.5">
      <c r="A7" s="16" t="s">
        <v>47</v>
      </c>
      <c r="B7" s="16">
        <v>100</v>
      </c>
      <c r="C7" s="16">
        <v>100</v>
      </c>
      <c r="D7" s="16">
        <v>100</v>
      </c>
      <c r="E7" s="16">
        <v>100</v>
      </c>
      <c r="F7" s="16">
        <v>220</v>
      </c>
      <c r="G7" s="6"/>
      <c r="H7" s="8" t="s">
        <v>18</v>
      </c>
      <c r="I7" s="7">
        <v>16880</v>
      </c>
      <c r="J7" s="6"/>
    </row>
    <row r="8" spans="1:13" ht="14.65" thickBot="1" x14ac:dyDescent="0.5">
      <c r="A8" s="18"/>
      <c r="B8" s="18"/>
      <c r="C8" s="18"/>
      <c r="D8" s="18"/>
      <c r="E8" s="18" t="s">
        <v>49</v>
      </c>
      <c r="F8" s="19">
        <f>SUM(B4:F7)</f>
        <v>117755</v>
      </c>
      <c r="H8" s="8" t="s">
        <v>28</v>
      </c>
      <c r="I8" s="7">
        <v>300000</v>
      </c>
    </row>
    <row r="9" spans="1:13" ht="14.65" thickBot="1" x14ac:dyDescent="0.5">
      <c r="A9" s="5" t="s">
        <v>48</v>
      </c>
      <c r="B9" s="6"/>
      <c r="C9" s="6"/>
      <c r="D9" s="6"/>
      <c r="E9" s="6"/>
      <c r="F9" s="6"/>
      <c r="H9" s="8" t="s">
        <v>27</v>
      </c>
      <c r="I9" s="7">
        <v>140000</v>
      </c>
    </row>
    <row r="10" spans="1:13" ht="27" customHeight="1" thickBot="1" x14ac:dyDescent="0.5">
      <c r="A10" s="113" t="s">
        <v>106</v>
      </c>
      <c r="B10" s="114"/>
      <c r="C10" s="114"/>
      <c r="H10" s="8" t="s">
        <v>26</v>
      </c>
      <c r="I10" s="7">
        <v>10000</v>
      </c>
    </row>
    <row r="11" spans="1:13" ht="14.65" thickBot="1" x14ac:dyDescent="0.5">
      <c r="H11" s="8" t="s">
        <v>25</v>
      </c>
      <c r="I11" s="7">
        <v>34000</v>
      </c>
    </row>
    <row r="12" spans="1:13" ht="20.25" customHeight="1" x14ac:dyDescent="0.45">
      <c r="H12" s="113" t="s">
        <v>36</v>
      </c>
      <c r="I12" s="114"/>
    </row>
    <row r="13" spans="1:13" x14ac:dyDescent="0.45">
      <c r="H13" s="118"/>
      <c r="I13" s="119"/>
      <c r="J13" s="119"/>
    </row>
    <row r="14" spans="1:13" x14ac:dyDescent="0.45">
      <c r="H14" s="14"/>
    </row>
    <row r="15" spans="1:13" ht="39.75" x14ac:dyDescent="0.45">
      <c r="A15" s="18"/>
      <c r="B15" s="21" t="s">
        <v>58</v>
      </c>
      <c r="C15" s="18" t="s">
        <v>59</v>
      </c>
      <c r="D15" s="18" t="s">
        <v>60</v>
      </c>
      <c r="E15" s="21" t="s">
        <v>56</v>
      </c>
      <c r="H15" s="24"/>
      <c r="I15" s="24"/>
      <c r="J15" s="24"/>
      <c r="K15" s="24"/>
      <c r="L15" s="24"/>
      <c r="M15" s="24"/>
    </row>
    <row r="16" spans="1:13" x14ac:dyDescent="0.45">
      <c r="A16" s="18" t="s">
        <v>17</v>
      </c>
      <c r="B16" s="18">
        <v>196895</v>
      </c>
      <c r="C16" s="19">
        <f>L2+B16</f>
        <v>244750</v>
      </c>
      <c r="D16" s="18"/>
      <c r="E16" s="19">
        <f>I6-C16</f>
        <v>22077</v>
      </c>
      <c r="H16" s="23"/>
      <c r="I16" s="11"/>
      <c r="J16" s="11"/>
      <c r="K16" s="11"/>
      <c r="L16" s="11"/>
      <c r="M16" s="11"/>
    </row>
    <row r="17" spans="1:13" x14ac:dyDescent="0.45">
      <c r="A17" s="18" t="s">
        <v>50</v>
      </c>
      <c r="B17" s="18">
        <v>6260</v>
      </c>
      <c r="C17" s="18"/>
      <c r="D17" s="18"/>
      <c r="E17" s="18"/>
      <c r="H17" s="115"/>
      <c r="I17" s="117"/>
      <c r="J17" s="117"/>
      <c r="K17" s="117"/>
      <c r="L17" s="117"/>
      <c r="M17" s="117"/>
    </row>
    <row r="18" spans="1:13" x14ac:dyDescent="0.45">
      <c r="A18" s="18" t="s">
        <v>29</v>
      </c>
      <c r="B18" s="18">
        <v>24937</v>
      </c>
      <c r="C18" s="18">
        <f>L4+B18</f>
        <v>25343.15</v>
      </c>
      <c r="D18" s="18"/>
      <c r="E18" s="19">
        <f>I5-C18</f>
        <v>-993.15000000000146</v>
      </c>
      <c r="H18" s="116"/>
      <c r="I18" s="25"/>
      <c r="J18" s="25"/>
      <c r="K18" s="25"/>
      <c r="L18" s="25"/>
      <c r="M18" s="25"/>
    </row>
    <row r="19" spans="1:13" x14ac:dyDescent="0.45">
      <c r="A19" s="18" t="s">
        <v>51</v>
      </c>
      <c r="B19" s="18">
        <v>510</v>
      </c>
      <c r="C19" s="18"/>
      <c r="D19" s="18"/>
      <c r="E19" s="18"/>
      <c r="H19" s="12"/>
      <c r="I19" s="26"/>
      <c r="J19" s="26"/>
      <c r="K19" s="26"/>
      <c r="L19" s="26"/>
      <c r="M19" s="26"/>
    </row>
    <row r="20" spans="1:13" x14ac:dyDescent="0.45">
      <c r="A20" s="18" t="s">
        <v>18</v>
      </c>
      <c r="B20" s="18">
        <v>6780</v>
      </c>
      <c r="C20" s="18">
        <f>L3+B20</f>
        <v>10080</v>
      </c>
      <c r="D20" s="18">
        <f>M3+C20</f>
        <v>16880</v>
      </c>
      <c r="E20" s="19">
        <f>I7-D20</f>
        <v>0</v>
      </c>
      <c r="H20" s="12"/>
      <c r="I20" s="26"/>
      <c r="J20" s="26"/>
      <c r="K20" s="26"/>
      <c r="L20" s="26"/>
      <c r="M20" s="26"/>
    </row>
    <row r="21" spans="1:13" x14ac:dyDescent="0.45">
      <c r="A21" s="18" t="s">
        <v>52</v>
      </c>
      <c r="B21" s="18">
        <v>45399</v>
      </c>
      <c r="C21" s="18">
        <f>L5+B21</f>
        <v>52221.5</v>
      </c>
      <c r="D21" s="18"/>
      <c r="E21" s="19">
        <f>I2-C21</f>
        <v>11867.5</v>
      </c>
      <c r="H21" s="12"/>
      <c r="I21" s="26"/>
      <c r="J21" s="26"/>
      <c r="K21" s="26"/>
      <c r="L21" s="26"/>
      <c r="M21" s="26"/>
    </row>
    <row r="22" spans="1:13" x14ac:dyDescent="0.45">
      <c r="A22" s="18" t="s">
        <v>53</v>
      </c>
      <c r="B22" s="18">
        <v>4611</v>
      </c>
      <c r="C22" s="18">
        <f>SUM(B7:F7)+B22</f>
        <v>5231</v>
      </c>
      <c r="D22" s="18"/>
      <c r="E22" s="19">
        <f>I3-C22</f>
        <v>-231</v>
      </c>
      <c r="H22" s="12"/>
      <c r="I22" s="26"/>
      <c r="J22" s="26"/>
      <c r="K22" s="26"/>
      <c r="L22" s="26"/>
      <c r="M22" s="26"/>
    </row>
    <row r="23" spans="1:13" x14ac:dyDescent="0.45">
      <c r="A23" s="18" t="s">
        <v>54</v>
      </c>
      <c r="B23" s="18">
        <v>36930</v>
      </c>
      <c r="C23" s="19">
        <f>SUM(B5:F5)+B23</f>
        <v>64650</v>
      </c>
      <c r="D23" s="18"/>
      <c r="E23" s="19">
        <f>I9-C23</f>
        <v>75350</v>
      </c>
      <c r="H23" s="11"/>
      <c r="I23" s="11"/>
      <c r="J23" s="11"/>
      <c r="K23" s="11"/>
      <c r="L23" s="11"/>
      <c r="M23" s="27"/>
    </row>
    <row r="24" spans="1:13" x14ac:dyDescent="0.45">
      <c r="A24" s="18" t="s">
        <v>26</v>
      </c>
      <c r="B24" s="18">
        <f>9806+140</f>
        <v>9946</v>
      </c>
      <c r="C24" s="18">
        <f>SUM(B6:F6)+B24</f>
        <v>11650</v>
      </c>
      <c r="D24" s="18"/>
      <c r="E24" s="19">
        <f>I10-C24</f>
        <v>-1650</v>
      </c>
      <c r="H24" s="12"/>
      <c r="I24" s="11"/>
      <c r="J24" s="11"/>
      <c r="K24" s="11"/>
      <c r="L24" s="11"/>
      <c r="M24" s="11"/>
    </row>
    <row r="25" spans="1:13" x14ac:dyDescent="0.45">
      <c r="A25" s="18" t="s">
        <v>55</v>
      </c>
      <c r="B25" s="18">
        <v>31102</v>
      </c>
      <c r="C25" s="19">
        <f>SUM(B4:F4)+B25</f>
        <v>118813</v>
      </c>
      <c r="D25" s="18"/>
      <c r="E25" s="19">
        <f>I8-C25</f>
        <v>181187</v>
      </c>
    </row>
  </sheetData>
  <mergeCells count="8">
    <mergeCell ref="A2:A3"/>
    <mergeCell ref="B2:F2"/>
    <mergeCell ref="A10:C10"/>
    <mergeCell ref="H17:H18"/>
    <mergeCell ref="I17:M17"/>
    <mergeCell ref="H12:I12"/>
    <mergeCell ref="H13:J13"/>
    <mergeCell ref="K6:M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2"/>
  <sheetViews>
    <sheetView workbookViewId="0">
      <selection activeCell="E8" sqref="E8"/>
    </sheetView>
  </sheetViews>
  <sheetFormatPr defaultRowHeight="14.25" x14ac:dyDescent="0.45"/>
  <cols>
    <col min="1" max="1" width="19.86328125" customWidth="1"/>
    <col min="5" max="5" width="20.265625" customWidth="1"/>
    <col min="6" max="6" width="8.265625" customWidth="1"/>
    <col min="7" max="7" width="24.59765625" customWidth="1"/>
    <col min="8" max="8" width="7" bestFit="1" customWidth="1"/>
    <col min="10" max="10" width="16.86328125" customWidth="1"/>
    <col min="11" max="11" width="10.73046875" customWidth="1"/>
    <col min="12" max="12" width="11.59765625" customWidth="1"/>
    <col min="15" max="15" width="10.59765625" customWidth="1"/>
    <col min="17" max="17" width="13.1328125" customWidth="1"/>
    <col min="19" max="19" width="13.1328125" customWidth="1"/>
  </cols>
  <sheetData>
    <row r="1" spans="1:18" x14ac:dyDescent="0.45">
      <c r="A1" s="67" t="s">
        <v>107</v>
      </c>
      <c r="B1" s="65"/>
      <c r="C1" s="66"/>
      <c r="E1" s="68" t="s">
        <v>154</v>
      </c>
      <c r="F1" s="68"/>
      <c r="G1" s="68"/>
      <c r="I1" s="68" t="s">
        <v>140</v>
      </c>
      <c r="J1" s="69"/>
      <c r="K1" s="69"/>
      <c r="L1" s="69"/>
      <c r="M1" s="69"/>
      <c r="N1" s="69"/>
      <c r="O1" s="69"/>
    </row>
    <row r="2" spans="1:18" ht="28.5" x14ac:dyDescent="0.45">
      <c r="A2" s="1" t="s">
        <v>94</v>
      </c>
      <c r="B2" s="36">
        <v>175</v>
      </c>
      <c r="C2" s="64" t="s">
        <v>92</v>
      </c>
      <c r="D2" s="24"/>
      <c r="E2" s="38" t="s">
        <v>105</v>
      </c>
      <c r="F2" s="33">
        <f>SUM(F3:F6)</f>
        <v>119000</v>
      </c>
      <c r="G2" s="63" t="s">
        <v>95</v>
      </c>
      <c r="J2" s="125" t="s">
        <v>90</v>
      </c>
      <c r="K2" s="126"/>
      <c r="L2" s="126"/>
      <c r="M2" s="126"/>
      <c r="N2" s="126"/>
      <c r="O2" s="127"/>
    </row>
    <row r="3" spans="1:18" x14ac:dyDescent="0.45">
      <c r="A3" s="16" t="s">
        <v>91</v>
      </c>
      <c r="B3" s="13">
        <v>100</v>
      </c>
      <c r="C3" s="31">
        <f>B3/175</f>
        <v>0.5714285714285714</v>
      </c>
      <c r="D3" s="24"/>
      <c r="E3" s="16" t="s">
        <v>91</v>
      </c>
      <c r="F3" s="34">
        <v>59000</v>
      </c>
      <c r="G3" s="37">
        <f>F3-D12</f>
        <v>25269.440000000002</v>
      </c>
      <c r="I3" s="32" t="s">
        <v>1</v>
      </c>
      <c r="J3" s="42" t="s">
        <v>32</v>
      </c>
      <c r="K3" s="43" t="s">
        <v>86</v>
      </c>
      <c r="L3" s="43" t="s">
        <v>27</v>
      </c>
      <c r="M3" s="43" t="s">
        <v>26</v>
      </c>
      <c r="N3" s="43" t="s">
        <v>87</v>
      </c>
      <c r="O3" s="44" t="s">
        <v>88</v>
      </c>
    </row>
    <row r="4" spans="1:18" x14ac:dyDescent="0.45">
      <c r="A4" s="16" t="s">
        <v>27</v>
      </c>
      <c r="B4" s="13">
        <v>60</v>
      </c>
      <c r="C4" s="31">
        <f>B4/175</f>
        <v>0.34285714285714286</v>
      </c>
      <c r="D4" s="24"/>
      <c r="E4" s="16" t="s">
        <v>27</v>
      </c>
      <c r="F4" s="35">
        <v>45000</v>
      </c>
      <c r="G4" s="37">
        <f>F4-D13</f>
        <v>7494.82</v>
      </c>
      <c r="I4" s="13">
        <v>2017</v>
      </c>
      <c r="J4" s="13">
        <v>44963.42</v>
      </c>
      <c r="K4" s="13">
        <v>4418.1499999999996</v>
      </c>
      <c r="L4" s="13">
        <v>32848.46</v>
      </c>
      <c r="M4" s="13">
        <v>8413.7999999999993</v>
      </c>
      <c r="N4" s="13">
        <v>114.08</v>
      </c>
      <c r="O4" s="13">
        <v>17052.41</v>
      </c>
    </row>
    <row r="5" spans="1:18" x14ac:dyDescent="0.45">
      <c r="A5" s="16" t="s">
        <v>86</v>
      </c>
      <c r="B5" s="30">
        <v>5</v>
      </c>
      <c r="C5" s="31">
        <f>B5/175</f>
        <v>2.8571428571428571E-2</v>
      </c>
      <c r="D5" s="24"/>
      <c r="E5" s="16" t="s">
        <v>86</v>
      </c>
      <c r="F5" s="35">
        <f>B5*1000</f>
        <v>5000</v>
      </c>
      <c r="G5" s="39"/>
      <c r="I5" s="13">
        <v>2018</v>
      </c>
      <c r="J5" s="13">
        <v>45399.22</v>
      </c>
      <c r="K5" s="13">
        <v>4517.45</v>
      </c>
      <c r="L5" s="13">
        <v>35138.15</v>
      </c>
      <c r="M5" s="13">
        <v>9075.5</v>
      </c>
      <c r="N5" s="13">
        <v>138.30000000000001</v>
      </c>
      <c r="O5" s="13">
        <v>25212.26</v>
      </c>
    </row>
    <row r="6" spans="1:18" x14ac:dyDescent="0.45">
      <c r="A6" s="16" t="s">
        <v>26</v>
      </c>
      <c r="B6" s="30">
        <v>10</v>
      </c>
      <c r="C6" s="31">
        <f>B6/175</f>
        <v>5.7142857142857141E-2</v>
      </c>
      <c r="D6" s="24"/>
      <c r="E6" s="16" t="s">
        <v>26</v>
      </c>
      <c r="F6" s="36">
        <f>B6*1000</f>
        <v>10000</v>
      </c>
      <c r="G6" s="40"/>
      <c r="I6" s="13">
        <v>2019</v>
      </c>
      <c r="J6" s="16">
        <v>45399.22</v>
      </c>
      <c r="K6" s="13">
        <v>4671.5600000000004</v>
      </c>
      <c r="L6" s="13">
        <v>37505.18</v>
      </c>
      <c r="M6" s="13">
        <v>9861.31</v>
      </c>
      <c r="N6" s="13">
        <v>139.80000000000001</v>
      </c>
      <c r="O6" s="13">
        <v>33730.559999999998</v>
      </c>
    </row>
    <row r="7" spans="1:18" x14ac:dyDescent="0.45">
      <c r="A7" s="45" t="s">
        <v>104</v>
      </c>
      <c r="C7" s="24"/>
      <c r="D7" s="24"/>
      <c r="E7" s="45" t="s">
        <v>209</v>
      </c>
      <c r="F7" s="12"/>
      <c r="G7" s="12"/>
      <c r="I7" s="45" t="s">
        <v>139</v>
      </c>
    </row>
    <row r="8" spans="1:18" x14ac:dyDescent="0.45">
      <c r="A8" s="45"/>
      <c r="C8" s="24"/>
      <c r="D8" s="24"/>
      <c r="E8" s="24"/>
      <c r="F8" s="12"/>
      <c r="G8" s="45"/>
      <c r="H8" s="12"/>
    </row>
    <row r="9" spans="1:18" x14ac:dyDescent="0.45">
      <c r="A9" s="70" t="s">
        <v>149</v>
      </c>
      <c r="B9" s="69"/>
      <c r="C9" s="71"/>
      <c r="D9" s="71"/>
      <c r="E9" s="71"/>
      <c r="F9" s="72"/>
      <c r="G9" s="72"/>
      <c r="H9" s="12"/>
    </row>
    <row r="10" spans="1:18" x14ac:dyDescent="0.45">
      <c r="A10" s="110" t="s">
        <v>40</v>
      </c>
      <c r="B10" s="112" t="s">
        <v>90</v>
      </c>
      <c r="C10" s="112"/>
      <c r="D10" s="112"/>
      <c r="E10" s="112"/>
      <c r="F10" s="112"/>
      <c r="G10" s="121"/>
      <c r="H10" s="27"/>
      <c r="I10" s="27"/>
      <c r="R10" s="28"/>
    </row>
    <row r="11" spans="1:18" x14ac:dyDescent="0.45">
      <c r="A11" s="111"/>
      <c r="B11" s="20">
        <v>2017</v>
      </c>
      <c r="C11" s="20">
        <v>2018</v>
      </c>
      <c r="D11" s="20">
        <v>2019</v>
      </c>
      <c r="E11" s="20">
        <v>2020</v>
      </c>
      <c r="F11" s="20">
        <v>2021</v>
      </c>
      <c r="G11" s="20">
        <v>2022</v>
      </c>
      <c r="I11" s="11"/>
    </row>
    <row r="12" spans="1:18" x14ac:dyDescent="0.45">
      <c r="A12" s="16" t="s">
        <v>28</v>
      </c>
      <c r="B12" s="29">
        <f>O4</f>
        <v>17052.41</v>
      </c>
      <c r="C12" s="29">
        <f>O5</f>
        <v>25212.26</v>
      </c>
      <c r="D12" s="29">
        <f>O6</f>
        <v>33730.559999999998</v>
      </c>
      <c r="E12" s="46">
        <f>D12+$G$3/3</f>
        <v>42153.706666666665</v>
      </c>
      <c r="F12" s="46">
        <f>E12+$G$3/3</f>
        <v>50576.853333333333</v>
      </c>
      <c r="G12" s="47">
        <f>F12+$G$3/3</f>
        <v>59000</v>
      </c>
      <c r="H12" t="s">
        <v>93</v>
      </c>
      <c r="I12" s="24"/>
    </row>
    <row r="13" spans="1:18" x14ac:dyDescent="0.45">
      <c r="A13" s="16" t="s">
        <v>27</v>
      </c>
      <c r="B13" s="29">
        <f>L4</f>
        <v>32848.46</v>
      </c>
      <c r="C13" s="29">
        <f>L5</f>
        <v>35138.15</v>
      </c>
      <c r="D13" s="29">
        <f>L6</f>
        <v>37505.18</v>
      </c>
      <c r="E13" s="48">
        <f>D13+$G$4/3</f>
        <v>40003.453333333331</v>
      </c>
      <c r="F13" s="48">
        <f>E13+$G$4/3</f>
        <v>42501.726666666662</v>
      </c>
      <c r="G13" s="49">
        <f>F13+$G$4/3</f>
        <v>44999.999999999993</v>
      </c>
      <c r="H13" t="s">
        <v>108</v>
      </c>
    </row>
    <row r="14" spans="1:18" x14ac:dyDescent="0.45">
      <c r="A14" s="16" t="s">
        <v>26</v>
      </c>
      <c r="B14" s="29">
        <f>M4</f>
        <v>8413.7999999999993</v>
      </c>
      <c r="C14" s="29">
        <f>M5</f>
        <v>9075.5</v>
      </c>
      <c r="D14" s="29">
        <f>M6</f>
        <v>9861.31</v>
      </c>
      <c r="E14" s="48">
        <f>TREND($C$14:$D$14,$C$11:$D$11,E11)</f>
        <v>10647.120000000112</v>
      </c>
      <c r="F14" s="48">
        <f>TREND($C$14:$D$14,$C$11:$D$11,F11)</f>
        <v>11432.930000000168</v>
      </c>
      <c r="G14" s="49">
        <f>TREND($C$14:$D$14,$C$11:$D$11,G11)</f>
        <v>12218.739999999991</v>
      </c>
      <c r="H14" t="s">
        <v>93</v>
      </c>
    </row>
    <row r="15" spans="1:18" x14ac:dyDescent="0.45">
      <c r="A15" s="16" t="s">
        <v>86</v>
      </c>
      <c r="B15" s="29">
        <f>K4</f>
        <v>4418.1499999999996</v>
      </c>
      <c r="C15" s="29">
        <f>K5</f>
        <v>4517.45</v>
      </c>
      <c r="D15" s="29">
        <f>K6</f>
        <v>4671.5600000000004</v>
      </c>
      <c r="E15" s="48">
        <f>TREND($C$15:$D$15,$C$11:$D$11,E11)</f>
        <v>4825.6699999999837</v>
      </c>
      <c r="F15" s="48">
        <f>TREND($C$15:$D$15,$C$11:$D$11,F11)</f>
        <v>4979.7799999999697</v>
      </c>
      <c r="G15" s="49">
        <f>TREND($C$15:$D$15,$C$11:$D$11,G11)</f>
        <v>5133.8899999999558</v>
      </c>
      <c r="H15" t="s">
        <v>109</v>
      </c>
    </row>
    <row r="16" spans="1:18" x14ac:dyDescent="0.45">
      <c r="A16" s="16" t="s">
        <v>87</v>
      </c>
      <c r="B16" s="29">
        <f>N4</f>
        <v>114.08</v>
      </c>
      <c r="C16" s="29">
        <f>N5</f>
        <v>138.30000000000001</v>
      </c>
      <c r="D16" s="29">
        <f>N6</f>
        <v>139.80000000000001</v>
      </c>
      <c r="E16" s="50">
        <f>TREND($C$16:$D$16,$C$11:$D$11,E11)</f>
        <v>141.30000000000018</v>
      </c>
      <c r="F16" s="50">
        <f>TREND($C$16:$D$16,$C$11:$D$11,F11)</f>
        <v>142.80000000000018</v>
      </c>
      <c r="G16" s="51">
        <f>TREND($C$16:$D$16,$C$11:$D$11,G11)</f>
        <v>144.30000000000018</v>
      </c>
      <c r="H16" t="s">
        <v>93</v>
      </c>
    </row>
    <row r="18" spans="1:18" x14ac:dyDescent="0.45">
      <c r="A18" s="68" t="s">
        <v>138</v>
      </c>
      <c r="B18" s="69"/>
      <c r="C18" s="69"/>
      <c r="D18" s="69"/>
      <c r="E18" s="69"/>
      <c r="F18" s="69"/>
      <c r="I18" s="68" t="s">
        <v>160</v>
      </c>
      <c r="J18" s="69"/>
      <c r="K18" s="69"/>
      <c r="L18" s="69"/>
      <c r="M18" s="69"/>
      <c r="N18" s="69"/>
      <c r="O18" s="69"/>
    </row>
    <row r="19" spans="1:18" x14ac:dyDescent="0.45">
      <c r="A19" s="110" t="s">
        <v>40</v>
      </c>
      <c r="B19" s="112" t="s">
        <v>110</v>
      </c>
      <c r="C19" s="112"/>
      <c r="D19" s="112"/>
      <c r="E19" s="112"/>
      <c r="F19" s="112"/>
      <c r="H19" s="75"/>
      <c r="J19" s="125" t="s">
        <v>90</v>
      </c>
      <c r="K19" s="126"/>
      <c r="L19" s="126"/>
      <c r="M19" s="126"/>
      <c r="N19" s="126"/>
      <c r="O19" s="127"/>
    </row>
    <row r="20" spans="1:18" x14ac:dyDescent="0.45">
      <c r="A20" s="111"/>
      <c r="B20" s="52">
        <v>2018</v>
      </c>
      <c r="C20" s="52">
        <v>2019</v>
      </c>
      <c r="D20" s="52">
        <v>2020</v>
      </c>
      <c r="E20" s="52">
        <v>2021</v>
      </c>
      <c r="F20" s="53">
        <v>2022</v>
      </c>
      <c r="H20" s="24"/>
      <c r="I20" s="32" t="s">
        <v>1</v>
      </c>
      <c r="J20" s="42" t="s">
        <v>142</v>
      </c>
      <c r="K20" s="43" t="s">
        <v>143</v>
      </c>
      <c r="L20" s="43" t="s">
        <v>18</v>
      </c>
      <c r="M20" s="43" t="s">
        <v>32</v>
      </c>
      <c r="N20" s="43" t="s">
        <v>50</v>
      </c>
      <c r="O20" s="44" t="s">
        <v>161</v>
      </c>
    </row>
    <row r="21" spans="1:18" x14ac:dyDescent="0.45">
      <c r="A21" s="16" t="s">
        <v>28</v>
      </c>
      <c r="B21" s="86">
        <f>C12-B12</f>
        <v>8159.8499999999985</v>
      </c>
      <c r="C21" s="86">
        <f>D12-C12</f>
        <v>8518.2999999999993</v>
      </c>
      <c r="D21" s="54">
        <f>E12-D12</f>
        <v>8423.1466666666674</v>
      </c>
      <c r="E21" s="54">
        <f>F12-E12</f>
        <v>8423.1466666666674</v>
      </c>
      <c r="F21" s="55">
        <f>G12-F12</f>
        <v>8423.1466666666674</v>
      </c>
      <c r="H21" s="24"/>
      <c r="I21" s="13">
        <v>2017</v>
      </c>
      <c r="J21" s="13">
        <v>192971.5</v>
      </c>
      <c r="K21" s="13">
        <v>25150.38</v>
      </c>
      <c r="L21" s="13">
        <v>6780</v>
      </c>
      <c r="M21" s="13">
        <v>44963.42</v>
      </c>
      <c r="N21" s="13">
        <v>0</v>
      </c>
      <c r="O21" s="13">
        <v>837.63</v>
      </c>
    </row>
    <row r="22" spans="1:18" x14ac:dyDescent="0.45">
      <c r="A22" s="16" t="s">
        <v>27</v>
      </c>
      <c r="B22" s="87">
        <f t="shared" ref="B22:F22" si="0">C13-B13</f>
        <v>2289.6900000000023</v>
      </c>
      <c r="C22" s="87">
        <f t="shared" si="0"/>
        <v>2367.0299999999988</v>
      </c>
      <c r="D22" s="56">
        <f t="shared" si="0"/>
        <v>2498.2733333333308</v>
      </c>
      <c r="E22" s="56">
        <f t="shared" si="0"/>
        <v>2498.2733333333308</v>
      </c>
      <c r="F22" s="57">
        <f t="shared" si="0"/>
        <v>2498.2733333333308</v>
      </c>
      <c r="H22" s="41"/>
      <c r="I22" s="13">
        <v>2018</v>
      </c>
      <c r="J22" s="13">
        <v>191092.5</v>
      </c>
      <c r="K22" s="13">
        <v>24937.22</v>
      </c>
      <c r="L22" s="13">
        <v>6780</v>
      </c>
      <c r="M22" s="13">
        <v>45399.22</v>
      </c>
      <c r="N22" s="13">
        <v>6360</v>
      </c>
      <c r="O22" s="13">
        <v>637.63</v>
      </c>
    </row>
    <row r="23" spans="1:18" x14ac:dyDescent="0.45">
      <c r="A23" s="16" t="s">
        <v>26</v>
      </c>
      <c r="B23" s="87">
        <f t="shared" ref="B23" si="1">C14-B14</f>
        <v>661.70000000000073</v>
      </c>
      <c r="C23" s="87">
        <f t="shared" ref="C23:F25" si="2">D14-C14</f>
        <v>785.80999999999949</v>
      </c>
      <c r="D23" s="56">
        <f t="shared" si="2"/>
        <v>785.81000000011227</v>
      </c>
      <c r="E23" s="56">
        <f t="shared" si="2"/>
        <v>785.81000000005588</v>
      </c>
      <c r="F23" s="57">
        <f t="shared" si="2"/>
        <v>785.80999999982305</v>
      </c>
      <c r="H23" s="24"/>
      <c r="I23" s="13">
        <v>2019</v>
      </c>
      <c r="J23" s="13">
        <v>198494.5</v>
      </c>
      <c r="K23" s="13">
        <v>24937.22</v>
      </c>
      <c r="L23" s="13">
        <v>6780</v>
      </c>
      <c r="M23" s="16">
        <v>45399.22</v>
      </c>
      <c r="N23" s="13">
        <v>6760</v>
      </c>
      <c r="O23" s="13">
        <v>509.71</v>
      </c>
    </row>
    <row r="24" spans="1:18" x14ac:dyDescent="0.45">
      <c r="A24" s="16" t="s">
        <v>86</v>
      </c>
      <c r="B24" s="87">
        <f>C15-B15</f>
        <v>99.300000000000182</v>
      </c>
      <c r="C24" s="87">
        <f t="shared" si="2"/>
        <v>154.11000000000058</v>
      </c>
      <c r="D24" s="56">
        <f t="shared" si="2"/>
        <v>154.1099999999833</v>
      </c>
      <c r="E24" s="56">
        <f t="shared" si="2"/>
        <v>154.10999999998603</v>
      </c>
      <c r="F24" s="57">
        <f t="shared" si="2"/>
        <v>154.10999999998603</v>
      </c>
      <c r="I24" s="45" t="s">
        <v>139</v>
      </c>
    </row>
    <row r="25" spans="1:18" x14ac:dyDescent="0.45">
      <c r="A25" s="16" t="s">
        <v>87</v>
      </c>
      <c r="B25" s="88">
        <f>C16-B16</f>
        <v>24.220000000000013</v>
      </c>
      <c r="C25" s="88">
        <f t="shared" si="2"/>
        <v>1.5</v>
      </c>
      <c r="D25" s="58">
        <f t="shared" si="2"/>
        <v>1.5000000000001705</v>
      </c>
      <c r="E25" s="58">
        <f t="shared" si="2"/>
        <v>1.5</v>
      </c>
      <c r="F25" s="59">
        <f t="shared" si="2"/>
        <v>1.5</v>
      </c>
    </row>
    <row r="26" spans="1:18" x14ac:dyDescent="0.45">
      <c r="B26" t="s">
        <v>137</v>
      </c>
      <c r="D26" t="s">
        <v>136</v>
      </c>
    </row>
    <row r="27" spans="1:18" ht="14.65" thickBot="1" x14ac:dyDescent="0.5"/>
    <row r="28" spans="1:18" ht="26.65" x14ac:dyDescent="0.45">
      <c r="A28" s="70" t="s">
        <v>150</v>
      </c>
      <c r="B28" s="69"/>
      <c r="C28" s="71"/>
      <c r="D28" s="71"/>
      <c r="E28" s="71"/>
      <c r="F28" s="72"/>
      <c r="G28" s="72"/>
      <c r="H28" s="12"/>
      <c r="J28" s="100" t="s">
        <v>34</v>
      </c>
      <c r="K28" s="90" t="s">
        <v>19</v>
      </c>
      <c r="L28" s="91" t="s">
        <v>20</v>
      </c>
    </row>
    <row r="29" spans="1:18" x14ac:dyDescent="0.45">
      <c r="A29" s="110" t="s">
        <v>40</v>
      </c>
      <c r="B29" s="120" t="s">
        <v>90</v>
      </c>
      <c r="C29" s="112"/>
      <c r="D29" s="112"/>
      <c r="E29" s="112"/>
      <c r="F29" s="112"/>
      <c r="G29" s="121"/>
      <c r="H29" s="27"/>
      <c r="I29" s="27"/>
      <c r="J29" s="92" t="s">
        <v>17</v>
      </c>
      <c r="K29" s="93">
        <v>47855</v>
      </c>
      <c r="L29" s="94">
        <v>0</v>
      </c>
      <c r="R29" s="28"/>
    </row>
    <row r="30" spans="1:18" x14ac:dyDescent="0.45">
      <c r="A30" s="111"/>
      <c r="B30" s="99">
        <v>2017</v>
      </c>
      <c r="C30" s="20">
        <v>2018</v>
      </c>
      <c r="D30" s="20">
        <v>2019</v>
      </c>
      <c r="E30" s="20">
        <v>2020</v>
      </c>
      <c r="F30" s="20">
        <v>2021</v>
      </c>
      <c r="G30" s="20">
        <v>2022</v>
      </c>
      <c r="I30" s="11"/>
      <c r="J30" s="92" t="s">
        <v>18</v>
      </c>
      <c r="K30" s="93">
        <v>3300</v>
      </c>
      <c r="L30" s="94">
        <v>6800</v>
      </c>
    </row>
    <row r="31" spans="1:18" ht="27" customHeight="1" x14ac:dyDescent="0.45">
      <c r="A31" s="16" t="s">
        <v>142</v>
      </c>
      <c r="B31" s="29">
        <f>J21</f>
        <v>192971.5</v>
      </c>
      <c r="C31" s="29">
        <f>J22</f>
        <v>191092.5</v>
      </c>
      <c r="D31" s="29">
        <f>J23</f>
        <v>198494.5</v>
      </c>
      <c r="E31" s="47">
        <f>D31+$K$29/5</f>
        <v>208065.5</v>
      </c>
      <c r="F31" s="47">
        <f>E31+$K$29/5</f>
        <v>217636.5</v>
      </c>
      <c r="G31" s="47">
        <f>F31+$K$29/5</f>
        <v>227207.5</v>
      </c>
      <c r="H31" t="s">
        <v>93</v>
      </c>
      <c r="I31" s="24"/>
      <c r="J31" s="95" t="s">
        <v>35</v>
      </c>
      <c r="K31" s="93">
        <v>406.15</v>
      </c>
      <c r="L31" s="94">
        <v>0</v>
      </c>
    </row>
    <row r="32" spans="1:18" ht="14.65" thickBot="1" x14ac:dyDescent="0.5">
      <c r="A32" s="16" t="s">
        <v>147</v>
      </c>
      <c r="B32" s="29">
        <f>K21-B36</f>
        <v>24800.38</v>
      </c>
      <c r="C32" s="29">
        <f>K22-C36</f>
        <v>24587.22</v>
      </c>
      <c r="D32" s="29">
        <f>K23-D36</f>
        <v>24587.22</v>
      </c>
      <c r="E32" s="49">
        <f>D32+$K$31/5</f>
        <v>24668.45</v>
      </c>
      <c r="F32" s="49">
        <f>E32+$K$31/5</f>
        <v>24749.68</v>
      </c>
      <c r="G32" s="49">
        <f>F32+$K$31/5</f>
        <v>24830.91</v>
      </c>
      <c r="H32" t="s">
        <v>93</v>
      </c>
      <c r="J32" s="96" t="s">
        <v>21</v>
      </c>
      <c r="K32" s="97">
        <v>6822.5</v>
      </c>
      <c r="L32" s="98">
        <v>0</v>
      </c>
    </row>
    <row r="33" spans="1:16" x14ac:dyDescent="0.45">
      <c r="A33" s="16" t="s">
        <v>18</v>
      </c>
      <c r="B33" s="29">
        <f>L21</f>
        <v>6780</v>
      </c>
      <c r="C33" s="29">
        <f>L22</f>
        <v>6780</v>
      </c>
      <c r="D33" s="29">
        <f>L23</f>
        <v>6780</v>
      </c>
      <c r="E33" s="49">
        <f>D33+$K$30/5</f>
        <v>7440</v>
      </c>
      <c r="F33" s="49">
        <f>E33+$K$30/5</f>
        <v>8100</v>
      </c>
      <c r="G33" s="49">
        <f>F33+$K$30/5</f>
        <v>8760</v>
      </c>
      <c r="H33" t="s">
        <v>93</v>
      </c>
      <c r="J33" s="113" t="s">
        <v>106</v>
      </c>
      <c r="K33" s="114"/>
      <c r="L33" s="114"/>
    </row>
    <row r="34" spans="1:16" x14ac:dyDescent="0.45">
      <c r="A34" s="16" t="s">
        <v>32</v>
      </c>
      <c r="B34" s="29">
        <f>M21</f>
        <v>44963.42</v>
      </c>
      <c r="C34" s="29">
        <f>M22</f>
        <v>45399.22</v>
      </c>
      <c r="D34" s="29">
        <f>M23</f>
        <v>45399.22</v>
      </c>
      <c r="E34" s="49">
        <f>D34+$K$32/5</f>
        <v>46763.72</v>
      </c>
      <c r="F34" s="49">
        <f>E34+$K$32/5</f>
        <v>48128.22</v>
      </c>
      <c r="G34" s="49">
        <f>F34+$K$32/5</f>
        <v>49492.72</v>
      </c>
      <c r="H34" t="s">
        <v>93</v>
      </c>
    </row>
    <row r="35" spans="1:16" x14ac:dyDescent="0.45">
      <c r="A35" s="16" t="s">
        <v>50</v>
      </c>
      <c r="B35" s="29">
        <f>N21</f>
        <v>0</v>
      </c>
      <c r="C35" s="29">
        <f>N22</f>
        <v>6360</v>
      </c>
      <c r="D35" s="29">
        <f>N23</f>
        <v>6760</v>
      </c>
      <c r="E35" s="49">
        <v>0</v>
      </c>
      <c r="F35" s="49">
        <v>0</v>
      </c>
      <c r="G35" s="49">
        <v>0</v>
      </c>
      <c r="H35" t="s">
        <v>151</v>
      </c>
    </row>
    <row r="36" spans="1:16" x14ac:dyDescent="0.45">
      <c r="A36" s="16" t="s">
        <v>148</v>
      </c>
      <c r="B36" s="29">
        <f>B51</f>
        <v>350</v>
      </c>
      <c r="C36" s="29">
        <f>B51</f>
        <v>350</v>
      </c>
      <c r="D36" s="29">
        <f>B51</f>
        <v>350</v>
      </c>
      <c r="E36" s="49">
        <v>0</v>
      </c>
      <c r="F36" s="49">
        <v>0</v>
      </c>
      <c r="G36" s="49">
        <v>0</v>
      </c>
      <c r="H36" t="s">
        <v>152</v>
      </c>
    </row>
    <row r="37" spans="1:16" x14ac:dyDescent="0.45">
      <c r="A37" s="16" t="s">
        <v>161</v>
      </c>
      <c r="B37" s="29">
        <f>O21</f>
        <v>837.63</v>
      </c>
      <c r="C37" s="29">
        <f>O22</f>
        <v>637.63</v>
      </c>
      <c r="D37" s="29">
        <f>O23</f>
        <v>509.71</v>
      </c>
      <c r="E37" s="51">
        <v>0</v>
      </c>
      <c r="F37" s="51">
        <v>0</v>
      </c>
      <c r="G37" s="51">
        <v>0</v>
      </c>
      <c r="H37" t="s">
        <v>93</v>
      </c>
    </row>
    <row r="39" spans="1:16" x14ac:dyDescent="0.45">
      <c r="A39" s="68" t="s">
        <v>144</v>
      </c>
      <c r="B39" s="69"/>
      <c r="C39" s="69"/>
      <c r="D39" s="69"/>
      <c r="E39" s="69"/>
      <c r="F39" s="69"/>
      <c r="G39" s="69"/>
    </row>
    <row r="40" spans="1:16" x14ac:dyDescent="0.45">
      <c r="A40" s="110" t="s">
        <v>40</v>
      </c>
      <c r="B40" s="122" t="s">
        <v>110</v>
      </c>
      <c r="C40" s="122"/>
      <c r="D40" s="122"/>
      <c r="E40" s="122"/>
      <c r="F40" s="122"/>
      <c r="G40" s="123"/>
      <c r="H40" s="123"/>
      <c r="I40" s="123"/>
      <c r="J40" s="123"/>
      <c r="K40" s="124"/>
      <c r="M40" s="28"/>
    </row>
    <row r="41" spans="1:16" x14ac:dyDescent="0.45">
      <c r="A41" s="111"/>
      <c r="B41" s="53">
        <v>2018</v>
      </c>
      <c r="C41" s="52">
        <v>2019</v>
      </c>
      <c r="D41" s="52">
        <v>2020</v>
      </c>
      <c r="E41" s="52">
        <v>2021</v>
      </c>
      <c r="F41" s="53">
        <v>2022</v>
      </c>
      <c r="G41" s="52">
        <v>2023</v>
      </c>
      <c r="H41" s="52">
        <v>2024</v>
      </c>
      <c r="I41" s="52">
        <v>2025</v>
      </c>
      <c r="J41" s="52">
        <v>2026</v>
      </c>
      <c r="K41" s="53">
        <v>2027</v>
      </c>
    </row>
    <row r="42" spans="1:16" x14ac:dyDescent="0.45">
      <c r="A42" s="16" t="s">
        <v>142</v>
      </c>
      <c r="B42" s="86">
        <f>C31-(B31-'BCRbQ Data'!B2)</f>
        <v>110</v>
      </c>
      <c r="C42" s="86">
        <f>D31-(C31-'BCRbQ Data'!C2)</f>
        <v>8697</v>
      </c>
      <c r="D42" s="54">
        <f>E31-D31</f>
        <v>9571</v>
      </c>
      <c r="E42" s="54">
        <f>F31-E31</f>
        <v>9571</v>
      </c>
      <c r="F42" s="54">
        <f t="shared" ref="F42" si="3">G31-F31</f>
        <v>9571</v>
      </c>
      <c r="G42" s="54">
        <f>$L$29/5</f>
        <v>0</v>
      </c>
      <c r="H42" s="54">
        <f t="shared" ref="H42:K42" si="4">$L$29/5</f>
        <v>0</v>
      </c>
      <c r="I42" s="54">
        <f t="shared" si="4"/>
        <v>0</v>
      </c>
      <c r="J42" s="54">
        <f t="shared" si="4"/>
        <v>0</v>
      </c>
      <c r="K42" s="54">
        <f t="shared" si="4"/>
        <v>0</v>
      </c>
    </row>
    <row r="43" spans="1:16" x14ac:dyDescent="0.45">
      <c r="A43" s="16" t="s">
        <v>147</v>
      </c>
      <c r="B43" s="87">
        <f>IF((C32-(B32-'BCRbQ Data'!B3))&lt;=0,1,C32-(B32-'BCRbQ Data'!B3))</f>
        <v>1</v>
      </c>
      <c r="C43" s="87">
        <f t="shared" ref="B43:C47" si="5">IF((D32-C32)&lt;=0,1,D32-C32)</f>
        <v>1</v>
      </c>
      <c r="D43" s="56">
        <f t="shared" ref="D43:F45" si="6">E32-D32</f>
        <v>81.229999999999563</v>
      </c>
      <c r="E43" s="56">
        <f t="shared" si="6"/>
        <v>81.229999999999563</v>
      </c>
      <c r="F43" s="56">
        <f t="shared" si="6"/>
        <v>81.229999999999563</v>
      </c>
      <c r="G43" s="56">
        <f>$L$31/5</f>
        <v>0</v>
      </c>
      <c r="H43" s="56">
        <f t="shared" ref="H43:K43" si="7">$L$31/5</f>
        <v>0</v>
      </c>
      <c r="I43" s="56">
        <f t="shared" si="7"/>
        <v>0</v>
      </c>
      <c r="J43" s="56">
        <f>$L$31/5</f>
        <v>0</v>
      </c>
      <c r="K43" s="56">
        <f t="shared" si="7"/>
        <v>0</v>
      </c>
      <c r="M43" s="28"/>
      <c r="N43" s="28"/>
    </row>
    <row r="44" spans="1:16" x14ac:dyDescent="0.45">
      <c r="A44" s="16" t="s">
        <v>18</v>
      </c>
      <c r="B44" s="87">
        <f t="shared" si="5"/>
        <v>1</v>
      </c>
      <c r="C44" s="87">
        <f t="shared" si="5"/>
        <v>1</v>
      </c>
      <c r="D44" s="56">
        <f t="shared" si="6"/>
        <v>660</v>
      </c>
      <c r="E44" s="56">
        <f t="shared" si="6"/>
        <v>660</v>
      </c>
      <c r="F44" s="56">
        <f t="shared" si="6"/>
        <v>660</v>
      </c>
      <c r="G44" s="56">
        <f>$L$30/5</f>
        <v>1360</v>
      </c>
      <c r="H44" s="56">
        <f t="shared" ref="H44:K44" si="8">$L$30/5</f>
        <v>1360</v>
      </c>
      <c r="I44" s="56">
        <f t="shared" si="8"/>
        <v>1360</v>
      </c>
      <c r="J44" s="56">
        <f t="shared" si="8"/>
        <v>1360</v>
      </c>
      <c r="K44" s="56">
        <f t="shared" si="8"/>
        <v>1360</v>
      </c>
      <c r="M44" s="28"/>
    </row>
    <row r="45" spans="1:16" x14ac:dyDescent="0.45">
      <c r="A45" s="16" t="s">
        <v>32</v>
      </c>
      <c r="B45" s="87">
        <f t="shared" si="5"/>
        <v>435.80000000000291</v>
      </c>
      <c r="C45" s="87">
        <f t="shared" si="5"/>
        <v>1</v>
      </c>
      <c r="D45" s="56">
        <f t="shared" si="6"/>
        <v>1364.5</v>
      </c>
      <c r="E45" s="56">
        <f t="shared" si="6"/>
        <v>1364.5</v>
      </c>
      <c r="F45" s="56">
        <f t="shared" si="6"/>
        <v>1364.5</v>
      </c>
      <c r="G45" s="56">
        <f>$L$32/5</f>
        <v>0</v>
      </c>
      <c r="H45" s="56">
        <f t="shared" ref="H45:K45" si="9">$L$32/5</f>
        <v>0</v>
      </c>
      <c r="I45" s="56">
        <f t="shared" si="9"/>
        <v>0</v>
      </c>
      <c r="J45" s="56">
        <f t="shared" si="9"/>
        <v>0</v>
      </c>
      <c r="K45" s="56">
        <f t="shared" si="9"/>
        <v>0</v>
      </c>
    </row>
    <row r="46" spans="1:16" x14ac:dyDescent="0.45">
      <c r="A46" s="16" t="s">
        <v>50</v>
      </c>
      <c r="B46" s="87">
        <f>C35-(B35-'BCRbQ Data'!B13)</f>
        <v>6360</v>
      </c>
      <c r="C46" s="87">
        <f>D35-(C35-'BCRbQ Data'!C13)</f>
        <v>500</v>
      </c>
      <c r="D46" s="56">
        <f>MAX(0,E35-D35)</f>
        <v>0</v>
      </c>
      <c r="E46" s="56">
        <f t="shared" ref="E46:F48" si="10">F35-E35</f>
        <v>0</v>
      </c>
      <c r="F46" s="56">
        <f t="shared" si="10"/>
        <v>0</v>
      </c>
      <c r="G46" s="56">
        <f>0</f>
        <v>0</v>
      </c>
      <c r="H46" s="56">
        <f>0</f>
        <v>0</v>
      </c>
      <c r="I46" s="56">
        <f>0</f>
        <v>0</v>
      </c>
      <c r="J46" s="56">
        <f>0</f>
        <v>0</v>
      </c>
      <c r="K46" s="56">
        <f>0</f>
        <v>0</v>
      </c>
    </row>
    <row r="47" spans="1:16" x14ac:dyDescent="0.45">
      <c r="A47" s="16" t="s">
        <v>148</v>
      </c>
      <c r="B47" s="87">
        <f t="shared" si="5"/>
        <v>1</v>
      </c>
      <c r="C47" s="87">
        <f t="shared" si="5"/>
        <v>1</v>
      </c>
      <c r="D47" s="56">
        <f>MAX(0,E36-D36)</f>
        <v>0</v>
      </c>
      <c r="E47" s="56">
        <f>F36-E36</f>
        <v>0</v>
      </c>
      <c r="F47" s="56">
        <f t="shared" si="10"/>
        <v>0</v>
      </c>
      <c r="G47" s="56">
        <f>0</f>
        <v>0</v>
      </c>
      <c r="H47" s="56">
        <f>0</f>
        <v>0</v>
      </c>
      <c r="I47" s="56">
        <f>0</f>
        <v>0</v>
      </c>
      <c r="J47" s="56">
        <f>0</f>
        <v>0</v>
      </c>
      <c r="K47" s="56">
        <f>0</f>
        <v>0</v>
      </c>
      <c r="M47" s="28"/>
      <c r="O47" s="28"/>
    </row>
    <row r="48" spans="1:16" x14ac:dyDescent="0.45">
      <c r="A48" s="16" t="s">
        <v>161</v>
      </c>
      <c r="B48" s="88">
        <f>IF((C37-(B37-'BCRbQ Data'!B11))&lt;=0,1,C37-(B37-'BCRbQ Data'!B11))</f>
        <v>1</v>
      </c>
      <c r="C48" s="88">
        <f>IF((D37-(C37-'BCRbQ Data'!C11))&lt;=0,1,D37-(C37-'BCRbQ Data'!C11))</f>
        <v>1</v>
      </c>
      <c r="D48" s="58">
        <f>MAX(0,E37-D37)</f>
        <v>0</v>
      </c>
      <c r="E48" s="58">
        <f>F37-E37</f>
        <v>0</v>
      </c>
      <c r="F48" s="58">
        <f t="shared" si="10"/>
        <v>0</v>
      </c>
      <c r="G48" s="58">
        <f>F48</f>
        <v>0</v>
      </c>
      <c r="H48" s="58">
        <f t="shared" ref="H48:J48" si="11">G48</f>
        <v>0</v>
      </c>
      <c r="I48" s="58">
        <f t="shared" si="11"/>
        <v>0</v>
      </c>
      <c r="J48" s="58">
        <f t="shared" si="11"/>
        <v>0</v>
      </c>
      <c r="K48" s="58">
        <f>J48</f>
        <v>0</v>
      </c>
      <c r="M48" s="28"/>
      <c r="N48" s="28"/>
      <c r="O48" s="28"/>
      <c r="P48" s="28"/>
    </row>
    <row r="49" spans="1:4" x14ac:dyDescent="0.45">
      <c r="B49" t="s">
        <v>137</v>
      </c>
      <c r="D49" t="s">
        <v>155</v>
      </c>
    </row>
    <row r="51" spans="1:4" x14ac:dyDescent="0.45">
      <c r="A51" s="89" t="s">
        <v>145</v>
      </c>
      <c r="B51">
        <v>350</v>
      </c>
      <c r="C51" t="s">
        <v>146</v>
      </c>
      <c r="D51" t="s">
        <v>153</v>
      </c>
    </row>
    <row r="52" spans="1:4" x14ac:dyDescent="0.45">
      <c r="B52" t="s">
        <v>156</v>
      </c>
    </row>
  </sheetData>
  <mergeCells count="11">
    <mergeCell ref="J2:O2"/>
    <mergeCell ref="A19:A20"/>
    <mergeCell ref="B19:F19"/>
    <mergeCell ref="A10:A11"/>
    <mergeCell ref="B10:G10"/>
    <mergeCell ref="J19:O19"/>
    <mergeCell ref="A40:A41"/>
    <mergeCell ref="J33:L33"/>
    <mergeCell ref="A29:A30"/>
    <mergeCell ref="B29:G29"/>
    <mergeCell ref="B40:K40"/>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L7" sqref="L7"/>
    </sheetView>
  </sheetViews>
  <sheetFormatPr defaultRowHeight="14.25" x14ac:dyDescent="0.45"/>
  <cols>
    <col min="1" max="1" width="23.265625" customWidth="1"/>
    <col min="6" max="6" width="14.3984375" customWidth="1"/>
    <col min="7" max="7" width="13.59765625" customWidth="1"/>
    <col min="8" max="8" width="14.1328125" customWidth="1"/>
  </cols>
  <sheetData>
    <row r="1" spans="1:9" ht="40.5" customHeight="1" x14ac:dyDescent="0.45">
      <c r="G1" s="128" t="s">
        <v>170</v>
      </c>
      <c r="H1" s="129"/>
    </row>
    <row r="2" spans="1:9" x14ac:dyDescent="0.45">
      <c r="A2" s="1" t="s">
        <v>159</v>
      </c>
      <c r="B2" s="1">
        <v>2017</v>
      </c>
      <c r="C2" s="1">
        <v>2018</v>
      </c>
      <c r="D2" s="1">
        <v>2019</v>
      </c>
      <c r="G2" s="1">
        <v>2018</v>
      </c>
      <c r="H2" s="1">
        <v>2019</v>
      </c>
    </row>
    <row r="3" spans="1:9" x14ac:dyDescent="0.45">
      <c r="A3" t="s">
        <v>62</v>
      </c>
      <c r="B3" s="28">
        <f>'Actuals-based BPMCCS adjustment'!B31</f>
        <v>192971.5</v>
      </c>
      <c r="C3" s="28">
        <f>'Actuals-based BPMCCS adjustment'!C31</f>
        <v>191092.5</v>
      </c>
      <c r="D3" s="28">
        <f>'Actuals-based BPMCCS adjustment'!D31</f>
        <v>198494.5</v>
      </c>
      <c r="G3" s="28">
        <f>B3+BPMCCS!E2-'BCRbQ Data'!B2</f>
        <v>191092.5</v>
      </c>
      <c r="H3" s="28">
        <f>G3+BPMCCS!F2-'BCRbQ Data'!C2</f>
        <v>198494.5</v>
      </c>
    </row>
    <row r="4" spans="1:9" x14ac:dyDescent="0.45">
      <c r="A4" t="s">
        <v>63</v>
      </c>
      <c r="B4" s="28">
        <f>'Actuals-based BPMCCS adjustment'!B32</f>
        <v>24800.38</v>
      </c>
      <c r="C4" s="28">
        <f>'Actuals-based BPMCCS adjustment'!C32</f>
        <v>24587.22</v>
      </c>
      <c r="D4" s="28">
        <f>'Actuals-based BPMCCS adjustment'!D32</f>
        <v>24587.22</v>
      </c>
      <c r="G4" s="28">
        <f>B4+BPMCCS!E3-'BCRbQ Data'!B3</f>
        <v>24588.22</v>
      </c>
      <c r="H4" s="28">
        <f>G4+BPMCCS!F3-'BCRbQ Data'!C3</f>
        <v>24589.22</v>
      </c>
      <c r="I4" s="28"/>
    </row>
    <row r="5" spans="1:9" x14ac:dyDescent="0.45">
      <c r="A5" t="s">
        <v>64</v>
      </c>
      <c r="B5" s="28">
        <f>'Actuals-based BPMCCS adjustment'!B33</f>
        <v>6780</v>
      </c>
      <c r="C5" s="28">
        <f>'Actuals-based BPMCCS adjustment'!C33</f>
        <v>6780</v>
      </c>
      <c r="D5" s="28">
        <f>'Actuals-based BPMCCS adjustment'!D33</f>
        <v>6780</v>
      </c>
      <c r="F5" s="28"/>
      <c r="G5" s="28">
        <f>B5+BPMCCS!E4-'BCRbQ Data'!B4</f>
        <v>6781</v>
      </c>
      <c r="H5" s="28">
        <f>G5+BPMCCS!F4-'BCRbQ Data'!C4</f>
        <v>6782</v>
      </c>
    </row>
    <row r="6" spans="1:9" x14ac:dyDescent="0.45">
      <c r="A6" t="s">
        <v>21</v>
      </c>
      <c r="B6" s="28">
        <f>'Actuals-based BPMCCS adjustment'!B34+'Actuals-based BPMCCS adjustment'!B15</f>
        <v>49381.57</v>
      </c>
      <c r="C6" s="28">
        <f>'Actuals-based BPMCCS adjustment'!C34+'Actuals-based BPMCCS adjustment'!C15</f>
        <v>49916.67</v>
      </c>
      <c r="D6" s="28">
        <f>'Actuals-based BPMCCS adjustment'!D34+'Actuals-based BPMCCS adjustment'!D15</f>
        <v>50070.78</v>
      </c>
      <c r="E6" s="28"/>
      <c r="F6" s="28"/>
      <c r="G6" s="28">
        <f>B6+BPMCCS!E5-'BCRbQ Data'!B5</f>
        <v>49916.670000000006</v>
      </c>
      <c r="H6" s="28">
        <f>G6+BPMCCS!F5-'BCRbQ Data'!C5</f>
        <v>50071.780000000006</v>
      </c>
    </row>
    <row r="7" spans="1:9" x14ac:dyDescent="0.45">
      <c r="A7" t="s">
        <v>65</v>
      </c>
      <c r="B7" s="28">
        <f>'Actuals-based BPMCCS adjustment'!B13</f>
        <v>32848.46</v>
      </c>
      <c r="C7" s="28">
        <f>'Actuals-based BPMCCS adjustment'!C13</f>
        <v>35138.15</v>
      </c>
      <c r="D7" s="28">
        <f>'Actuals-based BPMCCS adjustment'!D13</f>
        <v>37505.18</v>
      </c>
      <c r="G7" s="28">
        <f>B7+BPMCCS!E6-'BCRbQ Data'!B6</f>
        <v>35138.15</v>
      </c>
      <c r="H7" s="28">
        <f>G7+BPMCCS!F6-'BCRbQ Data'!C6</f>
        <v>37505.18</v>
      </c>
    </row>
    <row r="8" spans="1:9" x14ac:dyDescent="0.45">
      <c r="A8" t="s">
        <v>66</v>
      </c>
      <c r="B8" s="28">
        <f>'Actuals-based BPMCCS adjustment'!B12</f>
        <v>17052.41</v>
      </c>
      <c r="C8" s="28">
        <f>'Actuals-based BPMCCS adjustment'!C12</f>
        <v>25212.26</v>
      </c>
      <c r="D8" s="28">
        <f>'Actuals-based BPMCCS adjustment'!D12</f>
        <v>33730.559999999998</v>
      </c>
      <c r="G8" s="28">
        <f>B8+BPMCCS!E7-'BCRbQ Data'!B7</f>
        <v>25212.26</v>
      </c>
      <c r="H8" s="28">
        <f>G8+BPMCCS!F7-'BCRbQ Data'!C7</f>
        <v>33730.559999999998</v>
      </c>
    </row>
    <row r="9" spans="1:9" x14ac:dyDescent="0.45">
      <c r="A9" t="s">
        <v>67</v>
      </c>
      <c r="B9">
        <v>0</v>
      </c>
      <c r="C9">
        <v>0</v>
      </c>
      <c r="D9">
        <v>0</v>
      </c>
      <c r="G9" s="28">
        <f>B9+BPMCCS!E8-'BCRbQ Data'!B8</f>
        <v>0</v>
      </c>
      <c r="H9" s="28">
        <f>G9+BPMCCS!F8-'BCRbQ Data'!C8</f>
        <v>0</v>
      </c>
    </row>
    <row r="10" spans="1:9" x14ac:dyDescent="0.45">
      <c r="A10" t="s">
        <v>68</v>
      </c>
      <c r="B10" s="28">
        <f>'Actuals-based BPMCCS adjustment'!B14</f>
        <v>8413.7999999999993</v>
      </c>
      <c r="C10" s="28">
        <f>'Actuals-based BPMCCS adjustment'!C14</f>
        <v>9075.5</v>
      </c>
      <c r="D10" s="28">
        <f>'Actuals-based BPMCCS adjustment'!D14</f>
        <v>9861.31</v>
      </c>
      <c r="G10" s="28">
        <f>B10+BPMCCS!E9-'BCRbQ Data'!B9</f>
        <v>9075.5</v>
      </c>
      <c r="H10" s="28">
        <f>G10+BPMCCS!F9-'BCRbQ Data'!C9</f>
        <v>9861.31</v>
      </c>
    </row>
    <row r="11" spans="1:9" x14ac:dyDescent="0.45">
      <c r="A11" t="s">
        <v>69</v>
      </c>
      <c r="B11">
        <v>0</v>
      </c>
      <c r="C11">
        <v>0</v>
      </c>
      <c r="D11">
        <v>0</v>
      </c>
      <c r="G11" s="28">
        <f>B11+BPMCCS!E10-'BCRbQ Data'!B10</f>
        <v>0</v>
      </c>
      <c r="H11" s="28">
        <f>G11+BPMCCS!F10-'BCRbQ Data'!C10</f>
        <v>0</v>
      </c>
    </row>
    <row r="12" spans="1:9" x14ac:dyDescent="0.45">
      <c r="A12" t="s">
        <v>70</v>
      </c>
      <c r="B12" s="28">
        <f>'Actuals-based BPMCCS adjustment'!B37</f>
        <v>837.63</v>
      </c>
      <c r="C12" s="28">
        <f>'Actuals-based BPMCCS adjustment'!C37</f>
        <v>637.63</v>
      </c>
      <c r="D12" s="28">
        <f>'Actuals-based BPMCCS adjustment'!D37</f>
        <v>509.71</v>
      </c>
      <c r="G12" s="28">
        <f>B12+BPMCCS!E11-'BCRbQ Data'!B11</f>
        <v>638.63</v>
      </c>
      <c r="H12" s="28">
        <f>G12+BPMCCS!F11-'BCRbQ Data'!C11</f>
        <v>511.71</v>
      </c>
    </row>
    <row r="13" spans="1:9" x14ac:dyDescent="0.45">
      <c r="A13" t="s">
        <v>71</v>
      </c>
      <c r="B13" s="28">
        <f>'Actuals-based BPMCCS adjustment'!B36</f>
        <v>350</v>
      </c>
      <c r="C13" s="28">
        <f>'Actuals-based BPMCCS adjustment'!C36</f>
        <v>350</v>
      </c>
      <c r="D13" s="28">
        <f>'Actuals-based BPMCCS adjustment'!D36</f>
        <v>350</v>
      </c>
      <c r="G13" s="28">
        <f>B13+BPMCCS!E12-'BCRbQ Data'!B12</f>
        <v>351</v>
      </c>
      <c r="H13" s="28">
        <f>G13+BPMCCS!F12-'BCRbQ Data'!C12</f>
        <v>352</v>
      </c>
    </row>
    <row r="14" spans="1:9" x14ac:dyDescent="0.45">
      <c r="A14" t="s">
        <v>72</v>
      </c>
      <c r="B14" s="28">
        <f>'Actuals-based BPMCCS adjustment'!B35</f>
        <v>0</v>
      </c>
      <c r="C14" s="28">
        <f>'Actuals-based BPMCCS adjustment'!C35</f>
        <v>6360</v>
      </c>
      <c r="D14" s="28">
        <f>'Actuals-based BPMCCS adjustment'!D35</f>
        <v>6760</v>
      </c>
      <c r="G14" s="28">
        <f>B14+BPMCCS!E13-'BCRbQ Data'!B13</f>
        <v>6360</v>
      </c>
      <c r="H14" s="28">
        <f>G14+BPMCCS!F13-'BCRbQ Data'!C13</f>
        <v>6760</v>
      </c>
    </row>
    <row r="15" spans="1:9" x14ac:dyDescent="0.45">
      <c r="A15" t="s">
        <v>73</v>
      </c>
      <c r="B15">
        <v>0</v>
      </c>
      <c r="C15">
        <v>0</v>
      </c>
      <c r="D15">
        <v>0</v>
      </c>
      <c r="G15" s="28">
        <f>B15+BPMCCS!E14-'BCRbQ Data'!B14</f>
        <v>0</v>
      </c>
      <c r="H15" s="28">
        <f>G15+BPMCCS!F14-'BCRbQ Data'!C14</f>
        <v>0</v>
      </c>
    </row>
    <row r="16" spans="1:9" x14ac:dyDescent="0.45">
      <c r="A16" t="s">
        <v>74</v>
      </c>
      <c r="B16">
        <v>0</v>
      </c>
      <c r="C16">
        <v>0</v>
      </c>
      <c r="D16">
        <v>0</v>
      </c>
      <c r="G16" s="28">
        <f>B16+BPMCCS!E15-'BCRbQ Data'!B15</f>
        <v>0</v>
      </c>
      <c r="H16" s="28">
        <f>G16+BPMCCS!F15-'BCRbQ Data'!C15</f>
        <v>0</v>
      </c>
    </row>
    <row r="17" spans="1:8" x14ac:dyDescent="0.45">
      <c r="A17" t="s">
        <v>75</v>
      </c>
      <c r="B17">
        <v>0</v>
      </c>
      <c r="C17">
        <v>0</v>
      </c>
      <c r="D17">
        <v>0</v>
      </c>
      <c r="G17" s="28">
        <f>B17+BPMCCS!E16-'BCRbQ Data'!B16</f>
        <v>0</v>
      </c>
      <c r="H17" s="28">
        <f>G17+BPMCCS!F16-'BCRbQ Data'!C16</f>
        <v>0</v>
      </c>
    </row>
    <row r="18" spans="1:8" x14ac:dyDescent="0.45">
      <c r="A18" t="s">
        <v>76</v>
      </c>
      <c r="B18" s="28">
        <f>'Actuals-based BPMCCS adjustment'!B16</f>
        <v>114.08</v>
      </c>
      <c r="C18" s="28">
        <f>'Actuals-based BPMCCS adjustment'!C16</f>
        <v>138.30000000000001</v>
      </c>
      <c r="D18" s="28">
        <f>'Actuals-based BPMCCS adjustment'!D16</f>
        <v>139.80000000000001</v>
      </c>
      <c r="G18" s="28">
        <f>B18+BPMCCS!E17-'BCRbQ Data'!B17</f>
        <v>138.30000000000001</v>
      </c>
      <c r="H18" s="28">
        <f>G18+BPMCCS!F17-'BCRbQ Data'!C17</f>
        <v>139.80000000000001</v>
      </c>
    </row>
  </sheetData>
  <mergeCells count="1">
    <mergeCell ref="G1:H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7"/>
  <sheetViews>
    <sheetView workbookViewId="0">
      <selection activeCell="D9" sqref="D9"/>
    </sheetView>
  </sheetViews>
  <sheetFormatPr defaultRowHeight="14.25" x14ac:dyDescent="0.45"/>
  <cols>
    <col min="1" max="1" width="24.86328125" customWidth="1"/>
  </cols>
  <sheetData>
    <row r="1" spans="1:3" x14ac:dyDescent="0.45">
      <c r="A1" t="s">
        <v>162</v>
      </c>
      <c r="B1">
        <v>2018</v>
      </c>
      <c r="C1">
        <v>2019</v>
      </c>
    </row>
    <row r="2" spans="1:3" x14ac:dyDescent="0.45">
      <c r="A2" t="s">
        <v>62</v>
      </c>
      <c r="B2">
        <v>1989</v>
      </c>
      <c r="C2">
        <v>1295</v>
      </c>
    </row>
    <row r="3" spans="1:3" x14ac:dyDescent="0.45">
      <c r="A3" t="s">
        <v>63</v>
      </c>
      <c r="B3" s="28">
        <f>'Installed Capacities - 2017-19'!B4-'Installed Capacities - 2017-19'!C4</f>
        <v>213.15999999999985</v>
      </c>
      <c r="C3">
        <v>0</v>
      </c>
    </row>
    <row r="4" spans="1:3" x14ac:dyDescent="0.45">
      <c r="A4" t="s">
        <v>64</v>
      </c>
      <c r="B4">
        <v>0</v>
      </c>
      <c r="C4">
        <v>0</v>
      </c>
    </row>
    <row r="5" spans="1:3" x14ac:dyDescent="0.45">
      <c r="A5" t="s">
        <v>21</v>
      </c>
      <c r="B5">
        <v>0</v>
      </c>
      <c r="C5">
        <v>0</v>
      </c>
    </row>
    <row r="6" spans="1:3" x14ac:dyDescent="0.45">
      <c r="A6" t="s">
        <v>65</v>
      </c>
      <c r="B6">
        <v>0</v>
      </c>
      <c r="C6">
        <v>0</v>
      </c>
    </row>
    <row r="7" spans="1:3" x14ac:dyDescent="0.45">
      <c r="A7" t="s">
        <v>163</v>
      </c>
      <c r="B7">
        <v>0</v>
      </c>
      <c r="C7">
        <v>0</v>
      </c>
    </row>
    <row r="8" spans="1:3" x14ac:dyDescent="0.45">
      <c r="A8" t="s">
        <v>67</v>
      </c>
      <c r="B8">
        <v>0</v>
      </c>
      <c r="C8">
        <v>0</v>
      </c>
    </row>
    <row r="9" spans="1:3" x14ac:dyDescent="0.45">
      <c r="A9" t="s">
        <v>68</v>
      </c>
      <c r="B9">
        <v>0</v>
      </c>
      <c r="C9">
        <v>0</v>
      </c>
    </row>
    <row r="10" spans="1:3" x14ac:dyDescent="0.45">
      <c r="A10" t="s">
        <v>69</v>
      </c>
      <c r="B10">
        <v>0</v>
      </c>
      <c r="C10">
        <v>0</v>
      </c>
    </row>
    <row r="11" spans="1:3" x14ac:dyDescent="0.45">
      <c r="A11" t="s">
        <v>70</v>
      </c>
      <c r="B11">
        <v>200</v>
      </c>
      <c r="C11">
        <v>127.92</v>
      </c>
    </row>
    <row r="12" spans="1:3" x14ac:dyDescent="0.45">
      <c r="A12" t="s">
        <v>71</v>
      </c>
      <c r="B12">
        <v>0</v>
      </c>
      <c r="C12">
        <v>0</v>
      </c>
    </row>
    <row r="13" spans="1:3" x14ac:dyDescent="0.45">
      <c r="A13" t="s">
        <v>72</v>
      </c>
      <c r="B13">
        <v>0</v>
      </c>
      <c r="C13">
        <v>100</v>
      </c>
    </row>
    <row r="14" spans="1:3" x14ac:dyDescent="0.45">
      <c r="A14" t="s">
        <v>73</v>
      </c>
      <c r="B14">
        <v>0</v>
      </c>
      <c r="C14">
        <v>0</v>
      </c>
    </row>
    <row r="15" spans="1:3" x14ac:dyDescent="0.45">
      <c r="A15" t="s">
        <v>74</v>
      </c>
      <c r="B15">
        <v>0</v>
      </c>
      <c r="C15">
        <v>0</v>
      </c>
    </row>
    <row r="16" spans="1:3" x14ac:dyDescent="0.45">
      <c r="A16" t="s">
        <v>75</v>
      </c>
      <c r="B16">
        <v>0</v>
      </c>
      <c r="C16">
        <v>0</v>
      </c>
    </row>
    <row r="17" spans="1:3" x14ac:dyDescent="0.45">
      <c r="A17" t="s">
        <v>76</v>
      </c>
      <c r="B17">
        <v>0</v>
      </c>
      <c r="C17">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topLeftCell="A16" workbookViewId="0">
      <selection activeCell="I23" sqref="I23"/>
    </sheetView>
  </sheetViews>
  <sheetFormatPr defaultRowHeight="14.25" x14ac:dyDescent="0.45"/>
  <sheetData>
    <row r="1" spans="1:5" ht="15.4" x14ac:dyDescent="0.45">
      <c r="A1" s="101" t="s">
        <v>171</v>
      </c>
    </row>
    <row r="2" spans="1:5" ht="15.4" x14ac:dyDescent="0.45">
      <c r="A2" s="101" t="s">
        <v>172</v>
      </c>
    </row>
    <row r="3" spans="1:5" ht="15.4" x14ac:dyDescent="0.45">
      <c r="A3" s="101" t="s">
        <v>173</v>
      </c>
    </row>
    <row r="4" spans="1:5" ht="15.4" x14ac:dyDescent="0.45">
      <c r="A4" s="102"/>
      <c r="B4" s="13"/>
      <c r="C4" s="130" t="s">
        <v>174</v>
      </c>
      <c r="D4" s="130"/>
      <c r="E4" s="13"/>
    </row>
    <row r="5" spans="1:5" ht="57" x14ac:dyDescent="0.45">
      <c r="A5" s="103" t="s">
        <v>175</v>
      </c>
      <c r="B5" s="103" t="s">
        <v>176</v>
      </c>
      <c r="C5" s="104" t="s">
        <v>177</v>
      </c>
      <c r="D5" s="32" t="s">
        <v>146</v>
      </c>
      <c r="E5" s="32" t="s">
        <v>178</v>
      </c>
    </row>
    <row r="6" spans="1:5" ht="15.4" x14ac:dyDescent="0.45">
      <c r="A6" s="105" t="s">
        <v>179</v>
      </c>
      <c r="B6" s="13"/>
      <c r="C6" s="13"/>
      <c r="D6" s="13"/>
      <c r="E6" s="13"/>
    </row>
    <row r="7" spans="1:5" ht="15.4" x14ac:dyDescent="0.45">
      <c r="A7" s="105" t="s">
        <v>180</v>
      </c>
      <c r="B7" s="13"/>
      <c r="C7" s="13"/>
      <c r="D7" s="13"/>
      <c r="E7" s="13"/>
    </row>
    <row r="8" spans="1:5" x14ac:dyDescent="0.45">
      <c r="A8" s="13">
        <v>1</v>
      </c>
      <c r="B8" s="13" t="s">
        <v>181</v>
      </c>
      <c r="C8" s="16" t="s">
        <v>182</v>
      </c>
      <c r="D8" s="16">
        <v>705.6</v>
      </c>
      <c r="E8" s="13"/>
    </row>
    <row r="9" spans="1:5" x14ac:dyDescent="0.45">
      <c r="A9" s="13">
        <v>2</v>
      </c>
      <c r="B9" s="16" t="s">
        <v>183</v>
      </c>
      <c r="C9" s="16" t="s">
        <v>184</v>
      </c>
      <c r="D9" s="13">
        <v>400</v>
      </c>
      <c r="E9" s="13"/>
    </row>
    <row r="10" spans="1:5" x14ac:dyDescent="0.45">
      <c r="A10" s="13">
        <v>3</v>
      </c>
      <c r="B10" s="16" t="s">
        <v>185</v>
      </c>
      <c r="C10" s="16" t="s">
        <v>186</v>
      </c>
      <c r="D10" s="13">
        <v>150</v>
      </c>
      <c r="E10" s="13"/>
    </row>
    <row r="11" spans="1:5" x14ac:dyDescent="0.45">
      <c r="A11" s="13">
        <v>4</v>
      </c>
      <c r="B11" s="16" t="s">
        <v>187</v>
      </c>
      <c r="C11" s="16" t="s">
        <v>188</v>
      </c>
      <c r="D11" s="13">
        <v>900</v>
      </c>
      <c r="E11" s="13"/>
    </row>
    <row r="12" spans="1:5" x14ac:dyDescent="0.45">
      <c r="A12" s="13">
        <v>5</v>
      </c>
      <c r="B12" s="16" t="s">
        <v>189</v>
      </c>
      <c r="C12" s="16" t="s">
        <v>190</v>
      </c>
      <c r="D12" s="13">
        <v>900</v>
      </c>
      <c r="E12" s="13"/>
    </row>
    <row r="13" spans="1:5" x14ac:dyDescent="0.45">
      <c r="A13" s="13">
        <v>6</v>
      </c>
      <c r="B13" s="16" t="s">
        <v>191</v>
      </c>
      <c r="C13" s="16" t="s">
        <v>192</v>
      </c>
      <c r="D13" s="13">
        <v>250</v>
      </c>
      <c r="E13" s="13"/>
    </row>
    <row r="14" spans="1:5" ht="15.4" x14ac:dyDescent="0.45">
      <c r="A14" s="105"/>
      <c r="B14" s="13"/>
      <c r="C14" s="13" t="s">
        <v>193</v>
      </c>
      <c r="D14" s="13">
        <f>SUM(D8:D13)</f>
        <v>3305.6</v>
      </c>
      <c r="E14" s="13"/>
    </row>
    <row r="15" spans="1:5" x14ac:dyDescent="0.45">
      <c r="A15" s="13"/>
      <c r="B15" s="13"/>
      <c r="C15" s="13"/>
      <c r="D15" s="13"/>
      <c r="E15" s="13"/>
    </row>
    <row r="16" spans="1:5" ht="15.4" x14ac:dyDescent="0.45">
      <c r="A16" s="105" t="s">
        <v>194</v>
      </c>
      <c r="B16" s="13"/>
      <c r="C16" s="13"/>
      <c r="D16" s="13"/>
      <c r="E16" s="13"/>
    </row>
    <row r="17" spans="1:36" ht="16.5" x14ac:dyDescent="0.45">
      <c r="A17" s="13">
        <v>1</v>
      </c>
      <c r="B17" s="16" t="s">
        <v>195</v>
      </c>
      <c r="C17" s="16" t="s">
        <v>196</v>
      </c>
      <c r="D17" s="13">
        <v>1000</v>
      </c>
      <c r="E17" s="106" t="s">
        <v>197</v>
      </c>
    </row>
    <row r="18" spans="1:36" x14ac:dyDescent="0.45">
      <c r="A18" s="13">
        <v>2</v>
      </c>
      <c r="B18" s="16" t="s">
        <v>198</v>
      </c>
      <c r="C18" s="16" t="s">
        <v>199</v>
      </c>
      <c r="D18" s="13">
        <v>80</v>
      </c>
      <c r="E18" s="13" t="s">
        <v>200</v>
      </c>
    </row>
    <row r="19" spans="1:36" x14ac:dyDescent="0.45">
      <c r="A19" s="13">
        <v>3</v>
      </c>
      <c r="B19" s="16" t="s">
        <v>201</v>
      </c>
      <c r="C19" s="16" t="s">
        <v>202</v>
      </c>
      <c r="D19" s="13">
        <v>500</v>
      </c>
      <c r="E19" s="13" t="s">
        <v>200</v>
      </c>
    </row>
    <row r="21" spans="1:36" x14ac:dyDescent="0.45">
      <c r="A21" t="s">
        <v>1</v>
      </c>
      <c r="B21">
        <v>2016</v>
      </c>
      <c r="C21">
        <v>2017</v>
      </c>
      <c r="D21">
        <v>2018</v>
      </c>
      <c r="E21">
        <v>2019</v>
      </c>
      <c r="F21">
        <v>2020</v>
      </c>
      <c r="G21">
        <v>2021</v>
      </c>
      <c r="H21">
        <v>2022</v>
      </c>
      <c r="I21">
        <v>2023</v>
      </c>
      <c r="J21">
        <v>2024</v>
      </c>
      <c r="K21">
        <v>2025</v>
      </c>
      <c r="L21">
        <v>2026</v>
      </c>
      <c r="M21">
        <v>2027</v>
      </c>
      <c r="N21">
        <v>2028</v>
      </c>
      <c r="O21">
        <v>2029</v>
      </c>
      <c r="P21">
        <v>2030</v>
      </c>
      <c r="Q21">
        <v>2031</v>
      </c>
      <c r="R21">
        <v>2032</v>
      </c>
      <c r="S21">
        <v>2033</v>
      </c>
      <c r="T21">
        <v>2034</v>
      </c>
      <c r="U21">
        <v>2035</v>
      </c>
      <c r="V21">
        <v>2036</v>
      </c>
      <c r="W21">
        <v>2037</v>
      </c>
      <c r="X21">
        <v>2038</v>
      </c>
      <c r="Y21">
        <v>2039</v>
      </c>
      <c r="Z21">
        <v>2040</v>
      </c>
      <c r="AA21">
        <v>2041</v>
      </c>
      <c r="AB21">
        <v>2042</v>
      </c>
      <c r="AC21">
        <v>2043</v>
      </c>
      <c r="AD21">
        <v>2044</v>
      </c>
      <c r="AE21">
        <v>2045</v>
      </c>
      <c r="AF21">
        <v>2046</v>
      </c>
      <c r="AG21">
        <v>2047</v>
      </c>
      <c r="AH21">
        <v>2048</v>
      </c>
      <c r="AI21">
        <v>2049</v>
      </c>
      <c r="AJ21">
        <v>2050</v>
      </c>
    </row>
    <row r="22" spans="1:36" x14ac:dyDescent="0.45">
      <c r="A22" t="s">
        <v>203</v>
      </c>
      <c r="B22" s="28">
        <f>D22</f>
        <v>3305.6</v>
      </c>
      <c r="C22" s="28">
        <f>D22</f>
        <v>3305.6</v>
      </c>
      <c r="D22" s="28">
        <f>D14</f>
        <v>3305.6</v>
      </c>
      <c r="E22" s="28">
        <f t="shared" ref="E22:F22" si="0">B22</f>
        <v>3305.6</v>
      </c>
      <c r="F22" s="28">
        <f t="shared" si="0"/>
        <v>3305.6</v>
      </c>
      <c r="G22" s="28">
        <f>D22</f>
        <v>3305.6</v>
      </c>
      <c r="H22" s="28">
        <f>G22+D17</f>
        <v>4305.6000000000004</v>
      </c>
      <c r="I22" s="28">
        <f>H22+D18+D19</f>
        <v>4885.6000000000004</v>
      </c>
      <c r="J22" s="28">
        <f t="shared" ref="J22:AJ22" si="1">I22</f>
        <v>4885.6000000000004</v>
      </c>
      <c r="K22" s="28">
        <f t="shared" si="1"/>
        <v>4885.6000000000004</v>
      </c>
      <c r="L22" s="28">
        <f t="shared" si="1"/>
        <v>4885.6000000000004</v>
      </c>
      <c r="M22" s="28">
        <f t="shared" si="1"/>
        <v>4885.6000000000004</v>
      </c>
      <c r="N22" s="28">
        <f t="shared" si="1"/>
        <v>4885.6000000000004</v>
      </c>
      <c r="O22" s="28">
        <f t="shared" si="1"/>
        <v>4885.6000000000004</v>
      </c>
      <c r="P22" s="28">
        <f t="shared" si="1"/>
        <v>4885.6000000000004</v>
      </c>
      <c r="Q22" s="28">
        <f t="shared" si="1"/>
        <v>4885.6000000000004</v>
      </c>
      <c r="R22" s="28">
        <f t="shared" si="1"/>
        <v>4885.6000000000004</v>
      </c>
      <c r="S22" s="28">
        <f t="shared" si="1"/>
        <v>4885.6000000000004</v>
      </c>
      <c r="T22" s="28">
        <f t="shared" si="1"/>
        <v>4885.6000000000004</v>
      </c>
      <c r="U22" s="28">
        <f t="shared" si="1"/>
        <v>4885.6000000000004</v>
      </c>
      <c r="V22" s="28">
        <f t="shared" si="1"/>
        <v>4885.6000000000004</v>
      </c>
      <c r="W22" s="28">
        <f t="shared" si="1"/>
        <v>4885.6000000000004</v>
      </c>
      <c r="X22" s="28">
        <f t="shared" si="1"/>
        <v>4885.6000000000004</v>
      </c>
      <c r="Y22" s="28">
        <f t="shared" si="1"/>
        <v>4885.6000000000004</v>
      </c>
      <c r="Z22" s="28">
        <f t="shared" si="1"/>
        <v>4885.6000000000004</v>
      </c>
      <c r="AA22" s="28">
        <f t="shared" si="1"/>
        <v>4885.6000000000004</v>
      </c>
      <c r="AB22" s="28">
        <f t="shared" si="1"/>
        <v>4885.6000000000004</v>
      </c>
      <c r="AC22" s="28">
        <f t="shared" si="1"/>
        <v>4885.6000000000004</v>
      </c>
      <c r="AD22" s="28">
        <f t="shared" si="1"/>
        <v>4885.6000000000004</v>
      </c>
      <c r="AE22" s="28">
        <f t="shared" si="1"/>
        <v>4885.6000000000004</v>
      </c>
      <c r="AF22" s="28">
        <f t="shared" si="1"/>
        <v>4885.6000000000004</v>
      </c>
      <c r="AG22" s="28">
        <f t="shared" si="1"/>
        <v>4885.6000000000004</v>
      </c>
      <c r="AH22" s="28">
        <f t="shared" si="1"/>
        <v>4885.6000000000004</v>
      </c>
      <c r="AI22" s="28">
        <f t="shared" si="1"/>
        <v>4885.6000000000004</v>
      </c>
      <c r="AJ22" s="28">
        <f t="shared" si="1"/>
        <v>4885.6000000000004</v>
      </c>
    </row>
  </sheetData>
  <mergeCells count="1">
    <mergeCell ref="C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B11" sqref="B11"/>
    </sheetView>
  </sheetViews>
  <sheetFormatPr defaultRowHeight="14.25" x14ac:dyDescent="0.45"/>
  <cols>
    <col min="1" max="1" width="26.59765625" bestFit="1" customWidth="1"/>
    <col min="2" max="2" width="11" customWidth="1"/>
    <col min="3" max="3" width="8" customWidth="1"/>
    <col min="13" max="13" width="26.59765625" customWidth="1"/>
  </cols>
  <sheetData>
    <row r="1" spans="1:11" x14ac:dyDescent="0.45">
      <c r="A1" t="s">
        <v>1</v>
      </c>
      <c r="B1">
        <v>2018</v>
      </c>
      <c r="C1">
        <v>2019</v>
      </c>
      <c r="D1">
        <v>2020</v>
      </c>
      <c r="E1">
        <v>2021</v>
      </c>
      <c r="F1">
        <v>2022</v>
      </c>
      <c r="G1">
        <f>F1+1</f>
        <v>2023</v>
      </c>
      <c r="H1">
        <f t="shared" ref="H1" si="0">G1+1</f>
        <v>2024</v>
      </c>
      <c r="I1">
        <f t="shared" ref="I1" si="1">H1+1</f>
        <v>2025</v>
      </c>
      <c r="J1">
        <f t="shared" ref="J1" si="2">I1+1</f>
        <v>2026</v>
      </c>
      <c r="K1">
        <f t="shared" ref="K1" si="3">J1+1</f>
        <v>2027</v>
      </c>
    </row>
    <row r="2" spans="1:11" x14ac:dyDescent="0.45">
      <c r="A2" t="s">
        <v>14</v>
      </c>
      <c r="B2" s="28">
        <f>'Actuals-based BPMCCS adjustment'!B42</f>
        <v>110</v>
      </c>
      <c r="C2" s="28">
        <f>'Actuals-based BPMCCS adjustment'!C42</f>
        <v>8697</v>
      </c>
      <c r="D2" s="28">
        <f>'Actuals-based BPMCCS adjustment'!D42</f>
        <v>9571</v>
      </c>
      <c r="E2" s="28">
        <f>'Actuals-based BPMCCS adjustment'!E42</f>
        <v>9571</v>
      </c>
      <c r="F2" s="28">
        <f>'Actuals-based BPMCCS adjustment'!F42</f>
        <v>9571</v>
      </c>
      <c r="G2" s="28"/>
      <c r="H2" s="28"/>
      <c r="I2" s="28"/>
      <c r="J2" s="28"/>
      <c r="K2" s="28"/>
    </row>
    <row r="3" spans="1:11" x14ac:dyDescent="0.45">
      <c r="A3" t="s">
        <v>9</v>
      </c>
      <c r="B3" s="28">
        <f>'Actuals-based BPMCCS adjustment'!B43</f>
        <v>1</v>
      </c>
      <c r="C3" s="28">
        <f>'Actuals-based BPMCCS adjustment'!C43</f>
        <v>1</v>
      </c>
      <c r="D3" s="28">
        <f>'Actuals-based BPMCCS adjustment'!D43</f>
        <v>81.229999999999563</v>
      </c>
      <c r="E3" s="28">
        <f>'Actuals-based BPMCCS adjustment'!E43</f>
        <v>81.229999999999563</v>
      </c>
      <c r="F3" s="28">
        <f>'Actuals-based BPMCCS adjustment'!F43</f>
        <v>81.229999999999563</v>
      </c>
      <c r="G3" s="28"/>
      <c r="H3" s="28"/>
      <c r="I3" s="28"/>
      <c r="J3" s="28"/>
      <c r="K3" s="28"/>
    </row>
    <row r="4" spans="1:11" x14ac:dyDescent="0.45">
      <c r="A4" t="s">
        <v>2</v>
      </c>
      <c r="B4" s="28">
        <f>'Actuals-based BPMCCS adjustment'!B44</f>
        <v>1</v>
      </c>
      <c r="C4" s="28">
        <f>'Actuals-based BPMCCS adjustment'!C44</f>
        <v>1</v>
      </c>
      <c r="D4" s="28">
        <f>'Actuals-based BPMCCS adjustment'!D44</f>
        <v>660</v>
      </c>
      <c r="E4" s="28">
        <f>'Actuals-based BPMCCS adjustment'!E44</f>
        <v>660</v>
      </c>
      <c r="F4" s="28">
        <f>'Actuals-based BPMCCS adjustment'!F44</f>
        <v>660</v>
      </c>
      <c r="G4" s="28">
        <f>'Actuals-based BPMCCS adjustment'!G44</f>
        <v>1360</v>
      </c>
      <c r="H4" s="28">
        <f>'Actuals-based BPMCCS adjustment'!H44</f>
        <v>1360</v>
      </c>
      <c r="I4" s="28">
        <f>'Actuals-based BPMCCS adjustment'!I44</f>
        <v>1360</v>
      </c>
      <c r="J4" s="28">
        <f>'Actuals-based BPMCCS adjustment'!J44</f>
        <v>1360</v>
      </c>
      <c r="K4" s="28">
        <f>'Actuals-based BPMCCS adjustment'!K44</f>
        <v>1360</v>
      </c>
    </row>
    <row r="5" spans="1:11" x14ac:dyDescent="0.45">
      <c r="A5" t="s">
        <v>3</v>
      </c>
      <c r="B5" s="28">
        <f>'Actuals-based BPMCCS adjustment'!B45+'Actuals-based BPMCCS adjustment'!B24</f>
        <v>535.10000000000309</v>
      </c>
      <c r="C5" s="28">
        <f>'Actuals-based BPMCCS adjustment'!C45+'Actuals-based BPMCCS adjustment'!C24</f>
        <v>155.11000000000058</v>
      </c>
      <c r="D5" s="28">
        <f>'Actuals-based BPMCCS adjustment'!D45+'Actuals-based BPMCCS adjustment'!D24</f>
        <v>1518.6099999999833</v>
      </c>
      <c r="E5" s="28">
        <f>'Actuals-based BPMCCS adjustment'!E45+'Actuals-based BPMCCS adjustment'!E24</f>
        <v>1518.609999999986</v>
      </c>
      <c r="F5" s="28">
        <f>'Actuals-based BPMCCS adjustment'!F45+'Actuals-based BPMCCS adjustment'!F24</f>
        <v>1518.609999999986</v>
      </c>
    </row>
    <row r="6" spans="1:11" x14ac:dyDescent="0.45">
      <c r="A6" s="74" t="s">
        <v>15</v>
      </c>
      <c r="B6" s="15">
        <f>'Actuals-based BPMCCS adjustment'!B22</f>
        <v>2289.6900000000023</v>
      </c>
      <c r="C6" s="15">
        <f>'Actuals-based BPMCCS adjustment'!C22</f>
        <v>2367.0299999999988</v>
      </c>
      <c r="D6" s="15">
        <f>'Actuals-based BPMCCS adjustment'!D22</f>
        <v>2498.2733333333308</v>
      </c>
      <c r="E6" s="15">
        <f>'Actuals-based BPMCCS adjustment'!E22</f>
        <v>2498.2733333333308</v>
      </c>
      <c r="F6" s="15">
        <f>'Actuals-based BPMCCS adjustment'!F22</f>
        <v>2498.2733333333308</v>
      </c>
    </row>
    <row r="7" spans="1:11" x14ac:dyDescent="0.45">
      <c r="A7" s="74" t="s">
        <v>4</v>
      </c>
      <c r="B7" s="15">
        <f>'Actuals-based BPMCCS adjustment'!B21</f>
        <v>8159.8499999999985</v>
      </c>
      <c r="C7" s="15">
        <f>'Actuals-based BPMCCS adjustment'!C21</f>
        <v>8518.2999999999993</v>
      </c>
      <c r="D7" s="15">
        <f>'Actuals-based BPMCCS adjustment'!D21</f>
        <v>8423.1466666666674</v>
      </c>
      <c r="E7" s="15">
        <f>'Actuals-based BPMCCS adjustment'!E21</f>
        <v>8423.1466666666674</v>
      </c>
      <c r="F7" s="15">
        <f>'Actuals-based BPMCCS adjustment'!F21</f>
        <v>8423.1466666666674</v>
      </c>
    </row>
    <row r="8" spans="1:11" x14ac:dyDescent="0.45">
      <c r="A8" s="74" t="s">
        <v>5</v>
      </c>
    </row>
    <row r="9" spans="1:11" x14ac:dyDescent="0.45">
      <c r="A9" s="74" t="s">
        <v>6</v>
      </c>
      <c r="B9" s="28">
        <f>'Actuals-based BPMCCS adjustment'!B23</f>
        <v>661.70000000000073</v>
      </c>
      <c r="C9" s="28">
        <f>'Actuals-based BPMCCS adjustment'!C23</f>
        <v>785.80999999999949</v>
      </c>
      <c r="D9" s="28">
        <f>'Actuals-based BPMCCS adjustment'!D23</f>
        <v>785.81000000011227</v>
      </c>
      <c r="E9" s="28">
        <f>'Actuals-based BPMCCS adjustment'!E23</f>
        <v>785.81000000005588</v>
      </c>
      <c r="F9" s="28">
        <f>'Actuals-based BPMCCS adjustment'!F23</f>
        <v>785.80999999982305</v>
      </c>
    </row>
    <row r="10" spans="1:11" x14ac:dyDescent="0.45">
      <c r="A10" t="s">
        <v>10</v>
      </c>
    </row>
    <row r="11" spans="1:11" x14ac:dyDescent="0.45">
      <c r="A11" t="s">
        <v>11</v>
      </c>
      <c r="B11" s="28">
        <f>'Actuals-based BPMCCS adjustment'!B48</f>
        <v>1</v>
      </c>
      <c r="C11" s="28">
        <f>'Actuals-based BPMCCS adjustment'!C48</f>
        <v>1</v>
      </c>
      <c r="D11" s="28">
        <f>'Actuals-based BPMCCS adjustment'!D48</f>
        <v>0</v>
      </c>
      <c r="E11" s="28">
        <f>'Actuals-based BPMCCS adjustment'!E48</f>
        <v>0</v>
      </c>
      <c r="F11" s="28">
        <f>'Actuals-based BPMCCS adjustment'!F48</f>
        <v>0</v>
      </c>
    </row>
    <row r="12" spans="1:11" x14ac:dyDescent="0.45">
      <c r="A12" t="s">
        <v>12</v>
      </c>
      <c r="B12" s="28">
        <f>'Actuals-based BPMCCS adjustment'!B47</f>
        <v>1</v>
      </c>
      <c r="C12" s="28">
        <f>'Actuals-based BPMCCS adjustment'!C47</f>
        <v>1</v>
      </c>
      <c r="D12" s="28">
        <f>'Actuals-based BPMCCS adjustment'!D47</f>
        <v>0</v>
      </c>
    </row>
    <row r="13" spans="1:11" x14ac:dyDescent="0.45">
      <c r="A13" t="s">
        <v>13</v>
      </c>
      <c r="B13" s="28">
        <f>'Actuals-based BPMCCS adjustment'!B46</f>
        <v>6360</v>
      </c>
      <c r="C13" s="28">
        <f>'Actuals-based BPMCCS adjustment'!C46</f>
        <v>500</v>
      </c>
      <c r="D13" s="28">
        <f>'Actuals-based BPMCCS adjustment'!D46</f>
        <v>0</v>
      </c>
    </row>
    <row r="14" spans="1:11" x14ac:dyDescent="0.45">
      <c r="A14" t="s">
        <v>16</v>
      </c>
    </row>
    <row r="15" spans="1:11" x14ac:dyDescent="0.45">
      <c r="A15" t="s">
        <v>74</v>
      </c>
    </row>
    <row r="16" spans="1:11" x14ac:dyDescent="0.45">
      <c r="A16" t="s">
        <v>75</v>
      </c>
    </row>
    <row r="17" spans="1:6" x14ac:dyDescent="0.45">
      <c r="A17" s="74" t="s">
        <v>76</v>
      </c>
      <c r="B17" s="28">
        <f>'Actuals-based BPMCCS adjustment'!B25</f>
        <v>24.220000000000013</v>
      </c>
      <c r="C17" s="28">
        <f>'Actuals-based BPMCCS adjustment'!C25</f>
        <v>1.5</v>
      </c>
      <c r="D17" s="28">
        <f>'Actuals-based BPMCCS adjustment'!D25</f>
        <v>1.5000000000001705</v>
      </c>
      <c r="E17" s="28">
        <f>'Actuals-based BPMCCS adjustment'!E25</f>
        <v>1.5</v>
      </c>
      <c r="F17" s="28">
        <f>'Actuals-based BPMCCS adjustment'!F25</f>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7"/>
  <sheetViews>
    <sheetView tabSelected="1" zoomScale="115" zoomScaleNormal="115" workbookViewId="0">
      <selection activeCell="D5" sqref="D5"/>
    </sheetView>
  </sheetViews>
  <sheetFormatPr defaultRowHeight="14.25" x14ac:dyDescent="0.45"/>
  <cols>
    <col min="1" max="1" width="28.265625" customWidth="1"/>
  </cols>
  <sheetData>
    <row r="1" spans="1:37" x14ac:dyDescent="0.45">
      <c r="A1" t="s">
        <v>61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62</v>
      </c>
      <c r="B2" s="28">
        <v>0</v>
      </c>
      <c r="C2" s="28">
        <v>0</v>
      </c>
      <c r="D2" s="28">
        <v>0</v>
      </c>
      <c r="E2" s="28">
        <f>Calcs!B2</f>
        <v>110</v>
      </c>
      <c r="F2" s="28">
        <f>Calcs!C2</f>
        <v>8697</v>
      </c>
      <c r="G2" s="28">
        <f>Calcs!D2</f>
        <v>9571</v>
      </c>
      <c r="H2" s="28">
        <f>Calcs!E2</f>
        <v>9571</v>
      </c>
      <c r="I2" s="28">
        <f>Calcs!F2</f>
        <v>9571</v>
      </c>
      <c r="J2" s="28">
        <f>Calcs!G2</f>
        <v>0</v>
      </c>
      <c r="K2" s="28">
        <f>Calcs!H2</f>
        <v>0</v>
      </c>
      <c r="L2" s="28">
        <f>Calcs!I2</f>
        <v>0</v>
      </c>
      <c r="M2" s="28">
        <f>Calcs!J2</f>
        <v>0</v>
      </c>
      <c r="N2" s="28">
        <f>Calcs!K2</f>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c r="AI2" s="28">
        <v>0</v>
      </c>
      <c r="AJ2" s="28">
        <v>0</v>
      </c>
      <c r="AK2" s="28">
        <v>0</v>
      </c>
    </row>
    <row r="3" spans="1:37" x14ac:dyDescent="0.45">
      <c r="A3" t="s">
        <v>63</v>
      </c>
      <c r="B3" s="28">
        <v>0</v>
      </c>
      <c r="C3" s="28">
        <v>0</v>
      </c>
      <c r="D3" s="28">
        <v>0</v>
      </c>
      <c r="E3" s="28">
        <f>Calcs!B3</f>
        <v>1</v>
      </c>
      <c r="F3" s="28">
        <f>Calcs!C3</f>
        <v>1</v>
      </c>
      <c r="G3" s="28">
        <f>Calcs!D3</f>
        <v>81.229999999999563</v>
      </c>
      <c r="H3" s="28">
        <f>Calcs!E3</f>
        <v>81.229999999999563</v>
      </c>
      <c r="I3" s="28">
        <f>Calcs!F3</f>
        <v>81.229999999999563</v>
      </c>
      <c r="J3" s="28">
        <f>Calcs!G3</f>
        <v>0</v>
      </c>
      <c r="K3" s="28">
        <v>0</v>
      </c>
      <c r="L3" s="28">
        <v>0</v>
      </c>
      <c r="M3" s="28">
        <v>0</v>
      </c>
      <c r="N3" s="28">
        <v>0</v>
      </c>
      <c r="O3" s="28">
        <v>0</v>
      </c>
      <c r="P3" s="28">
        <v>0</v>
      </c>
      <c r="Q3" s="28">
        <v>0</v>
      </c>
      <c r="R3" s="28">
        <v>0</v>
      </c>
      <c r="S3" s="28">
        <v>0</v>
      </c>
      <c r="T3" s="28">
        <v>0</v>
      </c>
      <c r="U3" s="28">
        <v>0</v>
      </c>
      <c r="V3" s="28">
        <v>0</v>
      </c>
      <c r="W3" s="28">
        <v>0</v>
      </c>
      <c r="X3" s="28">
        <v>0</v>
      </c>
      <c r="Y3" s="28">
        <v>0</v>
      </c>
      <c r="Z3" s="28">
        <v>0</v>
      </c>
      <c r="AA3" s="28">
        <v>0</v>
      </c>
      <c r="AB3" s="28">
        <v>0</v>
      </c>
      <c r="AC3" s="28">
        <v>0</v>
      </c>
      <c r="AD3" s="28">
        <v>0</v>
      </c>
      <c r="AE3" s="28">
        <v>0</v>
      </c>
      <c r="AF3" s="28">
        <v>0</v>
      </c>
      <c r="AG3" s="28">
        <v>0</v>
      </c>
      <c r="AH3" s="28">
        <v>0</v>
      </c>
      <c r="AI3" s="28">
        <v>0</v>
      </c>
      <c r="AJ3" s="28">
        <v>0</v>
      </c>
      <c r="AK3" s="28">
        <v>0</v>
      </c>
    </row>
    <row r="4" spans="1:37" x14ac:dyDescent="0.45">
      <c r="A4" t="s">
        <v>64</v>
      </c>
      <c r="B4" s="28">
        <v>0</v>
      </c>
      <c r="C4" s="28">
        <v>0</v>
      </c>
      <c r="D4" s="28">
        <v>0</v>
      </c>
      <c r="E4" s="28">
        <f>Calcs!B4</f>
        <v>1</v>
      </c>
      <c r="F4" s="28">
        <f>Calcs!C4</f>
        <v>1</v>
      </c>
      <c r="G4" s="28">
        <f>Calcs!D4</f>
        <v>660</v>
      </c>
      <c r="H4" s="28">
        <f>Calcs!E4</f>
        <v>660</v>
      </c>
      <c r="I4" s="28">
        <f>Calcs!F4</f>
        <v>660</v>
      </c>
      <c r="J4" s="28">
        <f>Calcs!G4</f>
        <v>1360</v>
      </c>
      <c r="K4" s="28">
        <f>Calcs!H4</f>
        <v>1360</v>
      </c>
      <c r="L4" s="28">
        <f>Calcs!I4</f>
        <v>1360</v>
      </c>
      <c r="M4" s="28">
        <f>Calcs!J4</f>
        <v>1360</v>
      </c>
      <c r="N4" s="28">
        <f>Calcs!K4</f>
        <v>1360</v>
      </c>
      <c r="O4" s="28">
        <v>0</v>
      </c>
      <c r="P4" s="28">
        <v>0</v>
      </c>
      <c r="Q4" s="28">
        <v>0</v>
      </c>
      <c r="R4" s="28">
        <v>0</v>
      </c>
      <c r="S4" s="28">
        <v>0</v>
      </c>
      <c r="T4" s="28">
        <v>0</v>
      </c>
      <c r="U4" s="28">
        <v>0</v>
      </c>
      <c r="V4" s="28">
        <v>0</v>
      </c>
      <c r="W4" s="28">
        <v>0</v>
      </c>
      <c r="X4" s="28">
        <v>0</v>
      </c>
      <c r="Y4" s="28">
        <v>0</v>
      </c>
      <c r="Z4" s="28">
        <v>0</v>
      </c>
      <c r="AA4" s="28">
        <v>0</v>
      </c>
      <c r="AB4" s="28">
        <v>0</v>
      </c>
      <c r="AC4" s="28">
        <v>0</v>
      </c>
      <c r="AD4" s="28">
        <v>0</v>
      </c>
      <c r="AE4" s="28">
        <v>0</v>
      </c>
      <c r="AF4" s="28">
        <v>0</v>
      </c>
      <c r="AG4" s="28">
        <v>0</v>
      </c>
      <c r="AH4" s="28">
        <v>0</v>
      </c>
      <c r="AI4" s="28">
        <v>0</v>
      </c>
      <c r="AJ4" s="28">
        <v>0</v>
      </c>
      <c r="AK4" s="28">
        <v>0</v>
      </c>
    </row>
    <row r="5" spans="1:37" x14ac:dyDescent="0.45">
      <c r="A5" t="s">
        <v>21</v>
      </c>
      <c r="B5" s="28">
        <v>0</v>
      </c>
      <c r="C5" s="28">
        <v>0</v>
      </c>
      <c r="D5" s="28">
        <v>0</v>
      </c>
      <c r="E5" s="28">
        <f>Calcs!B5</f>
        <v>535.10000000000309</v>
      </c>
      <c r="F5" s="28">
        <f>Calcs!C5</f>
        <v>155.11000000000058</v>
      </c>
      <c r="G5" s="28">
        <f>Calcs!D5</f>
        <v>1518.6099999999833</v>
      </c>
      <c r="H5" s="28">
        <f>Calcs!E5</f>
        <v>1518.609999999986</v>
      </c>
      <c r="I5" s="28">
        <f>Calcs!F5</f>
        <v>1518.609999999986</v>
      </c>
      <c r="J5" s="28">
        <f>Calcs!G5</f>
        <v>0</v>
      </c>
      <c r="K5" s="28">
        <v>0</v>
      </c>
      <c r="L5" s="28">
        <v>0</v>
      </c>
      <c r="M5" s="28">
        <v>0</v>
      </c>
      <c r="N5" s="28">
        <v>0</v>
      </c>
      <c r="O5" s="28">
        <v>0</v>
      </c>
      <c r="P5" s="28">
        <v>0</v>
      </c>
      <c r="Q5" s="28">
        <v>0</v>
      </c>
      <c r="R5" s="28">
        <v>0</v>
      </c>
      <c r="S5" s="28">
        <v>0</v>
      </c>
      <c r="T5" s="28">
        <v>0</v>
      </c>
      <c r="U5" s="28">
        <v>0</v>
      </c>
      <c r="V5" s="28">
        <v>0</v>
      </c>
      <c r="W5" s="28">
        <v>0</v>
      </c>
      <c r="X5" s="28">
        <v>0</v>
      </c>
      <c r="Y5" s="28">
        <v>0</v>
      </c>
      <c r="Z5" s="28">
        <v>0</v>
      </c>
      <c r="AA5" s="28">
        <v>0</v>
      </c>
      <c r="AB5" s="28">
        <v>0</v>
      </c>
      <c r="AC5" s="28">
        <v>0</v>
      </c>
      <c r="AD5" s="28">
        <v>0</v>
      </c>
      <c r="AE5" s="28">
        <v>0</v>
      </c>
      <c r="AF5" s="28">
        <v>0</v>
      </c>
      <c r="AG5" s="28">
        <v>0</v>
      </c>
      <c r="AH5" s="28">
        <v>0</v>
      </c>
      <c r="AI5" s="28">
        <v>0</v>
      </c>
      <c r="AJ5" s="28">
        <v>0</v>
      </c>
      <c r="AK5" s="28">
        <v>0</v>
      </c>
    </row>
    <row r="6" spans="1:37" x14ac:dyDescent="0.45">
      <c r="A6" t="s">
        <v>65</v>
      </c>
      <c r="B6" s="28">
        <v>0</v>
      </c>
      <c r="C6" s="28">
        <v>0</v>
      </c>
      <c r="D6" s="28">
        <v>0</v>
      </c>
      <c r="E6" s="28">
        <f>Calcs!B6</f>
        <v>2289.6900000000023</v>
      </c>
      <c r="F6" s="28">
        <f>Calcs!C6</f>
        <v>2367.0299999999988</v>
      </c>
      <c r="G6" s="28">
        <f>Calcs!D6</f>
        <v>2498.2733333333308</v>
      </c>
      <c r="H6" s="28">
        <f>Calcs!E6</f>
        <v>2498.2733333333308</v>
      </c>
      <c r="I6" s="28">
        <f>Calcs!F6</f>
        <v>2498.2733333333308</v>
      </c>
      <c r="J6" s="28">
        <f>Calcs!G6</f>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c r="AI6" s="28">
        <v>0</v>
      </c>
      <c r="AJ6" s="28">
        <v>0</v>
      </c>
      <c r="AK6" s="28">
        <v>0</v>
      </c>
    </row>
    <row r="7" spans="1:37" x14ac:dyDescent="0.45">
      <c r="A7" t="s">
        <v>66</v>
      </c>
      <c r="B7" s="28">
        <v>0</v>
      </c>
      <c r="C7" s="28">
        <v>0</v>
      </c>
      <c r="D7" s="28">
        <v>0</v>
      </c>
      <c r="E7" s="28">
        <f>Calcs!B7</f>
        <v>8159.8499999999985</v>
      </c>
      <c r="F7" s="28">
        <f>Calcs!C7</f>
        <v>8518.2999999999993</v>
      </c>
      <c r="G7" s="28">
        <f>Calcs!D7</f>
        <v>8423.1466666666674</v>
      </c>
      <c r="H7" s="28">
        <f>Calcs!E7</f>
        <v>8423.1466666666674</v>
      </c>
      <c r="I7" s="28">
        <f>Calcs!F7</f>
        <v>8423.1466666666674</v>
      </c>
      <c r="J7" s="28">
        <f>Calcs!G7</f>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c r="AI7" s="28">
        <v>0</v>
      </c>
      <c r="AJ7" s="28">
        <v>0</v>
      </c>
      <c r="AK7" s="28">
        <v>0</v>
      </c>
    </row>
    <row r="8" spans="1:37" x14ac:dyDescent="0.45">
      <c r="A8" t="s">
        <v>67</v>
      </c>
      <c r="B8" s="28">
        <v>0</v>
      </c>
      <c r="C8" s="28">
        <v>0</v>
      </c>
      <c r="D8" s="28">
        <v>0</v>
      </c>
      <c r="E8" s="28">
        <f>Calcs!B8</f>
        <v>0</v>
      </c>
      <c r="F8" s="28">
        <f>Calcs!C8</f>
        <v>0</v>
      </c>
      <c r="G8" s="28">
        <f>Calcs!D8</f>
        <v>0</v>
      </c>
      <c r="H8" s="28">
        <f>Calcs!E8</f>
        <v>0</v>
      </c>
      <c r="I8" s="28">
        <f>Calcs!F8</f>
        <v>0</v>
      </c>
      <c r="J8" s="28">
        <f>Calcs!G8</f>
        <v>0</v>
      </c>
      <c r="K8" s="28">
        <v>0</v>
      </c>
      <c r="L8" s="28">
        <v>0</v>
      </c>
      <c r="M8" s="28">
        <v>0</v>
      </c>
      <c r="N8" s="28">
        <v>0</v>
      </c>
      <c r="O8" s="28">
        <v>0</v>
      </c>
      <c r="P8" s="28">
        <v>0</v>
      </c>
      <c r="Q8" s="28">
        <v>0</v>
      </c>
      <c r="R8" s="28">
        <v>0</v>
      </c>
      <c r="S8" s="28">
        <v>0</v>
      </c>
      <c r="T8" s="28">
        <v>0</v>
      </c>
      <c r="U8" s="28">
        <v>0</v>
      </c>
      <c r="V8" s="28">
        <v>0</v>
      </c>
      <c r="W8" s="28">
        <v>0</v>
      </c>
      <c r="X8" s="28">
        <v>0</v>
      </c>
      <c r="Y8" s="28">
        <v>0</v>
      </c>
      <c r="Z8" s="28">
        <v>0</v>
      </c>
      <c r="AA8" s="28">
        <v>0</v>
      </c>
      <c r="AB8" s="28">
        <v>0</v>
      </c>
      <c r="AC8" s="28">
        <v>0</v>
      </c>
      <c r="AD8" s="28">
        <v>0</v>
      </c>
      <c r="AE8" s="28">
        <v>0</v>
      </c>
      <c r="AF8" s="28">
        <v>0</v>
      </c>
      <c r="AG8" s="28">
        <v>0</v>
      </c>
      <c r="AH8" s="28">
        <v>0</v>
      </c>
      <c r="AI8" s="28">
        <v>0</v>
      </c>
      <c r="AJ8" s="28">
        <v>0</v>
      </c>
      <c r="AK8" s="28">
        <v>0</v>
      </c>
    </row>
    <row r="9" spans="1:37" x14ac:dyDescent="0.45">
      <c r="A9" t="s">
        <v>68</v>
      </c>
      <c r="B9" s="28">
        <v>0</v>
      </c>
      <c r="C9" s="28">
        <v>0</v>
      </c>
      <c r="D9" s="28">
        <v>0</v>
      </c>
      <c r="E9" s="28">
        <f>Calcs!B9</f>
        <v>661.70000000000073</v>
      </c>
      <c r="F9" s="28">
        <f>Calcs!C9</f>
        <v>785.80999999999949</v>
      </c>
      <c r="G9" s="28">
        <f>Calcs!D9</f>
        <v>785.81000000011227</v>
      </c>
      <c r="H9" s="28">
        <f>Calcs!E9</f>
        <v>785.81000000005588</v>
      </c>
      <c r="I9" s="28">
        <f>Calcs!F9</f>
        <v>785.80999999982305</v>
      </c>
      <c r="J9" s="28">
        <f>Calcs!G9</f>
        <v>0</v>
      </c>
      <c r="K9" s="28">
        <v>0</v>
      </c>
      <c r="L9" s="28">
        <v>0</v>
      </c>
      <c r="M9" s="28">
        <v>0</v>
      </c>
      <c r="N9" s="28">
        <v>0</v>
      </c>
      <c r="O9" s="28">
        <v>0</v>
      </c>
      <c r="P9" s="28">
        <v>0</v>
      </c>
      <c r="Q9" s="28">
        <v>0</v>
      </c>
      <c r="R9" s="28">
        <v>0</v>
      </c>
      <c r="S9" s="28">
        <v>0</v>
      </c>
      <c r="T9" s="28">
        <v>0</v>
      </c>
      <c r="U9" s="28">
        <v>0</v>
      </c>
      <c r="V9" s="28">
        <v>0</v>
      </c>
      <c r="W9" s="28">
        <v>0</v>
      </c>
      <c r="X9" s="28">
        <v>0</v>
      </c>
      <c r="Y9" s="28">
        <v>0</v>
      </c>
      <c r="Z9" s="28">
        <v>0</v>
      </c>
      <c r="AA9" s="28">
        <v>0</v>
      </c>
      <c r="AB9" s="28">
        <v>0</v>
      </c>
      <c r="AC9" s="28">
        <v>0</v>
      </c>
      <c r="AD9" s="28">
        <v>0</v>
      </c>
      <c r="AE9" s="28">
        <v>0</v>
      </c>
      <c r="AF9" s="28">
        <v>0</v>
      </c>
      <c r="AG9" s="28">
        <v>0</v>
      </c>
      <c r="AH9" s="28">
        <v>0</v>
      </c>
      <c r="AI9" s="28">
        <v>0</v>
      </c>
      <c r="AJ9" s="28">
        <v>0</v>
      </c>
      <c r="AK9" s="28">
        <v>0</v>
      </c>
    </row>
    <row r="10" spans="1:37" x14ac:dyDescent="0.45">
      <c r="A10" t="s">
        <v>69</v>
      </c>
      <c r="B10" s="28">
        <v>0</v>
      </c>
      <c r="C10" s="28">
        <v>0</v>
      </c>
      <c r="D10" s="28">
        <v>0</v>
      </c>
      <c r="E10" s="28">
        <f>Calcs!B10</f>
        <v>0</v>
      </c>
      <c r="F10" s="28">
        <f>Calcs!C10</f>
        <v>0</v>
      </c>
      <c r="G10" s="28">
        <f>Calcs!D10</f>
        <v>0</v>
      </c>
      <c r="H10" s="28">
        <f>Calcs!E10</f>
        <v>0</v>
      </c>
      <c r="I10" s="28">
        <f>'Pumped Hydro'!D17</f>
        <v>1000</v>
      </c>
      <c r="J10" s="28">
        <f>'Pumped Hydro'!D18+'Pumped Hydro'!D19</f>
        <v>580</v>
      </c>
      <c r="K10" s="28">
        <v>0</v>
      </c>
      <c r="L10" s="28">
        <v>0</v>
      </c>
      <c r="M10" s="28">
        <v>0</v>
      </c>
      <c r="N10" s="28">
        <v>0</v>
      </c>
      <c r="O10" s="28">
        <v>0</v>
      </c>
      <c r="P10" s="28">
        <v>0</v>
      </c>
      <c r="Q10" s="28">
        <v>0</v>
      </c>
      <c r="R10" s="28">
        <v>0</v>
      </c>
      <c r="S10" s="28">
        <v>0</v>
      </c>
      <c r="T10" s="28">
        <v>0</v>
      </c>
      <c r="U10" s="28">
        <v>0</v>
      </c>
      <c r="V10" s="28">
        <v>0</v>
      </c>
      <c r="W10" s="28">
        <v>0</v>
      </c>
      <c r="X10" s="28">
        <v>0</v>
      </c>
      <c r="Y10" s="28">
        <v>0</v>
      </c>
      <c r="Z10" s="28">
        <v>0</v>
      </c>
      <c r="AA10" s="28">
        <v>0</v>
      </c>
      <c r="AB10" s="28">
        <v>0</v>
      </c>
      <c r="AC10" s="28">
        <v>0</v>
      </c>
      <c r="AD10" s="28">
        <v>0</v>
      </c>
      <c r="AE10" s="28">
        <v>0</v>
      </c>
      <c r="AF10" s="28">
        <v>0</v>
      </c>
      <c r="AG10" s="28">
        <v>0</v>
      </c>
      <c r="AH10" s="28">
        <v>0</v>
      </c>
      <c r="AI10" s="28">
        <v>0</v>
      </c>
      <c r="AJ10" s="28">
        <v>0</v>
      </c>
      <c r="AK10" s="28">
        <v>0</v>
      </c>
    </row>
    <row r="11" spans="1:37" x14ac:dyDescent="0.45">
      <c r="A11" t="s">
        <v>70</v>
      </c>
      <c r="B11" s="28">
        <v>0</v>
      </c>
      <c r="C11" s="28">
        <v>0</v>
      </c>
      <c r="D11" s="28">
        <v>0</v>
      </c>
      <c r="E11" s="28">
        <f>Calcs!B11</f>
        <v>1</v>
      </c>
      <c r="F11" s="28">
        <f>Calcs!C11</f>
        <v>1</v>
      </c>
      <c r="G11" s="28">
        <f>Calcs!D11</f>
        <v>0</v>
      </c>
      <c r="H11" s="28">
        <f>Calcs!E11</f>
        <v>0</v>
      </c>
      <c r="I11" s="28">
        <f>Calcs!F11</f>
        <v>0</v>
      </c>
      <c r="J11" s="28">
        <f>Calcs!G11</f>
        <v>0</v>
      </c>
      <c r="K11" s="28">
        <v>0</v>
      </c>
      <c r="L11" s="28">
        <v>0</v>
      </c>
      <c r="M11" s="28">
        <v>0</v>
      </c>
      <c r="N11" s="28">
        <v>0</v>
      </c>
      <c r="O11" s="28">
        <v>0</v>
      </c>
      <c r="P11" s="28">
        <v>0</v>
      </c>
      <c r="Q11" s="28">
        <v>0</v>
      </c>
      <c r="R11" s="28">
        <v>0</v>
      </c>
      <c r="S11" s="28">
        <v>0</v>
      </c>
      <c r="T11" s="28">
        <v>0</v>
      </c>
      <c r="U11" s="28">
        <v>0</v>
      </c>
      <c r="V11" s="28">
        <v>0</v>
      </c>
      <c r="W11" s="28">
        <v>0</v>
      </c>
      <c r="X11" s="28">
        <v>0</v>
      </c>
      <c r="Y11" s="28">
        <v>0</v>
      </c>
      <c r="Z11" s="28">
        <v>0</v>
      </c>
      <c r="AA11" s="28">
        <v>0</v>
      </c>
      <c r="AB11" s="28">
        <v>0</v>
      </c>
      <c r="AC11" s="28">
        <v>0</v>
      </c>
      <c r="AD11" s="28">
        <v>0</v>
      </c>
      <c r="AE11" s="28">
        <v>0</v>
      </c>
      <c r="AF11" s="28">
        <v>0</v>
      </c>
      <c r="AG11" s="28">
        <v>0</v>
      </c>
      <c r="AH11" s="28">
        <v>0</v>
      </c>
      <c r="AI11" s="28">
        <v>0</v>
      </c>
      <c r="AJ11" s="28">
        <v>0</v>
      </c>
      <c r="AK11" s="28">
        <v>0</v>
      </c>
    </row>
    <row r="12" spans="1:37" x14ac:dyDescent="0.45">
      <c r="A12" t="s">
        <v>71</v>
      </c>
      <c r="B12" s="28">
        <v>0</v>
      </c>
      <c r="C12" s="28">
        <v>0</v>
      </c>
      <c r="D12" s="28">
        <v>0</v>
      </c>
      <c r="E12" s="28">
        <f>Calcs!B12</f>
        <v>1</v>
      </c>
      <c r="F12" s="28">
        <f>Calcs!C12</f>
        <v>1</v>
      </c>
      <c r="G12" s="28">
        <f>Calcs!D12</f>
        <v>0</v>
      </c>
      <c r="H12" s="28">
        <f>Calcs!E12</f>
        <v>0</v>
      </c>
      <c r="I12" s="28">
        <f>Calcs!F12</f>
        <v>0</v>
      </c>
      <c r="J12" s="28">
        <f>Calcs!G12</f>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c r="AI12" s="28">
        <v>0</v>
      </c>
      <c r="AJ12" s="28">
        <v>0</v>
      </c>
      <c r="AK12" s="28">
        <v>0</v>
      </c>
    </row>
    <row r="13" spans="1:37" x14ac:dyDescent="0.45">
      <c r="A13" t="s">
        <v>72</v>
      </c>
      <c r="B13" s="28">
        <v>0</v>
      </c>
      <c r="C13" s="28">
        <v>0</v>
      </c>
      <c r="D13" s="28">
        <v>0</v>
      </c>
      <c r="E13" s="28">
        <f>Calcs!B13</f>
        <v>6360</v>
      </c>
      <c r="F13" s="28">
        <f>Calcs!C13</f>
        <v>500</v>
      </c>
      <c r="G13" s="28">
        <f>Calcs!D13</f>
        <v>0</v>
      </c>
      <c r="H13" s="28">
        <f>Calcs!E13</f>
        <v>0</v>
      </c>
      <c r="I13" s="28">
        <f>Calcs!F13</f>
        <v>0</v>
      </c>
      <c r="J13" s="28">
        <f>Calcs!G13</f>
        <v>0</v>
      </c>
      <c r="K13" s="28">
        <v>0</v>
      </c>
      <c r="L13" s="28">
        <v>0</v>
      </c>
      <c r="M13" s="28">
        <v>0</v>
      </c>
      <c r="N13" s="28">
        <v>0</v>
      </c>
      <c r="O13" s="28">
        <v>0</v>
      </c>
      <c r="P13" s="28">
        <v>0</v>
      </c>
      <c r="Q13" s="28">
        <v>0</v>
      </c>
      <c r="R13" s="28">
        <v>0</v>
      </c>
      <c r="S13" s="28">
        <v>0</v>
      </c>
      <c r="T13" s="28">
        <v>0</v>
      </c>
      <c r="U13" s="28">
        <v>0</v>
      </c>
      <c r="V13" s="28">
        <v>0</v>
      </c>
      <c r="W13" s="28">
        <v>0</v>
      </c>
      <c r="X13" s="28">
        <v>0</v>
      </c>
      <c r="Y13" s="28">
        <v>0</v>
      </c>
      <c r="Z13" s="28">
        <v>0</v>
      </c>
      <c r="AA13" s="28">
        <v>0</v>
      </c>
      <c r="AB13" s="28">
        <v>0</v>
      </c>
      <c r="AC13" s="28">
        <v>0</v>
      </c>
      <c r="AD13" s="28">
        <v>0</v>
      </c>
      <c r="AE13" s="28">
        <v>0</v>
      </c>
      <c r="AF13" s="28">
        <v>0</v>
      </c>
      <c r="AG13" s="28">
        <v>0</v>
      </c>
      <c r="AH13" s="28">
        <v>0</v>
      </c>
      <c r="AI13" s="28">
        <v>0</v>
      </c>
      <c r="AJ13" s="28">
        <v>0</v>
      </c>
      <c r="AK13" s="28">
        <v>0</v>
      </c>
    </row>
    <row r="14" spans="1:37" x14ac:dyDescent="0.45">
      <c r="A14" t="s">
        <v>73</v>
      </c>
      <c r="B14" s="28">
        <v>0</v>
      </c>
      <c r="C14" s="28">
        <v>0</v>
      </c>
      <c r="D14" s="28">
        <v>0</v>
      </c>
      <c r="E14" s="28">
        <f>Calcs!B14</f>
        <v>0</v>
      </c>
      <c r="F14" s="28">
        <f>Calcs!C14</f>
        <v>0</v>
      </c>
      <c r="G14" s="28">
        <f>Calcs!D14</f>
        <v>0</v>
      </c>
      <c r="H14" s="28">
        <f>Calcs!E14</f>
        <v>0</v>
      </c>
      <c r="I14" s="28">
        <f>Calcs!F14</f>
        <v>0</v>
      </c>
      <c r="J14" s="28">
        <f>Calcs!G14</f>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c r="AI14" s="28">
        <v>0</v>
      </c>
      <c r="AJ14" s="28">
        <v>0</v>
      </c>
      <c r="AK14" s="28">
        <v>0</v>
      </c>
    </row>
    <row r="15" spans="1:37" x14ac:dyDescent="0.45">
      <c r="A15" t="s">
        <v>74</v>
      </c>
      <c r="B15" s="28">
        <v>0</v>
      </c>
      <c r="C15" s="28">
        <f>B15</f>
        <v>0</v>
      </c>
      <c r="D15" s="28">
        <f t="shared" ref="D15:AK15" si="0">C15</f>
        <v>0</v>
      </c>
      <c r="E15" s="28">
        <f>Calcs!B15</f>
        <v>0</v>
      </c>
      <c r="F15" s="28">
        <f>Calcs!C15</f>
        <v>0</v>
      </c>
      <c r="G15" s="28">
        <f>Calcs!D15</f>
        <v>0</v>
      </c>
      <c r="H15" s="28">
        <f>Calcs!E15</f>
        <v>0</v>
      </c>
      <c r="I15" s="28">
        <f>Calcs!F15</f>
        <v>0</v>
      </c>
      <c r="J15" s="28">
        <f>Calcs!G15</f>
        <v>0</v>
      </c>
      <c r="K15" s="28">
        <f t="shared" si="0"/>
        <v>0</v>
      </c>
      <c r="L15" s="28">
        <f t="shared" si="0"/>
        <v>0</v>
      </c>
      <c r="M15" s="28">
        <f t="shared" si="0"/>
        <v>0</v>
      </c>
      <c r="N15" s="28">
        <f t="shared" si="0"/>
        <v>0</v>
      </c>
      <c r="O15" s="28">
        <f t="shared" si="0"/>
        <v>0</v>
      </c>
      <c r="P15" s="28">
        <f t="shared" si="0"/>
        <v>0</v>
      </c>
      <c r="Q15" s="28">
        <f t="shared" si="0"/>
        <v>0</v>
      </c>
      <c r="R15" s="28">
        <f t="shared" si="0"/>
        <v>0</v>
      </c>
      <c r="S15" s="28">
        <f t="shared" si="0"/>
        <v>0</v>
      </c>
      <c r="T15" s="28">
        <f t="shared" si="0"/>
        <v>0</v>
      </c>
      <c r="U15" s="28">
        <f t="shared" si="0"/>
        <v>0</v>
      </c>
      <c r="V15" s="28">
        <f t="shared" si="0"/>
        <v>0</v>
      </c>
      <c r="W15" s="28">
        <f t="shared" si="0"/>
        <v>0</v>
      </c>
      <c r="X15" s="28">
        <f t="shared" si="0"/>
        <v>0</v>
      </c>
      <c r="Y15" s="28">
        <f t="shared" si="0"/>
        <v>0</v>
      </c>
      <c r="Z15" s="28">
        <f t="shared" si="0"/>
        <v>0</v>
      </c>
      <c r="AA15" s="28">
        <f t="shared" si="0"/>
        <v>0</v>
      </c>
      <c r="AB15" s="28">
        <f t="shared" si="0"/>
        <v>0</v>
      </c>
      <c r="AC15" s="28">
        <f t="shared" si="0"/>
        <v>0</v>
      </c>
      <c r="AD15" s="28">
        <f t="shared" si="0"/>
        <v>0</v>
      </c>
      <c r="AE15" s="28">
        <f t="shared" si="0"/>
        <v>0</v>
      </c>
      <c r="AF15" s="28">
        <f t="shared" si="0"/>
        <v>0</v>
      </c>
      <c r="AG15" s="28">
        <f t="shared" si="0"/>
        <v>0</v>
      </c>
      <c r="AH15" s="28">
        <f t="shared" si="0"/>
        <v>0</v>
      </c>
      <c r="AI15" s="28">
        <f t="shared" si="0"/>
        <v>0</v>
      </c>
      <c r="AJ15" s="28">
        <f t="shared" si="0"/>
        <v>0</v>
      </c>
      <c r="AK15" s="28">
        <f t="shared" si="0"/>
        <v>0</v>
      </c>
    </row>
    <row r="16" spans="1:37" x14ac:dyDescent="0.45">
      <c r="A16" t="s">
        <v>75</v>
      </c>
      <c r="B16" s="28">
        <v>0</v>
      </c>
      <c r="C16" s="28">
        <f>B16</f>
        <v>0</v>
      </c>
      <c r="D16" s="28">
        <f t="shared" ref="D16:AK16" si="1">C16</f>
        <v>0</v>
      </c>
      <c r="E16" s="28">
        <f>Calcs!B16</f>
        <v>0</v>
      </c>
      <c r="F16" s="28">
        <f>Calcs!C16</f>
        <v>0</v>
      </c>
      <c r="G16" s="28">
        <f>Calcs!D16</f>
        <v>0</v>
      </c>
      <c r="H16" s="28">
        <f>Calcs!E16</f>
        <v>0</v>
      </c>
      <c r="I16" s="28">
        <f>Calcs!F16</f>
        <v>0</v>
      </c>
      <c r="J16" s="28">
        <f>Calcs!G16</f>
        <v>0</v>
      </c>
      <c r="K16" s="28">
        <f t="shared" si="1"/>
        <v>0</v>
      </c>
      <c r="L16" s="28">
        <f t="shared" si="1"/>
        <v>0</v>
      </c>
      <c r="M16" s="28">
        <f t="shared" si="1"/>
        <v>0</v>
      </c>
      <c r="N16" s="28">
        <f t="shared" si="1"/>
        <v>0</v>
      </c>
      <c r="O16" s="28">
        <f t="shared" si="1"/>
        <v>0</v>
      </c>
      <c r="P16" s="28">
        <f t="shared" si="1"/>
        <v>0</v>
      </c>
      <c r="Q16" s="28">
        <f t="shared" si="1"/>
        <v>0</v>
      </c>
      <c r="R16" s="28">
        <f t="shared" si="1"/>
        <v>0</v>
      </c>
      <c r="S16" s="28">
        <f t="shared" si="1"/>
        <v>0</v>
      </c>
      <c r="T16" s="28">
        <f t="shared" si="1"/>
        <v>0</v>
      </c>
      <c r="U16" s="28">
        <f t="shared" si="1"/>
        <v>0</v>
      </c>
      <c r="V16" s="28">
        <f t="shared" si="1"/>
        <v>0</v>
      </c>
      <c r="W16" s="28">
        <f t="shared" si="1"/>
        <v>0</v>
      </c>
      <c r="X16" s="28">
        <f t="shared" si="1"/>
        <v>0</v>
      </c>
      <c r="Y16" s="28">
        <f t="shared" si="1"/>
        <v>0</v>
      </c>
      <c r="Z16" s="28">
        <f t="shared" si="1"/>
        <v>0</v>
      </c>
      <c r="AA16" s="28">
        <f t="shared" si="1"/>
        <v>0</v>
      </c>
      <c r="AB16" s="28">
        <f t="shared" si="1"/>
        <v>0</v>
      </c>
      <c r="AC16" s="28">
        <f t="shared" si="1"/>
        <v>0</v>
      </c>
      <c r="AD16" s="28">
        <f t="shared" si="1"/>
        <v>0</v>
      </c>
      <c r="AE16" s="28">
        <f t="shared" si="1"/>
        <v>0</v>
      </c>
      <c r="AF16" s="28">
        <f t="shared" si="1"/>
        <v>0</v>
      </c>
      <c r="AG16" s="28">
        <f t="shared" si="1"/>
        <v>0</v>
      </c>
      <c r="AH16" s="28">
        <f t="shared" si="1"/>
        <v>0</v>
      </c>
      <c r="AI16" s="28">
        <f t="shared" si="1"/>
        <v>0</v>
      </c>
      <c r="AJ16" s="28">
        <f t="shared" si="1"/>
        <v>0</v>
      </c>
      <c r="AK16" s="28">
        <f t="shared" si="1"/>
        <v>0</v>
      </c>
    </row>
    <row r="17" spans="1:37" x14ac:dyDescent="0.45">
      <c r="A17" t="s">
        <v>76</v>
      </c>
      <c r="B17" s="28">
        <v>0</v>
      </c>
      <c r="C17" s="28">
        <f>B17</f>
        <v>0</v>
      </c>
      <c r="D17" s="28">
        <f t="shared" ref="D17:AK17" si="2">C17</f>
        <v>0</v>
      </c>
      <c r="E17" s="28">
        <f>Calcs!B17</f>
        <v>24.220000000000013</v>
      </c>
      <c r="F17" s="28">
        <f>Calcs!C17</f>
        <v>1.5</v>
      </c>
      <c r="G17" s="28">
        <f>Calcs!D17</f>
        <v>1.5000000000001705</v>
      </c>
      <c r="H17" s="28">
        <f>Calcs!E17</f>
        <v>1.5</v>
      </c>
      <c r="I17" s="28">
        <f>Calcs!F17</f>
        <v>1.5</v>
      </c>
      <c r="J17" s="28">
        <f>Calcs!G17</f>
        <v>0</v>
      </c>
      <c r="K17" s="28">
        <f t="shared" si="2"/>
        <v>0</v>
      </c>
      <c r="L17" s="28">
        <f t="shared" si="2"/>
        <v>0</v>
      </c>
      <c r="M17" s="28">
        <f t="shared" si="2"/>
        <v>0</v>
      </c>
      <c r="N17" s="28">
        <f t="shared" si="2"/>
        <v>0</v>
      </c>
      <c r="O17" s="28">
        <f t="shared" si="2"/>
        <v>0</v>
      </c>
      <c r="P17" s="28">
        <f t="shared" si="2"/>
        <v>0</v>
      </c>
      <c r="Q17" s="28">
        <f t="shared" si="2"/>
        <v>0</v>
      </c>
      <c r="R17" s="28">
        <f t="shared" si="2"/>
        <v>0</v>
      </c>
      <c r="S17" s="28">
        <f t="shared" si="2"/>
        <v>0</v>
      </c>
      <c r="T17" s="28">
        <f t="shared" si="2"/>
        <v>0</v>
      </c>
      <c r="U17" s="28">
        <f t="shared" si="2"/>
        <v>0</v>
      </c>
      <c r="V17" s="28">
        <f t="shared" si="2"/>
        <v>0</v>
      </c>
      <c r="W17" s="28">
        <f t="shared" si="2"/>
        <v>0</v>
      </c>
      <c r="X17" s="28">
        <f t="shared" si="2"/>
        <v>0</v>
      </c>
      <c r="Y17" s="28">
        <f t="shared" si="2"/>
        <v>0</v>
      </c>
      <c r="Z17" s="28">
        <f t="shared" si="2"/>
        <v>0</v>
      </c>
      <c r="AA17" s="28">
        <f t="shared" si="2"/>
        <v>0</v>
      </c>
      <c r="AB17" s="28">
        <f t="shared" si="2"/>
        <v>0</v>
      </c>
      <c r="AC17" s="28">
        <f t="shared" si="2"/>
        <v>0</v>
      </c>
      <c r="AD17" s="28">
        <f t="shared" si="2"/>
        <v>0</v>
      </c>
      <c r="AE17" s="28">
        <f t="shared" si="2"/>
        <v>0</v>
      </c>
      <c r="AF17" s="28">
        <f t="shared" si="2"/>
        <v>0</v>
      </c>
      <c r="AG17" s="28">
        <f t="shared" si="2"/>
        <v>0</v>
      </c>
      <c r="AH17" s="28">
        <f t="shared" si="2"/>
        <v>0</v>
      </c>
      <c r="AI17" s="28">
        <f t="shared" si="2"/>
        <v>0</v>
      </c>
      <c r="AJ17" s="28">
        <f t="shared" si="2"/>
        <v>0</v>
      </c>
      <c r="AK17" s="28">
        <f t="shared" si="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MNRE+CEA</vt:lpstr>
      <vt:lpstr>Actuals-based BPMCCS adjustment</vt:lpstr>
      <vt:lpstr>Installed Capacities - 2017-19</vt:lpstr>
      <vt:lpstr>BCRbQ Data</vt:lpstr>
      <vt:lpstr>Pumped Hydro</vt:lpstr>
      <vt:lpstr>Calcs</vt:lpstr>
      <vt:lpstr>BPMCCS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2015-06-10T01:27:30Z</dcterms:created>
  <dcterms:modified xsi:type="dcterms:W3CDTF">2020-12-15T18:22:19Z</dcterms:modified>
</cp:coreProperties>
</file>