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elec\EIaE\"/>
    </mc:Choice>
  </mc:AlternateContent>
  <xr:revisionPtr revIDLastSave="0" documentId="13_ncr:1_{D6C5AAAE-7351-4852-AE42-87A77D577A08}" xr6:coauthVersionLast="45" xr6:coauthVersionMax="45" xr10:uidLastSave="{00000000-0000-0000-0000-000000000000}"/>
  <bookViews>
    <workbookView xWindow="120" yWindow="435" windowWidth="27210" windowHeight="14775" firstSheet="3" activeTab="4" xr2:uid="{C387D1BA-BE84-4B5E-81B6-C1B4464792DE}"/>
  </bookViews>
  <sheets>
    <sheet name="About" sheetId="1" r:id="rId1"/>
    <sheet name="Data from 1.4.3" sheetId="9" r:id="rId2"/>
    <sheet name="Comparisons" sheetId="10" r:id="rId3"/>
    <sheet name="IRADe-BBIN study" sheetId="11" r:id="rId4"/>
    <sheet name="Electricity" sheetId="15" r:id="rId5"/>
    <sheet name="Conversion Factors" sheetId="14" r:id="rId6"/>
    <sheet name="EIaE-BIE" sheetId="3" r:id="rId7"/>
    <sheet name="EIaE-BEE" sheetId="5" r:id="rId8"/>
    <sheet name="EIaE-IEP" sheetId="12" r:id="rId9"/>
    <sheet name="EIaE-BEEP" sheetId="13" r:id="rId10"/>
  </sheets>
  <externalReferences>
    <externalReference r:id="rId11"/>
    <externalReference r:id="rId12"/>
    <externalReference r:id="rId13"/>
    <externalReference r:id="rId14"/>
  </externalReferences>
  <definedNames>
    <definedName name="BTU_per_kWh">[1]About!$A$163</definedName>
    <definedName name="gal_per_barrel">[2]About!$A$40</definedName>
    <definedName name="HHV_Adjust">[1]About!$A$160</definedName>
    <definedName name="lignite_multiplier" localSheetId="5">#REF!</definedName>
    <definedName name="lignite_multiplier" localSheetId="4">#REF!</definedName>
    <definedName name="lignite_multiplier">'[3]Hard Coal and Lig Multipliers'!$N$16</definedName>
    <definedName name="nonlignite_multiplier" localSheetId="5">#REF!</definedName>
    <definedName name="nonlignite_multiplier" localSheetId="4">#REF!</definedName>
    <definedName name="nonlignite_multiplier">'[3]Hard Coal and Lig Multipliers'!$N$17</definedName>
    <definedName name="tax_fuel_labels">'[4]Tax_Share of Price'!$A$2:$A$22</definedName>
    <definedName name="Tax_share">'[4]Tax_Share of Price'!$B$2:$AI$22</definedName>
    <definedName name="use_lifecycle_biofuel_EIs">[1]About!$A$61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5" l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B2" i="12"/>
  <c r="B41" i="15"/>
  <c r="B28" i="15"/>
  <c r="D26" i="15"/>
  <c r="B33" i="15"/>
  <c r="B38" i="15"/>
  <c r="A38" i="15"/>
  <c r="B32" i="15"/>
  <c r="B17" i="15"/>
  <c r="B16" i="15"/>
  <c r="C38" i="15" l="1"/>
  <c r="A39" i="15" s="1"/>
  <c r="B26" i="15"/>
  <c r="B27" i="15" s="1"/>
  <c r="I4" i="11"/>
  <c r="B16" i="11" s="1"/>
  <c r="B39" i="15" l="1"/>
  <c r="K6" i="15"/>
  <c r="K7" i="15" s="1"/>
  <c r="K8" i="15" s="1"/>
  <c r="J6" i="15"/>
  <c r="J7" i="15" s="1"/>
  <c r="J8" i="15" s="1"/>
  <c r="I6" i="15"/>
  <c r="I7" i="15" s="1"/>
  <c r="I8" i="15" s="1"/>
  <c r="H6" i="15"/>
  <c r="H7" i="15" s="1"/>
  <c r="H8" i="15" s="1"/>
  <c r="G6" i="15"/>
  <c r="G7" i="15" s="1"/>
  <c r="G8" i="15" s="1"/>
  <c r="F6" i="15"/>
  <c r="F7" i="15" s="1"/>
  <c r="F8" i="15" s="1"/>
  <c r="E6" i="15"/>
  <c r="E7" i="15" s="1"/>
  <c r="E8" i="15" s="1"/>
  <c r="B6" i="15"/>
  <c r="B7" i="15" s="1"/>
  <c r="B8" i="15" s="1"/>
  <c r="A6" i="15"/>
  <c r="A7" i="15" s="1"/>
  <c r="A8" i="15" s="1"/>
  <c r="K5" i="15" l="1"/>
  <c r="J5" i="15"/>
  <c r="I5" i="15"/>
  <c r="H5" i="15"/>
  <c r="G5" i="15"/>
  <c r="F5" i="15"/>
  <c r="E5" i="15"/>
  <c r="B5" i="15"/>
  <c r="A5" i="15"/>
  <c r="B76" i="14"/>
  <c r="B78" i="14" s="1"/>
  <c r="B71" i="14"/>
  <c r="B66" i="14"/>
  <c r="B67" i="14" s="1"/>
  <c r="B62" i="14"/>
  <c r="B57" i="14"/>
  <c r="B58" i="14" s="1"/>
  <c r="B51" i="14"/>
  <c r="B52" i="14" s="1"/>
  <c r="B45" i="14"/>
  <c r="B46" i="14" s="1"/>
  <c r="B47" i="14" s="1"/>
  <c r="B40" i="14"/>
  <c r="B32" i="14"/>
  <c r="B31" i="14"/>
  <c r="B33" i="14" s="1"/>
  <c r="B35" i="14" s="1"/>
  <c r="B36" i="14" s="1"/>
  <c r="C12" i="14"/>
  <c r="C13" i="14" s="1"/>
  <c r="H38" i="10" l="1"/>
  <c r="R38" i="10"/>
  <c r="AE16" i="11"/>
  <c r="AC2" i="5" s="1"/>
  <c r="S16" i="11"/>
  <c r="Q2" i="5" s="1"/>
  <c r="T16" i="11"/>
  <c r="R2" i="5" s="1"/>
  <c r="U16" i="11"/>
  <c r="S2" i="5" s="1"/>
  <c r="M16" i="11"/>
  <c r="K2" i="5" s="1"/>
  <c r="I16" i="11"/>
  <c r="G2" i="5" s="1"/>
  <c r="J16" i="11"/>
  <c r="H2" i="5" s="1"/>
  <c r="K16" i="11"/>
  <c r="I2" i="5" s="1"/>
  <c r="E16" i="11"/>
  <c r="C2" i="5" s="1"/>
  <c r="F16" i="11"/>
  <c r="D2" i="5" s="1"/>
  <c r="C16" i="11"/>
  <c r="AA16" i="11"/>
  <c r="Y2" i="5" s="1"/>
  <c r="V16" i="11"/>
  <c r="T2" i="5" s="1"/>
  <c r="G16" i="11"/>
  <c r="E2" i="5" s="1"/>
  <c r="F37" i="10"/>
  <c r="Z15" i="11"/>
  <c r="X5" i="3" s="1"/>
  <c r="N15" i="11"/>
  <c r="L5" i="3" s="1"/>
  <c r="O15" i="11"/>
  <c r="M5" i="3" s="1"/>
  <c r="P15" i="11"/>
  <c r="N5" i="3" s="1"/>
  <c r="H15" i="11"/>
  <c r="F5" i="3" s="1"/>
  <c r="D15" i="11"/>
  <c r="B5" i="3" s="1"/>
  <c r="E15" i="11"/>
  <c r="C5" i="3" s="1"/>
  <c r="F15" i="11"/>
  <c r="D5" i="3" s="1"/>
  <c r="L15" i="11"/>
  <c r="J5" i="3" s="1"/>
  <c r="G15" i="11"/>
  <c r="E5" i="3" s="1"/>
  <c r="B15" i="11"/>
  <c r="H4" i="11"/>
  <c r="C15" i="11" s="1"/>
  <c r="D16" i="11"/>
  <c r="H5" i="11"/>
  <c r="I15" i="11" s="1"/>
  <c r="H6" i="11"/>
  <c r="M15" i="11" s="1"/>
  <c r="H7" i="11"/>
  <c r="Q15" i="11" s="1"/>
  <c r="H8" i="11"/>
  <c r="W15" i="11" s="1"/>
  <c r="H9" i="11"/>
  <c r="AE15" i="11" s="1"/>
  <c r="H10" i="11"/>
  <c r="AF15" i="11" s="1"/>
  <c r="I5" i="11"/>
  <c r="H16" i="11" s="1"/>
  <c r="I6" i="11"/>
  <c r="N16" i="11" s="1"/>
  <c r="I7" i="11"/>
  <c r="R16" i="11" s="1"/>
  <c r="I8" i="11"/>
  <c r="X16" i="11" s="1"/>
  <c r="I9" i="11"/>
  <c r="AB16" i="11" s="1"/>
  <c r="I10" i="11"/>
  <c r="AC16" i="11" s="1"/>
  <c r="G5" i="3" l="1"/>
  <c r="G37" i="10"/>
  <c r="AC5" i="3"/>
  <c r="AC37" i="10"/>
  <c r="B2" i="5"/>
  <c r="B38" i="10"/>
  <c r="U5" i="3"/>
  <c r="U37" i="10"/>
  <c r="L2" i="5"/>
  <c r="L38" i="10"/>
  <c r="AA2" i="5"/>
  <c r="AA38" i="10"/>
  <c r="Z2" i="5"/>
  <c r="Z38" i="10"/>
  <c r="O5" i="3"/>
  <c r="O37" i="10"/>
  <c r="P2" i="5"/>
  <c r="P38" i="10"/>
  <c r="F2" i="5"/>
  <c r="F38" i="10"/>
  <c r="AD5" i="3"/>
  <c r="AG15" i="11"/>
  <c r="AD37" i="10"/>
  <c r="V2" i="5"/>
  <c r="V38" i="10"/>
  <c r="K5" i="3"/>
  <c r="K37" i="10"/>
  <c r="Y15" i="11"/>
  <c r="M37" i="10"/>
  <c r="E37" i="10"/>
  <c r="AD16" i="11"/>
  <c r="Y38" i="10"/>
  <c r="Q38" i="10"/>
  <c r="I38" i="10"/>
  <c r="W16" i="11"/>
  <c r="V15" i="11"/>
  <c r="U15" i="11"/>
  <c r="P16" i="11"/>
  <c r="Z16" i="11"/>
  <c r="AC38" i="10"/>
  <c r="E38" i="10"/>
  <c r="N37" i="10"/>
  <c r="B37" i="10"/>
  <c r="L37" i="10"/>
  <c r="R15" i="11"/>
  <c r="AA15" i="11"/>
  <c r="J15" i="11"/>
  <c r="T15" i="11"/>
  <c r="AD15" i="11"/>
  <c r="Y16" i="11"/>
  <c r="S15" i="11"/>
  <c r="AC15" i="11"/>
  <c r="X37" i="10"/>
  <c r="L16" i="11"/>
  <c r="T38" i="10"/>
  <c r="D38" i="10"/>
  <c r="X15" i="11"/>
  <c r="D37" i="10"/>
  <c r="AF16" i="11"/>
  <c r="AB15" i="11"/>
  <c r="C37" i="10"/>
  <c r="AG16" i="11"/>
  <c r="G38" i="10"/>
  <c r="K15" i="11"/>
  <c r="J37" i="10"/>
  <c r="O16" i="11"/>
  <c r="Q16" i="11"/>
  <c r="S38" i="10"/>
  <c r="K38" i="10"/>
  <c r="C38" i="10"/>
  <c r="B34" i="10"/>
  <c r="B33" i="10"/>
  <c r="X25" i="10"/>
  <c r="W30" i="10" s="1"/>
  <c r="X24" i="10"/>
  <c r="W29" i="10" s="1"/>
  <c r="C33" i="10" l="1"/>
  <c r="X29" i="10"/>
  <c r="X30" i="10"/>
  <c r="C34" i="10"/>
  <c r="AH16" i="11"/>
  <c r="N2" i="5"/>
  <c r="N38" i="10"/>
  <c r="U2" i="5"/>
  <c r="U38" i="10"/>
  <c r="M2" i="5"/>
  <c r="M38" i="10"/>
  <c r="W2" i="5"/>
  <c r="W38" i="10"/>
  <c r="J2" i="5"/>
  <c r="J38" i="10"/>
  <c r="AE5" i="3"/>
  <c r="AE37" i="10"/>
  <c r="AH15" i="11"/>
  <c r="Z5" i="3"/>
  <c r="Z37" i="10"/>
  <c r="AD2" i="5"/>
  <c r="AD38" i="10"/>
  <c r="V5" i="3"/>
  <c r="V37" i="10"/>
  <c r="AB5" i="3"/>
  <c r="AB37" i="10"/>
  <c r="Y5" i="3"/>
  <c r="Y37" i="10"/>
  <c r="S5" i="3"/>
  <c r="S37" i="10"/>
  <c r="AA5" i="3"/>
  <c r="AA37" i="10"/>
  <c r="T5" i="3"/>
  <c r="T37" i="10"/>
  <c r="O2" i="5"/>
  <c r="O38" i="10"/>
  <c r="I5" i="3"/>
  <c r="I37" i="10"/>
  <c r="R5" i="3"/>
  <c r="R37" i="10"/>
  <c r="AE2" i="5"/>
  <c r="AE38" i="10"/>
  <c r="P5" i="3"/>
  <c r="P37" i="10"/>
  <c r="W5" i="3"/>
  <c r="W37" i="10"/>
  <c r="Q5" i="3"/>
  <c r="Q37" i="10"/>
  <c r="H5" i="3"/>
  <c r="H37" i="10"/>
  <c r="X2" i="5"/>
  <c r="X38" i="10"/>
  <c r="AB2" i="5"/>
  <c r="AB38" i="10"/>
  <c r="B5" i="10"/>
  <c r="Y30" i="10" l="1"/>
  <c r="D34" i="10"/>
  <c r="AF2" i="5"/>
  <c r="AF38" i="10"/>
  <c r="AF5" i="3"/>
  <c r="AI15" i="11"/>
  <c r="AF37" i="10"/>
  <c r="Y29" i="10"/>
  <c r="D33" i="10"/>
  <c r="AI16" i="11"/>
  <c r="D15" i="9"/>
  <c r="E42" i="9" s="1"/>
  <c r="B15" i="9"/>
  <c r="E40" i="9" s="1"/>
  <c r="D14" i="9"/>
  <c r="D42" i="9"/>
  <c r="B14" i="9"/>
  <c r="D40" i="9" s="1"/>
  <c r="C15" i="9"/>
  <c r="E41" i="9"/>
  <c r="C14" i="9"/>
  <c r="D41" i="9" s="1"/>
  <c r="O33" i="9"/>
  <c r="M33" i="9"/>
  <c r="O32" i="9"/>
  <c r="Z29" i="10" l="1"/>
  <c r="E33" i="10"/>
  <c r="AG2" i="5"/>
  <c r="AG38" i="10"/>
  <c r="AJ16" i="11"/>
  <c r="AJ15" i="11"/>
  <c r="AG5" i="3"/>
  <c r="AG37" i="10"/>
  <c r="Z30" i="10"/>
  <c r="E34" i="10"/>
  <c r="G40" i="9"/>
  <c r="I40" i="9"/>
  <c r="G42" i="9"/>
  <c r="AK15" i="11" l="1"/>
  <c r="AH5" i="3"/>
  <c r="AH37" i="10"/>
  <c r="AK16" i="11"/>
  <c r="AH2" i="5"/>
  <c r="AH38" i="10"/>
  <c r="AA30" i="10"/>
  <c r="F34" i="10"/>
  <c r="AA29" i="10"/>
  <c r="F33" i="10"/>
  <c r="N46" i="9"/>
  <c r="C5" i="10" s="1"/>
  <c r="N45" i="9"/>
  <c r="B4" i="10"/>
  <c r="AI2" i="5" l="1"/>
  <c r="AI38" i="10"/>
  <c r="AB30" i="10"/>
  <c r="G34" i="10"/>
  <c r="AB29" i="10"/>
  <c r="G33" i="10"/>
  <c r="AI5" i="3"/>
  <c r="AI37" i="10"/>
  <c r="C4" i="10"/>
  <c r="O45" i="9"/>
  <c r="O46" i="9"/>
  <c r="D5" i="10" s="1"/>
  <c r="AC29" i="10" l="1"/>
  <c r="H33" i="10"/>
  <c r="AC30" i="10"/>
  <c r="H34" i="10"/>
  <c r="P46" i="9"/>
  <c r="E5" i="10" s="1"/>
  <c r="D4" i="10"/>
  <c r="P45" i="9"/>
  <c r="AD30" i="10" l="1"/>
  <c r="I34" i="10"/>
  <c r="AD29" i="10"/>
  <c r="I33" i="10"/>
  <c r="Q45" i="9"/>
  <c r="E4" i="10"/>
  <c r="Q46" i="9"/>
  <c r="F5" i="10" s="1"/>
  <c r="AE29" i="10" l="1"/>
  <c r="J33" i="10"/>
  <c r="AE30" i="10"/>
  <c r="J34" i="10"/>
  <c r="R46" i="9"/>
  <c r="G5" i="10" s="1"/>
  <c r="R45" i="9"/>
  <c r="F4" i="10"/>
  <c r="AF30" i="10" l="1"/>
  <c r="K34" i="10"/>
  <c r="AF29" i="10"/>
  <c r="K33" i="10"/>
  <c r="S45" i="9"/>
  <c r="G4" i="10"/>
  <c r="S46" i="9"/>
  <c r="H5" i="10" s="1"/>
  <c r="AG29" i="10" l="1"/>
  <c r="L33" i="10"/>
  <c r="AG30" i="10"/>
  <c r="L34" i="10"/>
  <c r="T46" i="9"/>
  <c r="I5" i="10" s="1"/>
  <c r="H4" i="10"/>
  <c r="T45" i="9"/>
  <c r="AH30" i="10" l="1"/>
  <c r="M34" i="10"/>
  <c r="AH29" i="10"/>
  <c r="M33" i="10"/>
  <c r="I4" i="10"/>
  <c r="U45" i="9"/>
  <c r="U46" i="9"/>
  <c r="J5" i="10" s="1"/>
  <c r="AI29" i="10" l="1"/>
  <c r="N33" i="10"/>
  <c r="AI30" i="10"/>
  <c r="N34" i="10"/>
  <c r="V46" i="9"/>
  <c r="K5" i="10" s="1"/>
  <c r="V45" i="9"/>
  <c r="J4" i="10"/>
  <c r="AJ30" i="10" l="1"/>
  <c r="O34" i="10"/>
  <c r="AJ29" i="10"/>
  <c r="O33" i="10"/>
  <c r="W45" i="9"/>
  <c r="K4" i="10"/>
  <c r="W46" i="9"/>
  <c r="L5" i="10" s="1"/>
  <c r="AK29" i="10" l="1"/>
  <c r="P33" i="10"/>
  <c r="AK30" i="10"/>
  <c r="P34" i="10"/>
  <c r="X46" i="9"/>
  <c r="M5" i="10" s="1"/>
  <c r="L4" i="10"/>
  <c r="X45" i="9"/>
  <c r="AL30" i="10" l="1"/>
  <c r="Q34" i="10"/>
  <c r="AL29" i="10"/>
  <c r="Q33" i="10"/>
  <c r="Y45" i="9"/>
  <c r="M4" i="10"/>
  <c r="Y46" i="9"/>
  <c r="N5" i="10" s="1"/>
  <c r="R33" i="10" l="1"/>
  <c r="AM29" i="10"/>
  <c r="AM30" i="10"/>
  <c r="R34" i="10"/>
  <c r="Z46" i="9"/>
  <c r="O5" i="10" s="1"/>
  <c r="Z45" i="9"/>
  <c r="N4" i="10"/>
  <c r="AN30" i="10" l="1"/>
  <c r="S34" i="10"/>
  <c r="S33" i="10"/>
  <c r="AN29" i="10"/>
  <c r="AA45" i="9"/>
  <c r="O4" i="10"/>
  <c r="AA46" i="9"/>
  <c r="P5" i="10" s="1"/>
  <c r="T33" i="10" l="1"/>
  <c r="AO29" i="10"/>
  <c r="AO30" i="10"/>
  <c r="T34" i="10"/>
  <c r="AB46" i="9"/>
  <c r="Q5" i="10" s="1"/>
  <c r="P4" i="10"/>
  <c r="AB45" i="9"/>
  <c r="AP29" i="10" l="1"/>
  <c r="U33" i="10"/>
  <c r="AP30" i="10"/>
  <c r="U34" i="10"/>
  <c r="Q4" i="10"/>
  <c r="AC45" i="9"/>
  <c r="AC46" i="9"/>
  <c r="AQ30" i="10" l="1"/>
  <c r="V34" i="10"/>
  <c r="AQ29" i="10"/>
  <c r="V33" i="10"/>
  <c r="R4" i="10"/>
  <c r="AR29" i="10" l="1"/>
  <c r="W33" i="10"/>
  <c r="AR30" i="10"/>
  <c r="W34" i="10"/>
  <c r="R5" i="10"/>
  <c r="S4" i="10"/>
  <c r="AS29" i="10" l="1"/>
  <c r="X33" i="10"/>
  <c r="AS30" i="10"/>
  <c r="X34" i="10"/>
  <c r="T4" i="10"/>
  <c r="S5" i="10"/>
  <c r="AT30" i="10" l="1"/>
  <c r="Y34" i="10"/>
  <c r="AT29" i="10"/>
  <c r="Y33" i="10"/>
  <c r="T5" i="10"/>
  <c r="U4" i="10"/>
  <c r="AU29" i="10" l="1"/>
  <c r="Z33" i="10"/>
  <c r="AU30" i="10"/>
  <c r="Z34" i="10"/>
  <c r="V4" i="10"/>
  <c r="U5" i="10"/>
  <c r="AV30" i="10" l="1"/>
  <c r="AA34" i="10"/>
  <c r="AV29" i="10"/>
  <c r="AA33" i="10"/>
  <c r="V5" i="10"/>
  <c r="W4" i="10"/>
  <c r="AW29" i="10" l="1"/>
  <c r="AB33" i="10"/>
  <c r="AW30" i="10"/>
  <c r="AB34" i="10"/>
  <c r="W5" i="10"/>
  <c r="X4" i="10"/>
  <c r="AX30" i="10" l="1"/>
  <c r="AC34" i="10"/>
  <c r="AX29" i="10"/>
  <c r="AC33" i="10"/>
  <c r="Y4" i="10"/>
  <c r="X5" i="10"/>
  <c r="AY29" i="10" l="1"/>
  <c r="AD33" i="10"/>
  <c r="AY30" i="10"/>
  <c r="AD34" i="10"/>
  <c r="Y5" i="10"/>
  <c r="Z4" i="10"/>
  <c r="AZ30" i="10" l="1"/>
  <c r="AE34" i="10"/>
  <c r="AZ29" i="10"/>
  <c r="AE33" i="10"/>
  <c r="Z5" i="10"/>
  <c r="AA4" i="10"/>
  <c r="BA29" i="10" l="1"/>
  <c r="AF33" i="10"/>
  <c r="BA30" i="10"/>
  <c r="AF34" i="10"/>
  <c r="AA5" i="10"/>
  <c r="AB4" i="10"/>
  <c r="BB29" i="10" l="1"/>
  <c r="AG33" i="10"/>
  <c r="BB30" i="10"/>
  <c r="AG34" i="10"/>
  <c r="AB5" i="10"/>
  <c r="AC4" i="10"/>
  <c r="BC30" i="10" l="1"/>
  <c r="AI34" i="10" s="1"/>
  <c r="AH34" i="10"/>
  <c r="BC29" i="10"/>
  <c r="AI33" i="10" s="1"/>
  <c r="AH33" i="10"/>
  <c r="AC5" i="10"/>
  <c r="AD4" i="10"/>
  <c r="AD5" i="10" l="1"/>
  <c r="AE4" i="10"/>
  <c r="AF4" i="10" l="1"/>
  <c r="AE5" i="10"/>
  <c r="AF5" i="10" l="1"/>
  <c r="AG4" i="10"/>
  <c r="AI4" i="10" l="1"/>
  <c r="AH4" i="10"/>
  <c r="AG5" i="10"/>
  <c r="AI5" i="10" l="1"/>
  <c r="AH5" i="10"/>
</calcChain>
</file>

<file path=xl/sharedStrings.xml><?xml version="1.0" encoding="utf-8"?>
<sst xmlns="http://schemas.openxmlformats.org/spreadsheetml/2006/main" count="285" uniqueCount="234">
  <si>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</si>
  <si>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</si>
  <si>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</si>
  <si>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</si>
  <si>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</si>
  <si>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</si>
  <si>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</si>
  <si>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</si>
  <si>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</si>
  <si>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</si>
  <si>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</si>
  <si>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</si>
  <si>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</si>
  <si>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</si>
  <si>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</si>
  <si>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</si>
  <si>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</si>
  <si>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 xml:space="preserve">                                   13th  Plan (2021‐22)</t>
  </si>
  <si>
    <t>2033-34</t>
  </si>
  <si>
    <t>NR (Import)                                      22000                      23000/22000           34000/31000           44000</t>
  </si>
  <si>
    <t>WR (Export)                                     16000                      28000/28000           30000/30000           33000</t>
  </si>
  <si>
    <t>SR (Import)                                       19000                      21000/21000           42000/42000           51000</t>
  </si>
  <si>
    <t>ER (Export)                                       25000                      30000/30000           31000/31000           35000</t>
  </si>
  <si>
    <t>NER (Export)                                     6000                       14000/14000           27000/27000           44000</t>
  </si>
  <si>
    <t>Bhutan (Export)                                6600                             14000                        26500                 26500</t>
  </si>
  <si>
    <t>Nepal (Export)                                     0                                 10000                        20000                 25000</t>
  </si>
  <si>
    <t>Sri Lanka (Import)                               0                                   500                             800                    1000</t>
  </si>
  <si>
    <t>Bangladesh (Import)                       1000                              1500                           2000                   2000</t>
  </si>
  <si>
    <t>Pakistan (Import)                                0                                   500                             800                    1000</t>
  </si>
  <si>
    <t>Import</t>
  </si>
  <si>
    <t>Export</t>
  </si>
  <si>
    <t>Electricity (GWh)</t>
  </si>
  <si>
    <t>Gross imports</t>
  </si>
  <si>
    <t>Exports</t>
  </si>
  <si>
    <t>CAGR</t>
  </si>
  <si>
    <t>Imports</t>
  </si>
  <si>
    <t>The gross import of electricity has increased with a CAGR 5.90% during the period
2006-07 (2957 GWh) to 2015-16 (5244 GWh). Similarly, the export of electricity
has increased from 216 GWh in 2006-07 to 5150 GWh in 2015-16.
 There was decrease in net import of electricity during 2006-07 to 2015-16 and the
CAGR for this period is (-) 28.64%</t>
  </si>
  <si>
    <t>http://www.mospi.nic.in/sites/default/files/publication_reports/Energy_Statistics_2017r.pdf.pdf</t>
  </si>
  <si>
    <t>Growth Trend (import)</t>
  </si>
  <si>
    <t>Growth Trend (export)</t>
  </si>
  <si>
    <t>13th</t>
  </si>
  <si>
    <t>2021-22</t>
  </si>
  <si>
    <t>14th</t>
  </si>
  <si>
    <t>2022-27</t>
  </si>
  <si>
    <t>15th</t>
  </si>
  <si>
    <t>2027-2032</t>
  </si>
  <si>
    <t>The gross import of electricity has increased with a CAGR 0.72% during the
period 2007-08 (5230 GWh) to 2016-17 (5617 GWh). Similarly, the export of
electricity has increased from 290 GWh in 2007-08 to 6710 GWh in 2016-17.
 There was decrease in net import of electricity during 2007-08 to 2016-17 and
percentage decrease in 2016-17 with respect to 2015-16 is (-) 1263.76%.</t>
  </si>
  <si>
    <t>http://mospi.nic.in/sites/default/files/publication_reports/Energy_Statistics_2018.pdf</t>
  </si>
  <si>
    <t>Trends in demand of electricity import and export</t>
  </si>
  <si>
    <t>Central Electricity Authority</t>
  </si>
  <si>
    <t>Brief note on Perspective transmission Plan for 20 Year (2014‐2034)</t>
  </si>
  <si>
    <t>http://www.cea.nic.in/reports/committee/scm/allindia/notices/3rd_briefnote.pdf</t>
  </si>
  <si>
    <t>Past data on exports and imports of electricity</t>
  </si>
  <si>
    <t>Ministry of Statistics and Programme Implementation</t>
  </si>
  <si>
    <t>Table 4.1</t>
  </si>
  <si>
    <t>Notes:</t>
  </si>
  <si>
    <t>The projections of imports and exports based on historical numbers were considered impractical because of the changes in the sector in the time period.</t>
  </si>
  <si>
    <t>14th  Plan
(Scenario‐I /Scenario‐II)
(2026-27)</t>
  </si>
  <si>
    <t xml:space="preserve">15th  Plan 
(Scenario‐I / 
Scenario‐II) 
(2031-32)
</t>
  </si>
  <si>
    <t>ENERGY STATISTICS 2018, 2019</t>
  </si>
  <si>
    <t>http://www.mospi.gov.in/sites/default/files/publication_reports/Energy%20Statistics%202019-finall.pdf</t>
  </si>
  <si>
    <t>imp</t>
  </si>
  <si>
    <t>exp</t>
  </si>
  <si>
    <t>imports</t>
  </si>
  <si>
    <t>exports</t>
  </si>
  <si>
    <t>CEA-based projections</t>
  </si>
  <si>
    <t>IESS LEVEL 2 GW trajectories-----&gt;</t>
  </si>
  <si>
    <t>CAGR (2047-2022)</t>
  </si>
  <si>
    <t xml:space="preserve">IESS-based projections </t>
  </si>
  <si>
    <t>TABLE :Maximum Import/ Export of different Regions / SAARC Countries</t>
  </si>
  <si>
    <t>For comparison only, not used</t>
  </si>
  <si>
    <t>Imported Electricity (MW*hour)</t>
  </si>
  <si>
    <t>crude oil</t>
  </si>
  <si>
    <t>heavy or residual fuel oil</t>
  </si>
  <si>
    <t>municipal solid waste</t>
  </si>
  <si>
    <t>Exported Electricity (MW*hour)</t>
  </si>
  <si>
    <t>Only hydro is considered for imports as India has only hydroelectricity contracts with neighbouring countries.</t>
  </si>
  <si>
    <t>In IESS based projections, imports grow more than exports over time.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</si>
  <si>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</si>
  <si>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</si>
  <si>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</si>
  <si>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</si>
  <si>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</si>
  <si>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</si>
  <si>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</si>
  <si>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Table 4.3 India’s Trade Potential with Bangladesh, Bhutan and Nepal (in GWh)</t>
  </si>
  <si>
    <t>India’s Exports to (in GWh)</t>
  </si>
  <si>
    <t>India’s Imports from (in GWh)</t>
  </si>
  <si>
    <t>Year</t>
  </si>
  <si>
    <t>Bangladesh</t>
  </si>
  <si>
    <t>Bhutan</t>
  </si>
  <si>
    <t>Nepal</t>
  </si>
  <si>
    <t>CAGR 2015-45</t>
  </si>
  <si>
    <t>-</t>
  </si>
  <si>
    <t>Interpolated</t>
  </si>
  <si>
    <t>Total Hydro 
Imports (MWh)</t>
  </si>
  <si>
    <t>Exports 
(MWh)</t>
  </si>
  <si>
    <t>IRADe projections</t>
  </si>
  <si>
    <t xml:space="preserve">In 1.4.3 version of EPS-India, trends in electricity export and import till 2033 (as per the MW demand projections provided by CEA) </t>
  </si>
  <si>
    <t>The 1.4.3v calculations are retained here for reference only.</t>
  </si>
  <si>
    <t>In the current version, we use the projections from a study which uses an integrated least-cost modelling</t>
  </si>
  <si>
    <t>Data for v1.4.3</t>
  </si>
  <si>
    <t>were applied to actual present GWh values from MoSPI. Post 2033, they were assumed to be constant due to lack of further data.</t>
  </si>
  <si>
    <t>The projections based on trends in IESS Level 2 trajectories are presented for comparison, but not used.</t>
  </si>
  <si>
    <t>Projections from v1.4.3 of EPS India:</t>
  </si>
  <si>
    <t>in the BBIN (Bangladesh-Bhutan-India-Nepal) region. The study builds on the import capacity and capacity factor</t>
  </si>
  <si>
    <r>
      <t>Hydro Imports (MWh)</t>
    </r>
    <r>
      <rPr>
        <sz val="10"/>
        <color theme="1"/>
        <rFont val="Calibri"/>
        <family val="2"/>
        <scheme val="minor"/>
      </rPr>
      <t>*</t>
    </r>
  </si>
  <si>
    <r>
      <t>Exports (MWh)</t>
    </r>
    <r>
      <rPr>
        <sz val="10"/>
        <color theme="1"/>
        <rFont val="Calibri"/>
        <family val="2"/>
        <scheme val="minor"/>
      </rPr>
      <t>#</t>
    </r>
  </si>
  <si>
    <r>
      <rPr>
        <i/>
        <sz val="10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Post 2045, imports are held constant as Bhutan imports flatten out from 2035</t>
    </r>
  </si>
  <si>
    <r>
      <rPr>
        <i/>
        <sz val="10"/>
        <color theme="1"/>
        <rFont val="Calibri"/>
        <family val="2"/>
        <scheme val="minor"/>
      </rPr>
      <t>#</t>
    </r>
    <r>
      <rPr>
        <i/>
        <sz val="11"/>
        <color theme="1"/>
        <rFont val="Calibri"/>
        <family val="2"/>
        <scheme val="minor"/>
      </rPr>
      <t>Post 2045, exports are assumed to continue as per the trend in 2040-45</t>
    </r>
  </si>
  <si>
    <t>approach to estimate the optimal economic trade potential that can be achieved in a multilateral trading agreement</t>
  </si>
  <si>
    <t>Data for v2.1</t>
  </si>
  <si>
    <t>Projections for Import and Exports</t>
  </si>
  <si>
    <t>Gains from Multilateral Electricity Trade among BBIN countries</t>
  </si>
  <si>
    <t>https://irade.org/Gains%20from%20Multilateral%20Electricity%20Trade%20among%20BBIN%20Country.pdf</t>
  </si>
  <si>
    <t>Table 4.3, page 9</t>
  </si>
  <si>
    <t>IRADe, USAID - South Asia Regional Initiative for Energy Integration (SARI/EI)</t>
  </si>
  <si>
    <t xml:space="preserve">from Bhutan in CEA's NEP. </t>
  </si>
  <si>
    <t>Source: IRADe-USAID (SARI/EI)</t>
  </si>
  <si>
    <t>Unit: 2012 USD/MWh</t>
  </si>
  <si>
    <t>Imported Electricity Price</t>
  </si>
  <si>
    <t>Exported Electricity Price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</si>
  <si>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</si>
  <si>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</si>
  <si>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</si>
  <si>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</si>
  <si>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</si>
  <si>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</si>
  <si>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</si>
  <si>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</si>
  <si>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</si>
  <si>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</si>
  <si>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</si>
  <si>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</si>
  <si>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</si>
  <si>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</si>
  <si>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</si>
  <si>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</si>
  <si>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</si>
  <si>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</si>
  <si>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</si>
  <si>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</si>
  <si>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</si>
  <si>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</si>
  <si>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</si>
  <si>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</si>
  <si>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</si>
  <si>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</si>
  <si>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</si>
  <si>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</si>
  <si>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</si>
  <si>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</si>
  <si>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</si>
  <si>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</si>
  <si>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</si>
  <si>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</si>
  <si>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</si>
  <si>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</si>
  <si>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</si>
  <si>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</si>
  <si>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</si>
  <si>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</si>
  <si>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</si>
  <si>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</si>
  <si>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</si>
  <si>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Natural Gas</t>
  </si>
  <si>
    <t>trillion BTU / billion cubic m</t>
  </si>
  <si>
    <t>BTU / thousand cubic m</t>
  </si>
  <si>
    <t>Coal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</si>
  <si>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</si>
  <si>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</si>
  <si>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</si>
  <si>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</si>
  <si>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</si>
  <si>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</si>
  <si>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</si>
  <si>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</si>
  <si>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</si>
  <si>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</si>
  <si>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</si>
  <si>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</si>
  <si>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</si>
  <si>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</si>
  <si>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</si>
  <si>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</si>
  <si>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</si>
  <si>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</si>
  <si>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</si>
  <si>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</si>
  <si>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</si>
  <si>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</si>
  <si>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</si>
  <si>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</si>
  <si>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</si>
  <si>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</si>
  <si>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</si>
  <si>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Data for v3.0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</si>
  <si>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</si>
  <si>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</si>
  <si>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</si>
  <si>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</si>
  <si>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2012 USD/MWH</t>
  </si>
  <si>
    <t>btu to MWH</t>
  </si>
  <si>
    <t>EIaE Imported Electricity Price</t>
  </si>
  <si>
    <t>EIaE BAU Exported Electricity Price</t>
  </si>
  <si>
    <t>Electricity - Consumer Price</t>
  </si>
  <si>
    <t>Electricity - Import Price</t>
  </si>
  <si>
    <t>Electricity - Export Price</t>
  </si>
  <si>
    <t>INR</t>
  </si>
  <si>
    <t>$/kwh</t>
  </si>
  <si>
    <t>Source: "Gains from Multilateral Electricity Trade among BBIN Countries"</t>
  </si>
  <si>
    <t>Electricity Price, Domestic</t>
  </si>
  <si>
    <t>Electricity Price - Imports</t>
  </si>
  <si>
    <t>Integrated Research and Action for Development</t>
  </si>
  <si>
    <t>"Gains from Multilateral Electricity Trade among BBIN Countries"</t>
  </si>
  <si>
    <t>https://sari-energy.org/wp-content/uploads/2018/09/Gains-from-Multilateral-Electricity-Trade-among-BBIN-Country.pdf</t>
  </si>
  <si>
    <t xml:space="preserve">pg 6. </t>
  </si>
  <si>
    <t>Electricity Price - Exports</t>
  </si>
  <si>
    <t>Spotlight Nepal</t>
  </si>
  <si>
    <t>"Nepal-India PPA: Power Need and a Price"</t>
  </si>
  <si>
    <t>"Short-term Inter-State Transactions of Electricity by Trading Licensees"</t>
  </si>
  <si>
    <t>Form IV-D – Long-term transactions, page 4, cross-border transactions</t>
  </si>
  <si>
    <t>RS/kwh - 2018</t>
  </si>
  <si>
    <t>Volume</t>
  </si>
  <si>
    <t>Weighted average price (RS/kwh)</t>
  </si>
  <si>
    <t>USD</t>
  </si>
  <si>
    <t>$/MWH</t>
  </si>
  <si>
    <t>2012 USD $/MWH</t>
  </si>
  <si>
    <t>Total Export Volume</t>
  </si>
  <si>
    <t>Total</t>
  </si>
  <si>
    <t>Weighted average price of exported electricity (2015-2045 export volumes)</t>
  </si>
  <si>
    <t>Weighted average price (RS/MWH)</t>
  </si>
  <si>
    <t>Weighted average price (2012 USD $/MWH)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</si>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</sst>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7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9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10" applyFont="1"/>
    <xf numFmtId="0" fontId="0" fillId="0" borderId="0" xfId="0" applyAlignment="1"/>
    <xf numFmtId="0" fontId="6" fillId="0" borderId="0" xfId="9" applyAlignment="1"/>
    <xf numFmtId="164" fontId="0" fillId="0" borderId="0" xfId="0" applyNumberFormat="1"/>
    <xf numFmtId="0" fontId="1" fillId="4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8" fillId="5" borderId="5" xfId="0" applyFont="1" applyFill="1" applyBorder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6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6" borderId="0" xfId="0" applyFont="1" applyFill="1"/>
    <xf numFmtId="0" fontId="10" fillId="0" borderId="0" xfId="0" applyFont="1"/>
    <xf numFmtId="2" fontId="0" fillId="0" borderId="0" xfId="11" applyNumberFormat="1" applyFont="1"/>
    <xf numFmtId="43" fontId="0" fillId="0" borderId="0" xfId="11" applyFont="1"/>
    <xf numFmtId="0" fontId="0" fillId="0" borderId="0" xfId="0" applyFont="1" applyAlignment="1">
      <alignment wrapText="1"/>
    </xf>
    <xf numFmtId="0" fontId="0" fillId="6" borderId="0" xfId="0" applyFill="1"/>
    <xf numFmtId="0" fontId="12" fillId="0" borderId="0" xfId="12" applyAlignment="1" applyProtection="1"/>
    <xf numFmtId="165" fontId="0" fillId="0" borderId="0" xfId="0" applyNumberFormat="1"/>
    <xf numFmtId="9" fontId="0" fillId="0" borderId="0" xfId="0" applyNumberFormat="1"/>
    <xf numFmtId="0" fontId="10" fillId="0" borderId="0" xfId="0" applyFont="1" applyAlignment="1">
      <alignment wrapText="1"/>
    </xf>
    <xf numFmtId="1" fontId="0" fillId="0" borderId="0" xfId="0" applyNumberFormat="1"/>
    <xf numFmtId="11" fontId="0" fillId="0" borderId="0" xfId="0" applyNumberFormat="1"/>
    <xf numFmtId="11" fontId="0" fillId="6" borderId="0" xfId="0" applyNumberFormat="1" applyFill="1"/>
    <xf numFmtId="3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0" fillId="0" borderId="6" xfId="0" applyBorder="1"/>
    <xf numFmtId="11" fontId="0" fillId="7" borderId="0" xfId="0" applyNumberFormat="1" applyFill="1"/>
    <xf numFmtId="0" fontId="0" fillId="7" borderId="6" xfId="0" applyFill="1" applyBorder="1"/>
    <xf numFmtId="0" fontId="9" fillId="0" borderId="0" xfId="0" applyFont="1"/>
    <xf numFmtId="0" fontId="1" fillId="8" borderId="0" xfId="0" applyFont="1" applyFill="1"/>
    <xf numFmtId="43" fontId="0" fillId="9" borderId="6" xfId="11" applyFont="1" applyFill="1" applyBorder="1"/>
    <xf numFmtId="43" fontId="0" fillId="0" borderId="0" xfId="0" applyNumberForma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17" fontId="0" fillId="0" borderId="0" xfId="0" applyNumberFormat="1" applyAlignment="1">
      <alignment horizontal="left"/>
    </xf>
    <xf numFmtId="175" fontId="0" fillId="0" borderId="0" xfId="11" applyNumberFormat="1" applyFont="1"/>
    <xf numFmtId="43" fontId="0" fillId="0" borderId="6" xfId="11" applyFont="1" applyBorder="1"/>
  </cellXfs>
  <cellStyles count="13">
    <cellStyle name="Body: normal cell" xfId="5" xr:uid="{00000000-0005-0000-0000-000000000000}"/>
    <cellStyle name="Comma" xfId="11" builtinId="3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9" builtinId="8"/>
    <cellStyle name="Hyperlink 2" xfId="12" xr:uid="{AC4E9645-41DD-4DED-8796-49608A7483CB}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CEA-based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Comparisons!$B$4:$AI$4</c:f>
              <c:numCache>
                <c:formatCode>General</c:formatCode>
                <c:ptCount val="34"/>
                <c:pt idx="0">
                  <c:v>9913400</c:v>
                </c:pt>
                <c:pt idx="1">
                  <c:v>12369600</c:v>
                </c:pt>
                <c:pt idx="2">
                  <c:v>14825800</c:v>
                </c:pt>
                <c:pt idx="3">
                  <c:v>17282000</c:v>
                </c:pt>
                <c:pt idx="4">
                  <c:v>31191600</c:v>
                </c:pt>
                <c:pt idx="5">
                  <c:v>45101200</c:v>
                </c:pt>
                <c:pt idx="6">
                  <c:v>59010800</c:v>
                </c:pt>
                <c:pt idx="7">
                  <c:v>72920400</c:v>
                </c:pt>
                <c:pt idx="8">
                  <c:v>86830000</c:v>
                </c:pt>
                <c:pt idx="9">
                  <c:v>103390000</c:v>
                </c:pt>
                <c:pt idx="10">
                  <c:v>119950000</c:v>
                </c:pt>
                <c:pt idx="11">
                  <c:v>136510000</c:v>
                </c:pt>
                <c:pt idx="12">
                  <c:v>153070000</c:v>
                </c:pt>
                <c:pt idx="13">
                  <c:v>169630000</c:v>
                </c:pt>
                <c:pt idx="14">
                  <c:v>179189200</c:v>
                </c:pt>
                <c:pt idx="15">
                  <c:v>188748400</c:v>
                </c:pt>
                <c:pt idx="16">
                  <c:v>198307600</c:v>
                </c:pt>
                <c:pt idx="17">
                  <c:v>207866800</c:v>
                </c:pt>
                <c:pt idx="18">
                  <c:v>217426000</c:v>
                </c:pt>
                <c:pt idx="19">
                  <c:v>222827400</c:v>
                </c:pt>
                <c:pt idx="20">
                  <c:v>228228800</c:v>
                </c:pt>
                <c:pt idx="21">
                  <c:v>233630200</c:v>
                </c:pt>
                <c:pt idx="22">
                  <c:v>239031600</c:v>
                </c:pt>
                <c:pt idx="23">
                  <c:v>244433000</c:v>
                </c:pt>
                <c:pt idx="24">
                  <c:v>246359000</c:v>
                </c:pt>
                <c:pt idx="25">
                  <c:v>248285000</c:v>
                </c:pt>
                <c:pt idx="26">
                  <c:v>250211000</c:v>
                </c:pt>
                <c:pt idx="27">
                  <c:v>252137000</c:v>
                </c:pt>
                <c:pt idx="28">
                  <c:v>254063000</c:v>
                </c:pt>
                <c:pt idx="29">
                  <c:v>254063000</c:v>
                </c:pt>
                <c:pt idx="30">
                  <c:v>254063000</c:v>
                </c:pt>
                <c:pt idx="31">
                  <c:v>254063000</c:v>
                </c:pt>
                <c:pt idx="32">
                  <c:v>254063000</c:v>
                </c:pt>
                <c:pt idx="33">
                  <c:v>254063000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4ABA-898A-E7A1FF765472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Comparisons!$B$5:$AI$5</c:f>
              <c:numCache>
                <c:formatCode>General</c:formatCode>
                <c:ptCount val="34"/>
                <c:pt idx="0">
                  <c:v>7123600</c:v>
                </c:pt>
                <c:pt idx="1">
                  <c:v>8231400</c:v>
                </c:pt>
                <c:pt idx="2">
                  <c:v>9339200</c:v>
                </c:pt>
                <c:pt idx="3">
                  <c:v>10447000</c:v>
                </c:pt>
                <c:pt idx="4">
                  <c:v>13616400</c:v>
                </c:pt>
                <c:pt idx="5">
                  <c:v>16785800</c:v>
                </c:pt>
                <c:pt idx="6">
                  <c:v>19955200</c:v>
                </c:pt>
                <c:pt idx="7">
                  <c:v>23124600</c:v>
                </c:pt>
                <c:pt idx="8">
                  <c:v>26294000</c:v>
                </c:pt>
                <c:pt idx="9">
                  <c:v>26614400</c:v>
                </c:pt>
                <c:pt idx="10">
                  <c:v>26934800</c:v>
                </c:pt>
                <c:pt idx="11">
                  <c:v>27255200</c:v>
                </c:pt>
                <c:pt idx="12">
                  <c:v>27575600</c:v>
                </c:pt>
                <c:pt idx="13">
                  <c:v>27896000</c:v>
                </c:pt>
                <c:pt idx="14">
                  <c:v>32473800</c:v>
                </c:pt>
                <c:pt idx="15">
                  <c:v>37051600</c:v>
                </c:pt>
                <c:pt idx="16">
                  <c:v>41629400</c:v>
                </c:pt>
                <c:pt idx="17">
                  <c:v>46207200</c:v>
                </c:pt>
                <c:pt idx="18">
                  <c:v>50785000</c:v>
                </c:pt>
                <c:pt idx="19">
                  <c:v>55233000</c:v>
                </c:pt>
                <c:pt idx="20">
                  <c:v>59681000</c:v>
                </c:pt>
                <c:pt idx="21">
                  <c:v>64129000</c:v>
                </c:pt>
                <c:pt idx="22">
                  <c:v>68577000</c:v>
                </c:pt>
                <c:pt idx="23">
                  <c:v>73025000</c:v>
                </c:pt>
                <c:pt idx="24">
                  <c:v>79306800</c:v>
                </c:pt>
                <c:pt idx="25">
                  <c:v>85588600</c:v>
                </c:pt>
                <c:pt idx="26">
                  <c:v>91870400</c:v>
                </c:pt>
                <c:pt idx="27">
                  <c:v>98152200</c:v>
                </c:pt>
                <c:pt idx="28">
                  <c:v>104434000</c:v>
                </c:pt>
                <c:pt idx="29">
                  <c:v>110715800</c:v>
                </c:pt>
                <c:pt idx="30">
                  <c:v>116997600</c:v>
                </c:pt>
                <c:pt idx="31">
                  <c:v>123279400</c:v>
                </c:pt>
                <c:pt idx="32">
                  <c:v>129561200</c:v>
                </c:pt>
                <c:pt idx="33">
                  <c:v>135843000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4ABA-898A-E7A1FF76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IESS-based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Comparisons!$B$33:$AI$33</c:f>
              <c:numCache>
                <c:formatCode>General</c:formatCode>
                <c:ptCount val="34"/>
                <c:pt idx="0">
                  <c:v>5611000</c:v>
                </c:pt>
                <c:pt idx="1">
                  <c:v>6027903.8829422183</c:v>
                </c:pt>
                <c:pt idx="2">
                  <c:v>6475784.2135073729</c:v>
                </c:pt>
                <c:pt idx="3">
                  <c:v>6956942.5780960638</c:v>
                </c:pt>
                <c:pt idx="4">
                  <c:v>7473851.5736787226</c:v>
                </c:pt>
                <c:pt idx="5">
                  <c:v>8029167.5140815862</c:v>
                </c:pt>
                <c:pt idx="6">
                  <c:v>8625744.080364624</c:v>
                </c:pt>
                <c:pt idx="7">
                  <c:v>9266646.9854385611</c:v>
                </c:pt>
                <c:pt idx="8">
                  <c:v>9955169.7282801475</c:v>
                </c:pt>
                <c:pt idx="9">
                  <c:v>10694850.518704105</c:v>
                </c:pt>
                <c:pt idx="10">
                  <c:v>11489490.45966549</c:v>
                </c:pt>
                <c:pt idx="11">
                  <c:v>12343173.080528459</c:v>
                </c:pt>
                <c:pt idx="12">
                  <c:v>13260285.321679799</c:v>
                </c:pt>
                <c:pt idx="13">
                  <c:v>14245540.078323893</c:v>
                </c:pt>
                <c:pt idx="14">
                  <c:v>15304000.419308072</c:v>
                </c:pt>
                <c:pt idx="15">
                  <c:v>16441105.605435122</c:v>
                </c:pt>
                <c:pt idx="16">
                  <c:v>17662699.040966932</c:v>
                </c:pt>
                <c:pt idx="17">
                  <c:v>18975058.301957648</c:v>
                </c:pt>
                <c:pt idx="18">
                  <c:v>20384927.395727232</c:v>
                </c:pt>
                <c:pt idx="19">
                  <c:v>21899551.417251714</c:v>
                </c:pt>
                <c:pt idx="20">
                  <c:v>23526713.780563958</c:v>
                </c:pt>
                <c:pt idx="21">
                  <c:v>25274776.216491122</c:v>
                </c:pt>
                <c:pt idx="22">
                  <c:v>27152721.74227098</c:v>
                </c:pt>
                <c:pt idx="23">
                  <c:v>29170200.823861137</c:v>
                </c:pt>
                <c:pt idx="24">
                  <c:v>31337580.968161974</c:v>
                </c:pt>
                <c:pt idx="25">
                  <c:v>33665999.999999955</c:v>
                </c:pt>
                <c:pt idx="26">
                  <c:v>36167423.297653265</c:v>
                </c:pt>
                <c:pt idx="27">
                  <c:v>38854705.2810442</c:v>
                </c:pt>
                <c:pt idx="28">
                  <c:v>41741655.468576342</c:v>
                </c:pt>
                <c:pt idx="29">
                  <c:v>44843109.442072287</c:v>
                </c:pt>
                <c:pt idx="30">
                  <c:v>48175005.084489465</c:v>
                </c:pt>
                <c:pt idx="31">
                  <c:v>51754464.482187696</c:v>
                </c:pt>
                <c:pt idx="32">
                  <c:v>55599881.912631318</c:v>
                </c:pt>
                <c:pt idx="33">
                  <c:v>59731018.369680829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imp</c:v>
                </c15:tx>
              </c15:filteredSeriesTitle>
            </c:ext>
            <c:ext xmlns:c16="http://schemas.microsoft.com/office/drawing/2014/chart" uri="{C3380CC4-5D6E-409C-BE32-E72D297353CC}">
              <c16:uniqueId val="{00000000-4642-4BEF-975A-9CA5CE0616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Comparisons!$B$34:$AI$34</c:f>
              <c:numCache>
                <c:formatCode>General</c:formatCode>
                <c:ptCount val="34"/>
                <c:pt idx="0">
                  <c:v>7203000</c:v>
                </c:pt>
                <c:pt idx="1">
                  <c:v>7491213.3172172625</c:v>
                </c:pt>
                <c:pt idx="2">
                  <c:v>7790958.9010208622</c:v>
                </c:pt>
                <c:pt idx="3">
                  <c:v>8102698.1914785299</c:v>
                </c:pt>
                <c:pt idx="4">
                  <c:v>8426911.0922388174</c:v>
                </c:pt>
                <c:pt idx="5">
                  <c:v>8764096.709313523</c:v>
                </c:pt>
                <c:pt idx="6">
                  <c:v>9114774.1194209978</c:v>
                </c:pt>
                <c:pt idx="7">
                  <c:v>9479483.1690731402</c:v>
                </c:pt>
                <c:pt idx="8">
                  <c:v>9858785.3056362085</c:v>
                </c:pt>
                <c:pt idx="9">
                  <c:v>10253264.441644847</c:v>
                </c:pt>
                <c:pt idx="10">
                  <c:v>10663527.853699861</c:v>
                </c:pt>
                <c:pt idx="11">
                  <c:v>11090207.117333557</c:v>
                </c:pt>
                <c:pt idx="12">
                  <c:v>11533959.079281801</c:v>
                </c:pt>
                <c:pt idx="13">
                  <c:v>11995466.868659558</c:v>
                </c:pt>
                <c:pt idx="14">
                  <c:v>12475440.948596548</c:v>
                </c:pt>
                <c:pt idx="15">
                  <c:v>12974620.209951969</c:v>
                </c:pt>
                <c:pt idx="16">
                  <c:v>13493773.108791951</c:v>
                </c:pt>
                <c:pt idx="17">
                  <c:v>14033698.849380877</c:v>
                </c:pt>
                <c:pt idx="18">
                  <c:v>14595228.614507651</c:v>
                </c:pt>
                <c:pt idx="19">
                  <c:v>15179226.845040979</c:v>
                </c:pt>
                <c:pt idx="20">
                  <c:v>15786592.570683433</c:v>
                </c:pt>
                <c:pt idx="21">
                  <c:v>16418260.793972906</c:v>
                </c:pt>
                <c:pt idx="22">
                  <c:v>17075203.929662071</c:v>
                </c:pt>
                <c:pt idx="23">
                  <c:v>17758433.301691666</c:v>
                </c:pt>
                <c:pt idx="24">
                  <c:v>18469000.700062074</c:v>
                </c:pt>
                <c:pt idx="25">
                  <c:v>19207999.999999996</c:v>
                </c:pt>
                <c:pt idx="26">
                  <c:v>19976568.845912699</c:v>
                </c:pt>
                <c:pt idx="27">
                  <c:v>20775890.402722295</c:v>
                </c:pt>
                <c:pt idx="28">
                  <c:v>21607195.177276075</c:v>
                </c:pt>
                <c:pt idx="29">
                  <c:v>22471762.912636843</c:v>
                </c:pt>
                <c:pt idx="30">
                  <c:v>23370924.558169387</c:v>
                </c:pt>
                <c:pt idx="31">
                  <c:v>24306064.318455987</c:v>
                </c:pt>
                <c:pt idx="32">
                  <c:v>25278621.784195036</c:v>
                </c:pt>
                <c:pt idx="33">
                  <c:v>26290094.148363218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exp</c:v>
                </c15:tx>
              </c15:filteredSeriesTitle>
            </c:ext>
            <c:ext xmlns:c16="http://schemas.microsoft.com/office/drawing/2014/chart" uri="{C3380CC4-5D6E-409C-BE32-E72D297353CC}">
              <c16:uniqueId val="{00000001-4642-4BEF-975A-9CA5CE06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IRADe-based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Comparisons!$B$3:$AI$3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Comparisons!$B$37:$AI$37</c:f>
              <c:numCache>
                <c:formatCode>General</c:formatCode>
                <c:ptCount val="34"/>
                <c:pt idx="0">
                  <c:v>9913400</c:v>
                </c:pt>
                <c:pt idx="1">
                  <c:v>12369600</c:v>
                </c:pt>
                <c:pt idx="2">
                  <c:v>14825800</c:v>
                </c:pt>
                <c:pt idx="3">
                  <c:v>17282000</c:v>
                </c:pt>
                <c:pt idx="4">
                  <c:v>31191600</c:v>
                </c:pt>
                <c:pt idx="5">
                  <c:v>45101200</c:v>
                </c:pt>
                <c:pt idx="6">
                  <c:v>59010800</c:v>
                </c:pt>
                <c:pt idx="7">
                  <c:v>72920400</c:v>
                </c:pt>
                <c:pt idx="8">
                  <c:v>86830000</c:v>
                </c:pt>
                <c:pt idx="9">
                  <c:v>103390000</c:v>
                </c:pt>
                <c:pt idx="10">
                  <c:v>119950000</c:v>
                </c:pt>
                <c:pt idx="11">
                  <c:v>136510000</c:v>
                </c:pt>
                <c:pt idx="12">
                  <c:v>153070000</c:v>
                </c:pt>
                <c:pt idx="13">
                  <c:v>169630000</c:v>
                </c:pt>
                <c:pt idx="14">
                  <c:v>179189200</c:v>
                </c:pt>
                <c:pt idx="15">
                  <c:v>188748400</c:v>
                </c:pt>
                <c:pt idx="16">
                  <c:v>198307600</c:v>
                </c:pt>
                <c:pt idx="17">
                  <c:v>207866800</c:v>
                </c:pt>
                <c:pt idx="18">
                  <c:v>217426000</c:v>
                </c:pt>
                <c:pt idx="19">
                  <c:v>222827400</c:v>
                </c:pt>
                <c:pt idx="20">
                  <c:v>228228800</c:v>
                </c:pt>
                <c:pt idx="21">
                  <c:v>233630200</c:v>
                </c:pt>
                <c:pt idx="22">
                  <c:v>239031600</c:v>
                </c:pt>
                <c:pt idx="23">
                  <c:v>244433000</c:v>
                </c:pt>
                <c:pt idx="24">
                  <c:v>246359000</c:v>
                </c:pt>
                <c:pt idx="25">
                  <c:v>248285000</c:v>
                </c:pt>
                <c:pt idx="26">
                  <c:v>250211000</c:v>
                </c:pt>
                <c:pt idx="27">
                  <c:v>252137000</c:v>
                </c:pt>
                <c:pt idx="28">
                  <c:v>254063000</c:v>
                </c:pt>
                <c:pt idx="29">
                  <c:v>254063000</c:v>
                </c:pt>
                <c:pt idx="30">
                  <c:v>254063000</c:v>
                </c:pt>
                <c:pt idx="31">
                  <c:v>254063000</c:v>
                </c:pt>
                <c:pt idx="32">
                  <c:v>254063000</c:v>
                </c:pt>
                <c:pt idx="33">
                  <c:v>254063000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434C-B977-2F1B33FFA04A}"/>
            </c:ext>
          </c:extLst>
        </c:ser>
        <c:ser>
          <c:idx val="1"/>
          <c:order val="1"/>
          <c:tx>
            <c:v>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Comparisons!$B$38:$AI$38</c:f>
              <c:numCache>
                <c:formatCode>General</c:formatCode>
                <c:ptCount val="34"/>
                <c:pt idx="0">
                  <c:v>7123600</c:v>
                </c:pt>
                <c:pt idx="1">
                  <c:v>8231400</c:v>
                </c:pt>
                <c:pt idx="2">
                  <c:v>9339200</c:v>
                </c:pt>
                <c:pt idx="3">
                  <c:v>10447000</c:v>
                </c:pt>
                <c:pt idx="4">
                  <c:v>13616400</c:v>
                </c:pt>
                <c:pt idx="5">
                  <c:v>16785800</c:v>
                </c:pt>
                <c:pt idx="6">
                  <c:v>19955200</c:v>
                </c:pt>
                <c:pt idx="7">
                  <c:v>23124600</c:v>
                </c:pt>
                <c:pt idx="8">
                  <c:v>26294000</c:v>
                </c:pt>
                <c:pt idx="9">
                  <c:v>26614400</c:v>
                </c:pt>
                <c:pt idx="10">
                  <c:v>26934800</c:v>
                </c:pt>
                <c:pt idx="11">
                  <c:v>27255200</c:v>
                </c:pt>
                <c:pt idx="12">
                  <c:v>27575600</c:v>
                </c:pt>
                <c:pt idx="13">
                  <c:v>27896000</c:v>
                </c:pt>
                <c:pt idx="14">
                  <c:v>32473800</c:v>
                </c:pt>
                <c:pt idx="15">
                  <c:v>37051600</c:v>
                </c:pt>
                <c:pt idx="16">
                  <c:v>41629400</c:v>
                </c:pt>
                <c:pt idx="17">
                  <c:v>46207200</c:v>
                </c:pt>
                <c:pt idx="18">
                  <c:v>50785000</c:v>
                </c:pt>
                <c:pt idx="19">
                  <c:v>55233000</c:v>
                </c:pt>
                <c:pt idx="20">
                  <c:v>59681000</c:v>
                </c:pt>
                <c:pt idx="21">
                  <c:v>64129000</c:v>
                </c:pt>
                <c:pt idx="22">
                  <c:v>68577000</c:v>
                </c:pt>
                <c:pt idx="23">
                  <c:v>73025000</c:v>
                </c:pt>
                <c:pt idx="24">
                  <c:v>79306800</c:v>
                </c:pt>
                <c:pt idx="25">
                  <c:v>85588600</c:v>
                </c:pt>
                <c:pt idx="26">
                  <c:v>91870400</c:v>
                </c:pt>
                <c:pt idx="27">
                  <c:v>98152200</c:v>
                </c:pt>
                <c:pt idx="28">
                  <c:v>104434000</c:v>
                </c:pt>
                <c:pt idx="29">
                  <c:v>110715800</c:v>
                </c:pt>
                <c:pt idx="30">
                  <c:v>116997600</c:v>
                </c:pt>
                <c:pt idx="31">
                  <c:v>123279400</c:v>
                </c:pt>
                <c:pt idx="32">
                  <c:v>129561200</c:v>
                </c:pt>
                <c:pt idx="33">
                  <c:v>135843000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4-434C-B977-2F1B33FF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88720"/>
        <c:axId val="1109794176"/>
      </c:lineChart>
      <c:catAx>
        <c:axId val="1029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176"/>
        <c:crosses val="autoZero"/>
        <c:auto val="1"/>
        <c:lblAlgn val="ctr"/>
        <c:lblOffset val="100"/>
        <c:noMultiLvlLbl val="0"/>
      </c:catAx>
      <c:valAx>
        <c:axId val="1109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381000</xdr:rowOff>
    </xdr:from>
    <xdr:to>
      <xdr:col>16</xdr:col>
      <xdr:colOff>38100</xdr:colOff>
      <xdr:row>26</xdr:row>
      <xdr:rowOff>155302</xdr:rowOff>
    </xdr:to>
    <xdr:pic>
      <xdr:nvPicPr>
        <xdr:cNvPr id="2" name="Picture 1" descr="Screen Shot 2018-04-13 at 5.06.54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381000"/>
          <a:ext cx="5676900" cy="5679802"/>
        </a:xfrm>
        <a:prstGeom prst="rect">
          <a:avLst/>
        </a:prstGeom>
      </xdr:spPr>
    </xdr:pic>
    <xdr:clientData/>
  </xdr:twoCellAnchor>
  <xdr:twoCellAnchor editAs="oneCell">
    <xdr:from>
      <xdr:col>16</xdr:col>
      <xdr:colOff>215899</xdr:colOff>
      <xdr:row>0</xdr:row>
      <xdr:rowOff>464198</xdr:rowOff>
    </xdr:from>
    <xdr:to>
      <xdr:col>26</xdr:col>
      <xdr:colOff>586530</xdr:colOff>
      <xdr:row>26</xdr:row>
      <xdr:rowOff>165100</xdr:rowOff>
    </xdr:to>
    <xdr:pic>
      <xdr:nvPicPr>
        <xdr:cNvPr id="3" name="Picture 2" descr="Screen Shot 2018-04-13 at 10.23.18 p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4974" y="464198"/>
          <a:ext cx="6276131" cy="5606402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0</xdr:row>
      <xdr:rowOff>219075</xdr:rowOff>
    </xdr:from>
    <xdr:to>
      <xdr:col>36</xdr:col>
      <xdr:colOff>562727</xdr:colOff>
      <xdr:row>20</xdr:row>
      <xdr:rowOff>153055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251513-2E7F-4250-B306-F1F52D834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30900" y="219075"/>
          <a:ext cx="5391902" cy="4696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66674</xdr:rowOff>
    </xdr:from>
    <xdr:to>
      <xdr:col>8</xdr:col>
      <xdr:colOff>590550</xdr:colOff>
      <xdr:row>16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CF0C-7B83-469B-BB2B-9C3CFA66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5</xdr:row>
      <xdr:rowOff>19050</xdr:rowOff>
    </xdr:from>
    <xdr:to>
      <xdr:col>17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87AA1-6EEF-4608-A487-C4867FFB7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16</xdr:row>
      <xdr:rowOff>133350</xdr:rowOff>
    </xdr:from>
    <xdr:to>
      <xdr:col>7</xdr:col>
      <xdr:colOff>304800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C64E1-5B0C-4A67-8BF2-9B3906253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21</xdr:row>
      <xdr:rowOff>104775</xdr:rowOff>
    </xdr:from>
    <xdr:to>
      <xdr:col>21</xdr:col>
      <xdr:colOff>34903</xdr:colOff>
      <xdr:row>30</xdr:row>
      <xdr:rowOff>75918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AFC8F-B3C2-488D-9EF4-044D2FAA8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4495800"/>
          <a:ext cx="8616928" cy="2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3-us%20WIP/InputData/fuels/PEI/Pollutant%20Emissions%20Intens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ropbox%20(Energy%20Innovation)/Documents/EPS_Models%20by%20Region/India/India_Model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  <row r="163">
          <cell r="A163">
            <v>3412.1416300000001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Coal and Lignit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Start Year Prices"/>
      <sheetName val="AEO Table 3"/>
      <sheetName val="AEO Table 12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</sheetData>
      <sheetData sheetId="13"/>
      <sheetData sheetId="14">
        <row r="8">
          <cell r="C8">
            <v>1.1552501799999999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spi.gov.in/sites/default/files/publication_reports/Energy%20Statistics%202019-finall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cea.nic.in/reports/committee/scm/allindia/notices/3rd_briefnot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planningcommission.nic.in/reports/genrep/rep_arpower0306.pdf" TargetMode="External"/><Relationship Id="rId4" Type="http://schemas.openxmlformats.org/officeDocument/2006/relationships/hyperlink" Target="https://irade.org/Gains%20from%20Multilateral%20Electricity%20Trade%20among%20BBIN%20Country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mospi.nic.in/sites/default/files/publication_reports/Energy_Statistics_2017r.pdf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opLeftCell="A19" workbookViewId="0">
      <selection activeCell="B32" sqref="B32"/>
    </sheetView>
  </sheetViews>
  <sheetFormatPr defaultColWidth="8.85546875" defaultRowHeight="15" x14ac:dyDescent="0.25"/>
  <cols>
    <col min="1" max="1" width="20.42578125" customWidth="1"/>
    <col min="2" max="2" width="62.42578125" customWidth="1"/>
    <col min="4" max="4" width="73.42578125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1" t="s">
        <v>203</v>
      </c>
    </row>
    <row r="4" spans="1:4" x14ac:dyDescent="0.25">
      <c r="A4" s="1" t="s">
        <v>204</v>
      </c>
    </row>
    <row r="6" spans="1:4" x14ac:dyDescent="0.25">
      <c r="A6" s="1" t="s">
        <v>2</v>
      </c>
      <c r="B6" s="36" t="s">
        <v>196</v>
      </c>
      <c r="D6" s="36" t="s">
        <v>111</v>
      </c>
    </row>
    <row r="7" spans="1:4" ht="18" customHeight="1" x14ac:dyDescent="0.25">
      <c r="B7" s="57" t="s">
        <v>211</v>
      </c>
      <c r="D7" s="14" t="s">
        <v>112</v>
      </c>
    </row>
    <row r="8" spans="1:4" x14ac:dyDescent="0.25">
      <c r="B8" t="s">
        <v>197</v>
      </c>
      <c r="D8" s="2" t="s">
        <v>116</v>
      </c>
    </row>
    <row r="9" spans="1:4" x14ac:dyDescent="0.25">
      <c r="B9" s="2">
        <v>2014</v>
      </c>
      <c r="D9" t="s">
        <v>113</v>
      </c>
    </row>
    <row r="10" spans="1:4" x14ac:dyDescent="0.25">
      <c r="B10" t="s">
        <v>198</v>
      </c>
      <c r="D10" s="3" t="s">
        <v>114</v>
      </c>
    </row>
    <row r="11" spans="1:4" x14ac:dyDescent="0.25">
      <c r="B11" s="42" t="s">
        <v>199</v>
      </c>
      <c r="D11" t="s">
        <v>115</v>
      </c>
    </row>
    <row r="12" spans="1:4" x14ac:dyDescent="0.25">
      <c r="B12" t="s">
        <v>200</v>
      </c>
    </row>
    <row r="14" spans="1:4" x14ac:dyDescent="0.25">
      <c r="B14" s="57" t="s">
        <v>212</v>
      </c>
    </row>
    <row r="15" spans="1:4" x14ac:dyDescent="0.25">
      <c r="B15" t="s">
        <v>213</v>
      </c>
    </row>
    <row r="16" spans="1:4" x14ac:dyDescent="0.25">
      <c r="B16" s="2">
        <v>2018</v>
      </c>
    </row>
    <row r="17" spans="2:4" x14ac:dyDescent="0.25">
      <c r="B17" t="s">
        <v>214</v>
      </c>
    </row>
    <row r="18" spans="2:4" x14ac:dyDescent="0.25">
      <c r="B18" t="s">
        <v>215</v>
      </c>
    </row>
    <row r="19" spans="2:4" x14ac:dyDescent="0.25">
      <c r="B19" t="s">
        <v>216</v>
      </c>
    </row>
    <row r="21" spans="2:4" x14ac:dyDescent="0.25">
      <c r="B21" s="57" t="s">
        <v>217</v>
      </c>
      <c r="D21" s="36" t="s">
        <v>101</v>
      </c>
    </row>
    <row r="22" spans="2:4" x14ac:dyDescent="0.25">
      <c r="B22" t="s">
        <v>218</v>
      </c>
      <c r="D22" s="14" t="s">
        <v>48</v>
      </c>
    </row>
    <row r="23" spans="2:4" x14ac:dyDescent="0.25">
      <c r="B23" t="s">
        <v>219</v>
      </c>
      <c r="D23" s="2" t="s">
        <v>49</v>
      </c>
    </row>
    <row r="24" spans="2:4" x14ac:dyDescent="0.25">
      <c r="B24" s="63">
        <v>43191</v>
      </c>
      <c r="D24" t="s">
        <v>50</v>
      </c>
    </row>
    <row r="25" spans="2:4" x14ac:dyDescent="0.25">
      <c r="D25" s="3" t="s">
        <v>51</v>
      </c>
    </row>
    <row r="26" spans="2:4" x14ac:dyDescent="0.25">
      <c r="B26" s="57" t="s">
        <v>217</v>
      </c>
      <c r="D26" t="s">
        <v>69</v>
      </c>
    </row>
    <row r="27" spans="2:4" x14ac:dyDescent="0.25">
      <c r="B27" t="s">
        <v>220</v>
      </c>
    </row>
    <row r="28" spans="2:4" x14ac:dyDescent="0.25">
      <c r="B28" s="2">
        <v>2018</v>
      </c>
      <c r="D28" s="14" t="s">
        <v>52</v>
      </c>
    </row>
    <row r="29" spans="2:4" x14ac:dyDescent="0.25">
      <c r="B29" t="s">
        <v>221</v>
      </c>
      <c r="D29" s="2" t="s">
        <v>53</v>
      </c>
    </row>
    <row r="30" spans="2:4" x14ac:dyDescent="0.25">
      <c r="D30" s="2" t="s">
        <v>59</v>
      </c>
    </row>
    <row r="31" spans="2:4" x14ac:dyDescent="0.25">
      <c r="D31" s="3" t="s">
        <v>47</v>
      </c>
    </row>
    <row r="32" spans="2:4" x14ac:dyDescent="0.25">
      <c r="D32" s="3" t="s">
        <v>60</v>
      </c>
    </row>
    <row r="33" spans="1:4" x14ac:dyDescent="0.25">
      <c r="D33" t="s">
        <v>54</v>
      </c>
    </row>
    <row r="34" spans="1:4" x14ac:dyDescent="0.25">
      <c r="A34" s="1" t="s">
        <v>55</v>
      </c>
    </row>
    <row r="35" spans="1:4" x14ac:dyDescent="0.25">
      <c r="A35" t="s">
        <v>78</v>
      </c>
    </row>
    <row r="36" spans="1:4" x14ac:dyDescent="0.25">
      <c r="A36" t="s">
        <v>79</v>
      </c>
    </row>
    <row r="37" spans="1:4" x14ac:dyDescent="0.25">
      <c r="A37" t="s">
        <v>80</v>
      </c>
    </row>
    <row r="38" spans="1:4" x14ac:dyDescent="0.25">
      <c r="A38" t="s">
        <v>81</v>
      </c>
    </row>
    <row r="39" spans="1:4" x14ac:dyDescent="0.25">
      <c r="A39" t="s">
        <v>82</v>
      </c>
    </row>
    <row r="41" spans="1:4" x14ac:dyDescent="0.25">
      <c r="A41" t="s">
        <v>83</v>
      </c>
    </row>
    <row r="42" spans="1:4" x14ac:dyDescent="0.25">
      <c r="A42" t="s">
        <v>84</v>
      </c>
    </row>
    <row r="43" spans="1:4" x14ac:dyDescent="0.25">
      <c r="A43" t="s">
        <v>76</v>
      </c>
    </row>
    <row r="45" spans="1:4" x14ac:dyDescent="0.25">
      <c r="A45" s="1" t="s">
        <v>104</v>
      </c>
    </row>
    <row r="46" spans="1:4" x14ac:dyDescent="0.25">
      <c r="A46" t="s">
        <v>56</v>
      </c>
    </row>
    <row r="47" spans="1:4" x14ac:dyDescent="0.25">
      <c r="A47" t="s">
        <v>98</v>
      </c>
    </row>
    <row r="48" spans="1:4" x14ac:dyDescent="0.25">
      <c r="A48" t="s">
        <v>102</v>
      </c>
    </row>
    <row r="49" spans="1:1" x14ac:dyDescent="0.25">
      <c r="A49" t="s">
        <v>99</v>
      </c>
    </row>
    <row r="51" spans="1:1" x14ac:dyDescent="0.25">
      <c r="A51" t="s">
        <v>103</v>
      </c>
    </row>
    <row r="52" spans="1:1" x14ac:dyDescent="0.25">
      <c r="A52" t="s">
        <v>77</v>
      </c>
    </row>
    <row r="54" spans="1:1" x14ac:dyDescent="0.25">
      <c r="A54" t="s">
        <v>100</v>
      </c>
    </row>
    <row r="55" spans="1:1" x14ac:dyDescent="0.25">
      <c r="A55" t="s">
        <v>110</v>
      </c>
    </row>
    <row r="56" spans="1:1" x14ac:dyDescent="0.25">
      <c r="A56" t="s">
        <v>105</v>
      </c>
    </row>
    <row r="57" spans="1:1" x14ac:dyDescent="0.25">
      <c r="A57" t="s">
        <v>117</v>
      </c>
    </row>
    <row r="59" spans="1:1" x14ac:dyDescent="0.25">
      <c r="A59" s="1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</sheetData>
  <hyperlinks>
    <hyperlink ref="D25" r:id="rId1" xr:uid="{00000000-0004-0000-0000-000000000000}"/>
    <hyperlink ref="D31" r:id="rId2" xr:uid="{00000000-0004-0000-0000-000001000000}"/>
    <hyperlink ref="D32" r:id="rId3" xr:uid="{A7B237D3-DE0F-463C-AB5E-18E3F8C336D3}"/>
    <hyperlink ref="D10" r:id="rId4" xr:uid="{2752871D-DFCD-4735-9E0C-D6B62EA7A9AA}"/>
    <hyperlink ref="B11" r:id="rId5" xr:uid="{F9B84DFD-52C2-46E9-B423-5B8C64D36D67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754-5262-4116-9F39-CFBC5FF36429}">
  <sheetPr>
    <tabColor theme="3"/>
  </sheetPr>
  <dimension ref="A1:AK2"/>
  <sheetViews>
    <sheetView workbookViewId="0">
      <selection activeCell="J24" sqref="J24:J25"/>
    </sheetView>
  </sheetViews>
  <sheetFormatPr defaultRowHeight="15" x14ac:dyDescent="0.25"/>
  <cols>
    <col min="1" max="1" width="26.28515625" customWidth="1"/>
    <col min="2" max="3" width="12.7109375" customWidth="1"/>
  </cols>
  <sheetData>
    <row r="1" spans="1:37" x14ac:dyDescent="0.25">
      <c r="A1" s="18" t="s">
        <v>119</v>
      </c>
      <c r="B1" s="40">
        <v>2017</v>
      </c>
      <c r="C1" s="40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7" x14ac:dyDescent="0.25">
      <c r="A2" t="s">
        <v>121</v>
      </c>
      <c r="B2" s="59">
        <f>Electricity!$B$41</f>
        <v>52.399191950656721</v>
      </c>
      <c r="C2" s="59">
        <f>Electricity!$B$41</f>
        <v>52.399191950656721</v>
      </c>
      <c r="D2" s="59">
        <f>Electricity!$B$41</f>
        <v>52.399191950656721</v>
      </c>
      <c r="E2" s="59">
        <f>Electricity!$B$41</f>
        <v>52.399191950656721</v>
      </c>
      <c r="F2" s="59">
        <f>Electricity!$B$41</f>
        <v>52.399191950656721</v>
      </c>
      <c r="G2" s="59">
        <f>Electricity!$B$41</f>
        <v>52.399191950656721</v>
      </c>
      <c r="H2" s="59">
        <f>Electricity!$B$41</f>
        <v>52.399191950656721</v>
      </c>
      <c r="I2" s="59">
        <f>Electricity!$B$41</f>
        <v>52.399191950656721</v>
      </c>
      <c r="J2" s="59">
        <f>Electricity!$B$41</f>
        <v>52.399191950656721</v>
      </c>
      <c r="K2" s="59">
        <f>Electricity!$B$41</f>
        <v>52.399191950656721</v>
      </c>
      <c r="L2" s="59">
        <f>Electricity!$B$41</f>
        <v>52.399191950656721</v>
      </c>
      <c r="M2" s="59">
        <f>Electricity!$B$41</f>
        <v>52.399191950656721</v>
      </c>
      <c r="N2" s="59">
        <f>Electricity!$B$41</f>
        <v>52.399191950656721</v>
      </c>
      <c r="O2" s="59">
        <f>Electricity!$B$41</f>
        <v>52.399191950656721</v>
      </c>
      <c r="P2" s="59">
        <f>Electricity!$B$41</f>
        <v>52.399191950656721</v>
      </c>
      <c r="Q2" s="59">
        <f>Electricity!$B$41</f>
        <v>52.399191950656721</v>
      </c>
      <c r="R2" s="59">
        <f>Electricity!$B$41</f>
        <v>52.399191950656721</v>
      </c>
      <c r="S2" s="59">
        <f>Electricity!$B$41</f>
        <v>52.399191950656721</v>
      </c>
      <c r="T2" s="59">
        <f>Electricity!$B$41</f>
        <v>52.399191950656721</v>
      </c>
      <c r="U2" s="59">
        <f>Electricity!$B$41</f>
        <v>52.399191950656721</v>
      </c>
      <c r="V2" s="59">
        <f>Electricity!$B$41</f>
        <v>52.399191950656721</v>
      </c>
      <c r="W2" s="59">
        <f>Electricity!$B$41</f>
        <v>52.399191950656721</v>
      </c>
      <c r="X2" s="59">
        <f>Electricity!$B$41</f>
        <v>52.399191950656721</v>
      </c>
      <c r="Y2" s="59">
        <f>Electricity!$B$41</f>
        <v>52.399191950656721</v>
      </c>
      <c r="Z2" s="59">
        <f>Electricity!$B$41</f>
        <v>52.399191950656721</v>
      </c>
      <c r="AA2" s="59">
        <f>Electricity!$B$41</f>
        <v>52.399191950656721</v>
      </c>
      <c r="AB2" s="59">
        <f>Electricity!$B$41</f>
        <v>52.399191950656721</v>
      </c>
      <c r="AC2" s="59">
        <f>Electricity!$B$41</f>
        <v>52.399191950656721</v>
      </c>
      <c r="AD2" s="59">
        <f>Electricity!$B$41</f>
        <v>52.399191950656721</v>
      </c>
      <c r="AE2" s="59">
        <f>Electricity!$B$41</f>
        <v>52.399191950656721</v>
      </c>
      <c r="AF2" s="59">
        <f>Electricity!$B$41</f>
        <v>52.399191950656721</v>
      </c>
      <c r="AG2" s="59">
        <f>Electricity!$B$41</f>
        <v>52.399191950656721</v>
      </c>
      <c r="AH2" s="59">
        <f>Electricity!$B$41</f>
        <v>52.399191950656721</v>
      </c>
      <c r="AI2" s="59">
        <f>Electricity!$B$41</f>
        <v>52.399191950656721</v>
      </c>
      <c r="AJ2" s="38"/>
      <c r="AK2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/>
  </sheetViews>
  <sheetFormatPr defaultColWidth="8.85546875" defaultRowHeight="15" x14ac:dyDescent="0.25"/>
  <cols>
    <col min="1" max="1" width="35.42578125" customWidth="1"/>
    <col min="2" max="2" width="12.140625" customWidth="1"/>
    <col min="3" max="3" width="12" customWidth="1"/>
  </cols>
  <sheetData>
    <row r="1" spans="1:5" ht="90" x14ac:dyDescent="0.25">
      <c r="A1" s="4" t="s">
        <v>17</v>
      </c>
      <c r="B1" s="4" t="s">
        <v>57</v>
      </c>
      <c r="C1" s="4" t="s">
        <v>58</v>
      </c>
      <c r="D1" t="s">
        <v>18</v>
      </c>
    </row>
    <row r="2" spans="1:5" x14ac:dyDescent="0.25">
      <c r="A2" t="s">
        <v>19</v>
      </c>
    </row>
    <row r="3" spans="1:5" x14ac:dyDescent="0.25">
      <c r="A3" t="s">
        <v>20</v>
      </c>
    </row>
    <row r="4" spans="1:5" x14ac:dyDescent="0.25">
      <c r="A4" t="s">
        <v>21</v>
      </c>
    </row>
    <row r="5" spans="1:5" x14ac:dyDescent="0.25">
      <c r="A5" t="s">
        <v>22</v>
      </c>
    </row>
    <row r="6" spans="1:5" x14ac:dyDescent="0.25">
      <c r="A6" t="s">
        <v>23</v>
      </c>
    </row>
    <row r="7" spans="1:5" x14ac:dyDescent="0.25">
      <c r="A7" t="s">
        <v>24</v>
      </c>
      <c r="B7" s="5"/>
      <c r="C7" s="5"/>
      <c r="D7" s="5"/>
      <c r="E7" s="5"/>
    </row>
    <row r="8" spans="1:5" x14ac:dyDescent="0.25">
      <c r="A8" t="s">
        <v>25</v>
      </c>
      <c r="B8" s="5"/>
      <c r="C8" s="5"/>
      <c r="D8" s="5"/>
      <c r="E8" s="5"/>
    </row>
    <row r="9" spans="1:5" x14ac:dyDescent="0.25">
      <c r="A9" t="s">
        <v>26</v>
      </c>
      <c r="B9" s="6"/>
      <c r="C9" s="6"/>
      <c r="D9" s="6"/>
      <c r="E9" s="6"/>
    </row>
    <row r="10" spans="1:5" x14ac:dyDescent="0.25">
      <c r="A10" t="s">
        <v>27</v>
      </c>
      <c r="B10" s="6"/>
      <c r="C10" s="6"/>
      <c r="D10" s="6"/>
      <c r="E10" s="6"/>
    </row>
    <row r="11" spans="1:5" x14ac:dyDescent="0.25">
      <c r="A11" t="s">
        <v>28</v>
      </c>
      <c r="B11" s="6"/>
      <c r="C11" s="6"/>
      <c r="D11" s="6"/>
      <c r="E11" s="6"/>
    </row>
    <row r="14" spans="1:5" x14ac:dyDescent="0.25">
      <c r="A14" t="s">
        <v>29</v>
      </c>
      <c r="B14">
        <f>500+1500+500</f>
        <v>2500</v>
      </c>
      <c r="C14">
        <f>800+800+2000</f>
        <v>3600</v>
      </c>
      <c r="D14">
        <f>1000+2000+1000</f>
        <v>4000</v>
      </c>
    </row>
    <row r="15" spans="1:5" x14ac:dyDescent="0.25">
      <c r="A15" t="s">
        <v>30</v>
      </c>
      <c r="B15">
        <f>1400+10000</f>
        <v>11400</v>
      </c>
      <c r="C15">
        <f>26500+20000</f>
        <v>46500</v>
      </c>
      <c r="D15">
        <f>26500+25000</f>
        <v>51500</v>
      </c>
    </row>
    <row r="17" spans="1:15" x14ac:dyDescent="0.25">
      <c r="A17" t="s">
        <v>31</v>
      </c>
    </row>
    <row r="18" spans="1:15" x14ac:dyDescent="0.25">
      <c r="B18" s="7" t="s">
        <v>32</v>
      </c>
      <c r="C18" t="s">
        <v>33</v>
      </c>
    </row>
    <row r="19" spans="1:15" x14ac:dyDescent="0.25">
      <c r="A19">
        <v>2006</v>
      </c>
      <c r="B19">
        <v>2957</v>
      </c>
      <c r="C19">
        <v>216</v>
      </c>
    </row>
    <row r="20" spans="1:15" x14ac:dyDescent="0.25">
      <c r="A20">
        <v>2007</v>
      </c>
      <c r="B20">
        <v>5230</v>
      </c>
      <c r="C20">
        <v>290</v>
      </c>
    </row>
    <row r="21" spans="1:15" x14ac:dyDescent="0.25">
      <c r="A21">
        <v>2008</v>
      </c>
      <c r="B21">
        <v>5897</v>
      </c>
      <c r="C21">
        <v>58</v>
      </c>
    </row>
    <row r="22" spans="1:15" x14ac:dyDescent="0.25">
      <c r="A22">
        <v>2009</v>
      </c>
      <c r="B22">
        <v>5359</v>
      </c>
      <c r="C22">
        <v>105</v>
      </c>
    </row>
    <row r="23" spans="1:15" x14ac:dyDescent="0.25">
      <c r="A23">
        <v>2010</v>
      </c>
      <c r="B23">
        <v>5611</v>
      </c>
      <c r="C23">
        <v>128</v>
      </c>
    </row>
    <row r="24" spans="1:15" x14ac:dyDescent="0.25">
      <c r="A24">
        <v>2011</v>
      </c>
      <c r="B24">
        <v>5253</v>
      </c>
      <c r="C24">
        <v>135</v>
      </c>
    </row>
    <row r="25" spans="1:15" x14ac:dyDescent="0.25">
      <c r="A25">
        <v>2012</v>
      </c>
      <c r="B25">
        <v>4795</v>
      </c>
      <c r="C25">
        <v>154</v>
      </c>
    </row>
    <row r="26" spans="1:15" x14ac:dyDescent="0.25">
      <c r="A26">
        <v>2013</v>
      </c>
      <c r="B26">
        <v>5598</v>
      </c>
      <c r="C26">
        <v>1651</v>
      </c>
    </row>
    <row r="27" spans="1:15" x14ac:dyDescent="0.25">
      <c r="A27">
        <v>2014</v>
      </c>
      <c r="B27">
        <v>5008</v>
      </c>
      <c r="C27">
        <v>4433</v>
      </c>
    </row>
    <row r="28" spans="1:15" x14ac:dyDescent="0.25">
      <c r="A28">
        <v>2015</v>
      </c>
      <c r="B28">
        <v>5244</v>
      </c>
      <c r="C28">
        <v>5150</v>
      </c>
    </row>
    <row r="31" spans="1:15" x14ac:dyDescent="0.2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M31" t="s">
        <v>34</v>
      </c>
    </row>
    <row r="32" spans="1:15" x14ac:dyDescent="0.25">
      <c r="A32" s="8" t="s">
        <v>35</v>
      </c>
      <c r="B32">
        <v>2957</v>
      </c>
      <c r="C32">
        <v>5230</v>
      </c>
      <c r="D32">
        <v>5897</v>
      </c>
      <c r="E32">
        <v>5359</v>
      </c>
      <c r="F32">
        <v>5611</v>
      </c>
      <c r="G32">
        <v>5253</v>
      </c>
      <c r="H32">
        <v>4795</v>
      </c>
      <c r="I32">
        <v>5598</v>
      </c>
      <c r="J32">
        <v>5008</v>
      </c>
      <c r="K32">
        <v>5244</v>
      </c>
      <c r="M32" s="9">
        <v>5.8999999999999997E-2</v>
      </c>
      <c r="O32">
        <f>K32/B32</f>
        <v>1.77341900574907</v>
      </c>
    </row>
    <row r="33" spans="1:29" x14ac:dyDescent="0.25">
      <c r="A33" s="8" t="s">
        <v>33</v>
      </c>
      <c r="B33">
        <v>216</v>
      </c>
      <c r="C33">
        <v>290</v>
      </c>
      <c r="D33">
        <v>58</v>
      </c>
      <c r="E33">
        <v>105</v>
      </c>
      <c r="F33">
        <v>128</v>
      </c>
      <c r="G33">
        <v>135</v>
      </c>
      <c r="H33">
        <v>154</v>
      </c>
      <c r="I33">
        <v>1651</v>
      </c>
      <c r="J33">
        <v>4433</v>
      </c>
      <c r="K33">
        <v>5150</v>
      </c>
      <c r="M33" s="10">
        <f>(K33/B33-1)</f>
        <v>22.842592592592592</v>
      </c>
      <c r="O33">
        <f>K33/B33</f>
        <v>23.842592592592592</v>
      </c>
    </row>
    <row r="35" spans="1:29" x14ac:dyDescent="0.25">
      <c r="A35" s="11" t="s">
        <v>36</v>
      </c>
    </row>
    <row r="36" spans="1:29" x14ac:dyDescent="0.25">
      <c r="A36" s="12" t="s">
        <v>37</v>
      </c>
    </row>
    <row r="39" spans="1:29" x14ac:dyDescent="0.25">
      <c r="D39" t="s">
        <v>29</v>
      </c>
      <c r="E39" t="s">
        <v>30</v>
      </c>
      <c r="G39" t="s">
        <v>38</v>
      </c>
      <c r="I39" t="s">
        <v>39</v>
      </c>
    </row>
    <row r="40" spans="1:29" x14ac:dyDescent="0.25">
      <c r="A40" s="7" t="s">
        <v>40</v>
      </c>
      <c r="B40" t="s">
        <v>41</v>
      </c>
      <c r="C40">
        <v>26500</v>
      </c>
      <c r="D40">
        <f>B14</f>
        <v>2500</v>
      </c>
      <c r="E40">
        <f>B15</f>
        <v>11400</v>
      </c>
      <c r="G40">
        <f>((D42/D40)^(1/(2031-2021))-1)*100</f>
        <v>4.8122389468957749</v>
      </c>
      <c r="I40">
        <f>((E42/E40)^(1/(2031-2021))-1)*100</f>
        <v>16.276041375755312</v>
      </c>
    </row>
    <row r="41" spans="1:29" x14ac:dyDescent="0.25">
      <c r="A41" s="7" t="s">
        <v>42</v>
      </c>
      <c r="B41" t="s">
        <v>43</v>
      </c>
      <c r="C41">
        <v>50100</v>
      </c>
      <c r="D41">
        <f>C14</f>
        <v>3600</v>
      </c>
      <c r="E41">
        <f>C15</f>
        <v>46500</v>
      </c>
    </row>
    <row r="42" spans="1:29" x14ac:dyDescent="0.25">
      <c r="A42" s="7" t="s">
        <v>44</v>
      </c>
      <c r="B42" t="s">
        <v>45</v>
      </c>
      <c r="C42">
        <v>55500</v>
      </c>
      <c r="D42">
        <f>D14</f>
        <v>4000</v>
      </c>
      <c r="E42">
        <f>D15</f>
        <v>51500</v>
      </c>
      <c r="G42">
        <f>E42/E40</f>
        <v>4.5175438596491224</v>
      </c>
    </row>
    <row r="44" spans="1:29" x14ac:dyDescent="0.25">
      <c r="B44">
        <v>2006</v>
      </c>
      <c r="C44">
        <v>2007</v>
      </c>
      <c r="D44">
        <v>2008</v>
      </c>
      <c r="E44">
        <v>2009</v>
      </c>
      <c r="F44">
        <v>2010</v>
      </c>
      <c r="G44">
        <v>2011</v>
      </c>
      <c r="H44">
        <v>2012</v>
      </c>
      <c r="I44">
        <v>2013</v>
      </c>
      <c r="J44">
        <v>2014</v>
      </c>
      <c r="K44">
        <v>2015</v>
      </c>
      <c r="L44">
        <v>2016</v>
      </c>
      <c r="M44">
        <v>2017</v>
      </c>
      <c r="N44">
        <v>2018</v>
      </c>
      <c r="O44">
        <v>2019</v>
      </c>
      <c r="P44">
        <v>2020</v>
      </c>
      <c r="Q44">
        <v>2021</v>
      </c>
      <c r="R44">
        <v>2022</v>
      </c>
      <c r="S44">
        <v>2023</v>
      </c>
      <c r="T44">
        <v>2024</v>
      </c>
      <c r="U44">
        <v>2025</v>
      </c>
      <c r="V44">
        <v>2026</v>
      </c>
      <c r="W44">
        <v>2027</v>
      </c>
      <c r="X44">
        <v>2028</v>
      </c>
      <c r="Y44">
        <v>2029</v>
      </c>
      <c r="Z44">
        <v>2030</v>
      </c>
      <c r="AA44">
        <v>2031</v>
      </c>
      <c r="AB44">
        <v>2032</v>
      </c>
      <c r="AC44">
        <v>2033</v>
      </c>
    </row>
    <row r="45" spans="1:29" x14ac:dyDescent="0.25">
      <c r="A45" s="7" t="s">
        <v>29</v>
      </c>
      <c r="B45">
        <v>2957</v>
      </c>
      <c r="C45">
        <v>5230</v>
      </c>
      <c r="D45">
        <v>5897</v>
      </c>
      <c r="E45">
        <v>5359</v>
      </c>
      <c r="F45">
        <v>5611</v>
      </c>
      <c r="G45">
        <v>5253</v>
      </c>
      <c r="H45">
        <v>4795</v>
      </c>
      <c r="I45">
        <v>5598</v>
      </c>
      <c r="J45">
        <v>5008</v>
      </c>
      <c r="K45">
        <v>5244</v>
      </c>
      <c r="L45">
        <v>5617</v>
      </c>
      <c r="M45">
        <v>5611</v>
      </c>
      <c r="N45">
        <f t="shared" ref="N45:AC45" si="0">M45*(1+$G$40/100)</f>
        <v>5881.0147273103221</v>
      </c>
      <c r="O45">
        <f t="shared" si="0"/>
        <v>6164.0232084906256</v>
      </c>
      <c r="P45">
        <f t="shared" si="0"/>
        <v>6460.6507340253056</v>
      </c>
      <c r="Q45">
        <f t="shared" si="0"/>
        <v>6771.5526848709787</v>
      </c>
      <c r="R45">
        <f t="shared" si="0"/>
        <v>7097.4159804819064</v>
      </c>
      <c r="S45">
        <f t="shared" si="0"/>
        <v>7438.9605965178616</v>
      </c>
      <c r="T45">
        <f t="shared" si="0"/>
        <v>7796.9411555877241</v>
      </c>
      <c r="U45">
        <f t="shared" si="0"/>
        <v>8172.1485945434624</v>
      </c>
      <c r="V45">
        <f t="shared" si="0"/>
        <v>8565.4119120082778</v>
      </c>
      <c r="W45">
        <f t="shared" si="0"/>
        <v>8977.5999999999894</v>
      </c>
      <c r="X45">
        <f t="shared" si="0"/>
        <v>9409.6235636965048</v>
      </c>
      <c r="Y45">
        <f t="shared" si="0"/>
        <v>9862.4371335849901</v>
      </c>
      <c r="Z45">
        <f t="shared" si="0"/>
        <v>10337.041174440479</v>
      </c>
      <c r="AA45">
        <f t="shared" si="0"/>
        <v>10834.484295793556</v>
      </c>
      <c r="AB45">
        <f t="shared" si="0"/>
        <v>11355.86556877104</v>
      </c>
      <c r="AC45" s="13">
        <f t="shared" si="0"/>
        <v>11902.336954428567</v>
      </c>
    </row>
    <row r="46" spans="1:29" x14ac:dyDescent="0.25">
      <c r="A46" s="7" t="s">
        <v>30</v>
      </c>
      <c r="B46">
        <v>216</v>
      </c>
      <c r="C46">
        <v>290</v>
      </c>
      <c r="D46">
        <v>58</v>
      </c>
      <c r="E46">
        <v>105</v>
      </c>
      <c r="F46">
        <v>128</v>
      </c>
      <c r="G46">
        <v>135</v>
      </c>
      <c r="H46">
        <v>154</v>
      </c>
      <c r="I46">
        <v>1651</v>
      </c>
      <c r="J46">
        <v>4433</v>
      </c>
      <c r="K46">
        <v>5150</v>
      </c>
      <c r="L46">
        <v>6710</v>
      </c>
      <c r="M46">
        <v>7203</v>
      </c>
      <c r="N46">
        <f t="shared" ref="N46:AC46" si="1">M46*(1+$I$40/100)</f>
        <v>8375.363260295655</v>
      </c>
      <c r="O46">
        <f t="shared" si="1"/>
        <v>9738.5408499111854</v>
      </c>
      <c r="P46">
        <f t="shared" si="1"/>
        <v>11323.589788037563</v>
      </c>
      <c r="Q46">
        <f t="shared" si="1"/>
        <v>13166.621947159359</v>
      </c>
      <c r="R46">
        <f t="shared" si="1"/>
        <v>15309.626783068297</v>
      </c>
      <c r="S46">
        <f t="shared" si="1"/>
        <v>17801.427972754209</v>
      </c>
      <c r="T46">
        <f t="shared" si="1"/>
        <v>20698.795755074963</v>
      </c>
      <c r="U46">
        <f t="shared" si="1"/>
        <v>24067.740316454048</v>
      </c>
      <c r="V46">
        <f t="shared" si="1"/>
        <v>27985.015688569452</v>
      </c>
      <c r="W46">
        <f t="shared" si="1"/>
        <v>32539.868421052633</v>
      </c>
      <c r="X46">
        <f t="shared" si="1"/>
        <v>37836.070868879498</v>
      </c>
      <c r="Y46">
        <f t="shared" si="1"/>
        <v>43994.285418458428</v>
      </c>
      <c r="Z46">
        <f t="shared" si="1"/>
        <v>51154.813516134607</v>
      </c>
      <c r="AA46">
        <f t="shared" si="1"/>
        <v>59480.792129711146</v>
      </c>
      <c r="AB46">
        <f t="shared" si="1"/>
        <v>69161.910467369948</v>
      </c>
      <c r="AC46">
        <f t="shared" si="1"/>
        <v>80418.731631301926</v>
      </c>
    </row>
    <row r="47" spans="1:29" x14ac:dyDescent="0.25">
      <c r="A47" s="11" t="s">
        <v>46</v>
      </c>
    </row>
    <row r="48" spans="1:29" x14ac:dyDescent="0.25">
      <c r="A48" s="3" t="s">
        <v>47</v>
      </c>
    </row>
  </sheetData>
  <hyperlinks>
    <hyperlink ref="A36" r:id="rId1" xr:uid="{00000000-0004-0000-0100-000000000000}"/>
    <hyperlink ref="A48" r:id="rId2" xr:uid="{00000000-0004-0000-0100-000001000000}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8E20-6E09-405A-8694-07914D55502A}">
  <dimension ref="A1:BC38"/>
  <sheetViews>
    <sheetView workbookViewId="0"/>
  </sheetViews>
  <sheetFormatPr defaultRowHeight="15" x14ac:dyDescent="0.25"/>
  <sheetData>
    <row r="1" spans="1:35" x14ac:dyDescent="0.25">
      <c r="A1" s="1" t="s">
        <v>70</v>
      </c>
    </row>
    <row r="2" spans="1:35" x14ac:dyDescent="0.25">
      <c r="A2" s="1" t="s">
        <v>65</v>
      </c>
    </row>
    <row r="3" spans="1:35" x14ac:dyDescent="0.25"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5">
      <c r="A4" t="s">
        <v>63</v>
      </c>
      <c r="B4">
        <f>'EIaE-BIE'!B5</f>
        <v>9913400</v>
      </c>
      <c r="C4">
        <f>'EIaE-BIE'!C5</f>
        <v>12369600</v>
      </c>
      <c r="D4">
        <f>'EIaE-BIE'!D5</f>
        <v>14825800</v>
      </c>
      <c r="E4">
        <f>'EIaE-BIE'!E5</f>
        <v>17282000</v>
      </c>
      <c r="F4">
        <f>'EIaE-BIE'!F5</f>
        <v>31191600</v>
      </c>
      <c r="G4">
        <f>'EIaE-BIE'!G5</f>
        <v>45101200</v>
      </c>
      <c r="H4">
        <f>'EIaE-BIE'!H5</f>
        <v>59010800</v>
      </c>
      <c r="I4">
        <f>'EIaE-BIE'!I5</f>
        <v>72920400</v>
      </c>
      <c r="J4">
        <f>'EIaE-BIE'!J5</f>
        <v>86830000</v>
      </c>
      <c r="K4">
        <f>'EIaE-BIE'!K5</f>
        <v>103390000</v>
      </c>
      <c r="L4">
        <f>'EIaE-BIE'!L5</f>
        <v>119950000</v>
      </c>
      <c r="M4">
        <f>'EIaE-BIE'!M5</f>
        <v>136510000</v>
      </c>
      <c r="N4">
        <f>'EIaE-BIE'!N5</f>
        <v>153070000</v>
      </c>
      <c r="O4">
        <f>'EIaE-BIE'!O5</f>
        <v>169630000</v>
      </c>
      <c r="P4">
        <f>'EIaE-BIE'!P5</f>
        <v>179189200</v>
      </c>
      <c r="Q4">
        <f>'EIaE-BIE'!Q5</f>
        <v>188748400</v>
      </c>
      <c r="R4">
        <f>'EIaE-BIE'!R5</f>
        <v>198307600</v>
      </c>
      <c r="S4">
        <f>'EIaE-BIE'!S5</f>
        <v>207866800</v>
      </c>
      <c r="T4">
        <f>'EIaE-BIE'!T5</f>
        <v>217426000</v>
      </c>
      <c r="U4">
        <f>'EIaE-BIE'!U5</f>
        <v>222827400</v>
      </c>
      <c r="V4">
        <f>'EIaE-BIE'!V5</f>
        <v>228228800</v>
      </c>
      <c r="W4">
        <f>'EIaE-BIE'!W5</f>
        <v>233630200</v>
      </c>
      <c r="X4">
        <f>'EIaE-BIE'!X5</f>
        <v>239031600</v>
      </c>
      <c r="Y4">
        <f>'EIaE-BIE'!Y5</f>
        <v>244433000</v>
      </c>
      <c r="Z4">
        <f>'EIaE-BIE'!Z5</f>
        <v>246359000</v>
      </c>
      <c r="AA4">
        <f>'EIaE-BIE'!AA5</f>
        <v>248285000</v>
      </c>
      <c r="AB4">
        <f>'EIaE-BIE'!AB5</f>
        <v>250211000</v>
      </c>
      <c r="AC4">
        <f>'EIaE-BIE'!AC5</f>
        <v>252137000</v>
      </c>
      <c r="AD4">
        <f>'EIaE-BIE'!AD5</f>
        <v>254063000</v>
      </c>
      <c r="AE4">
        <f>'EIaE-BIE'!AE5</f>
        <v>254063000</v>
      </c>
      <c r="AF4">
        <f>'EIaE-BIE'!AF5</f>
        <v>254063000</v>
      </c>
      <c r="AG4">
        <f>'EIaE-BIE'!AG5</f>
        <v>254063000</v>
      </c>
      <c r="AH4">
        <f>'EIaE-BIE'!AH5</f>
        <v>254063000</v>
      </c>
      <c r="AI4">
        <f>'EIaE-BIE'!AI5</f>
        <v>254063000</v>
      </c>
    </row>
    <row r="5" spans="1:35" x14ac:dyDescent="0.25">
      <c r="A5" t="s">
        <v>64</v>
      </c>
      <c r="B5">
        <f>'EIaE-BEE'!B2</f>
        <v>7123600</v>
      </c>
      <c r="C5">
        <f>'EIaE-BEE'!C2</f>
        <v>8231400</v>
      </c>
      <c r="D5">
        <f>'EIaE-BEE'!D2</f>
        <v>9339200</v>
      </c>
      <c r="E5">
        <f>'EIaE-BEE'!E2</f>
        <v>10447000</v>
      </c>
      <c r="F5">
        <f>'EIaE-BEE'!F2</f>
        <v>13616400</v>
      </c>
      <c r="G5">
        <f>'EIaE-BEE'!G2</f>
        <v>16785800</v>
      </c>
      <c r="H5">
        <f>'EIaE-BEE'!H2</f>
        <v>19955200</v>
      </c>
      <c r="I5">
        <f>'EIaE-BEE'!I2</f>
        <v>23124600</v>
      </c>
      <c r="J5">
        <f>'EIaE-BEE'!J2</f>
        <v>26294000</v>
      </c>
      <c r="K5">
        <f>'EIaE-BEE'!K2</f>
        <v>26614400</v>
      </c>
      <c r="L5">
        <f>'EIaE-BEE'!L2</f>
        <v>26934800</v>
      </c>
      <c r="M5">
        <f>'EIaE-BEE'!M2</f>
        <v>27255200</v>
      </c>
      <c r="N5">
        <f>'EIaE-BEE'!N2</f>
        <v>27575600</v>
      </c>
      <c r="O5">
        <f>'EIaE-BEE'!O2</f>
        <v>27896000</v>
      </c>
      <c r="P5">
        <f>'EIaE-BEE'!P2</f>
        <v>32473800</v>
      </c>
      <c r="Q5">
        <f>'EIaE-BEE'!Q2</f>
        <v>37051600</v>
      </c>
      <c r="R5">
        <f>'EIaE-BEE'!R2</f>
        <v>41629400</v>
      </c>
      <c r="S5">
        <f>'EIaE-BEE'!S2</f>
        <v>46207200</v>
      </c>
      <c r="T5">
        <f>'EIaE-BEE'!T2</f>
        <v>50785000</v>
      </c>
      <c r="U5">
        <f>'EIaE-BEE'!U2</f>
        <v>55233000</v>
      </c>
      <c r="V5">
        <f>'EIaE-BEE'!V2</f>
        <v>59681000</v>
      </c>
      <c r="W5">
        <f>'EIaE-BEE'!W2</f>
        <v>64129000</v>
      </c>
      <c r="X5">
        <f>'EIaE-BEE'!X2</f>
        <v>68577000</v>
      </c>
      <c r="Y5">
        <f>'EIaE-BEE'!Y2</f>
        <v>73025000</v>
      </c>
      <c r="Z5">
        <f>'EIaE-BEE'!Z2</f>
        <v>79306800</v>
      </c>
      <c r="AA5">
        <f>'EIaE-BEE'!AA2</f>
        <v>85588600</v>
      </c>
      <c r="AB5">
        <f>'EIaE-BEE'!AB2</f>
        <v>91870400</v>
      </c>
      <c r="AC5">
        <f>'EIaE-BEE'!AC2</f>
        <v>98152200</v>
      </c>
      <c r="AD5">
        <f>'EIaE-BEE'!AD2</f>
        <v>104434000</v>
      </c>
      <c r="AE5">
        <f>'EIaE-BEE'!AE2</f>
        <v>110715800</v>
      </c>
      <c r="AF5">
        <f>'EIaE-BEE'!AF2</f>
        <v>116997600</v>
      </c>
      <c r="AG5">
        <f>'EIaE-BEE'!AG2</f>
        <v>123279400</v>
      </c>
      <c r="AH5">
        <f>'EIaE-BEE'!AH2</f>
        <v>129561200</v>
      </c>
      <c r="AI5">
        <f>'EIaE-BEE'!AI2</f>
        <v>135843000</v>
      </c>
    </row>
    <row r="23" spans="2:55" x14ac:dyDescent="0.25">
      <c r="Q23" s="16">
        <v>2017</v>
      </c>
      <c r="R23" s="16">
        <v>2022</v>
      </c>
      <c r="S23" s="16">
        <v>2027</v>
      </c>
      <c r="T23" s="16">
        <v>2032</v>
      </c>
      <c r="U23" s="16">
        <v>2037</v>
      </c>
      <c r="V23" s="16">
        <v>2042</v>
      </c>
      <c r="W23" s="16">
        <v>2047</v>
      </c>
      <c r="X23" t="s">
        <v>67</v>
      </c>
    </row>
    <row r="24" spans="2:55" x14ac:dyDescent="0.25">
      <c r="K24" t="s">
        <v>66</v>
      </c>
      <c r="P24" t="s">
        <v>61</v>
      </c>
      <c r="Q24">
        <v>1.5</v>
      </c>
      <c r="R24">
        <v>5</v>
      </c>
      <c r="S24">
        <v>10</v>
      </c>
      <c r="T24">
        <v>15</v>
      </c>
      <c r="U24">
        <v>20</v>
      </c>
      <c r="V24">
        <v>25</v>
      </c>
      <c r="W24">
        <v>30</v>
      </c>
      <c r="X24">
        <f>((W24/R24)^(1/($W$23-$R$23))-1)*100</f>
        <v>7.4301173220855166</v>
      </c>
    </row>
    <row r="25" spans="2:55" x14ac:dyDescent="0.25">
      <c r="P25" t="s">
        <v>62</v>
      </c>
      <c r="Q25">
        <v>1</v>
      </c>
      <c r="R25">
        <v>1.5</v>
      </c>
      <c r="S25">
        <v>2</v>
      </c>
      <c r="T25">
        <v>2.5</v>
      </c>
      <c r="U25">
        <v>3</v>
      </c>
      <c r="V25">
        <v>3.5</v>
      </c>
      <c r="W25">
        <v>4</v>
      </c>
      <c r="X25">
        <f>((W25/R25)^(1/($W$23-$R$23))-1)*100</f>
        <v>4.0012955326567123</v>
      </c>
    </row>
    <row r="27" spans="2:55" x14ac:dyDescent="0.25">
      <c r="J27" s="1" t="s">
        <v>68</v>
      </c>
    </row>
    <row r="28" spans="2:55" x14ac:dyDescent="0.25"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  <c r="V28">
        <v>2017</v>
      </c>
      <c r="W28">
        <v>2018</v>
      </c>
      <c r="X28">
        <v>2019</v>
      </c>
      <c r="Y28">
        <v>2020</v>
      </c>
      <c r="Z28">
        <v>2021</v>
      </c>
      <c r="AA28">
        <v>2022</v>
      </c>
      <c r="AB28">
        <v>2023</v>
      </c>
      <c r="AC28">
        <v>2024</v>
      </c>
      <c r="AD28">
        <v>2025</v>
      </c>
      <c r="AE28">
        <v>2026</v>
      </c>
      <c r="AF28">
        <v>2027</v>
      </c>
      <c r="AG28">
        <v>2028</v>
      </c>
      <c r="AH28">
        <v>2029</v>
      </c>
      <c r="AI28">
        <v>2030</v>
      </c>
      <c r="AJ28">
        <v>2031</v>
      </c>
      <c r="AK28">
        <v>2032</v>
      </c>
      <c r="AL28">
        <v>2033</v>
      </c>
      <c r="AM28">
        <v>2034</v>
      </c>
      <c r="AN28">
        <v>2035</v>
      </c>
      <c r="AO28">
        <v>2036</v>
      </c>
      <c r="AP28">
        <v>2037</v>
      </c>
      <c r="AQ28">
        <v>2038</v>
      </c>
      <c r="AR28">
        <v>2039</v>
      </c>
      <c r="AS28">
        <v>2040</v>
      </c>
      <c r="AT28">
        <v>2041</v>
      </c>
      <c r="AU28">
        <v>2042</v>
      </c>
      <c r="AV28">
        <v>2043</v>
      </c>
      <c r="AW28">
        <v>2044</v>
      </c>
      <c r="AX28">
        <v>2045</v>
      </c>
      <c r="AY28">
        <v>2046</v>
      </c>
      <c r="AZ28">
        <v>2047</v>
      </c>
      <c r="BA28">
        <v>2048</v>
      </c>
      <c r="BB28">
        <v>2049</v>
      </c>
      <c r="BC28">
        <v>2050</v>
      </c>
    </row>
    <row r="29" spans="2:55" x14ac:dyDescent="0.25">
      <c r="J29" s="7" t="s">
        <v>29</v>
      </c>
      <c r="K29">
        <v>2957</v>
      </c>
      <c r="L29">
        <v>5230</v>
      </c>
      <c r="M29">
        <v>5897</v>
      </c>
      <c r="N29">
        <v>5359</v>
      </c>
      <c r="O29">
        <v>5611</v>
      </c>
      <c r="P29">
        <v>5253</v>
      </c>
      <c r="Q29">
        <v>4795</v>
      </c>
      <c r="R29">
        <v>5598</v>
      </c>
      <c r="S29">
        <v>5008</v>
      </c>
      <c r="T29">
        <v>5244</v>
      </c>
      <c r="U29">
        <v>5617</v>
      </c>
      <c r="V29">
        <v>5611</v>
      </c>
      <c r="W29">
        <f>V29*(1+$X$24/100)</f>
        <v>6027.9038829422179</v>
      </c>
      <c r="X29">
        <f t="shared" ref="X29:BC29" si="0">W29*(1+$X$24/100)</f>
        <v>6475.7842135073734</v>
      </c>
      <c r="Y29">
        <f t="shared" si="0"/>
        <v>6956.9425780960637</v>
      </c>
      <c r="Z29">
        <f t="shared" si="0"/>
        <v>7473.8515736787222</v>
      </c>
      <c r="AA29">
        <f t="shared" si="0"/>
        <v>8029.167514081586</v>
      </c>
      <c r="AB29">
        <f t="shared" si="0"/>
        <v>8625.7440803646241</v>
      </c>
      <c r="AC29">
        <f t="shared" si="0"/>
        <v>9266.6469854385614</v>
      </c>
      <c r="AD29">
        <f t="shared" si="0"/>
        <v>9955.169728280147</v>
      </c>
      <c r="AE29">
        <f t="shared" si="0"/>
        <v>10694.850518704105</v>
      </c>
      <c r="AF29">
        <f t="shared" si="0"/>
        <v>11489.490459665491</v>
      </c>
      <c r="AG29">
        <f t="shared" si="0"/>
        <v>12343.173080528459</v>
      </c>
      <c r="AH29">
        <f t="shared" si="0"/>
        <v>13260.285321679799</v>
      </c>
      <c r="AI29">
        <f t="shared" si="0"/>
        <v>14245.540078323893</v>
      </c>
      <c r="AJ29">
        <f t="shared" si="0"/>
        <v>15304.000419308071</v>
      </c>
      <c r="AK29">
        <f t="shared" si="0"/>
        <v>16441.105605435121</v>
      </c>
      <c r="AL29">
        <f t="shared" si="0"/>
        <v>17662.699040966931</v>
      </c>
      <c r="AM29">
        <f t="shared" si="0"/>
        <v>18975.058301957648</v>
      </c>
      <c r="AN29">
        <f t="shared" si="0"/>
        <v>20384.927395727231</v>
      </c>
      <c r="AO29">
        <f t="shared" si="0"/>
        <v>21899.551417251714</v>
      </c>
      <c r="AP29">
        <f t="shared" si="0"/>
        <v>23526.713780563958</v>
      </c>
      <c r="AQ29">
        <f t="shared" si="0"/>
        <v>25274.776216491122</v>
      </c>
      <c r="AR29">
        <f t="shared" si="0"/>
        <v>27152.72174227098</v>
      </c>
      <c r="AS29">
        <f t="shared" si="0"/>
        <v>29170.200823861138</v>
      </c>
      <c r="AT29">
        <f t="shared" si="0"/>
        <v>31337.580968161976</v>
      </c>
      <c r="AU29">
        <f t="shared" si="0"/>
        <v>33665.999999999956</v>
      </c>
      <c r="AV29">
        <f t="shared" si="0"/>
        <v>36167.423297653266</v>
      </c>
      <c r="AW29">
        <f t="shared" si="0"/>
        <v>38854.705281044196</v>
      </c>
      <c r="AX29">
        <f t="shared" si="0"/>
        <v>41741.65546857634</v>
      </c>
      <c r="AY29">
        <f t="shared" si="0"/>
        <v>44843.109442072287</v>
      </c>
      <c r="AZ29">
        <f t="shared" si="0"/>
        <v>48175.005084489465</v>
      </c>
      <c r="BA29">
        <f t="shared" si="0"/>
        <v>51754.464482187694</v>
      </c>
      <c r="BB29">
        <f t="shared" si="0"/>
        <v>55599.881912631317</v>
      </c>
      <c r="BC29">
        <f t="shared" si="0"/>
        <v>59731.018369680831</v>
      </c>
    </row>
    <row r="30" spans="2:55" x14ac:dyDescent="0.25">
      <c r="J30" s="7" t="s">
        <v>30</v>
      </c>
      <c r="K30">
        <v>216</v>
      </c>
      <c r="L30">
        <v>290</v>
      </c>
      <c r="M30">
        <v>58</v>
      </c>
      <c r="N30">
        <v>105</v>
      </c>
      <c r="O30">
        <v>128</v>
      </c>
      <c r="P30">
        <v>135</v>
      </c>
      <c r="Q30">
        <v>154</v>
      </c>
      <c r="R30">
        <v>1651</v>
      </c>
      <c r="S30">
        <v>4433</v>
      </c>
      <c r="T30">
        <v>5150</v>
      </c>
      <c r="U30">
        <v>6710</v>
      </c>
      <c r="V30">
        <v>7203</v>
      </c>
      <c r="W30">
        <f>V30*(1+$X$25/100)</f>
        <v>7491.2133172172626</v>
      </c>
      <c r="X30">
        <f t="shared" ref="X30:BC30" si="1">W30*(1+$X$25/100)</f>
        <v>7790.958901020862</v>
      </c>
      <c r="Y30">
        <f t="shared" si="1"/>
        <v>8102.6981914785301</v>
      </c>
      <c r="Z30">
        <f t="shared" si="1"/>
        <v>8426.9110922388172</v>
      </c>
      <c r="AA30">
        <f t="shared" si="1"/>
        <v>8764.0967093135223</v>
      </c>
      <c r="AB30">
        <f t="shared" si="1"/>
        <v>9114.7741194209975</v>
      </c>
      <c r="AC30">
        <f t="shared" si="1"/>
        <v>9479.4831690731407</v>
      </c>
      <c r="AD30">
        <f t="shared" si="1"/>
        <v>9858.7853056362092</v>
      </c>
      <c r="AE30">
        <f t="shared" si="1"/>
        <v>10253.264441644847</v>
      </c>
      <c r="AF30">
        <f t="shared" si="1"/>
        <v>10663.527853699861</v>
      </c>
      <c r="AG30">
        <f t="shared" si="1"/>
        <v>11090.207117333557</v>
      </c>
      <c r="AH30">
        <f t="shared" si="1"/>
        <v>11533.959079281802</v>
      </c>
      <c r="AI30">
        <f t="shared" si="1"/>
        <v>11995.466868659558</v>
      </c>
      <c r="AJ30">
        <f t="shared" si="1"/>
        <v>12475.440948596548</v>
      </c>
      <c r="AK30">
        <f t="shared" si="1"/>
        <v>12974.620209951969</v>
      </c>
      <c r="AL30">
        <f t="shared" si="1"/>
        <v>13493.773108791951</v>
      </c>
      <c r="AM30">
        <f t="shared" si="1"/>
        <v>14033.698849380877</v>
      </c>
      <c r="AN30">
        <f t="shared" si="1"/>
        <v>14595.22861450765</v>
      </c>
      <c r="AO30">
        <f t="shared" si="1"/>
        <v>15179.226845040979</v>
      </c>
      <c r="AP30">
        <f t="shared" si="1"/>
        <v>15786.592570683433</v>
      </c>
      <c r="AQ30">
        <f t="shared" si="1"/>
        <v>16418.260793972906</v>
      </c>
      <c r="AR30">
        <f t="shared" si="1"/>
        <v>17075.203929662071</v>
      </c>
      <c r="AS30">
        <f t="shared" si="1"/>
        <v>17758.433301691664</v>
      </c>
      <c r="AT30">
        <f t="shared" si="1"/>
        <v>18469.000700062075</v>
      </c>
      <c r="AU30">
        <f t="shared" si="1"/>
        <v>19207.999999999996</v>
      </c>
      <c r="AV30">
        <f t="shared" si="1"/>
        <v>19976.568845912698</v>
      </c>
      <c r="AW30">
        <f t="shared" si="1"/>
        <v>20775.890402722296</v>
      </c>
      <c r="AX30">
        <f t="shared" si="1"/>
        <v>21607.195177276077</v>
      </c>
      <c r="AY30">
        <f t="shared" si="1"/>
        <v>22471.762912636841</v>
      </c>
      <c r="AZ30">
        <f t="shared" si="1"/>
        <v>23370.924558169387</v>
      </c>
      <c r="BA30">
        <f t="shared" si="1"/>
        <v>24306.064318455989</v>
      </c>
      <c r="BB30">
        <f t="shared" si="1"/>
        <v>25278.621784195035</v>
      </c>
      <c r="BC30">
        <f t="shared" si="1"/>
        <v>26290.094148363216</v>
      </c>
    </row>
    <row r="32" spans="2:55" x14ac:dyDescent="0.25"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63</v>
      </c>
      <c r="B33">
        <f>V29*1000</f>
        <v>5611000</v>
      </c>
      <c r="C33">
        <f t="shared" ref="C33:S34" si="2">W29*1000</f>
        <v>6027903.8829422183</v>
      </c>
      <c r="D33">
        <f t="shared" si="2"/>
        <v>6475784.2135073729</v>
      </c>
      <c r="E33">
        <f t="shared" si="2"/>
        <v>6956942.5780960638</v>
      </c>
      <c r="F33">
        <f t="shared" si="2"/>
        <v>7473851.5736787226</v>
      </c>
      <c r="G33">
        <f t="shared" si="2"/>
        <v>8029167.5140815862</v>
      </c>
      <c r="H33">
        <f t="shared" si="2"/>
        <v>8625744.080364624</v>
      </c>
      <c r="I33">
        <f t="shared" si="2"/>
        <v>9266646.9854385611</v>
      </c>
      <c r="J33">
        <f t="shared" si="2"/>
        <v>9955169.7282801475</v>
      </c>
      <c r="K33">
        <f t="shared" si="2"/>
        <v>10694850.518704105</v>
      </c>
      <c r="L33">
        <f t="shared" si="2"/>
        <v>11489490.45966549</v>
      </c>
      <c r="M33">
        <f t="shared" si="2"/>
        <v>12343173.080528459</v>
      </c>
      <c r="N33">
        <f t="shared" si="2"/>
        <v>13260285.321679799</v>
      </c>
      <c r="O33">
        <f t="shared" si="2"/>
        <v>14245540.078323893</v>
      </c>
      <c r="P33">
        <f t="shared" si="2"/>
        <v>15304000.419308072</v>
      </c>
      <c r="Q33">
        <f t="shared" si="2"/>
        <v>16441105.605435122</v>
      </c>
      <c r="R33">
        <f t="shared" si="2"/>
        <v>17662699.040966932</v>
      </c>
      <c r="S33">
        <f t="shared" si="2"/>
        <v>18975058.301957648</v>
      </c>
      <c r="T33">
        <f t="shared" ref="T33:T34" si="3">AN29*1000</f>
        <v>20384927.395727232</v>
      </c>
      <c r="U33">
        <f t="shared" ref="U33:U34" si="4">AO29*1000</f>
        <v>21899551.417251714</v>
      </c>
      <c r="V33">
        <f t="shared" ref="V33:V34" si="5">AP29*1000</f>
        <v>23526713.780563958</v>
      </c>
      <c r="W33">
        <f t="shared" ref="W33:W34" si="6">AQ29*1000</f>
        <v>25274776.216491122</v>
      </c>
      <c r="X33">
        <f t="shared" ref="X33:X34" si="7">AR29*1000</f>
        <v>27152721.74227098</v>
      </c>
      <c r="Y33">
        <f t="shared" ref="Y33:Y34" si="8">AS29*1000</f>
        <v>29170200.823861137</v>
      </c>
      <c r="Z33">
        <f t="shared" ref="Z33:Z34" si="9">AT29*1000</f>
        <v>31337580.968161974</v>
      </c>
      <c r="AA33">
        <f t="shared" ref="AA33:AA34" si="10">AU29*1000</f>
        <v>33665999.999999955</v>
      </c>
      <c r="AB33">
        <f t="shared" ref="AB33:AB34" si="11">AV29*1000</f>
        <v>36167423.297653265</v>
      </c>
      <c r="AC33">
        <f t="shared" ref="AC33:AC34" si="12">AW29*1000</f>
        <v>38854705.2810442</v>
      </c>
      <c r="AD33">
        <f t="shared" ref="AD33:AD34" si="13">AX29*1000</f>
        <v>41741655.468576342</v>
      </c>
      <c r="AE33">
        <f t="shared" ref="AE33:AE34" si="14">AY29*1000</f>
        <v>44843109.442072287</v>
      </c>
      <c r="AF33">
        <f t="shared" ref="AF33:AF34" si="15">AZ29*1000</f>
        <v>48175005.084489465</v>
      </c>
      <c r="AG33">
        <f t="shared" ref="AG33:AG34" si="16">BA29*1000</f>
        <v>51754464.482187696</v>
      </c>
      <c r="AH33">
        <f t="shared" ref="AH33:AH34" si="17">BB29*1000</f>
        <v>55599881.912631318</v>
      </c>
      <c r="AI33">
        <f t="shared" ref="AI33:AI34" si="18">BC29*1000</f>
        <v>59731018.369680829</v>
      </c>
    </row>
    <row r="34" spans="1:35" x14ac:dyDescent="0.25">
      <c r="A34" t="s">
        <v>64</v>
      </c>
      <c r="B34">
        <f>V30*1000</f>
        <v>7203000</v>
      </c>
      <c r="C34">
        <f>W30*1000</f>
        <v>7491213.3172172625</v>
      </c>
      <c r="D34">
        <f t="shared" ref="D34:R34" si="19">X30*1000</f>
        <v>7790958.9010208622</v>
      </c>
      <c r="E34">
        <f t="shared" si="19"/>
        <v>8102698.1914785299</v>
      </c>
      <c r="F34">
        <f t="shared" si="19"/>
        <v>8426911.0922388174</v>
      </c>
      <c r="G34">
        <f t="shared" si="19"/>
        <v>8764096.709313523</v>
      </c>
      <c r="H34">
        <f t="shared" si="19"/>
        <v>9114774.1194209978</v>
      </c>
      <c r="I34">
        <f t="shared" si="19"/>
        <v>9479483.1690731402</v>
      </c>
      <c r="J34">
        <f t="shared" si="19"/>
        <v>9858785.3056362085</v>
      </c>
      <c r="K34">
        <f t="shared" si="19"/>
        <v>10253264.441644847</v>
      </c>
      <c r="L34">
        <f t="shared" si="19"/>
        <v>10663527.853699861</v>
      </c>
      <c r="M34">
        <f t="shared" si="19"/>
        <v>11090207.117333557</v>
      </c>
      <c r="N34">
        <f t="shared" si="19"/>
        <v>11533959.079281801</v>
      </c>
      <c r="O34">
        <f t="shared" si="19"/>
        <v>11995466.868659558</v>
      </c>
      <c r="P34">
        <f t="shared" si="19"/>
        <v>12475440.948596548</v>
      </c>
      <c r="Q34">
        <f t="shared" si="19"/>
        <v>12974620.209951969</v>
      </c>
      <c r="R34">
        <f t="shared" si="19"/>
        <v>13493773.108791951</v>
      </c>
      <c r="S34">
        <f t="shared" si="2"/>
        <v>14033698.849380877</v>
      </c>
      <c r="T34">
        <f t="shared" si="3"/>
        <v>14595228.614507651</v>
      </c>
      <c r="U34">
        <f t="shared" si="4"/>
        <v>15179226.845040979</v>
      </c>
      <c r="V34">
        <f t="shared" si="5"/>
        <v>15786592.570683433</v>
      </c>
      <c r="W34">
        <f t="shared" si="6"/>
        <v>16418260.793972906</v>
      </c>
      <c r="X34">
        <f t="shared" si="7"/>
        <v>17075203.929662071</v>
      </c>
      <c r="Y34">
        <f t="shared" si="8"/>
        <v>17758433.301691666</v>
      </c>
      <c r="Z34">
        <f t="shared" si="9"/>
        <v>18469000.700062074</v>
      </c>
      <c r="AA34">
        <f t="shared" si="10"/>
        <v>19207999.999999996</v>
      </c>
      <c r="AB34">
        <f t="shared" si="11"/>
        <v>19976568.845912699</v>
      </c>
      <c r="AC34">
        <f t="shared" si="12"/>
        <v>20775890.402722295</v>
      </c>
      <c r="AD34">
        <f t="shared" si="13"/>
        <v>21607195.177276075</v>
      </c>
      <c r="AE34">
        <f t="shared" si="14"/>
        <v>22471762.912636843</v>
      </c>
      <c r="AF34">
        <f t="shared" si="15"/>
        <v>23370924.558169387</v>
      </c>
      <c r="AG34">
        <f t="shared" si="16"/>
        <v>24306064.318455987</v>
      </c>
      <c r="AH34">
        <f t="shared" si="17"/>
        <v>25278621.784195036</v>
      </c>
      <c r="AI34">
        <f t="shared" si="18"/>
        <v>26290094.148363218</v>
      </c>
    </row>
    <row r="36" spans="1:35" x14ac:dyDescent="0.25">
      <c r="A36" s="1" t="s">
        <v>97</v>
      </c>
    </row>
    <row r="37" spans="1:35" x14ac:dyDescent="0.25">
      <c r="A37" t="s">
        <v>63</v>
      </c>
      <c r="B37">
        <f>'IRADe-BBIN study'!D15</f>
        <v>9913400</v>
      </c>
      <c r="C37">
        <f>'IRADe-BBIN study'!E15</f>
        <v>12369600</v>
      </c>
      <c r="D37">
        <f>'IRADe-BBIN study'!F15</f>
        <v>14825800</v>
      </c>
      <c r="E37">
        <f>'IRADe-BBIN study'!G15</f>
        <v>17282000</v>
      </c>
      <c r="F37">
        <f>'IRADe-BBIN study'!H15</f>
        <v>31191600</v>
      </c>
      <c r="G37">
        <f>'IRADe-BBIN study'!I15</f>
        <v>45101200</v>
      </c>
      <c r="H37">
        <f>'IRADe-BBIN study'!J15</f>
        <v>59010800</v>
      </c>
      <c r="I37">
        <f>'IRADe-BBIN study'!K15</f>
        <v>72920400</v>
      </c>
      <c r="J37">
        <f>'IRADe-BBIN study'!L15</f>
        <v>86830000</v>
      </c>
      <c r="K37">
        <f>'IRADe-BBIN study'!M15</f>
        <v>103390000</v>
      </c>
      <c r="L37">
        <f>'IRADe-BBIN study'!N15</f>
        <v>119950000</v>
      </c>
      <c r="M37">
        <f>'IRADe-BBIN study'!O15</f>
        <v>136510000</v>
      </c>
      <c r="N37">
        <f>'IRADe-BBIN study'!P15</f>
        <v>153070000</v>
      </c>
      <c r="O37">
        <f>'IRADe-BBIN study'!Q15</f>
        <v>169630000</v>
      </c>
      <c r="P37">
        <f>'IRADe-BBIN study'!R15</f>
        <v>179189200</v>
      </c>
      <c r="Q37">
        <f>'IRADe-BBIN study'!S15</f>
        <v>188748400</v>
      </c>
      <c r="R37">
        <f>'IRADe-BBIN study'!T15</f>
        <v>198307600</v>
      </c>
      <c r="S37">
        <f>'IRADe-BBIN study'!U15</f>
        <v>207866800</v>
      </c>
      <c r="T37">
        <f>'IRADe-BBIN study'!V15</f>
        <v>217426000</v>
      </c>
      <c r="U37">
        <f>'IRADe-BBIN study'!W15</f>
        <v>222827400</v>
      </c>
      <c r="V37">
        <f>'IRADe-BBIN study'!X15</f>
        <v>228228800</v>
      </c>
      <c r="W37">
        <f>'IRADe-BBIN study'!Y15</f>
        <v>233630200</v>
      </c>
      <c r="X37">
        <f>'IRADe-BBIN study'!Z15</f>
        <v>239031600</v>
      </c>
      <c r="Y37">
        <f>'IRADe-BBIN study'!AA15</f>
        <v>244433000</v>
      </c>
      <c r="Z37">
        <f>'IRADe-BBIN study'!AB15</f>
        <v>246359000</v>
      </c>
      <c r="AA37">
        <f>'IRADe-BBIN study'!AC15</f>
        <v>248285000</v>
      </c>
      <c r="AB37">
        <f>'IRADe-BBIN study'!AD15</f>
        <v>250211000</v>
      </c>
      <c r="AC37">
        <f>'IRADe-BBIN study'!AE15</f>
        <v>252137000</v>
      </c>
      <c r="AD37">
        <f>'IRADe-BBIN study'!AF15</f>
        <v>254063000</v>
      </c>
      <c r="AE37">
        <f>'IRADe-BBIN study'!AG15</f>
        <v>254063000</v>
      </c>
      <c r="AF37">
        <f>'IRADe-BBIN study'!AH15</f>
        <v>254063000</v>
      </c>
      <c r="AG37">
        <f>'IRADe-BBIN study'!AI15</f>
        <v>254063000</v>
      </c>
      <c r="AH37">
        <f>'IRADe-BBIN study'!AJ15</f>
        <v>254063000</v>
      </c>
      <c r="AI37">
        <f>'IRADe-BBIN study'!AK15</f>
        <v>254063000</v>
      </c>
    </row>
    <row r="38" spans="1:35" x14ac:dyDescent="0.25">
      <c r="A38" t="s">
        <v>64</v>
      </c>
      <c r="B38">
        <f>'IRADe-BBIN study'!D16</f>
        <v>7123600</v>
      </c>
      <c r="C38">
        <f>'IRADe-BBIN study'!E16</f>
        <v>8231400</v>
      </c>
      <c r="D38">
        <f>'IRADe-BBIN study'!F16</f>
        <v>9339200</v>
      </c>
      <c r="E38">
        <f>'IRADe-BBIN study'!G16</f>
        <v>10447000</v>
      </c>
      <c r="F38">
        <f>'IRADe-BBIN study'!H16</f>
        <v>13616400</v>
      </c>
      <c r="G38">
        <f>'IRADe-BBIN study'!I16</f>
        <v>16785800</v>
      </c>
      <c r="H38">
        <f>'IRADe-BBIN study'!J16</f>
        <v>19955200</v>
      </c>
      <c r="I38">
        <f>'IRADe-BBIN study'!K16</f>
        <v>23124600</v>
      </c>
      <c r="J38">
        <f>'IRADe-BBIN study'!L16</f>
        <v>26294000</v>
      </c>
      <c r="K38">
        <f>'IRADe-BBIN study'!M16</f>
        <v>26614400</v>
      </c>
      <c r="L38">
        <f>'IRADe-BBIN study'!N16</f>
        <v>26934800</v>
      </c>
      <c r="M38">
        <f>'IRADe-BBIN study'!O16</f>
        <v>27255200</v>
      </c>
      <c r="N38">
        <f>'IRADe-BBIN study'!P16</f>
        <v>27575600</v>
      </c>
      <c r="O38">
        <f>'IRADe-BBIN study'!Q16</f>
        <v>27896000</v>
      </c>
      <c r="P38">
        <f>'IRADe-BBIN study'!R16</f>
        <v>32473800</v>
      </c>
      <c r="Q38">
        <f>'IRADe-BBIN study'!S16</f>
        <v>37051600</v>
      </c>
      <c r="R38">
        <f>'IRADe-BBIN study'!T16</f>
        <v>41629400</v>
      </c>
      <c r="S38">
        <f>'IRADe-BBIN study'!U16</f>
        <v>46207200</v>
      </c>
      <c r="T38">
        <f>'IRADe-BBIN study'!V16</f>
        <v>50785000</v>
      </c>
      <c r="U38">
        <f>'IRADe-BBIN study'!W16</f>
        <v>55233000</v>
      </c>
      <c r="V38">
        <f>'IRADe-BBIN study'!X16</f>
        <v>59681000</v>
      </c>
      <c r="W38">
        <f>'IRADe-BBIN study'!Y16</f>
        <v>64129000</v>
      </c>
      <c r="X38">
        <f>'IRADe-BBIN study'!Z16</f>
        <v>68577000</v>
      </c>
      <c r="Y38">
        <f>'IRADe-BBIN study'!AA16</f>
        <v>73025000</v>
      </c>
      <c r="Z38">
        <f>'IRADe-BBIN study'!AB16</f>
        <v>79306800</v>
      </c>
      <c r="AA38">
        <f>'IRADe-BBIN study'!AC16</f>
        <v>85588600</v>
      </c>
      <c r="AB38">
        <f>'IRADe-BBIN study'!AD16</f>
        <v>91870400</v>
      </c>
      <c r="AC38">
        <f>'IRADe-BBIN study'!AE16</f>
        <v>98152200</v>
      </c>
      <c r="AD38">
        <f>'IRADe-BBIN study'!AF16</f>
        <v>104434000</v>
      </c>
      <c r="AE38">
        <f>'IRADe-BBIN study'!AG16</f>
        <v>110715800</v>
      </c>
      <c r="AF38">
        <f>'IRADe-BBIN study'!AH16</f>
        <v>116997600</v>
      </c>
      <c r="AG38">
        <f>'IRADe-BBIN study'!AI16</f>
        <v>123279400</v>
      </c>
      <c r="AH38">
        <f>'IRADe-BBIN study'!AJ16</f>
        <v>129561200</v>
      </c>
      <c r="AI38">
        <f>'IRADe-BBIN study'!AK16</f>
        <v>135843000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AFB5-B377-457D-BB7F-D13F867419D0}">
  <dimension ref="A1:AK19"/>
  <sheetViews>
    <sheetView workbookViewId="0">
      <selection activeCell="B13" sqref="B13"/>
    </sheetView>
  </sheetViews>
  <sheetFormatPr defaultRowHeight="15" x14ac:dyDescent="0.25"/>
  <cols>
    <col min="1" max="1" width="25.42578125" customWidth="1"/>
    <col min="2" max="2" width="12.140625" customWidth="1"/>
    <col min="5" max="5" width="11.5703125" customWidth="1"/>
    <col min="8" max="8" width="14.5703125" bestFit="1" customWidth="1"/>
    <col min="9" max="9" width="10" customWidth="1"/>
    <col min="13" max="13" width="10" bestFit="1" customWidth="1"/>
    <col min="17" max="18" width="10" bestFit="1" customWidth="1"/>
    <col min="22" max="23" width="10" bestFit="1" customWidth="1"/>
    <col min="27" max="28" width="10" bestFit="1" customWidth="1"/>
    <col min="32" max="33" width="10" bestFit="1" customWidth="1"/>
  </cols>
  <sheetData>
    <row r="1" spans="1:37" x14ac:dyDescent="0.25">
      <c r="A1" s="30" t="s">
        <v>85</v>
      </c>
      <c r="B1" s="31"/>
      <c r="C1" s="31"/>
      <c r="D1" s="31"/>
      <c r="E1" s="31"/>
      <c r="F1" s="31"/>
      <c r="G1" s="32"/>
    </row>
    <row r="2" spans="1:37" ht="29.25" customHeight="1" x14ac:dyDescent="0.25">
      <c r="B2" s="60" t="s">
        <v>86</v>
      </c>
      <c r="C2" s="61"/>
      <c r="D2" s="62"/>
      <c r="E2" s="60" t="s">
        <v>87</v>
      </c>
      <c r="F2" s="61"/>
      <c r="G2" s="62"/>
      <c r="H2" s="33" t="s">
        <v>95</v>
      </c>
      <c r="I2" s="33" t="s">
        <v>96</v>
      </c>
    </row>
    <row r="3" spans="1:37" x14ac:dyDescent="0.25">
      <c r="A3" s="22" t="s">
        <v>88</v>
      </c>
      <c r="B3" s="22" t="s">
        <v>89</v>
      </c>
      <c r="C3" s="28" t="s">
        <v>90</v>
      </c>
      <c r="D3" s="29" t="s">
        <v>91</v>
      </c>
      <c r="E3" s="22" t="s">
        <v>89</v>
      </c>
      <c r="F3" s="28" t="s">
        <v>90</v>
      </c>
      <c r="G3" s="29" t="s">
        <v>91</v>
      </c>
      <c r="H3" s="34"/>
      <c r="I3" s="34"/>
    </row>
    <row r="4" spans="1:37" x14ac:dyDescent="0.25">
      <c r="A4" s="2">
        <v>2015</v>
      </c>
      <c r="B4" s="19">
        <v>3380</v>
      </c>
      <c r="C4" s="20">
        <v>158</v>
      </c>
      <c r="D4" s="21">
        <v>1370</v>
      </c>
      <c r="E4" s="19">
        <v>0</v>
      </c>
      <c r="F4" s="20">
        <v>4998</v>
      </c>
      <c r="G4" s="21">
        <v>3</v>
      </c>
      <c r="H4" s="34">
        <f>SUM(E4:G4)*1000</f>
        <v>5001000</v>
      </c>
      <c r="I4" s="34">
        <f>SUM(B4:D4)*1000</f>
        <v>4908000</v>
      </c>
    </row>
    <row r="5" spans="1:37" x14ac:dyDescent="0.25">
      <c r="A5" s="2">
        <v>2020</v>
      </c>
      <c r="B5" s="19">
        <v>9619</v>
      </c>
      <c r="C5" s="20">
        <v>0</v>
      </c>
      <c r="D5" s="21">
        <v>828</v>
      </c>
      <c r="E5" s="19">
        <v>0</v>
      </c>
      <c r="F5" s="20">
        <v>15392</v>
      </c>
      <c r="G5" s="21">
        <v>1890</v>
      </c>
      <c r="H5" s="34">
        <f t="shared" ref="H5:H10" si="0">SUM(E5:G5)*1000</f>
        <v>17282000</v>
      </c>
      <c r="I5" s="34">
        <f t="shared" ref="I5:I10" si="1">SUM(B5:D5)*1000</f>
        <v>10447000</v>
      </c>
    </row>
    <row r="6" spans="1:37" x14ac:dyDescent="0.25">
      <c r="A6" s="2">
        <v>2025</v>
      </c>
      <c r="B6" s="19">
        <v>24841</v>
      </c>
      <c r="C6" s="20">
        <v>0</v>
      </c>
      <c r="D6" s="21">
        <v>1453</v>
      </c>
      <c r="E6" s="19">
        <v>0</v>
      </c>
      <c r="F6" s="20">
        <v>46459</v>
      </c>
      <c r="G6" s="21">
        <v>40371</v>
      </c>
      <c r="H6" s="34">
        <f t="shared" si="0"/>
        <v>86830000</v>
      </c>
      <c r="I6" s="34">
        <f t="shared" si="1"/>
        <v>26294000</v>
      </c>
    </row>
    <row r="7" spans="1:37" x14ac:dyDescent="0.25">
      <c r="A7" s="2">
        <v>2030</v>
      </c>
      <c r="B7" s="19">
        <v>27896</v>
      </c>
      <c r="C7" s="20">
        <v>0</v>
      </c>
      <c r="D7" s="21">
        <v>0</v>
      </c>
      <c r="E7" s="19">
        <v>345</v>
      </c>
      <c r="F7" s="20">
        <v>96807</v>
      </c>
      <c r="G7" s="21">
        <v>72478</v>
      </c>
      <c r="H7" s="34">
        <f t="shared" si="0"/>
        <v>169630000</v>
      </c>
      <c r="I7" s="34">
        <f t="shared" si="1"/>
        <v>27896000</v>
      </c>
    </row>
    <row r="8" spans="1:37" x14ac:dyDescent="0.25">
      <c r="A8" s="2">
        <v>2035</v>
      </c>
      <c r="B8" s="19">
        <v>50710</v>
      </c>
      <c r="C8" s="20">
        <v>0</v>
      </c>
      <c r="D8" s="21">
        <v>75</v>
      </c>
      <c r="E8" s="19">
        <v>0</v>
      </c>
      <c r="F8" s="20">
        <v>118383</v>
      </c>
      <c r="G8" s="21">
        <v>99043</v>
      </c>
      <c r="H8" s="34">
        <f t="shared" si="0"/>
        <v>217426000</v>
      </c>
      <c r="I8" s="34">
        <f t="shared" si="1"/>
        <v>50785000</v>
      </c>
    </row>
    <row r="9" spans="1:37" x14ac:dyDescent="0.25">
      <c r="A9" s="2">
        <v>2040</v>
      </c>
      <c r="B9" s="19">
        <v>72801</v>
      </c>
      <c r="C9" s="20">
        <v>0</v>
      </c>
      <c r="D9" s="21">
        <v>224</v>
      </c>
      <c r="E9" s="19">
        <v>0</v>
      </c>
      <c r="F9" s="20">
        <v>118383</v>
      </c>
      <c r="G9" s="21">
        <v>126050</v>
      </c>
      <c r="H9" s="34">
        <f t="shared" si="0"/>
        <v>244433000</v>
      </c>
      <c r="I9" s="34">
        <f t="shared" si="1"/>
        <v>73025000</v>
      </c>
    </row>
    <row r="10" spans="1:37" x14ac:dyDescent="0.25">
      <c r="A10" s="2">
        <v>2045</v>
      </c>
      <c r="B10" s="19">
        <v>103870</v>
      </c>
      <c r="C10" s="20">
        <v>0</v>
      </c>
      <c r="D10" s="21">
        <v>564</v>
      </c>
      <c r="E10" s="19">
        <v>0</v>
      </c>
      <c r="F10" s="20">
        <v>118383</v>
      </c>
      <c r="G10" s="21">
        <v>135680</v>
      </c>
      <c r="H10" s="35">
        <f t="shared" si="0"/>
        <v>254063000</v>
      </c>
      <c r="I10" s="35">
        <f t="shared" si="1"/>
        <v>104434000</v>
      </c>
    </row>
    <row r="11" spans="1:37" x14ac:dyDescent="0.25">
      <c r="A11" s="22" t="s">
        <v>92</v>
      </c>
      <c r="B11" s="23">
        <v>0.12</v>
      </c>
      <c r="C11" s="24" t="s">
        <v>93</v>
      </c>
      <c r="D11" s="25">
        <v>-0.03</v>
      </c>
      <c r="E11" s="26" t="s">
        <v>93</v>
      </c>
      <c r="F11" s="27">
        <v>0.11</v>
      </c>
      <c r="G11" s="25">
        <v>0.43</v>
      </c>
    </row>
    <row r="12" spans="1:37" x14ac:dyDescent="0.25">
      <c r="A12" s="37" t="s">
        <v>118</v>
      </c>
    </row>
    <row r="14" spans="1:37" x14ac:dyDescent="0.25">
      <c r="A14" s="1" t="s">
        <v>94</v>
      </c>
      <c r="B14">
        <v>2015</v>
      </c>
      <c r="C14">
        <v>2016</v>
      </c>
      <c r="D14">
        <v>2017</v>
      </c>
      <c r="E14">
        <v>2018</v>
      </c>
      <c r="F14">
        <v>2019</v>
      </c>
      <c r="G14">
        <v>2020</v>
      </c>
      <c r="H14">
        <v>2021</v>
      </c>
      <c r="I14">
        <v>2022</v>
      </c>
      <c r="J14">
        <v>2023</v>
      </c>
      <c r="K14">
        <v>2024</v>
      </c>
      <c r="L14">
        <v>2025</v>
      </c>
      <c r="M14">
        <v>2026</v>
      </c>
      <c r="N14">
        <v>2027</v>
      </c>
      <c r="O14">
        <v>2028</v>
      </c>
      <c r="P14">
        <v>2029</v>
      </c>
      <c r="Q14">
        <v>2030</v>
      </c>
      <c r="R14">
        <v>2031</v>
      </c>
      <c r="S14">
        <v>2032</v>
      </c>
      <c r="T14">
        <v>2033</v>
      </c>
      <c r="U14">
        <v>2034</v>
      </c>
      <c r="V14">
        <v>2035</v>
      </c>
      <c r="W14">
        <v>2036</v>
      </c>
      <c r="X14">
        <v>2037</v>
      </c>
      <c r="Y14">
        <v>2038</v>
      </c>
      <c r="Z14">
        <v>2039</v>
      </c>
      <c r="AA14">
        <v>2040</v>
      </c>
      <c r="AB14">
        <v>2041</v>
      </c>
      <c r="AC14">
        <v>2042</v>
      </c>
      <c r="AD14">
        <v>2043</v>
      </c>
      <c r="AE14">
        <v>2044</v>
      </c>
      <c r="AF14">
        <v>2045</v>
      </c>
      <c r="AG14">
        <v>2046</v>
      </c>
      <c r="AH14">
        <v>2047</v>
      </c>
      <c r="AI14">
        <v>2048</v>
      </c>
      <c r="AJ14">
        <v>2049</v>
      </c>
      <c r="AK14">
        <v>2050</v>
      </c>
    </row>
    <row r="15" spans="1:37" x14ac:dyDescent="0.25">
      <c r="A15" t="s">
        <v>106</v>
      </c>
      <c r="B15">
        <f>H4</f>
        <v>5001000</v>
      </c>
      <c r="C15">
        <f>FORECAST(C14,$H$4:$H$5,$A$4:$A$5)</f>
        <v>7457200</v>
      </c>
      <c r="D15">
        <f t="shared" ref="D15:F15" si="2">FORECAST(D14,$H$4:$H$5,$A$4:$A$5)</f>
        <v>9913400</v>
      </c>
      <c r="E15">
        <f t="shared" si="2"/>
        <v>12369600</v>
      </c>
      <c r="F15">
        <f t="shared" si="2"/>
        <v>14825800</v>
      </c>
      <c r="G15">
        <f>H5</f>
        <v>17282000</v>
      </c>
      <c r="H15">
        <f>FORECAST(H14,$H$5:$H$6,$A$5:$A$6)</f>
        <v>31191600</v>
      </c>
      <c r="I15">
        <f t="shared" ref="I15:K15" si="3">FORECAST(I14,$H$5:$H$6,$A$5:$A$6)</f>
        <v>45101200</v>
      </c>
      <c r="J15">
        <f t="shared" si="3"/>
        <v>59010800</v>
      </c>
      <c r="K15">
        <f t="shared" si="3"/>
        <v>72920400</v>
      </c>
      <c r="L15">
        <f>H6</f>
        <v>86830000</v>
      </c>
      <c r="M15">
        <f>FORECAST(M14,$H$6:$H$7,$A$6:$A$7)</f>
        <v>103390000</v>
      </c>
      <c r="N15">
        <f t="shared" ref="N15:P15" si="4">FORECAST(N14,$H$6:$H$7,$A$6:$A$7)</f>
        <v>119950000</v>
      </c>
      <c r="O15">
        <f t="shared" si="4"/>
        <v>136510000</v>
      </c>
      <c r="P15">
        <f t="shared" si="4"/>
        <v>153070000</v>
      </c>
      <c r="Q15">
        <f>H7</f>
        <v>169630000</v>
      </c>
      <c r="R15">
        <f>FORECAST(R14,$H$7:$H$8,$A$7:$A$8)</f>
        <v>179189200</v>
      </c>
      <c r="S15">
        <f t="shared" ref="S15:U15" si="5">FORECAST(S14,$H$7:$H$8,$A$7:$A$8)</f>
        <v>188748400</v>
      </c>
      <c r="T15">
        <f t="shared" si="5"/>
        <v>198307600</v>
      </c>
      <c r="U15">
        <f t="shared" si="5"/>
        <v>207866800</v>
      </c>
      <c r="V15">
        <f>H8</f>
        <v>217426000</v>
      </c>
      <c r="W15">
        <f>FORECAST(W14,$H$8:$H$9,$A$8:$A$9)</f>
        <v>222827400</v>
      </c>
      <c r="X15">
        <f t="shared" ref="X15:Z15" si="6">FORECAST(X14,$H$8:$H$9,$A$8:$A$9)</f>
        <v>228228800</v>
      </c>
      <c r="Y15">
        <f t="shared" si="6"/>
        <v>233630200</v>
      </c>
      <c r="Z15">
        <f t="shared" si="6"/>
        <v>239031600</v>
      </c>
      <c r="AA15">
        <f>H9</f>
        <v>244433000</v>
      </c>
      <c r="AB15">
        <f>FORECAST(AB14,$H$9:$H$10,$A$9:$A$10)</f>
        <v>246359000</v>
      </c>
      <c r="AC15">
        <f t="shared" ref="AC15:AE15" si="7">FORECAST(AC14,$H$9:$H$10,$A$9:$A$10)</f>
        <v>248285000</v>
      </c>
      <c r="AD15">
        <f t="shared" si="7"/>
        <v>250211000</v>
      </c>
      <c r="AE15">
        <f t="shared" si="7"/>
        <v>252137000</v>
      </c>
      <c r="AF15">
        <f>H10</f>
        <v>254063000</v>
      </c>
      <c r="AG15">
        <f>AF15</f>
        <v>254063000</v>
      </c>
      <c r="AH15">
        <f t="shared" ref="AH15:AK15" si="8">AG15</f>
        <v>254063000</v>
      </c>
      <c r="AI15">
        <f t="shared" si="8"/>
        <v>254063000</v>
      </c>
      <c r="AJ15">
        <f t="shared" si="8"/>
        <v>254063000</v>
      </c>
      <c r="AK15">
        <f t="shared" si="8"/>
        <v>254063000</v>
      </c>
    </row>
    <row r="16" spans="1:37" x14ac:dyDescent="0.25">
      <c r="A16" t="s">
        <v>107</v>
      </c>
      <c r="B16">
        <f>I4</f>
        <v>4908000</v>
      </c>
      <c r="C16">
        <f>FORECAST(C14,$I$4:$I$5,$A$4:$A$5)</f>
        <v>6015800</v>
      </c>
      <c r="D16">
        <f t="shared" ref="D16:F16" si="9">FORECAST(D14,$I$4:$I$5,$A$4:$A$5)</f>
        <v>7123600</v>
      </c>
      <c r="E16">
        <f t="shared" si="9"/>
        <v>8231400</v>
      </c>
      <c r="F16">
        <f t="shared" si="9"/>
        <v>9339200</v>
      </c>
      <c r="G16">
        <f>I5</f>
        <v>10447000</v>
      </c>
      <c r="H16">
        <f>FORECAST(H14,$I$5:$I$6,$A$5:$A$6)</f>
        <v>13616400</v>
      </c>
      <c r="I16">
        <f t="shared" ref="I16:K16" si="10">FORECAST(I14,$I$5:$I$6,$A$5:$A$6)</f>
        <v>16785800</v>
      </c>
      <c r="J16">
        <f t="shared" si="10"/>
        <v>19955200</v>
      </c>
      <c r="K16">
        <f t="shared" si="10"/>
        <v>23124600</v>
      </c>
      <c r="L16">
        <f>I6</f>
        <v>26294000</v>
      </c>
      <c r="M16">
        <f>FORECAST(M14,$I$6:$I$7,$A$6:$A$7)</f>
        <v>26614400</v>
      </c>
      <c r="N16">
        <f t="shared" ref="N16:P16" si="11">FORECAST(N14,$I$6:$I$7,$A$6:$A$7)</f>
        <v>26934800</v>
      </c>
      <c r="O16">
        <f t="shared" si="11"/>
        <v>27255200</v>
      </c>
      <c r="P16">
        <f t="shared" si="11"/>
        <v>27575600</v>
      </c>
      <c r="Q16">
        <f>I7</f>
        <v>27896000</v>
      </c>
      <c r="R16">
        <f>FORECAST(R14,$I$7:$I$8,$A$7:$A$8)</f>
        <v>32473800</v>
      </c>
      <c r="S16">
        <f t="shared" ref="S16:U16" si="12">FORECAST(S14,$I$7:$I$8,$A$7:$A$8)</f>
        <v>37051600</v>
      </c>
      <c r="T16">
        <f t="shared" si="12"/>
        <v>41629400</v>
      </c>
      <c r="U16">
        <f t="shared" si="12"/>
        <v>46207200</v>
      </c>
      <c r="V16">
        <f>I8</f>
        <v>50785000</v>
      </c>
      <c r="W16">
        <f>FORECAST(W14,$I$8:$I$9,$A$8:$A$9)</f>
        <v>55233000</v>
      </c>
      <c r="X16">
        <f t="shared" ref="X16:Z16" si="13">FORECAST(X14,$I$8:$I$9,$A$8:$A$9)</f>
        <v>59681000</v>
      </c>
      <c r="Y16">
        <f t="shared" si="13"/>
        <v>64129000</v>
      </c>
      <c r="Z16">
        <f t="shared" si="13"/>
        <v>68577000</v>
      </c>
      <c r="AA16">
        <f>I9</f>
        <v>73025000</v>
      </c>
      <c r="AB16">
        <f>FORECAST(AB14,$I$9:$I$10,$A$9:$A$10)</f>
        <v>79306800</v>
      </c>
      <c r="AC16">
        <f t="shared" ref="AC16:AE16" si="14">FORECAST(AC14,$I$9:$I$10,$A$9:$A$10)</f>
        <v>85588600</v>
      </c>
      <c r="AD16">
        <f t="shared" si="14"/>
        <v>91870400</v>
      </c>
      <c r="AE16">
        <f t="shared" si="14"/>
        <v>98152200</v>
      </c>
      <c r="AF16">
        <f>I10</f>
        <v>104434000</v>
      </c>
      <c r="AG16">
        <f>TREND(AA16:AF16,AA14:AF14,AG14)</f>
        <v>110715800</v>
      </c>
      <c r="AH16">
        <f t="shared" ref="AH16:AK16" si="15">TREND(AB16:AG16,AB14:AG14,AH14)</f>
        <v>116997600</v>
      </c>
      <c r="AI16">
        <f t="shared" si="15"/>
        <v>123279400</v>
      </c>
      <c r="AJ16">
        <f t="shared" si="15"/>
        <v>129561200</v>
      </c>
      <c r="AK16">
        <f t="shared" si="15"/>
        <v>135843000</v>
      </c>
    </row>
    <row r="18" spans="1:1" x14ac:dyDescent="0.25">
      <c r="A18" s="37" t="s">
        <v>108</v>
      </c>
    </row>
    <row r="19" spans="1:1" x14ac:dyDescent="0.25">
      <c r="A19" s="37" t="s">
        <v>109</v>
      </c>
    </row>
  </sheetData>
  <mergeCells count="2"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2E2-B123-4EA8-8AA3-AF7F90EC5587}">
  <dimension ref="A1:L41"/>
  <sheetViews>
    <sheetView tabSelected="1" topLeftCell="A28" workbookViewId="0">
      <selection activeCell="K5" sqref="K5"/>
    </sheetView>
  </sheetViews>
  <sheetFormatPr defaultRowHeight="15" x14ac:dyDescent="0.25"/>
  <cols>
    <col min="1" max="1" width="28.5703125" customWidth="1"/>
    <col min="2" max="2" width="20" customWidth="1"/>
    <col min="3" max="3" width="16.5703125" customWidth="1"/>
    <col min="4" max="4" width="9.140625" customWidth="1"/>
    <col min="5" max="5" width="12" bestFit="1" customWidth="1"/>
    <col min="6" max="6" width="11.85546875" customWidth="1"/>
    <col min="7" max="7" width="11" customWidth="1"/>
    <col min="9" max="9" width="11.5703125" customWidth="1"/>
    <col min="10" max="10" width="12.85546875" bestFit="1" customWidth="1"/>
    <col min="11" max="11" width="13" bestFit="1" customWidth="1"/>
    <col min="12" max="12" width="24.5703125" customWidth="1"/>
  </cols>
  <sheetData>
    <row r="1" spans="1:12" x14ac:dyDescent="0.25">
      <c r="A1" s="36" t="s">
        <v>205</v>
      </c>
      <c r="B1" s="41"/>
      <c r="C1" s="41"/>
    </row>
    <row r="2" spans="1:12" x14ac:dyDescent="0.25">
      <c r="E2" t="s">
        <v>179</v>
      </c>
    </row>
    <row r="3" spans="1:12" ht="30" x14ac:dyDescent="0.25">
      <c r="A3" s="50" t="s">
        <v>180</v>
      </c>
      <c r="B3" s="51" t="s">
        <v>181</v>
      </c>
      <c r="E3" s="52" t="s">
        <v>182</v>
      </c>
      <c r="F3" s="52" t="s">
        <v>183</v>
      </c>
      <c r="G3" s="52" t="s">
        <v>184</v>
      </c>
      <c r="H3" s="52" t="s">
        <v>185</v>
      </c>
      <c r="I3" s="52" t="s">
        <v>186</v>
      </c>
      <c r="J3" s="52" t="s">
        <v>187</v>
      </c>
      <c r="K3" s="52" t="s">
        <v>188</v>
      </c>
    </row>
    <row r="4" spans="1:12" x14ac:dyDescent="0.25">
      <c r="A4">
        <v>479.84</v>
      </c>
      <c r="B4">
        <v>625.89</v>
      </c>
      <c r="C4" t="s">
        <v>189</v>
      </c>
      <c r="E4" s="53">
        <v>407.84</v>
      </c>
      <c r="F4" s="53">
        <v>764</v>
      </c>
      <c r="G4" s="53">
        <v>183.06</v>
      </c>
      <c r="H4" s="53">
        <v>625.89</v>
      </c>
      <c r="I4" s="53">
        <v>663.85</v>
      </c>
      <c r="J4" s="53">
        <v>325.01</v>
      </c>
      <c r="K4" s="53">
        <v>479.84</v>
      </c>
      <c r="L4" t="s">
        <v>189</v>
      </c>
    </row>
    <row r="5" spans="1:12" x14ac:dyDescent="0.25">
      <c r="A5">
        <f>A4/100</f>
        <v>4.7984</v>
      </c>
      <c r="B5">
        <f>B4/100</f>
        <v>6.2588999999999997</v>
      </c>
      <c r="C5" t="s">
        <v>190</v>
      </c>
      <c r="E5" s="53">
        <f>E4/100</f>
        <v>4.0783999999999994</v>
      </c>
      <c r="F5" s="53">
        <f t="shared" ref="F5:K5" si="0">F4/100</f>
        <v>7.64</v>
      </c>
      <c r="G5" s="53">
        <f t="shared" si="0"/>
        <v>1.8306</v>
      </c>
      <c r="H5" s="53">
        <f t="shared" si="0"/>
        <v>6.2588999999999997</v>
      </c>
      <c r="I5" s="53">
        <f t="shared" si="0"/>
        <v>6.6385000000000005</v>
      </c>
      <c r="J5" s="53">
        <f t="shared" si="0"/>
        <v>3.2500999999999998</v>
      </c>
      <c r="K5" s="53">
        <f t="shared" si="0"/>
        <v>4.7984</v>
      </c>
      <c r="L5" t="s">
        <v>190</v>
      </c>
    </row>
    <row r="6" spans="1:12" x14ac:dyDescent="0.25">
      <c r="A6" s="54">
        <f>A5/'Conversion Factors'!$B$27</f>
        <v>1.4062728961883159E-3</v>
      </c>
      <c r="B6" s="54">
        <f>B5/'Conversion Factors'!$B$27</f>
        <v>1.8343033990398988E-3</v>
      </c>
      <c r="C6" t="s">
        <v>191</v>
      </c>
      <c r="E6" s="55">
        <f>E5/'Conversion Factors'!$B$27</f>
        <v>1.1952616246695622E-3</v>
      </c>
      <c r="F6" s="55">
        <f>F5/'Conversion Factors'!$B$27</f>
        <v>2.23906404778233E-3</v>
      </c>
      <c r="G6" s="55">
        <f>G5/'Conversion Factors'!$B$27</f>
        <v>5.3649615783643112E-4</v>
      </c>
      <c r="H6" s="55">
        <f>H5/'Conversion Factors'!$B$27</f>
        <v>1.8343033990398988E-3</v>
      </c>
      <c r="I6" s="55">
        <f>I5/'Conversion Factors'!$B$27</f>
        <v>1.9455532305239528E-3</v>
      </c>
      <c r="J6" s="55">
        <f>J5/'Conversion Factors'!$B$27</f>
        <v>9.5251074105986273E-4</v>
      </c>
      <c r="K6" s="55">
        <f>K5/'Conversion Factors'!$B$27</f>
        <v>1.4062728961883159E-3</v>
      </c>
      <c r="L6" t="s">
        <v>191</v>
      </c>
    </row>
    <row r="7" spans="1:12" x14ac:dyDescent="0.25">
      <c r="A7" s="54">
        <f>A6/'Conversion Factors'!$C$8</f>
        <v>1.2172886189797574E-3</v>
      </c>
      <c r="B7" s="54">
        <f>B6/'Conversion Factors'!$C$8</f>
        <v>1.5877975444590702E-3</v>
      </c>
      <c r="C7" t="s">
        <v>192</v>
      </c>
      <c r="E7" s="55">
        <f>E6/'Conversion Factors'!$C$8</f>
        <v>1.0346344414069359E-3</v>
      </c>
      <c r="F7" s="55">
        <f>F6/'Conversion Factors'!$C$8</f>
        <v>1.9381637731338247E-3</v>
      </c>
      <c r="G7" s="55">
        <f>G6/'Conversion Factors'!$C$8</f>
        <v>4.6439824647889787E-4</v>
      </c>
      <c r="H7" s="55">
        <f>H6/'Conversion Factors'!$C$8</f>
        <v>1.5877975444590702E-3</v>
      </c>
      <c r="I7" s="55">
        <f>I6/'Conversion Factors'!$C$8</f>
        <v>1.6840968858571855E-3</v>
      </c>
      <c r="J7" s="55">
        <f>J6/'Conversion Factors'!$C$8</f>
        <v>8.2450603129086966E-4</v>
      </c>
      <c r="K7" s="55">
        <f>K6/'Conversion Factors'!$C$8</f>
        <v>1.2172886189797574E-3</v>
      </c>
      <c r="L7" t="s">
        <v>192</v>
      </c>
    </row>
    <row r="8" spans="1:12" x14ac:dyDescent="0.25">
      <c r="A8" s="54">
        <f>A7/'Conversion Factors'!$B$19</f>
        <v>1.9221358265904903E-5</v>
      </c>
      <c r="B8" s="54">
        <f>B7/'Conversion Factors'!$B$19</f>
        <v>2.5071807112885997E-5</v>
      </c>
      <c r="C8" t="s">
        <v>193</v>
      </c>
      <c r="E8" s="55">
        <f>E7/'Conversion Factors'!$B$19</f>
        <v>1.6337193137643075E-5</v>
      </c>
      <c r="F8" s="55">
        <f>F7/'Conversion Factors'!$B$19</f>
        <v>3.0604196638778218E-5</v>
      </c>
      <c r="G8" s="55">
        <f>G7/'Conversion Factors'!$B$19</f>
        <v>7.3329898386056825E-6</v>
      </c>
      <c r="H8" s="55">
        <f>H7/'Conversion Factors'!$B$19</f>
        <v>2.5071807112885997E-5</v>
      </c>
      <c r="I8" s="55">
        <f>I7/'Conversion Factors'!$B$19</f>
        <v>2.659240306106404E-5</v>
      </c>
      <c r="J8" s="55">
        <f>J7/'Conversion Factors'!$B$19</f>
        <v>1.3019201504671873E-5</v>
      </c>
      <c r="K8" s="55">
        <f>K7/'Conversion Factors'!$B$19</f>
        <v>1.9221358265904903E-5</v>
      </c>
      <c r="L8" t="s">
        <v>193</v>
      </c>
    </row>
    <row r="10" spans="1:12" x14ac:dyDescent="0.25">
      <c r="E10" s="56" t="s">
        <v>194</v>
      </c>
      <c r="H10" s="47"/>
      <c r="K10" s="47"/>
    </row>
    <row r="11" spans="1:12" x14ac:dyDescent="0.25">
      <c r="E11" s="56" t="s">
        <v>195</v>
      </c>
    </row>
    <row r="12" spans="1:12" ht="30.75" customHeight="1" x14ac:dyDescent="0.25">
      <c r="K12" s="52" t="s">
        <v>188</v>
      </c>
    </row>
    <row r="13" spans="1:12" x14ac:dyDescent="0.25">
      <c r="K13" s="58">
        <f>K8*(1/'Conversion Factors'!B28)</f>
        <v>65.586012488116893</v>
      </c>
      <c r="L13" t="s">
        <v>201</v>
      </c>
    </row>
    <row r="14" spans="1:12" x14ac:dyDescent="0.25">
      <c r="A14" s="36" t="s">
        <v>206</v>
      </c>
      <c r="B14" s="36"/>
      <c r="C14" s="36"/>
      <c r="D14" s="36"/>
    </row>
    <row r="15" spans="1:12" x14ac:dyDescent="0.25">
      <c r="A15" t="s">
        <v>208</v>
      </c>
      <c r="B15">
        <v>2.0699999999999998</v>
      </c>
      <c r="C15" t="s">
        <v>209</v>
      </c>
      <c r="D15">
        <v>2015</v>
      </c>
      <c r="E15" t="s">
        <v>210</v>
      </c>
    </row>
    <row r="16" spans="1:12" x14ac:dyDescent="0.25">
      <c r="A16" t="s">
        <v>208</v>
      </c>
      <c r="B16">
        <f>B15*1000</f>
        <v>2070</v>
      </c>
      <c r="C16" t="s">
        <v>226</v>
      </c>
      <c r="D16">
        <v>2015</v>
      </c>
    </row>
    <row r="17" spans="1:4" x14ac:dyDescent="0.25">
      <c r="A17" t="s">
        <v>225</v>
      </c>
      <c r="B17" s="58">
        <f>(B16/'Conversion Factors'!B20)*'Conversion Factors'!F9</f>
        <v>30.234783665917437</v>
      </c>
      <c r="C17" t="s">
        <v>227</v>
      </c>
      <c r="D17">
        <v>2012</v>
      </c>
    </row>
    <row r="20" spans="1:4" x14ac:dyDescent="0.25">
      <c r="A20" s="36" t="s">
        <v>207</v>
      </c>
      <c r="B20" s="36"/>
      <c r="C20" s="36"/>
    </row>
    <row r="21" spans="1:4" x14ac:dyDescent="0.25">
      <c r="A21" s="1" t="s">
        <v>89</v>
      </c>
    </row>
    <row r="22" spans="1:4" x14ac:dyDescent="0.25">
      <c r="B22" t="s">
        <v>222</v>
      </c>
      <c r="D22" t="s">
        <v>223</v>
      </c>
    </row>
    <row r="23" spans="1:4" x14ac:dyDescent="0.25">
      <c r="A23">
        <v>1</v>
      </c>
      <c r="B23">
        <v>2.5392999999999999</v>
      </c>
      <c r="D23">
        <v>149.22200000000001</v>
      </c>
    </row>
    <row r="24" spans="1:4" x14ac:dyDescent="0.25">
      <c r="A24">
        <v>2</v>
      </c>
      <c r="B24">
        <v>6.1104000000000003</v>
      </c>
      <c r="D24">
        <v>63.651000000000003</v>
      </c>
    </row>
    <row r="25" spans="1:4" x14ac:dyDescent="0.25">
      <c r="A25">
        <v>3</v>
      </c>
      <c r="B25">
        <v>4.2679999999999998</v>
      </c>
      <c r="D25">
        <v>176.55600000000001</v>
      </c>
    </row>
    <row r="26" spans="1:4" ht="30" x14ac:dyDescent="0.25">
      <c r="A26" s="4" t="s">
        <v>224</v>
      </c>
      <c r="B26" s="39">
        <f>(D23/$D$26)*B23+(D24/D26)*B24+(D25/D26)*B25</f>
        <v>3.9067288337540349</v>
      </c>
      <c r="D26">
        <f>SUM(D23:D25)</f>
        <v>389.42900000000003</v>
      </c>
    </row>
    <row r="27" spans="1:4" ht="30" x14ac:dyDescent="0.25">
      <c r="A27" s="4" t="s">
        <v>231</v>
      </c>
      <c r="B27" s="64">
        <f>B26*1000</f>
        <v>3906.7288337540349</v>
      </c>
    </row>
    <row r="28" spans="1:4" ht="30" x14ac:dyDescent="0.25">
      <c r="A28" s="4" t="s">
        <v>232</v>
      </c>
      <c r="B28" s="65">
        <f>(B27/'Conversion Factors'!B23)*'Conversion Factors'!F12</f>
        <v>52.024891563838629</v>
      </c>
    </row>
    <row r="30" spans="1:4" x14ac:dyDescent="0.25">
      <c r="A30" s="1" t="s">
        <v>91</v>
      </c>
    </row>
    <row r="31" spans="1:4" x14ac:dyDescent="0.25">
      <c r="A31" t="s">
        <v>208</v>
      </c>
      <c r="B31">
        <v>5.76</v>
      </c>
      <c r="C31" t="s">
        <v>209</v>
      </c>
      <c r="D31">
        <v>2018</v>
      </c>
    </row>
    <row r="32" spans="1:4" x14ac:dyDescent="0.25">
      <c r="A32" t="s">
        <v>208</v>
      </c>
      <c r="B32">
        <f>B31*1000</f>
        <v>5760</v>
      </c>
      <c r="C32" t="s">
        <v>226</v>
      </c>
      <c r="D32">
        <v>2018</v>
      </c>
    </row>
    <row r="33" spans="1:6" x14ac:dyDescent="0.25">
      <c r="A33" t="s">
        <v>225</v>
      </c>
      <c r="B33" s="65">
        <f>(B32/'Conversion Factors'!B23)*'Conversion Factors'!F12</f>
        <v>76.704421565844754</v>
      </c>
      <c r="C33" t="s">
        <v>227</v>
      </c>
      <c r="D33">
        <v>2012</v>
      </c>
      <c r="F33" t="s">
        <v>233</v>
      </c>
    </row>
    <row r="36" spans="1:6" x14ac:dyDescent="0.25">
      <c r="A36" s="1" t="s">
        <v>228</v>
      </c>
    </row>
    <row r="37" spans="1:6" x14ac:dyDescent="0.25">
      <c r="A37" t="s">
        <v>89</v>
      </c>
      <c r="B37" t="s">
        <v>91</v>
      </c>
      <c r="C37" t="s">
        <v>229</v>
      </c>
    </row>
    <row r="38" spans="1:6" x14ac:dyDescent="0.25">
      <c r="A38" s="64">
        <f>SUM('IRADe-BBIN study'!B4:B10)</f>
        <v>293117</v>
      </c>
      <c r="B38" s="64">
        <f>SUM('IRADe-BBIN study'!D4:D10)</f>
        <v>4514</v>
      </c>
      <c r="C38" s="64">
        <f>SUM(A38:B38)</f>
        <v>297631</v>
      </c>
    </row>
    <row r="39" spans="1:6" x14ac:dyDescent="0.25">
      <c r="A39" s="10">
        <f>A38/$C$38</f>
        <v>0.98483356908386555</v>
      </c>
      <c r="B39" s="10">
        <f>B38/$C$38</f>
        <v>1.5166430916134408E-2</v>
      </c>
    </row>
    <row r="41" spans="1:6" ht="45" x14ac:dyDescent="0.25">
      <c r="A41" s="4" t="s">
        <v>230</v>
      </c>
      <c r="B41" s="58">
        <f>B28*A39+B33*B39</f>
        <v>52.399191950656721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5A6A-4F51-49E2-B816-CC1198AEF2C0}">
  <dimension ref="A1:N78"/>
  <sheetViews>
    <sheetView workbookViewId="0"/>
  </sheetViews>
  <sheetFormatPr defaultRowHeight="15" x14ac:dyDescent="0.25"/>
  <cols>
    <col min="1" max="1" width="26" customWidth="1"/>
    <col min="2" max="2" width="21.28515625" customWidth="1"/>
    <col min="3" max="3" width="22.5703125" customWidth="1"/>
    <col min="5" max="5" width="9.140625" customWidth="1"/>
  </cols>
  <sheetData>
    <row r="1" spans="1:14" x14ac:dyDescent="0.25">
      <c r="A1" s="36" t="s">
        <v>122</v>
      </c>
      <c r="B1" s="41"/>
      <c r="C1" s="41"/>
      <c r="E1" s="36" t="s">
        <v>123</v>
      </c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1" t="s">
        <v>124</v>
      </c>
      <c r="B2" s="37" t="s">
        <v>125</v>
      </c>
      <c r="C2" s="42"/>
      <c r="E2" s="37" t="s">
        <v>126</v>
      </c>
    </row>
    <row r="3" spans="1:14" x14ac:dyDescent="0.25">
      <c r="A3" s="8" t="s">
        <v>88</v>
      </c>
      <c r="B3" s="8" t="s">
        <v>127</v>
      </c>
      <c r="C3" s="8" t="s">
        <v>128</v>
      </c>
      <c r="E3" t="s">
        <v>88</v>
      </c>
      <c r="F3" s="1" t="s">
        <v>129</v>
      </c>
    </row>
    <row r="4" spans="1:14" x14ac:dyDescent="0.25">
      <c r="A4">
        <v>2010</v>
      </c>
      <c r="B4" s="9">
        <v>9.4700000000000006E-2</v>
      </c>
      <c r="C4" s="43">
        <v>0.84470208721577789</v>
      </c>
      <c r="E4" t="s">
        <v>130</v>
      </c>
      <c r="F4">
        <v>1.0529130131709286</v>
      </c>
    </row>
    <row r="5" spans="1:14" x14ac:dyDescent="0.25">
      <c r="A5">
        <v>2011</v>
      </c>
      <c r="B5" s="9">
        <v>6.4899999999999999E-2</v>
      </c>
      <c r="C5" s="43">
        <v>0.8995232526760818</v>
      </c>
      <c r="E5" t="s">
        <v>131</v>
      </c>
      <c r="F5">
        <v>1.0206944993976144</v>
      </c>
    </row>
    <row r="6" spans="1:14" x14ac:dyDescent="0.25">
      <c r="A6">
        <v>2012</v>
      </c>
      <c r="B6" s="9">
        <v>0.11169999999999999</v>
      </c>
      <c r="C6">
        <v>1</v>
      </c>
      <c r="E6" t="s">
        <v>132</v>
      </c>
      <c r="F6">
        <v>1</v>
      </c>
    </row>
    <row r="7" spans="1:14" x14ac:dyDescent="0.25">
      <c r="A7">
        <v>2013</v>
      </c>
      <c r="B7" s="9">
        <v>9.1300000000000006E-2</v>
      </c>
      <c r="C7" s="43">
        <v>1.0912999999999999</v>
      </c>
      <c r="E7" t="s">
        <v>133</v>
      </c>
      <c r="F7">
        <v>0.98556385942470071</v>
      </c>
    </row>
    <row r="8" spans="1:14" x14ac:dyDescent="0.25">
      <c r="A8">
        <v>2014</v>
      </c>
      <c r="B8" s="9">
        <v>5.8599999999999999E-2</v>
      </c>
      <c r="C8" s="43">
        <v>1.1552501799999999</v>
      </c>
      <c r="E8" t="s">
        <v>134</v>
      </c>
      <c r="F8">
        <v>0.96983137334414704</v>
      </c>
    </row>
    <row r="9" spans="1:14" x14ac:dyDescent="0.25">
      <c r="A9">
        <v>2015</v>
      </c>
      <c r="B9" s="9">
        <v>6.3200000000000006E-2</v>
      </c>
      <c r="C9" s="43">
        <v>1.2282619913759998</v>
      </c>
      <c r="E9" t="s">
        <v>135</v>
      </c>
      <c r="F9">
        <v>0.9686815713640794</v>
      </c>
    </row>
    <row r="10" spans="1:14" x14ac:dyDescent="0.25">
      <c r="A10">
        <v>2016</v>
      </c>
      <c r="B10" s="9">
        <v>2.23E-2</v>
      </c>
      <c r="C10" s="43">
        <v>1.2556522337836846</v>
      </c>
      <c r="E10" t="s">
        <v>136</v>
      </c>
      <c r="F10">
        <v>0.95661376543184151</v>
      </c>
    </row>
    <row r="11" spans="1:14" x14ac:dyDescent="0.25">
      <c r="A11">
        <v>2017</v>
      </c>
      <c r="B11" s="44">
        <v>0.04</v>
      </c>
      <c r="C11" s="43">
        <v>1.3058783231350322</v>
      </c>
      <c r="E11" t="s">
        <v>137</v>
      </c>
      <c r="F11">
        <v>0.93665959530026111</v>
      </c>
    </row>
    <row r="12" spans="1:14" x14ac:dyDescent="0.25">
      <c r="A12">
        <v>2018</v>
      </c>
      <c r="B12" s="9">
        <v>5.2400000000000002E-2</v>
      </c>
      <c r="C12" s="43">
        <f t="shared" ref="C12:C13" si="0">C11*(1+B12)</f>
        <v>1.3743063472673078</v>
      </c>
      <c r="E12" t="s">
        <v>138</v>
      </c>
      <c r="F12">
        <v>0.9143273584567535</v>
      </c>
    </row>
    <row r="13" spans="1:14" x14ac:dyDescent="0.25">
      <c r="A13">
        <v>2019</v>
      </c>
      <c r="B13" s="9">
        <v>7.6600000000000001E-2</v>
      </c>
      <c r="C13" s="43">
        <f t="shared" si="0"/>
        <v>1.4795782134679836</v>
      </c>
    </row>
    <row r="14" spans="1:14" x14ac:dyDescent="0.25">
      <c r="A14" s="1" t="s">
        <v>139</v>
      </c>
      <c r="B14" s="37" t="s">
        <v>125</v>
      </c>
    </row>
    <row r="15" spans="1:14" x14ac:dyDescent="0.25">
      <c r="A15">
        <v>2010</v>
      </c>
      <c r="B15">
        <v>44.81</v>
      </c>
    </row>
    <row r="16" spans="1:14" x14ac:dyDescent="0.25">
      <c r="A16">
        <v>2011</v>
      </c>
      <c r="B16">
        <v>53.26</v>
      </c>
    </row>
    <row r="17" spans="1:3" x14ac:dyDescent="0.25">
      <c r="A17">
        <v>2012</v>
      </c>
      <c r="B17">
        <v>54.77</v>
      </c>
    </row>
    <row r="18" spans="1:3" x14ac:dyDescent="0.25">
      <c r="A18">
        <v>2013</v>
      </c>
      <c r="B18">
        <v>61.89</v>
      </c>
    </row>
    <row r="19" spans="1:3" x14ac:dyDescent="0.25">
      <c r="A19">
        <v>2014</v>
      </c>
      <c r="B19">
        <v>63.33</v>
      </c>
    </row>
    <row r="20" spans="1:3" x14ac:dyDescent="0.25">
      <c r="A20">
        <v>2015</v>
      </c>
      <c r="B20">
        <v>66.319999999999993</v>
      </c>
    </row>
    <row r="21" spans="1:3" x14ac:dyDescent="0.25">
      <c r="A21">
        <v>2016</v>
      </c>
      <c r="B21">
        <v>67.95</v>
      </c>
    </row>
    <row r="22" spans="1:3" x14ac:dyDescent="0.25">
      <c r="A22">
        <v>2017</v>
      </c>
      <c r="B22">
        <v>63.92</v>
      </c>
    </row>
    <row r="23" spans="1:3" x14ac:dyDescent="0.25">
      <c r="A23">
        <v>2018</v>
      </c>
      <c r="B23">
        <v>68.66</v>
      </c>
    </row>
    <row r="24" spans="1:3" x14ac:dyDescent="0.25">
      <c r="A24" s="36" t="s">
        <v>140</v>
      </c>
      <c r="B24" s="41"/>
      <c r="C24" s="41"/>
    </row>
    <row r="25" spans="1:3" x14ac:dyDescent="0.25">
      <c r="A25" t="s">
        <v>141</v>
      </c>
      <c r="B25">
        <v>158.9873</v>
      </c>
    </row>
    <row r="26" spans="1:3" x14ac:dyDescent="0.25">
      <c r="A26" t="s">
        <v>142</v>
      </c>
      <c r="B26">
        <v>3.9656699999999998</v>
      </c>
    </row>
    <row r="27" spans="1:3" ht="30" x14ac:dyDescent="0.25">
      <c r="A27" s="45" t="s">
        <v>143</v>
      </c>
      <c r="B27">
        <v>3412.14</v>
      </c>
    </row>
    <row r="28" spans="1:3" x14ac:dyDescent="0.25">
      <c r="A28" s="45" t="s">
        <v>202</v>
      </c>
      <c r="B28" s="47">
        <v>2.9307099999999999E-7</v>
      </c>
    </row>
    <row r="30" spans="1:3" x14ac:dyDescent="0.25">
      <c r="A30" s="36" t="s">
        <v>144</v>
      </c>
      <c r="B30" s="41"/>
      <c r="C30" s="41"/>
    </row>
    <row r="31" spans="1:3" x14ac:dyDescent="0.25">
      <c r="A31" t="s">
        <v>145</v>
      </c>
      <c r="B31">
        <f>AVERAGE(2500,3850)</f>
        <v>3175</v>
      </c>
      <c r="C31" t="s">
        <v>146</v>
      </c>
    </row>
    <row r="32" spans="1:3" x14ac:dyDescent="0.25">
      <c r="A32" t="s">
        <v>147</v>
      </c>
      <c r="B32">
        <f>AVERAGE(3140,3290)</f>
        <v>3215</v>
      </c>
      <c r="C32" t="s">
        <v>146</v>
      </c>
    </row>
    <row r="33" spans="1:3" x14ac:dyDescent="0.25">
      <c r="A33" t="s">
        <v>148</v>
      </c>
      <c r="B33">
        <f>AVERAGE(B31:B32)</f>
        <v>3195</v>
      </c>
      <c r="C33" t="s">
        <v>146</v>
      </c>
    </row>
    <row r="34" spans="1:3" x14ac:dyDescent="0.25">
      <c r="B34" s="43">
        <v>3.9656699999999998</v>
      </c>
      <c r="C34" t="s">
        <v>142</v>
      </c>
    </row>
    <row r="35" spans="1:3" x14ac:dyDescent="0.25">
      <c r="B35" s="46">
        <f>B33*B34</f>
        <v>12670.315649999999</v>
      </c>
      <c r="C35" t="s">
        <v>149</v>
      </c>
    </row>
    <row r="36" spans="1:3" x14ac:dyDescent="0.25">
      <c r="B36" s="47">
        <f>B35*1000</f>
        <v>12670315.649999999</v>
      </c>
      <c r="C36" t="s">
        <v>150</v>
      </c>
    </row>
    <row r="38" spans="1:3" x14ac:dyDescent="0.25">
      <c r="A38" s="36" t="s">
        <v>151</v>
      </c>
      <c r="B38" s="41"/>
      <c r="C38" s="41"/>
    </row>
    <row r="39" spans="1:3" x14ac:dyDescent="0.25">
      <c r="B39">
        <v>5670000</v>
      </c>
      <c r="C39" t="s">
        <v>152</v>
      </c>
    </row>
    <row r="40" spans="1:3" x14ac:dyDescent="0.25">
      <c r="B40" s="46">
        <f>B39/B25</f>
        <v>35663.225930624649</v>
      </c>
      <c r="C40" t="s">
        <v>153</v>
      </c>
    </row>
    <row r="42" spans="1:3" x14ac:dyDescent="0.25">
      <c r="A42" s="36" t="s">
        <v>154</v>
      </c>
      <c r="B42" s="41"/>
      <c r="C42" s="41"/>
    </row>
    <row r="43" spans="1:3" x14ac:dyDescent="0.25">
      <c r="B43">
        <v>10700</v>
      </c>
      <c r="C43" t="s">
        <v>146</v>
      </c>
    </row>
    <row r="44" spans="1:3" x14ac:dyDescent="0.25">
      <c r="B44">
        <v>8.5299999999999994</v>
      </c>
      <c r="C44" t="s">
        <v>155</v>
      </c>
    </row>
    <row r="45" spans="1:3" x14ac:dyDescent="0.25">
      <c r="B45" s="47">
        <f>B43*1000/B44</f>
        <v>1254396.248534584</v>
      </c>
      <c r="C45" t="s">
        <v>156</v>
      </c>
    </row>
    <row r="46" spans="1:3" x14ac:dyDescent="0.25">
      <c r="B46" s="47">
        <f>B45*B26</f>
        <v>4974521.5709261429</v>
      </c>
      <c r="C46" t="s">
        <v>152</v>
      </c>
    </row>
    <row r="47" spans="1:3" x14ac:dyDescent="0.25">
      <c r="B47" s="47">
        <f>B46/B25</f>
        <v>31288.798356385338</v>
      </c>
      <c r="C47" t="s">
        <v>153</v>
      </c>
    </row>
    <row r="49" spans="1:3" x14ac:dyDescent="0.25">
      <c r="A49" s="36" t="s">
        <v>157</v>
      </c>
      <c r="B49" s="41"/>
      <c r="C49" s="41"/>
    </row>
    <row r="50" spans="1:3" x14ac:dyDescent="0.25">
      <c r="B50">
        <v>5.8170000000000002</v>
      </c>
      <c r="C50" t="s">
        <v>158</v>
      </c>
    </row>
    <row r="51" spans="1:3" x14ac:dyDescent="0.25">
      <c r="B51">
        <f>B50/B25</f>
        <v>3.6587828084381581E-2</v>
      </c>
      <c r="C51" t="s">
        <v>159</v>
      </c>
    </row>
    <row r="52" spans="1:3" x14ac:dyDescent="0.25">
      <c r="B52" s="47">
        <f>B51*10^6</f>
        <v>36587.828084381581</v>
      </c>
      <c r="C52" t="s">
        <v>160</v>
      </c>
    </row>
    <row r="53" spans="1:3" x14ac:dyDescent="0.25">
      <c r="B53" s="47"/>
    </row>
    <row r="54" spans="1:3" x14ac:dyDescent="0.25">
      <c r="A54" s="36" t="s">
        <v>161</v>
      </c>
      <c r="B54" s="48"/>
      <c r="C54" s="41"/>
    </row>
    <row r="55" spans="1:3" x14ac:dyDescent="0.25">
      <c r="B55">
        <v>14.2</v>
      </c>
      <c r="C55" t="s">
        <v>162</v>
      </c>
    </row>
    <row r="56" spans="1:3" x14ac:dyDescent="0.25">
      <c r="B56">
        <v>11300</v>
      </c>
      <c r="C56" t="s">
        <v>146</v>
      </c>
    </row>
    <row r="57" spans="1:3" x14ac:dyDescent="0.25">
      <c r="B57">
        <f>B55*B56</f>
        <v>160460</v>
      </c>
      <c r="C57" t="s">
        <v>163</v>
      </c>
    </row>
    <row r="58" spans="1:3" x14ac:dyDescent="0.25">
      <c r="B58" s="47">
        <f>B57*B26</f>
        <v>636331.40819999995</v>
      </c>
      <c r="C58" t="s">
        <v>164</v>
      </c>
    </row>
    <row r="60" spans="1:3" x14ac:dyDescent="0.25">
      <c r="A60" s="36" t="s">
        <v>165</v>
      </c>
      <c r="B60" s="41"/>
      <c r="C60" s="41"/>
    </row>
    <row r="61" spans="1:3" x14ac:dyDescent="0.25">
      <c r="B61">
        <v>36</v>
      </c>
      <c r="C61" t="s">
        <v>166</v>
      </c>
    </row>
    <row r="62" spans="1:3" x14ac:dyDescent="0.25">
      <c r="B62">
        <f>B61*10^6</f>
        <v>36000000</v>
      </c>
      <c r="C62" t="s">
        <v>167</v>
      </c>
    </row>
    <row r="64" spans="1:3" x14ac:dyDescent="0.25">
      <c r="A64" s="36" t="s">
        <v>168</v>
      </c>
      <c r="B64" s="41"/>
      <c r="C64" s="41"/>
    </row>
    <row r="65" spans="1:4" x14ac:dyDescent="0.25">
      <c r="B65">
        <v>6500</v>
      </c>
      <c r="C65" t="s">
        <v>146</v>
      </c>
    </row>
    <row r="66" spans="1:4" x14ac:dyDescent="0.25">
      <c r="B66">
        <f>B26*B65</f>
        <v>25776.855</v>
      </c>
      <c r="C66" t="s">
        <v>149</v>
      </c>
    </row>
    <row r="67" spans="1:4" x14ac:dyDescent="0.25">
      <c r="B67">
        <f>B66*1000</f>
        <v>25776855</v>
      </c>
      <c r="C67" t="s">
        <v>150</v>
      </c>
    </row>
    <row r="69" spans="1:4" x14ac:dyDescent="0.25">
      <c r="A69" s="36" t="s">
        <v>169</v>
      </c>
      <c r="B69" s="41"/>
      <c r="C69" s="41"/>
    </row>
    <row r="70" spans="1:4" x14ac:dyDescent="0.25">
      <c r="B70">
        <v>5.8</v>
      </c>
      <c r="C70" t="s">
        <v>170</v>
      </c>
    </row>
    <row r="71" spans="1:4" x14ac:dyDescent="0.25">
      <c r="B71">
        <f>B70*10^6</f>
        <v>5800000</v>
      </c>
      <c r="C71" t="s">
        <v>171</v>
      </c>
    </row>
    <row r="73" spans="1:4" x14ac:dyDescent="0.25">
      <c r="A73" s="36" t="s">
        <v>172</v>
      </c>
      <c r="B73" s="41"/>
      <c r="C73" s="41"/>
    </row>
    <row r="74" spans="1:4" x14ac:dyDescent="0.25">
      <c r="A74" t="s">
        <v>173</v>
      </c>
      <c r="B74" s="49">
        <v>76330</v>
      </c>
      <c r="C74" t="s">
        <v>174</v>
      </c>
      <c r="D74" t="s">
        <v>175</v>
      </c>
    </row>
    <row r="75" spans="1:4" x14ac:dyDescent="0.25">
      <c r="A75" t="s">
        <v>176</v>
      </c>
      <c r="B75" s="49">
        <v>84530</v>
      </c>
      <c r="C75" t="s">
        <v>174</v>
      </c>
    </row>
    <row r="76" spans="1:4" x14ac:dyDescent="0.25">
      <c r="A76" t="s">
        <v>177</v>
      </c>
      <c r="B76" s="49">
        <f>AVERAGE(B74:B75)</f>
        <v>80430</v>
      </c>
      <c r="C76" t="s">
        <v>174</v>
      </c>
    </row>
    <row r="77" spans="1:4" x14ac:dyDescent="0.25">
      <c r="B77">
        <v>3.7854100000000002</v>
      </c>
      <c r="C77" t="s">
        <v>178</v>
      </c>
    </row>
    <row r="78" spans="1:4" x14ac:dyDescent="0.25">
      <c r="B78" s="46">
        <f>B76/B77</f>
        <v>21247.36818468805</v>
      </c>
      <c r="C78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17"/>
  <sheetViews>
    <sheetView workbookViewId="0">
      <selection activeCell="B24" sqref="B24"/>
    </sheetView>
  </sheetViews>
  <sheetFormatPr defaultRowHeight="15" x14ac:dyDescent="0.25"/>
  <cols>
    <col min="1" max="1" width="26.140625" style="2" customWidth="1"/>
  </cols>
  <sheetData>
    <row r="1" spans="1:35" ht="30" x14ac:dyDescent="0.25">
      <c r="A1" s="17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5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5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5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5" t="s">
        <v>8</v>
      </c>
      <c r="B5">
        <f>'IRADe-BBIN study'!D15</f>
        <v>9913400</v>
      </c>
      <c r="C5">
        <f>'IRADe-BBIN study'!E15</f>
        <v>12369600</v>
      </c>
      <c r="D5">
        <f>'IRADe-BBIN study'!F15</f>
        <v>14825800</v>
      </c>
      <c r="E5">
        <f>'IRADe-BBIN study'!G15</f>
        <v>17282000</v>
      </c>
      <c r="F5">
        <f>'IRADe-BBIN study'!H15</f>
        <v>31191600</v>
      </c>
      <c r="G5">
        <f>'IRADe-BBIN study'!I15</f>
        <v>45101200</v>
      </c>
      <c r="H5">
        <f>'IRADe-BBIN study'!J15</f>
        <v>59010800</v>
      </c>
      <c r="I5">
        <f>'IRADe-BBIN study'!K15</f>
        <v>72920400</v>
      </c>
      <c r="J5">
        <f>'IRADe-BBIN study'!L15</f>
        <v>86830000</v>
      </c>
      <c r="K5">
        <f>'IRADe-BBIN study'!M15</f>
        <v>103390000</v>
      </c>
      <c r="L5">
        <f>'IRADe-BBIN study'!N15</f>
        <v>119950000</v>
      </c>
      <c r="M5">
        <f>'IRADe-BBIN study'!O15</f>
        <v>136510000</v>
      </c>
      <c r="N5">
        <f>'IRADe-BBIN study'!P15</f>
        <v>153070000</v>
      </c>
      <c r="O5">
        <f>'IRADe-BBIN study'!Q15</f>
        <v>169630000</v>
      </c>
      <c r="P5">
        <f>'IRADe-BBIN study'!R15</f>
        <v>179189200</v>
      </c>
      <c r="Q5">
        <f>'IRADe-BBIN study'!S15</f>
        <v>188748400</v>
      </c>
      <c r="R5">
        <f>'IRADe-BBIN study'!T15</f>
        <v>198307600</v>
      </c>
      <c r="S5">
        <f>'IRADe-BBIN study'!U15</f>
        <v>207866800</v>
      </c>
      <c r="T5">
        <f>'IRADe-BBIN study'!V15</f>
        <v>217426000</v>
      </c>
      <c r="U5">
        <f>'IRADe-BBIN study'!W15</f>
        <v>222827400</v>
      </c>
      <c r="V5">
        <f>'IRADe-BBIN study'!X15</f>
        <v>228228800</v>
      </c>
      <c r="W5">
        <f>'IRADe-BBIN study'!Y15</f>
        <v>233630200</v>
      </c>
      <c r="X5">
        <f>'IRADe-BBIN study'!Z15</f>
        <v>239031600</v>
      </c>
      <c r="Y5">
        <f>'IRADe-BBIN study'!AA15</f>
        <v>244433000</v>
      </c>
      <c r="Z5">
        <f>'IRADe-BBIN study'!AB15</f>
        <v>246359000</v>
      </c>
      <c r="AA5">
        <f>'IRADe-BBIN study'!AC15</f>
        <v>248285000</v>
      </c>
      <c r="AB5">
        <f>'IRADe-BBIN study'!AD15</f>
        <v>250211000</v>
      </c>
      <c r="AC5">
        <f>'IRADe-BBIN study'!AE15</f>
        <v>252137000</v>
      </c>
      <c r="AD5">
        <f>'IRADe-BBIN study'!AF15</f>
        <v>254063000</v>
      </c>
      <c r="AE5">
        <f>'IRADe-BBIN study'!AG15</f>
        <v>254063000</v>
      </c>
      <c r="AF5">
        <f>'IRADe-BBIN study'!AH15</f>
        <v>254063000</v>
      </c>
      <c r="AG5">
        <f>'IRADe-BBIN study'!AI15</f>
        <v>254063000</v>
      </c>
      <c r="AH5">
        <f>'IRADe-BBIN study'!AJ15</f>
        <v>254063000</v>
      </c>
      <c r="AI5">
        <f>'IRADe-BBIN study'!AK15</f>
        <v>254063000</v>
      </c>
    </row>
    <row r="6" spans="1:35" x14ac:dyDescent="0.25">
      <c r="A6" s="15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15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15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5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5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5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5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5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5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2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2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2" t="s">
        <v>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2"/>
  <sheetViews>
    <sheetView workbookViewId="0"/>
  </sheetViews>
  <sheetFormatPr defaultRowHeight="15" x14ac:dyDescent="0.25"/>
  <cols>
    <col min="1" max="1" width="26.140625" customWidth="1"/>
  </cols>
  <sheetData>
    <row r="1" spans="1:35" ht="30" x14ac:dyDescent="0.25">
      <c r="A1" s="1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</v>
      </c>
      <c r="B2">
        <f>'IRADe-BBIN study'!D16</f>
        <v>7123600</v>
      </c>
      <c r="C2">
        <f>'IRADe-BBIN study'!E16</f>
        <v>8231400</v>
      </c>
      <c r="D2">
        <f>'IRADe-BBIN study'!F16</f>
        <v>9339200</v>
      </c>
      <c r="E2">
        <f>'IRADe-BBIN study'!G16</f>
        <v>10447000</v>
      </c>
      <c r="F2">
        <f>'IRADe-BBIN study'!H16</f>
        <v>13616400</v>
      </c>
      <c r="G2">
        <f>'IRADe-BBIN study'!I16</f>
        <v>16785800</v>
      </c>
      <c r="H2">
        <f>'IRADe-BBIN study'!J16</f>
        <v>19955200</v>
      </c>
      <c r="I2">
        <f>'IRADe-BBIN study'!K16</f>
        <v>23124600</v>
      </c>
      <c r="J2">
        <f>'IRADe-BBIN study'!L16</f>
        <v>26294000</v>
      </c>
      <c r="K2">
        <f>'IRADe-BBIN study'!M16</f>
        <v>26614400</v>
      </c>
      <c r="L2">
        <f>'IRADe-BBIN study'!N16</f>
        <v>26934800</v>
      </c>
      <c r="M2">
        <f>'IRADe-BBIN study'!O16</f>
        <v>27255200</v>
      </c>
      <c r="N2">
        <f>'IRADe-BBIN study'!P16</f>
        <v>27575600</v>
      </c>
      <c r="O2">
        <f>'IRADe-BBIN study'!Q16</f>
        <v>27896000</v>
      </c>
      <c r="P2">
        <f>'IRADe-BBIN study'!R16</f>
        <v>32473800</v>
      </c>
      <c r="Q2">
        <f>'IRADe-BBIN study'!S16</f>
        <v>37051600</v>
      </c>
      <c r="R2">
        <f>'IRADe-BBIN study'!T16</f>
        <v>41629400</v>
      </c>
      <c r="S2">
        <f>'IRADe-BBIN study'!U16</f>
        <v>46207200</v>
      </c>
      <c r="T2">
        <f>'IRADe-BBIN study'!V16</f>
        <v>50785000</v>
      </c>
      <c r="U2">
        <f>'IRADe-BBIN study'!W16</f>
        <v>55233000</v>
      </c>
      <c r="V2">
        <f>'IRADe-BBIN study'!X16</f>
        <v>59681000</v>
      </c>
      <c r="W2">
        <f>'IRADe-BBIN study'!Y16</f>
        <v>64129000</v>
      </c>
      <c r="X2">
        <f>'IRADe-BBIN study'!Z16</f>
        <v>68577000</v>
      </c>
      <c r="Y2">
        <f>'IRADe-BBIN study'!AA16</f>
        <v>73025000</v>
      </c>
      <c r="Z2">
        <f>'IRADe-BBIN study'!AB16</f>
        <v>79306800</v>
      </c>
      <c r="AA2">
        <f>'IRADe-BBIN study'!AC16</f>
        <v>85588600</v>
      </c>
      <c r="AB2">
        <f>'IRADe-BBIN study'!AD16</f>
        <v>91870400</v>
      </c>
      <c r="AC2">
        <f>'IRADe-BBIN study'!AE16</f>
        <v>98152200</v>
      </c>
      <c r="AD2">
        <f>'IRADe-BBIN study'!AF16</f>
        <v>104434000</v>
      </c>
      <c r="AE2">
        <f>'IRADe-BBIN study'!AG16</f>
        <v>110715800</v>
      </c>
      <c r="AF2">
        <f>'IRADe-BBIN study'!AH16</f>
        <v>116997600</v>
      </c>
      <c r="AG2">
        <f>'IRADe-BBIN study'!AI16</f>
        <v>123279400</v>
      </c>
      <c r="AH2">
        <f>'IRADe-BBIN study'!AJ16</f>
        <v>129561200</v>
      </c>
      <c r="AI2">
        <f>'IRADe-BBIN study'!AK16</f>
        <v>135843000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5117-1B81-418D-8598-CCD62FE72CCE}">
  <sheetPr>
    <tabColor theme="3"/>
  </sheetPr>
  <dimension ref="A1:AK3"/>
  <sheetViews>
    <sheetView workbookViewId="0">
      <selection activeCell="E15" sqref="E15"/>
    </sheetView>
  </sheetViews>
  <sheetFormatPr defaultRowHeight="15" x14ac:dyDescent="0.25"/>
  <cols>
    <col min="1" max="1" width="26.28515625" customWidth="1"/>
    <col min="2" max="3" width="11.28515625" customWidth="1"/>
    <col min="4" max="4" width="11.140625" customWidth="1"/>
  </cols>
  <sheetData>
    <row r="1" spans="1:37" x14ac:dyDescent="0.25">
      <c r="A1" s="18" t="s">
        <v>119</v>
      </c>
      <c r="B1" s="18">
        <v>2017</v>
      </c>
      <c r="C1" s="18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7" x14ac:dyDescent="0.25">
      <c r="A2" t="s">
        <v>120</v>
      </c>
      <c r="B2" s="59">
        <f>Electricity!$B$17</f>
        <v>30.234783665917437</v>
      </c>
      <c r="C2" s="59">
        <f>Electricity!$B$17</f>
        <v>30.234783665917437</v>
      </c>
      <c r="D2" s="59">
        <f>Electricity!$B$17</f>
        <v>30.234783665917437</v>
      </c>
      <c r="E2" s="59">
        <f>Electricity!$B$17</f>
        <v>30.234783665917437</v>
      </c>
      <c r="F2" s="59">
        <f>Electricity!$B$17</f>
        <v>30.234783665917437</v>
      </c>
      <c r="G2" s="59">
        <f>Electricity!$B$17</f>
        <v>30.234783665917437</v>
      </c>
      <c r="H2" s="59">
        <f>Electricity!$B$17</f>
        <v>30.234783665917437</v>
      </c>
      <c r="I2" s="59">
        <f>Electricity!$B$17</f>
        <v>30.234783665917437</v>
      </c>
      <c r="J2" s="59">
        <f>Electricity!$B$17</f>
        <v>30.234783665917437</v>
      </c>
      <c r="K2" s="59">
        <f>Electricity!$B$17</f>
        <v>30.234783665917437</v>
      </c>
      <c r="L2" s="59">
        <f>Electricity!$B$17</f>
        <v>30.234783665917437</v>
      </c>
      <c r="M2" s="59">
        <f>Electricity!$B$17</f>
        <v>30.234783665917437</v>
      </c>
      <c r="N2" s="59">
        <f>Electricity!$B$17</f>
        <v>30.234783665917437</v>
      </c>
      <c r="O2" s="59">
        <f>Electricity!$B$17</f>
        <v>30.234783665917437</v>
      </c>
      <c r="P2" s="59">
        <f>Electricity!$B$17</f>
        <v>30.234783665917437</v>
      </c>
      <c r="Q2" s="59">
        <f>Electricity!$B$17</f>
        <v>30.234783665917437</v>
      </c>
      <c r="R2" s="59">
        <f>Electricity!$B$17</f>
        <v>30.234783665917437</v>
      </c>
      <c r="S2" s="59">
        <f>Electricity!$B$17</f>
        <v>30.234783665917437</v>
      </c>
      <c r="T2" s="59">
        <f>Electricity!$B$17</f>
        <v>30.234783665917437</v>
      </c>
      <c r="U2" s="59">
        <f>Electricity!$B$17</f>
        <v>30.234783665917437</v>
      </c>
      <c r="V2" s="59">
        <f>Electricity!$B$17</f>
        <v>30.234783665917437</v>
      </c>
      <c r="W2" s="59">
        <f>Electricity!$B$17</f>
        <v>30.234783665917437</v>
      </c>
      <c r="X2" s="59">
        <f>Electricity!$B$17</f>
        <v>30.234783665917437</v>
      </c>
      <c r="Y2" s="59">
        <f>Electricity!$B$17</f>
        <v>30.234783665917437</v>
      </c>
      <c r="Z2" s="59">
        <f>Electricity!$B$17</f>
        <v>30.234783665917437</v>
      </c>
      <c r="AA2" s="59">
        <f>Electricity!$B$17</f>
        <v>30.234783665917437</v>
      </c>
      <c r="AB2" s="59">
        <f>Electricity!$B$17</f>
        <v>30.234783665917437</v>
      </c>
      <c r="AC2" s="59">
        <f>Electricity!$B$17</f>
        <v>30.234783665917437</v>
      </c>
      <c r="AD2" s="59">
        <f>Electricity!$B$17</f>
        <v>30.234783665917437</v>
      </c>
      <c r="AE2" s="59">
        <f>Electricity!$B$17</f>
        <v>30.234783665917437</v>
      </c>
      <c r="AF2" s="59">
        <f>Electricity!$B$17</f>
        <v>30.234783665917437</v>
      </c>
      <c r="AG2" s="59">
        <f>Electricity!$B$17</f>
        <v>30.234783665917437</v>
      </c>
      <c r="AH2" s="59">
        <f>Electricity!$B$17</f>
        <v>30.234783665917437</v>
      </c>
      <c r="AI2" s="59">
        <f>Electricity!$B$17</f>
        <v>30.234783665917437</v>
      </c>
      <c r="AJ2" s="38"/>
      <c r="AK2" s="38"/>
    </row>
    <row r="3" spans="1:37" x14ac:dyDescent="0.25">
      <c r="D3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Data from 1.4.3</vt:lpstr>
      <vt:lpstr>Comparisons</vt:lpstr>
      <vt:lpstr>IRADe-BBIN study</vt:lpstr>
      <vt:lpstr>Electricity</vt:lpstr>
      <vt:lpstr>Conversion Factors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2020-09-04T17:37:27Z</dcterms:modified>
</cp:coreProperties>
</file>