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E1032439-EBEE-4311-A3F0-EB1591853AFE}" xr6:coauthVersionLast="47" xr6:coauthVersionMax="47" xr10:uidLastSave="{00000000-0000-0000-0000-000000000000}"/>
  <bookViews>
    <workbookView xWindow="-120" yWindow="-120" windowWidth="29040" windowHeight="17640" firstSheet="9" activeTab="12"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Start Year Fuel Use Adjustments" sheetId="46" r:id="rId12"/>
    <sheet name="Aggregate Calcs" sheetId="42"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48" r:id="rId20"/>
    <sheet name="BIFUbC-heavy-or-residual-oil" sheetId="49" r:id="rId21"/>
    <sheet name="BIFUbC-LPG-propane-or-butane" sheetId="50" r:id="rId22"/>
    <sheet name="BIFUbC-hydrogen" sheetId="51" r:id="rId23"/>
  </sheets>
  <externalReferences>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2"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42" l="1"/>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1" i="42"/>
  <c r="K11" i="42"/>
  <c r="L11" i="42"/>
  <c r="M11" i="42"/>
  <c r="N11" i="42"/>
  <c r="O11" i="42"/>
  <c r="P11" i="42"/>
  <c r="Q11" i="42"/>
  <c r="R11" i="42"/>
  <c r="S11" i="42"/>
  <c r="T11" i="42"/>
  <c r="U11" i="42"/>
  <c r="V11" i="42"/>
  <c r="W11" i="42"/>
  <c r="X11" i="42"/>
  <c r="Y11" i="42"/>
  <c r="Z11" i="42"/>
  <c r="AA11" i="42"/>
  <c r="AB11" i="42"/>
  <c r="AC11" i="42"/>
  <c r="AD11" i="42"/>
  <c r="AE11" i="42"/>
  <c r="AF11" i="42"/>
  <c r="AG11" i="42"/>
  <c r="AH11" i="42"/>
  <c r="AI11" i="42"/>
  <c r="AJ11" i="42"/>
  <c r="AK11" i="42"/>
  <c r="AL11" i="42"/>
  <c r="AM11" i="42"/>
  <c r="J12" i="42"/>
  <c r="K12" i="42"/>
  <c r="L12" i="42"/>
  <c r="M12" i="42"/>
  <c r="N12" i="42"/>
  <c r="O12" i="42"/>
  <c r="P12" i="42"/>
  <c r="Q12" i="42"/>
  <c r="R12" i="42"/>
  <c r="S12" i="42"/>
  <c r="T12" i="42"/>
  <c r="U12" i="42"/>
  <c r="V12" i="42"/>
  <c r="W12" i="42"/>
  <c r="X12" i="42"/>
  <c r="Y12" i="42"/>
  <c r="Z12" i="42"/>
  <c r="AA12" i="42"/>
  <c r="AB12" i="42"/>
  <c r="AC12" i="42"/>
  <c r="AD12" i="42"/>
  <c r="AE12" i="42"/>
  <c r="AF12" i="42"/>
  <c r="AG12" i="42"/>
  <c r="AH12" i="42"/>
  <c r="AI12" i="42"/>
  <c r="AJ12" i="42"/>
  <c r="AK12" i="42"/>
  <c r="AL12" i="42"/>
  <c r="AM12"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J14" i="42"/>
  <c r="K14" i="42"/>
  <c r="L14" i="42"/>
  <c r="M14" i="42"/>
  <c r="N14" i="42"/>
  <c r="O14" i="42"/>
  <c r="P14" i="42"/>
  <c r="Q14" i="42"/>
  <c r="R14" i="42"/>
  <c r="S14" i="42"/>
  <c r="T14" i="42"/>
  <c r="U14" i="42"/>
  <c r="V14" i="42"/>
  <c r="W14" i="42"/>
  <c r="X14" i="42"/>
  <c r="Y14" i="42"/>
  <c r="Z14" i="42"/>
  <c r="AA14" i="42"/>
  <c r="AB14" i="42"/>
  <c r="AC14" i="42"/>
  <c r="AD14" i="42"/>
  <c r="AE14" i="42"/>
  <c r="AF14" i="42"/>
  <c r="AG14" i="42"/>
  <c r="AH14" i="42"/>
  <c r="AI14" i="42"/>
  <c r="AJ14" i="42"/>
  <c r="AK14" i="42"/>
  <c r="AL14" i="42"/>
  <c r="AM14"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J16" i="42"/>
  <c r="K16" i="42"/>
  <c r="L16" i="42"/>
  <c r="M16" i="42"/>
  <c r="N16" i="42"/>
  <c r="O16" i="42"/>
  <c r="P16" i="42"/>
  <c r="Q16" i="42"/>
  <c r="R16" i="42"/>
  <c r="S16" i="42"/>
  <c r="T16" i="42"/>
  <c r="U16" i="42"/>
  <c r="V16" i="42"/>
  <c r="W16" i="42"/>
  <c r="X16" i="42"/>
  <c r="Y16" i="42"/>
  <c r="Z16" i="42"/>
  <c r="AA16" i="42"/>
  <c r="AB16" i="42"/>
  <c r="AC16" i="42"/>
  <c r="AD16" i="42"/>
  <c r="AE16" i="42"/>
  <c r="AF16" i="42"/>
  <c r="AG16" i="42"/>
  <c r="AH16" i="42"/>
  <c r="AI16" i="42"/>
  <c r="AJ16" i="42"/>
  <c r="AK16" i="42"/>
  <c r="AL16" i="42"/>
  <c r="AM16" i="42"/>
  <c r="J17" i="42"/>
  <c r="K17" i="42"/>
  <c r="L17" i="42"/>
  <c r="M17" i="42"/>
  <c r="N17" i="42"/>
  <c r="O17" i="42"/>
  <c r="P17" i="42"/>
  <c r="Q17" i="42"/>
  <c r="R17" i="42"/>
  <c r="S17" i="42"/>
  <c r="T17" i="42"/>
  <c r="U17" i="42"/>
  <c r="V17" i="42"/>
  <c r="W17" i="42"/>
  <c r="X17" i="42"/>
  <c r="Y17" i="42"/>
  <c r="Z17" i="42"/>
  <c r="AA17" i="42"/>
  <c r="AB17" i="42"/>
  <c r="AC17" i="42"/>
  <c r="AD17" i="42"/>
  <c r="AE17" i="42"/>
  <c r="AF17" i="42"/>
  <c r="AG17" i="42"/>
  <c r="AH17" i="42"/>
  <c r="AI17" i="42"/>
  <c r="AJ17" i="42"/>
  <c r="AK17" i="42"/>
  <c r="AL17" i="42"/>
  <c r="AM17" i="42"/>
  <c r="I11" i="42"/>
  <c r="I12" i="42"/>
  <c r="I13" i="42"/>
  <c r="I14" i="42"/>
  <c r="I15" i="42"/>
  <c r="I16" i="42"/>
  <c r="I17" i="42"/>
  <c r="I10" i="42"/>
  <c r="H10" i="42"/>
  <c r="H17" i="42"/>
  <c r="H12" i="42" s="1"/>
  <c r="H13" i="42"/>
  <c r="B8" i="54"/>
  <c r="I60" i="42"/>
  <c r="J60" i="42"/>
  <c r="K60" i="42"/>
  <c r="L60" i="42"/>
  <c r="M60" i="42"/>
  <c r="N60" i="42"/>
  <c r="O60" i="42"/>
  <c r="P60" i="42"/>
  <c r="Q60" i="42"/>
  <c r="R60" i="42"/>
  <c r="S60" i="42"/>
  <c r="T60" i="42"/>
  <c r="U60" i="42"/>
  <c r="V60" i="42"/>
  <c r="W60" i="42"/>
  <c r="X60" i="42"/>
  <c r="Y60" i="42"/>
  <c r="Z60" i="42"/>
  <c r="AA60" i="42"/>
  <c r="AB60" i="42"/>
  <c r="AC60" i="42"/>
  <c r="AD60" i="42"/>
  <c r="AE60" i="42"/>
  <c r="AF60" i="42"/>
  <c r="AG60" i="42"/>
  <c r="AH60" i="42"/>
  <c r="AI60" i="42"/>
  <c r="AJ60" i="42"/>
  <c r="AK60" i="42"/>
  <c r="AL60" i="42"/>
  <c r="AM60" i="42"/>
  <c r="H60" i="42"/>
  <c r="G60" i="42"/>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H16" i="42"/>
  <c r="H11" i="42"/>
  <c r="H14" i="42"/>
  <c r="M30" i="36"/>
  <c r="M31" i="36"/>
  <c r="M32" i="36"/>
  <c r="M33" i="36"/>
  <c r="M34" i="36"/>
  <c r="M35" i="36"/>
  <c r="M36" i="36"/>
  <c r="M29" i="36"/>
  <c r="H15" i="42"/>
  <c r="B19" i="54"/>
  <c r="B15" i="54"/>
  <c r="B14" i="54"/>
  <c r="B12" i="54"/>
  <c r="B34" i="41"/>
  <c r="B33" i="41"/>
  <c r="B32" i="41"/>
  <c r="B7" i="55"/>
  <c r="B6" i="55"/>
  <c r="B9" i="55" s="1"/>
  <c r="O18" i="36" l="1"/>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C10" i="46" s="1"/>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C8" i="46"/>
  <c r="C4" i="46"/>
  <c r="O34" i="36"/>
  <c r="L29" i="36"/>
  <c r="M25" i="36"/>
  <c r="C12" i="4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C2" i="4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G67" i="42" s="1"/>
  <c r="F199" i="40"/>
  <c r="G71" i="42" s="1"/>
  <c r="E194" i="40"/>
  <c r="G58" i="42" s="1"/>
  <c r="E195" i="40"/>
  <c r="G59" i="42" s="1"/>
  <c r="E199" i="40"/>
  <c r="G63" i="42" s="1"/>
  <c r="B195" i="40"/>
  <c r="G35" i="42" s="1"/>
  <c r="B199" i="40"/>
  <c r="G39" i="42" s="1"/>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C9" i="46"/>
  <c r="O36" i="36" s="1"/>
  <c r="C17" i="4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E197" i="40"/>
  <c r="G61" i="42" s="1"/>
  <c r="B197" i="40"/>
  <c r="G37" i="42" s="1"/>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F194" i="40"/>
  <c r="G66" i="42" s="1"/>
  <c r="B196" i="40"/>
  <c r="G36" i="42" s="1"/>
  <c r="E201" i="40"/>
  <c r="G65" i="42" s="1"/>
  <c r="E198" i="40"/>
  <c r="G62" i="42" s="1"/>
  <c r="B198" i="40"/>
  <c r="G38" i="42" s="1"/>
  <c r="F201" i="40"/>
  <c r="G73" i="42" s="1"/>
  <c r="E200" i="40"/>
  <c r="G64" i="42" s="1"/>
  <c r="B194" i="40"/>
  <c r="G34" i="42" s="1"/>
  <c r="F197" i="40"/>
  <c r="G69" i="42" s="1"/>
  <c r="F198" i="40"/>
  <c r="G70" i="42" s="1"/>
  <c r="F196" i="40"/>
  <c r="G68" i="42" s="1"/>
  <c r="B200" i="40"/>
  <c r="G40" i="42" s="1"/>
  <c r="F200" i="40"/>
  <c r="G72" i="42" s="1"/>
  <c r="B201" i="40"/>
  <c r="G41" i="42" s="1"/>
  <c r="D5" i="48"/>
  <c r="D4" i="48"/>
  <c r="D2" i="48"/>
  <c r="D7" i="48"/>
  <c r="B4" i="44"/>
  <c r="B5" i="44" s="1"/>
  <c r="C33" i="42"/>
  <c r="D33" i="42" s="1"/>
  <c r="E33" i="42" s="1"/>
  <c r="F33" i="42" s="1"/>
  <c r="C31" i="42"/>
  <c r="D31" i="42" s="1"/>
  <c r="C30" i="42"/>
  <c r="D30" i="42" s="1"/>
  <c r="C29" i="42"/>
  <c r="D29" i="42" s="1"/>
  <c r="C28" i="42"/>
  <c r="D28" i="42" s="1"/>
  <c r="C27" i="42"/>
  <c r="D27" i="42" s="1"/>
  <c r="C26" i="42"/>
  <c r="D26" i="42"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C34" i="46"/>
  <c r="C36" i="46"/>
  <c r="C64" i="46"/>
  <c r="C40" i="46"/>
  <c r="F8" i="46"/>
  <c r="F4" i="46"/>
  <c r="F2" i="46"/>
  <c r="C72" i="46"/>
  <c r="C66" i="46"/>
  <c r="C68" i="46"/>
  <c r="G33" i="42"/>
  <c r="E4" i="48"/>
  <c r="E7" i="48"/>
  <c r="E2" i="48"/>
  <c r="E5" i="48"/>
  <c r="B6" i="44"/>
  <c r="F49" i="42"/>
  <c r="F48" i="42"/>
  <c r="F47" i="42"/>
  <c r="F46" i="42"/>
  <c r="F45" i="42"/>
  <c r="F44" i="42"/>
  <c r="F43" i="42"/>
  <c r="F42" i="42"/>
  <c r="E31" i="42"/>
  <c r="E30" i="42"/>
  <c r="E29" i="42"/>
  <c r="F29" i="42" s="1"/>
  <c r="E28" i="42"/>
  <c r="F28" i="42" s="1"/>
  <c r="E27" i="42"/>
  <c r="F27" i="42"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C65" i="46"/>
  <c r="C41" i="46"/>
  <c r="F9" i="46"/>
  <c r="C73" i="46"/>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G28" i="42"/>
  <c r="G29" i="42"/>
  <c r="G27" i="42"/>
  <c r="F26" i="42"/>
  <c r="F30" i="42"/>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H28" i="42"/>
  <c r="B4" i="18" s="1"/>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C32" i="42" s="1"/>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G30" i="42"/>
  <c r="G26" i="42"/>
  <c r="H27" i="42"/>
  <c r="B3" i="18" s="1"/>
  <c r="S169" i="43" l="1"/>
  <c r="H175" i="43"/>
  <c r="H250" i="43" s="1"/>
  <c r="AL239" i="43"/>
  <c r="X156" i="43"/>
  <c r="F156" i="43"/>
  <c r="F223" i="43"/>
  <c r="P233" i="43"/>
  <c r="P165" i="43"/>
  <c r="AK165" i="43"/>
  <c r="AJ165" i="43"/>
  <c r="C21" i="46"/>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C20" i="46"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C19" i="46" s="1"/>
  <c r="B216" i="40"/>
  <c r="B222" i="40"/>
  <c r="B221" i="40"/>
  <c r="B220" i="40"/>
  <c r="B2" i="20"/>
  <c r="I28" i="42"/>
  <c r="C4" i="18" s="1"/>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B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C9" i="18"/>
  <c r="H2" i="48"/>
  <c r="H5" i="48"/>
  <c r="H4" i="48"/>
  <c r="H7" i="48"/>
  <c r="B8" i="20"/>
  <c r="C3" i="20"/>
  <c r="B4" i="20"/>
  <c r="B7" i="20"/>
  <c r="C5" i="20"/>
  <c r="H30" i="42"/>
  <c r="B6" i="18" s="1"/>
  <c r="I27" i="42"/>
  <c r="C3" i="18" s="1"/>
  <c r="H26" i="42"/>
  <c r="B2" i="18" s="1"/>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25" i="46"/>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I31" i="42"/>
  <c r="C7" i="18" s="1"/>
  <c r="D9" i="20"/>
  <c r="J28" i="42"/>
  <c r="D4" i="18" s="1"/>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J29" i="42"/>
  <c r="U238" i="43"/>
  <c r="U171" i="43"/>
  <c r="U246" i="43" s="1"/>
  <c r="N231" i="43"/>
  <c r="N164" i="43"/>
  <c r="AC253" i="43"/>
  <c r="S252" i="43"/>
  <c r="R252" i="43"/>
  <c r="AM252" i="43"/>
  <c r="K33" i="42"/>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J27" i="42"/>
  <c r="D3" i="18" s="1"/>
  <c r="I26" i="42"/>
  <c r="C2" i="18" s="1"/>
  <c r="I30" i="42"/>
  <c r="C6" i="18" s="1"/>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J31" i="42"/>
  <c r="D7" i="18" s="1"/>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K28" i="42"/>
  <c r="E4" i="18" s="1"/>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K29" i="42"/>
  <c r="V9" i="49"/>
  <c r="P6" i="49"/>
  <c r="Z239" i="43"/>
  <c r="Z172" i="43"/>
  <c r="Z247" i="43" s="1"/>
  <c r="K239" i="43"/>
  <c r="K172" i="43"/>
  <c r="K247" i="43" s="1"/>
  <c r="AN172" i="43"/>
  <c r="AN247" i="43" s="1"/>
  <c r="AN239" i="43"/>
  <c r="T2" i="50"/>
  <c r="U239" i="43"/>
  <c r="U172" i="43"/>
  <c r="U247" i="43" s="1"/>
  <c r="AD239" i="43"/>
  <c r="AD172" i="43"/>
  <c r="AD247" i="43" s="1"/>
  <c r="F9" i="49"/>
  <c r="K2" i="50"/>
  <c r="H9" i="49"/>
  <c r="X9" i="49"/>
  <c r="B2" i="50"/>
  <c r="AC6" i="49"/>
  <c r="G9" i="49"/>
  <c r="U8" i="50"/>
  <c r="I6" i="50"/>
  <c r="AG2" i="50"/>
  <c r="W8" i="50"/>
  <c r="M9" i="49"/>
  <c r="D9" i="49"/>
  <c r="AE9" i="49"/>
  <c r="L8" i="50"/>
  <c r="V6" i="50"/>
  <c r="B4" i="50"/>
  <c r="AC239" i="43"/>
  <c r="AC172" i="43"/>
  <c r="AC247" i="43" s="1"/>
  <c r="AA2" i="50"/>
  <c r="F8" i="50"/>
  <c r="W6" i="49"/>
  <c r="L33" i="42"/>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K27" i="42"/>
  <c r="E3" i="18" s="1"/>
  <c r="J30" i="42"/>
  <c r="D6" i="18" s="1"/>
  <c r="K31" i="42"/>
  <c r="E7" i="18" s="1"/>
  <c r="J26" i="42"/>
  <c r="D2" i="18" s="1"/>
  <c r="L28" i="42" l="1"/>
  <c r="F4" i="18" s="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M33" i="42"/>
  <c r="E5" i="18"/>
  <c r="L29" i="42"/>
  <c r="K5" i="48"/>
  <c r="K4" i="48"/>
  <c r="K2" i="48"/>
  <c r="K7" i="48"/>
  <c r="E8" i="20"/>
  <c r="F5" i="20"/>
  <c r="F3" i="20"/>
  <c r="G9" i="20"/>
  <c r="G6" i="20"/>
  <c r="E4" i="20"/>
  <c r="E7" i="20"/>
  <c r="G2" i="20"/>
  <c r="L31" i="42"/>
  <c r="F7" i="18" s="1"/>
  <c r="L27" i="42"/>
  <c r="F3" i="18" s="1"/>
  <c r="K30" i="42"/>
  <c r="E6" i="18" s="1"/>
  <c r="M28" i="42"/>
  <c r="G4" i="18" s="1"/>
  <c r="K26" i="42"/>
  <c r="E2" i="18" s="1"/>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M29" i="42"/>
  <c r="N33" i="42"/>
  <c r="G9" i="18"/>
  <c r="L4" i="48"/>
  <c r="L7" i="48"/>
  <c r="L2" i="48"/>
  <c r="L5" i="48"/>
  <c r="F8" i="20"/>
  <c r="H9" i="20"/>
  <c r="G3" i="20"/>
  <c r="H6" i="20"/>
  <c r="H2" i="20"/>
  <c r="F7" i="20"/>
  <c r="F4" i="20"/>
  <c r="G5" i="20"/>
  <c r="L30" i="42"/>
  <c r="F6" i="18" s="1"/>
  <c r="M27" i="42"/>
  <c r="G3" i="18" s="1"/>
  <c r="L26" i="42"/>
  <c r="F2" i="18" s="1"/>
  <c r="N28" i="42"/>
  <c r="H4" i="18" s="1"/>
  <c r="M31" i="42"/>
  <c r="G7" i="18" s="1"/>
  <c r="E4" i="49" l="1"/>
  <c r="J3" i="49"/>
  <c r="E2" i="49"/>
  <c r="F5" i="49"/>
  <c r="H6" i="48"/>
  <c r="H9" i="48"/>
  <c r="H8" i="48"/>
  <c r="K7" i="49"/>
  <c r="O33" i="42"/>
  <c r="H9" i="18"/>
  <c r="G5" i="18"/>
  <c r="N29" i="42"/>
  <c r="M2" i="48"/>
  <c r="M7" i="48"/>
  <c r="M5" i="48"/>
  <c r="M4" i="48"/>
  <c r="G8" i="20"/>
  <c r="H3" i="20"/>
  <c r="G4" i="20"/>
  <c r="I6" i="20"/>
  <c r="G7" i="20"/>
  <c r="I2" i="20"/>
  <c r="H5" i="20"/>
  <c r="I9" i="20"/>
  <c r="O28" i="42"/>
  <c r="I4" i="18" s="1"/>
  <c r="N27" i="42"/>
  <c r="H3" i="18" s="1"/>
  <c r="M26" i="42"/>
  <c r="G2" i="18" s="1"/>
  <c r="N31" i="42"/>
  <c r="H7" i="18" s="1"/>
  <c r="M30" i="42"/>
  <c r="G6" i="18" s="1"/>
  <c r="F4" i="49" l="1"/>
  <c r="K3" i="49"/>
  <c r="F2" i="49"/>
  <c r="B2" i="17"/>
  <c r="G5" i="49"/>
  <c r="I8" i="48"/>
  <c r="I9" i="48"/>
  <c r="I6" i="48"/>
  <c r="L7" i="49"/>
  <c r="H5" i="18"/>
  <c r="O29" i="42"/>
  <c r="P33" i="42"/>
  <c r="I9" i="18"/>
  <c r="N5" i="48"/>
  <c r="N4" i="48"/>
  <c r="N7" i="48"/>
  <c r="N2" i="48"/>
  <c r="H8" i="20"/>
  <c r="I5" i="20"/>
  <c r="J2" i="20"/>
  <c r="H4" i="20"/>
  <c r="J6" i="20"/>
  <c r="J9" i="20"/>
  <c r="I3" i="20"/>
  <c r="H7" i="20"/>
  <c r="P28" i="42"/>
  <c r="J4" i="18" s="1"/>
  <c r="O31" i="42"/>
  <c r="I7" i="18" s="1"/>
  <c r="N26" i="42"/>
  <c r="H2" i="18" s="1"/>
  <c r="N30" i="42"/>
  <c r="H6" i="18" s="1"/>
  <c r="O27" i="42"/>
  <c r="I3" i="18" s="1"/>
  <c r="G4" i="49" l="1"/>
  <c r="L3" i="49"/>
  <c r="G2" i="49"/>
  <c r="C2" i="17"/>
  <c r="H5" i="49"/>
  <c r="J9" i="48"/>
  <c r="J6" i="48"/>
  <c r="J8" i="48"/>
  <c r="M7" i="49"/>
  <c r="I5" i="18"/>
  <c r="P29" i="42"/>
  <c r="Q33" i="42"/>
  <c r="J9" i="18"/>
  <c r="O4" i="48"/>
  <c r="O7" i="48"/>
  <c r="O2" i="48"/>
  <c r="O5" i="48"/>
  <c r="I8" i="20"/>
  <c r="K2" i="20"/>
  <c r="K6" i="20"/>
  <c r="J3" i="20"/>
  <c r="K9" i="20"/>
  <c r="I4" i="20"/>
  <c r="I7" i="20"/>
  <c r="J5" i="20"/>
  <c r="P27" i="42"/>
  <c r="J3" i="18" s="1"/>
  <c r="O30" i="42"/>
  <c r="I6" i="18" s="1"/>
  <c r="O26" i="42"/>
  <c r="I2" i="18" s="1"/>
  <c r="P31" i="42"/>
  <c r="J7" i="18" s="1"/>
  <c r="Q28" i="42"/>
  <c r="K4" i="18" s="1"/>
  <c r="H4" i="49" l="1"/>
  <c r="M3" i="49"/>
  <c r="H2" i="49"/>
  <c r="D2" i="17"/>
  <c r="I5" i="49"/>
  <c r="K8" i="48"/>
  <c r="K6" i="48"/>
  <c r="K9" i="48"/>
  <c r="N7" i="49"/>
  <c r="J5" i="18"/>
  <c r="Q29" i="42"/>
  <c r="R33" i="42"/>
  <c r="K9" i="18"/>
  <c r="P5" i="48"/>
  <c r="P7" i="48"/>
  <c r="P2" i="48"/>
  <c r="P4" i="48"/>
  <c r="J8" i="20"/>
  <c r="L9" i="20"/>
  <c r="J4" i="20"/>
  <c r="L6" i="20"/>
  <c r="J7" i="20"/>
  <c r="K3" i="20"/>
  <c r="K5" i="20"/>
  <c r="L2" i="20"/>
  <c r="R28" i="42"/>
  <c r="L4" i="18" s="1"/>
  <c r="P26" i="42"/>
  <c r="J2" i="18" s="1"/>
  <c r="P30" i="42"/>
  <c r="J6" i="18" s="1"/>
  <c r="Q31" i="42"/>
  <c r="K7" i="18" s="1"/>
  <c r="Q27" i="42"/>
  <c r="K3" i="18" s="1"/>
  <c r="I4" i="49" l="1"/>
  <c r="N3" i="49"/>
  <c r="I2" i="49"/>
  <c r="E2" i="17"/>
  <c r="J5" i="49"/>
  <c r="L6" i="48"/>
  <c r="L9" i="48"/>
  <c r="L8" i="48"/>
  <c r="O7" i="49"/>
  <c r="S33" i="42"/>
  <c r="L9" i="18"/>
  <c r="K5" i="18"/>
  <c r="R29" i="42"/>
  <c r="Q2" i="48"/>
  <c r="Q5" i="48"/>
  <c r="Q4" i="48"/>
  <c r="Q7" i="48"/>
  <c r="K8" i="20"/>
  <c r="M6" i="20"/>
  <c r="L3" i="20"/>
  <c r="K7" i="20"/>
  <c r="K4" i="20"/>
  <c r="M9" i="20"/>
  <c r="L5" i="20"/>
  <c r="M2" i="20"/>
  <c r="Q30" i="42"/>
  <c r="K6" i="18" s="1"/>
  <c r="Q26" i="42"/>
  <c r="K2" i="18" s="1"/>
  <c r="R27" i="42"/>
  <c r="L3" i="18" s="1"/>
  <c r="S28" i="42"/>
  <c r="M4" i="18" s="1"/>
  <c r="R31" i="42"/>
  <c r="L7" i="18" s="1"/>
  <c r="O3" i="49" l="1"/>
  <c r="J4" i="49"/>
  <c r="J2" i="49"/>
  <c r="F2" i="17"/>
  <c r="K5" i="49"/>
  <c r="M9" i="48"/>
  <c r="M8" i="48"/>
  <c r="M6" i="48"/>
  <c r="P7" i="49"/>
  <c r="L5" i="18"/>
  <c r="S29" i="42"/>
  <c r="T33" i="42"/>
  <c r="M9" i="18"/>
  <c r="R5" i="48"/>
  <c r="R2" i="48"/>
  <c r="R7" i="48"/>
  <c r="R4" i="48"/>
  <c r="L8" i="20"/>
  <c r="L7" i="20"/>
  <c r="M5" i="20"/>
  <c r="M3" i="20"/>
  <c r="N2" i="20"/>
  <c r="N9" i="20"/>
  <c r="L4" i="20"/>
  <c r="N6" i="20"/>
  <c r="S27" i="42"/>
  <c r="M3" i="18" s="1"/>
  <c r="R26" i="42"/>
  <c r="L2" i="18" s="1"/>
  <c r="S31" i="42"/>
  <c r="M7" i="18" s="1"/>
  <c r="R30" i="42"/>
  <c r="L6" i="18" s="1"/>
  <c r="T28" i="42"/>
  <c r="N4" i="18" s="1"/>
  <c r="K4" i="49" l="1"/>
  <c r="P3" i="49"/>
  <c r="K2" i="49"/>
  <c r="G2" i="17"/>
  <c r="L5" i="49"/>
  <c r="N8" i="48"/>
  <c r="N6" i="48"/>
  <c r="N9" i="48"/>
  <c r="Q7" i="49"/>
  <c r="M5" i="18"/>
  <c r="T29" i="42"/>
  <c r="U33" i="42"/>
  <c r="N9" i="18"/>
  <c r="S2" i="48"/>
  <c r="S4" i="48"/>
  <c r="S5" i="48"/>
  <c r="S7" i="48"/>
  <c r="M8" i="20"/>
  <c r="O2" i="20"/>
  <c r="N5" i="20"/>
  <c r="M4" i="20"/>
  <c r="N3" i="20"/>
  <c r="M7" i="20"/>
  <c r="O6" i="20"/>
  <c r="O9" i="20"/>
  <c r="S30" i="42"/>
  <c r="M6" i="18" s="1"/>
  <c r="T31" i="42"/>
  <c r="N7" i="18" s="1"/>
  <c r="T27" i="42"/>
  <c r="N3" i="18" s="1"/>
  <c r="S26" i="42"/>
  <c r="M2" i="18" s="1"/>
  <c r="U28" i="42"/>
  <c r="O4" i="18" s="1"/>
  <c r="Q3" i="49" l="1"/>
  <c r="L4" i="49"/>
  <c r="L2" i="49"/>
  <c r="H2" i="17"/>
  <c r="M5" i="49"/>
  <c r="O6" i="48"/>
  <c r="O8" i="48"/>
  <c r="O9" i="48"/>
  <c r="R7" i="49"/>
  <c r="N5" i="18"/>
  <c r="U29" i="42"/>
  <c r="V33" i="42"/>
  <c r="O9" i="18"/>
  <c r="T5" i="48"/>
  <c r="T4" i="48"/>
  <c r="T2" i="48"/>
  <c r="T7" i="48"/>
  <c r="N8" i="20"/>
  <c r="P6" i="20"/>
  <c r="N7" i="20"/>
  <c r="N4" i="20"/>
  <c r="O3" i="20"/>
  <c r="P9" i="20"/>
  <c r="P2" i="20"/>
  <c r="O5" i="20"/>
  <c r="U27" i="42"/>
  <c r="O3" i="18" s="1"/>
  <c r="U31" i="42"/>
  <c r="O7" i="18" s="1"/>
  <c r="V28" i="42"/>
  <c r="P4" i="18" s="1"/>
  <c r="T26" i="42"/>
  <c r="N2" i="18" s="1"/>
  <c r="T30" i="42"/>
  <c r="N6" i="18" s="1"/>
  <c r="M4" i="49" l="1"/>
  <c r="R3" i="49"/>
  <c r="M2" i="49"/>
  <c r="I2" i="17"/>
  <c r="N5" i="49"/>
  <c r="P8" i="48"/>
  <c r="P9" i="48"/>
  <c r="P6" i="48"/>
  <c r="S7" i="49"/>
  <c r="W33" i="42"/>
  <c r="P9" i="18"/>
  <c r="O5" i="18"/>
  <c r="V29" i="42"/>
  <c r="U4" i="48"/>
  <c r="U7" i="48"/>
  <c r="U2" i="48"/>
  <c r="U5" i="48"/>
  <c r="O8" i="20"/>
  <c r="Q2" i="20"/>
  <c r="O4" i="20"/>
  <c r="Q9" i="20"/>
  <c r="Q6" i="20"/>
  <c r="O7" i="20"/>
  <c r="P3" i="20"/>
  <c r="P5" i="20"/>
  <c r="V31" i="42"/>
  <c r="P7" i="18" s="1"/>
  <c r="W28" i="42"/>
  <c r="Q4" i="18" s="1"/>
  <c r="U30" i="42"/>
  <c r="O6" i="18" s="1"/>
  <c r="U26" i="42"/>
  <c r="O2" i="18" s="1"/>
  <c r="V27" i="42"/>
  <c r="P3" i="18" s="1"/>
  <c r="S3" i="49" l="1"/>
  <c r="N4" i="49"/>
  <c r="N2" i="49"/>
  <c r="J2" i="17"/>
  <c r="O5" i="49"/>
  <c r="Q6" i="48"/>
  <c r="Q8" i="48"/>
  <c r="Q9" i="48"/>
  <c r="T7" i="49"/>
  <c r="P5" i="18"/>
  <c r="W29" i="42"/>
  <c r="X33" i="42"/>
  <c r="Q9" i="18"/>
  <c r="V7" i="48"/>
  <c r="V5" i="48"/>
  <c r="V4" i="48"/>
  <c r="V2" i="48"/>
  <c r="P8" i="20"/>
  <c r="R6" i="20"/>
  <c r="Q5" i="20"/>
  <c r="Q3" i="20"/>
  <c r="P4" i="20"/>
  <c r="R9" i="20"/>
  <c r="P7" i="20"/>
  <c r="R2" i="20"/>
  <c r="V30" i="42"/>
  <c r="P6" i="18" s="1"/>
  <c r="W27" i="42"/>
  <c r="Q3" i="18" s="1"/>
  <c r="X28" i="42"/>
  <c r="R4" i="18" s="1"/>
  <c r="W31" i="42"/>
  <c r="Q7" i="18" s="1"/>
  <c r="V26" i="42"/>
  <c r="P2" i="18" s="1"/>
  <c r="O4" i="49" l="1"/>
  <c r="T3" i="49"/>
  <c r="O2" i="49"/>
  <c r="K2" i="17"/>
  <c r="P5" i="49"/>
  <c r="R8" i="48"/>
  <c r="R6" i="48"/>
  <c r="R9" i="48"/>
  <c r="U7" i="49"/>
  <c r="Q5" i="18"/>
  <c r="X29" i="42"/>
  <c r="Y33" i="42"/>
  <c r="R9" i="18"/>
  <c r="W7" i="48"/>
  <c r="W4" i="48"/>
  <c r="W2" i="48"/>
  <c r="W5" i="48"/>
  <c r="Q8" i="20"/>
  <c r="Q4" i="20"/>
  <c r="Q7" i="20"/>
  <c r="R3" i="20"/>
  <c r="S9" i="20"/>
  <c r="R5" i="20"/>
  <c r="S2" i="20"/>
  <c r="S6" i="20"/>
  <c r="Y28" i="42"/>
  <c r="S4" i="18" s="1"/>
  <c r="X27" i="42"/>
  <c r="R3" i="18" s="1"/>
  <c r="W26" i="42"/>
  <c r="Q2" i="18" s="1"/>
  <c r="W30" i="42"/>
  <c r="Q6" i="18" s="1"/>
  <c r="X31" i="42"/>
  <c r="R7" i="18" s="1"/>
  <c r="U3" i="49" l="1"/>
  <c r="P4" i="49"/>
  <c r="P2" i="49"/>
  <c r="L2" i="17"/>
  <c r="Q5" i="49"/>
  <c r="S6" i="48"/>
  <c r="S8" i="48"/>
  <c r="S9" i="48"/>
  <c r="V7" i="49"/>
  <c r="R5" i="18"/>
  <c r="Y29" i="42"/>
  <c r="Z33" i="42"/>
  <c r="S9" i="18"/>
  <c r="X4" i="48"/>
  <c r="X5" i="48"/>
  <c r="X2" i="48"/>
  <c r="X7" i="48"/>
  <c r="R8" i="20"/>
  <c r="S5" i="20"/>
  <c r="T2" i="20"/>
  <c r="S3" i="20"/>
  <c r="R7" i="20"/>
  <c r="T6" i="20"/>
  <c r="R4" i="20"/>
  <c r="T9" i="20"/>
  <c r="X26" i="42"/>
  <c r="R2" i="18" s="1"/>
  <c r="Y27" i="42"/>
  <c r="S3" i="18" s="1"/>
  <c r="Y31" i="42"/>
  <c r="S7" i="18" s="1"/>
  <c r="Z28" i="42"/>
  <c r="T4" i="18" s="1"/>
  <c r="X30" i="42"/>
  <c r="R6" i="18" s="1"/>
  <c r="Q4" i="49" l="1"/>
  <c r="V3" i="49"/>
  <c r="Q2" i="49"/>
  <c r="M2" i="17"/>
  <c r="R5" i="49"/>
  <c r="T8" i="48"/>
  <c r="T9" i="48"/>
  <c r="T6" i="48"/>
  <c r="W7" i="49"/>
  <c r="AA33" i="42"/>
  <c r="T9" i="18"/>
  <c r="S5" i="18"/>
  <c r="Z29" i="42"/>
  <c r="Y2" i="48"/>
  <c r="Y7" i="48"/>
  <c r="Y5" i="48"/>
  <c r="Y4" i="48"/>
  <c r="S8" i="20"/>
  <c r="U2" i="20"/>
  <c r="S4" i="20"/>
  <c r="T3" i="20"/>
  <c r="S7" i="20"/>
  <c r="U9" i="20"/>
  <c r="T5" i="20"/>
  <c r="U6" i="20"/>
  <c r="Z31" i="42"/>
  <c r="T7" i="18" s="1"/>
  <c r="Y30" i="42"/>
  <c r="S6" i="18" s="1"/>
  <c r="AA28" i="42"/>
  <c r="U4" i="18" s="1"/>
  <c r="Z27" i="42"/>
  <c r="T3" i="18" s="1"/>
  <c r="Y26" i="42"/>
  <c r="S2" i="18" s="1"/>
  <c r="W3" i="49" l="1"/>
  <c r="R4" i="49"/>
  <c r="R2" i="49"/>
  <c r="N2" i="17"/>
  <c r="S5" i="49"/>
  <c r="U6" i="48"/>
  <c r="U8" i="48"/>
  <c r="U9" i="48"/>
  <c r="X7" i="49"/>
  <c r="T5" i="18"/>
  <c r="AA29" i="42"/>
  <c r="AB33" i="42"/>
  <c r="U9" i="18"/>
  <c r="Z7" i="48"/>
  <c r="Z4" i="48"/>
  <c r="Z5" i="48"/>
  <c r="Z2" i="48"/>
  <c r="T8" i="20"/>
  <c r="U5" i="20"/>
  <c r="V9" i="20"/>
  <c r="T4" i="20"/>
  <c r="U3" i="20"/>
  <c r="T7" i="20"/>
  <c r="V6" i="20"/>
  <c r="V2" i="20"/>
  <c r="Z26" i="42"/>
  <c r="T2" i="18" s="1"/>
  <c r="Z30" i="42"/>
  <c r="T6" i="18" s="1"/>
  <c r="AA31" i="42"/>
  <c r="U7" i="18" s="1"/>
  <c r="AB28" i="42"/>
  <c r="V4" i="18" s="1"/>
  <c r="AA27" i="42"/>
  <c r="U3" i="18" s="1"/>
  <c r="S4" i="49" l="1"/>
  <c r="X3" i="49"/>
  <c r="S2" i="49"/>
  <c r="O2" i="17"/>
  <c r="T5" i="49"/>
  <c r="V8" i="48"/>
  <c r="V6" i="48"/>
  <c r="V9" i="48"/>
  <c r="Y7" i="49"/>
  <c r="U5" i="18"/>
  <c r="AB29" i="42"/>
  <c r="AC33" i="42"/>
  <c r="V9" i="18"/>
  <c r="AA4" i="48"/>
  <c r="AA7" i="48"/>
  <c r="AA5" i="48"/>
  <c r="AA2" i="48"/>
  <c r="U8" i="20"/>
  <c r="W6" i="20"/>
  <c r="W9" i="20"/>
  <c r="V5" i="20"/>
  <c r="U4" i="20"/>
  <c r="U7" i="20"/>
  <c r="W2" i="20"/>
  <c r="V3" i="20"/>
  <c r="AB31" i="42"/>
  <c r="V7" i="18" s="1"/>
  <c r="AB27" i="42"/>
  <c r="V3" i="18" s="1"/>
  <c r="AA30" i="42"/>
  <c r="U6" i="18" s="1"/>
  <c r="AC28" i="42"/>
  <c r="W4" i="18" s="1"/>
  <c r="AA26" i="42"/>
  <c r="U2" i="18" s="1"/>
  <c r="Y3" i="49" l="1"/>
  <c r="T4" i="49"/>
  <c r="T2" i="49"/>
  <c r="P2" i="17"/>
  <c r="U5" i="49"/>
  <c r="W6" i="48"/>
  <c r="W8" i="48"/>
  <c r="W9" i="48"/>
  <c r="Z7" i="49"/>
  <c r="V5" i="18"/>
  <c r="AC29" i="42"/>
  <c r="AD33" i="42"/>
  <c r="W9" i="18"/>
  <c r="AB7" i="48"/>
  <c r="AB2" i="48"/>
  <c r="AB5" i="48"/>
  <c r="AB4" i="48"/>
  <c r="V8" i="20"/>
  <c r="X2" i="20"/>
  <c r="V4" i="20"/>
  <c r="W5" i="20"/>
  <c r="X9" i="20"/>
  <c r="V7" i="20"/>
  <c r="X6" i="20"/>
  <c r="W3" i="20"/>
  <c r="AB30" i="42"/>
  <c r="V6" i="18" s="1"/>
  <c r="AC27" i="42"/>
  <c r="W3" i="18" s="1"/>
  <c r="AB26" i="42"/>
  <c r="V2" i="18" s="1"/>
  <c r="AD28" i="42"/>
  <c r="X4" i="18" s="1"/>
  <c r="AC31" i="42"/>
  <c r="W7" i="18" s="1"/>
  <c r="U4" i="49" l="1"/>
  <c r="Z3" i="49"/>
  <c r="U2" i="49"/>
  <c r="Q2" i="17"/>
  <c r="V5" i="49"/>
  <c r="X8" i="48"/>
  <c r="X9" i="48"/>
  <c r="X6" i="48"/>
  <c r="AA7" i="49"/>
  <c r="AE33" i="42"/>
  <c r="X9" i="18"/>
  <c r="W5" i="18"/>
  <c r="AD29" i="42"/>
  <c r="AC4" i="48"/>
  <c r="AC5" i="48"/>
  <c r="AC2" i="48"/>
  <c r="AC7" i="48"/>
  <c r="W8" i="20"/>
  <c r="W4" i="20"/>
  <c r="Y2" i="20"/>
  <c r="X5" i="20"/>
  <c r="Y6" i="20"/>
  <c r="W7" i="20"/>
  <c r="X3" i="20"/>
  <c r="Y9" i="20"/>
  <c r="AC26" i="42"/>
  <c r="W2" i="18" s="1"/>
  <c r="AD27" i="42"/>
  <c r="X3" i="18" s="1"/>
  <c r="AD31" i="42"/>
  <c r="X7" i="18" s="1"/>
  <c r="AC30" i="42"/>
  <c r="W6" i="18" s="1"/>
  <c r="AE28" i="42"/>
  <c r="Y4" i="18" s="1"/>
  <c r="AA3" i="49" l="1"/>
  <c r="V4" i="49"/>
  <c r="V2" i="49"/>
  <c r="R2" i="17"/>
  <c r="W5" i="49"/>
  <c r="Y6" i="48"/>
  <c r="Y8" i="48"/>
  <c r="Y9" i="48"/>
  <c r="AB7" i="49"/>
  <c r="X5" i="18"/>
  <c r="AE29" i="42"/>
  <c r="AF33" i="42"/>
  <c r="Y9" i="18"/>
  <c r="AD5" i="48"/>
  <c r="AD7" i="48"/>
  <c r="AD2" i="48"/>
  <c r="AD4" i="48"/>
  <c r="X8" i="20"/>
  <c r="Z2" i="20"/>
  <c r="Z9" i="20"/>
  <c r="Y5" i="20"/>
  <c r="Y3" i="20"/>
  <c r="X7" i="20"/>
  <c r="X4" i="20"/>
  <c r="Z6" i="20"/>
  <c r="AE31" i="42"/>
  <c r="Y7" i="18" s="1"/>
  <c r="AD30" i="42"/>
  <c r="X6" i="18" s="1"/>
  <c r="AF28" i="42"/>
  <c r="Z4" i="18" s="1"/>
  <c r="AE27" i="42"/>
  <c r="Y3" i="18" s="1"/>
  <c r="AD26" i="42"/>
  <c r="X2" i="18" s="1"/>
  <c r="W4" i="49" l="1"/>
  <c r="AB3" i="49"/>
  <c r="W2" i="49"/>
  <c r="S2" i="17"/>
  <c r="X5" i="49"/>
  <c r="Z8" i="48"/>
  <c r="Z9" i="48"/>
  <c r="Z6" i="48"/>
  <c r="AC7" i="49"/>
  <c r="Y5" i="18"/>
  <c r="AF29" i="42"/>
  <c r="AG33" i="42"/>
  <c r="Z9" i="18"/>
  <c r="AE2" i="48"/>
  <c r="AE4" i="48"/>
  <c r="AE7" i="48"/>
  <c r="AE5" i="48"/>
  <c r="Y8" i="20"/>
  <c r="Y4" i="20"/>
  <c r="Z5" i="20"/>
  <c r="Z3" i="20"/>
  <c r="AA9" i="20"/>
  <c r="Y7" i="20"/>
  <c r="AA2" i="20"/>
  <c r="AA6" i="20"/>
  <c r="AG28" i="42"/>
  <c r="AA4" i="18" s="1"/>
  <c r="AE26" i="42"/>
  <c r="Y2" i="18" s="1"/>
  <c r="AE30" i="42"/>
  <c r="Y6" i="18" s="1"/>
  <c r="AF27" i="42"/>
  <c r="Z3" i="18" s="1"/>
  <c r="AF31" i="42"/>
  <c r="Z7" i="18" s="1"/>
  <c r="AC3" i="49" l="1"/>
  <c r="X4" i="49"/>
  <c r="X2" i="49"/>
  <c r="T2" i="17"/>
  <c r="Y5" i="49"/>
  <c r="AA8" i="48"/>
  <c r="AA6" i="48"/>
  <c r="AA9" i="48"/>
  <c r="AD7" i="49"/>
  <c r="AH33" i="42"/>
  <c r="AA9" i="18"/>
  <c r="Z5" i="18"/>
  <c r="AG29" i="42"/>
  <c r="AG7" i="48"/>
  <c r="AF7" i="48"/>
  <c r="AG5" i="48"/>
  <c r="AF5" i="48"/>
  <c r="AG4" i="48"/>
  <c r="AF4" i="48"/>
  <c r="AG2" i="48"/>
  <c r="AF2" i="48"/>
  <c r="Z8" i="20"/>
  <c r="AB2" i="20"/>
  <c r="AA3" i="20"/>
  <c r="Z7" i="20"/>
  <c r="AB9" i="20"/>
  <c r="Z4" i="20"/>
  <c r="AA5" i="20"/>
  <c r="AB6" i="20"/>
  <c r="AG27" i="42"/>
  <c r="AA3" i="18" s="1"/>
  <c r="AF30" i="42"/>
  <c r="Z6" i="18" s="1"/>
  <c r="AF26" i="42"/>
  <c r="Z2" i="18" s="1"/>
  <c r="AG31" i="42"/>
  <c r="AA7" i="18" s="1"/>
  <c r="AH28" i="42"/>
  <c r="AB4" i="18" s="1"/>
  <c r="Y4" i="49" l="1"/>
  <c r="AD3" i="49"/>
  <c r="Y2" i="49"/>
  <c r="U2" i="17"/>
  <c r="Z5" i="49"/>
  <c r="AB8" i="48"/>
  <c r="AB6" i="48"/>
  <c r="AB9" i="48"/>
  <c r="AE7" i="49"/>
  <c r="AA5" i="18"/>
  <c r="AH29" i="42"/>
  <c r="AI33" i="42"/>
  <c r="AB9" i="18"/>
  <c r="AA8" i="20"/>
  <c r="AA7" i="20"/>
  <c r="AB5" i="20"/>
  <c r="AA4" i="20"/>
  <c r="AB3" i="20"/>
  <c r="AC6" i="20"/>
  <c r="AC9" i="20"/>
  <c r="AC2" i="20"/>
  <c r="AG26" i="42"/>
  <c r="AA2" i="18" s="1"/>
  <c r="AI28" i="42"/>
  <c r="AC4" i="18" s="1"/>
  <c r="AG30" i="42"/>
  <c r="AA6" i="18" s="1"/>
  <c r="AH31" i="42"/>
  <c r="AB7" i="18" s="1"/>
  <c r="AH27" i="42"/>
  <c r="AB3" i="18" s="1"/>
  <c r="AE3" i="49" l="1"/>
  <c r="Z4" i="49"/>
  <c r="Z2" i="49"/>
  <c r="V2" i="17"/>
  <c r="AA5" i="49"/>
  <c r="AC8" i="48"/>
  <c r="AC9" i="48"/>
  <c r="AC6" i="48"/>
  <c r="AG7" i="49"/>
  <c r="AF7" i="49"/>
  <c r="AJ33" i="42"/>
  <c r="AC9" i="18"/>
  <c r="AB5" i="18"/>
  <c r="AI29" i="42"/>
  <c r="AB8" i="20"/>
  <c r="AD9" i="20"/>
  <c r="AD6" i="20"/>
  <c r="AB4" i="20"/>
  <c r="AC5" i="20"/>
  <c r="AB7" i="20"/>
  <c r="AD2" i="20"/>
  <c r="AC3" i="20"/>
  <c r="AH30" i="42"/>
  <c r="AB6" i="18" s="1"/>
  <c r="AJ28" i="42"/>
  <c r="AD4" i="18" s="1"/>
  <c r="AI27" i="42"/>
  <c r="AC3" i="18" s="1"/>
  <c r="AH26" i="42"/>
  <c r="AB2" i="18" s="1"/>
  <c r="AI31" i="42"/>
  <c r="AC7" i="18" s="1"/>
  <c r="AA4" i="49" l="1"/>
  <c r="AG3" i="49"/>
  <c r="AF3" i="49"/>
  <c r="AA2" i="49"/>
  <c r="W2" i="17"/>
  <c r="AB5" i="49"/>
  <c r="AD9" i="48"/>
  <c r="AD8" i="48"/>
  <c r="AD6" i="48"/>
  <c r="AC5" i="18"/>
  <c r="AJ29" i="42"/>
  <c r="AK33" i="42"/>
  <c r="AD9" i="18"/>
  <c r="AC8" i="20"/>
  <c r="AE2" i="20"/>
  <c r="AE6" i="20"/>
  <c r="AC7" i="20"/>
  <c r="AD5" i="20"/>
  <c r="AD3" i="20"/>
  <c r="AC4" i="20"/>
  <c r="AE9" i="20"/>
  <c r="AI26" i="42"/>
  <c r="AC2" i="18" s="1"/>
  <c r="AJ27" i="42"/>
  <c r="AD3" i="18" s="1"/>
  <c r="AK28" i="42"/>
  <c r="AE4" i="18" s="1"/>
  <c r="AJ31" i="42"/>
  <c r="AD7" i="18" s="1"/>
  <c r="AI30" i="42"/>
  <c r="AC6" i="18" s="1"/>
  <c r="AB4" i="49" l="1"/>
  <c r="AB2" i="49"/>
  <c r="X2" i="17"/>
  <c r="AC5" i="49"/>
  <c r="AE9" i="48"/>
  <c r="AE8" i="48"/>
  <c r="AE6" i="48"/>
  <c r="AL33" i="42"/>
  <c r="AE9" i="18"/>
  <c r="AD5" i="18"/>
  <c r="AK29" i="42"/>
  <c r="AD8" i="20"/>
  <c r="AE3" i="20"/>
  <c r="AD7" i="20"/>
  <c r="AD4" i="20"/>
  <c r="AF6" i="20"/>
  <c r="AF9" i="20"/>
  <c r="AF2" i="20"/>
  <c r="AE5" i="20"/>
  <c r="AL28" i="42"/>
  <c r="AF4" i="18" s="1"/>
  <c r="AJ30" i="42"/>
  <c r="AD6" i="18" s="1"/>
  <c r="AK27" i="42"/>
  <c r="AE3" i="18" s="1"/>
  <c r="AK31" i="42"/>
  <c r="AE7" i="18" s="1"/>
  <c r="AJ26" i="42"/>
  <c r="AD2" i="18" s="1"/>
  <c r="AC4" i="49" l="1"/>
  <c r="AC2" i="49"/>
  <c r="Y2" i="17"/>
  <c r="AD5" i="49"/>
  <c r="AG9" i="48"/>
  <c r="AF9" i="48"/>
  <c r="AG6" i="48"/>
  <c r="AF6" i="48"/>
  <c r="AF8" i="48"/>
  <c r="AG8" i="48"/>
  <c r="AE5" i="18"/>
  <c r="AL29" i="42"/>
  <c r="AM33" i="42"/>
  <c r="AG9" i="18" s="1"/>
  <c r="AF9" i="18"/>
  <c r="AE8" i="20"/>
  <c r="AE4" i="20"/>
  <c r="AG9" i="20"/>
  <c r="AG6" i="20"/>
  <c r="AE7" i="20"/>
  <c r="AF3" i="20"/>
  <c r="AG2" i="20"/>
  <c r="AF5" i="20"/>
  <c r="AK26" i="42"/>
  <c r="AE2" i="18" s="1"/>
  <c r="AL31" i="42"/>
  <c r="AF7" i="18" s="1"/>
  <c r="AL27" i="42"/>
  <c r="AF3" i="18" s="1"/>
  <c r="AK30" i="42"/>
  <c r="AE6" i="18" s="1"/>
  <c r="AM28" i="42"/>
  <c r="AG4" i="18" s="1"/>
  <c r="AD4" i="49" l="1"/>
  <c r="AD2" i="49"/>
  <c r="Z2" i="17"/>
  <c r="AE5" i="49"/>
  <c r="AF5" i="18"/>
  <c r="AM29" i="42"/>
  <c r="AG5" i="18" s="1"/>
  <c r="AF8" i="20"/>
  <c r="AF7" i="20"/>
  <c r="AG5" i="20"/>
  <c r="AF4" i="20"/>
  <c r="AG3" i="20"/>
  <c r="AL30" i="42"/>
  <c r="AF6" i="18" s="1"/>
  <c r="AM31" i="42"/>
  <c r="AG7" i="18" s="1"/>
  <c r="AM27" i="42"/>
  <c r="AG3" i="18" s="1"/>
  <c r="AL26" i="42"/>
  <c r="AF2" i="18" s="1"/>
  <c r="AE4" i="49" l="1"/>
  <c r="AE2" i="49"/>
  <c r="AA2" i="17"/>
  <c r="AG5" i="49"/>
  <c r="AF5" i="49"/>
  <c r="AG8" i="20"/>
  <c r="AG4" i="20"/>
  <c r="AG7" i="20"/>
  <c r="AM26" i="42"/>
  <c r="AG2" i="18" s="1"/>
  <c r="AM30" i="42"/>
  <c r="AG6" i="18" s="1"/>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<sst xmlns="http://schemas.openxmlformats.org/spreadsheetml/2006/main" count="2162" uniqueCount="633">
  <si>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</si>
  <si>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</si>
  <si>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</si>
  <si>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</si>
  <si>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</si>
  <si>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</si>
  <si>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</si>
  <si>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</si>
  <si>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</si>
  <si>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</si>
  <si>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</si>
  <si>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</si>
  <si>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</si>
  <si>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</si>
  <si>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</si>
  <si>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</si>
  <si>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</si>
  <si>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</si>
  <si>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</si>
  <si>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</si>
  <si>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</si>
  <si>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</si>
  <si>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</si>
  <si>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</si>
  <si>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</si>
  <si>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</si>
  <si>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</si>
  <si>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</si>
  <si>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</si>
  <si>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</si>
  <si>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</si>
  <si>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</si>
  <si>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</si>
  <si>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</si>
  <si>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</si>
  <si>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</si>
  <si>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</si>
  <si>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</si>
  <si>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</si>
  <si>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</si>
  <si>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</si>
  <si>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</si>
  <si>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</si>
  <si>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</si>
  <si>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</si>
  <si>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</si>
  <si>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</si>
  <si>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</si>
  <si>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</si>
  <si>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</si>
  <si>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</si>
  <si>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</si>
  <si>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</si>
  <si>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</si>
  <si>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</si>
  <si>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</si>
  <si>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</si>
  <si>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</si>
  <si>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</si>
  <si>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</si>
  <si>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</si>
  <si>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</si>
  <si>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</si>
  <si>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</si>
  <si>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</si>
  <si>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</si>
  <si>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</si>
  <si>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</si>
  <si>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</si>
  <si>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</si>
  <si>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</si>
  <si>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</si>
  <si>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</si>
  <si>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</si>
  <si>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</si>
  <si>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</si>
  <si>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</si>
  <si>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</si>
  <si>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</si>
  <si>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</si>
  <si>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</si>
  <si>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</si>
  <si>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</si>
  <si>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</si>
  <si>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</si>
  <si>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</si>
  <si>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</si>
  <si>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</si>
  <si>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</si>
  <si>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</si>
  <si>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</si>
  <si>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</si>
  <si>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</si>
  <si>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</si>
  <si>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</si>
  <si>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</si>
  <si>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</si>
  <si>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</si>
  <si>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</si>
  <si>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</si>
  <si>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</si>
  <si>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</si>
  <si>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</si>
  <si>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</si>
  <si>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</si>
  <si>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</si>
  <si>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</si>
  <si>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</si>
  <si>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</si>
  <si>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</si>
  <si>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</si>
  <si>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</si>
  <si>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</si>
  <si>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</si>
  <si>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</si>
  <si>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</si>
  <si>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</si>
  <si>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</si>
  <si>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</si>
  <si>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</si>
  <si>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</si>
  <si>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</si>
  <si>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</si>
  <si>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</si>
  <si>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</si>
  <si>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</si>
  <si>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</si>
  <si>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</si>
  <si>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</si>
  <si>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</si>
  <si>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</si>
  <si>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</si>
  <si>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</si>
  <si>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</si>
  <si>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</si>
  <si>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</si>
  <si>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</si>
  <si>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</si>
  <si>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</si>
  <si>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</si>
  <si>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</si>
  <si>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</si>
  <si>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</si>
  <si>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</si>
  <si>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</si>
  <si>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</si>
  <si>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</si>
  <si>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</si>
  <si>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</si>
  <si>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</si>
  <si>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</si>
  <si>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</si>
  <si>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</si>
  <si>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</si>
  <si>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</si>
  <si>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</si>
  <si>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</si>
  <si>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</si>
  <si>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</si>
  <si>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</si>
  <si>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</si>
  <si>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</si>
  <si>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</si>
  <si>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</si>
  <si>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</si>
  <si>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</si>
  <si>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</si>
  <si>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</si>
  <si>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</si>
  <si>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</si>
  <si>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</si>
  <si>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</si>
  <si>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</si>
  <si>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</si>
  <si>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</si>
  <si>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</si>
  <si>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</si>
  <si>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</si>
  <si>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</si>
  <si>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</si>
  <si>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</si>
  <si>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</si>
  <si>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</si>
  <si>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</si>
  <si>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</si>
  <si>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</si>
  <si>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</si>
  <si>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</si>
  <si>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</si>
  <si>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</si>
  <si>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</si>
  <si>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</si>
  <si>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</si>
  <si>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</si>
  <si>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</si>
  <si>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</si>
  <si>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</si>
  <si>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</si>
  <si>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</si>
  <si>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</si>
  <si>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</si>
  <si>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</si>
  <si>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</si>
  <si>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</si>
  <si>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</si>
  <si>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</si>
  <si>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</si>
  <si>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</si>
  <si>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</si>
  <si>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</si>
  <si>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</si>
  <si>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</si>
  <si>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</si>
  <si>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</si>
  <si>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</si>
  <si>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</si>
  <si>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</si>
  <si>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</si>
  <si>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</si>
  <si>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</si>
  <si>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</si>
  <si>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</si>
  <si>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</si>
  <si>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</si>
  <si>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</si>
  <si>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</si>
  <si>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</si>
  <si>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</si>
  <si>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</si>
  <si>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</si>
  <si>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</si>
  <si>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</si>
  <si>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</si>
  <si>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</si>
  <si>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</si>
  <si>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</si>
  <si>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</si>
  <si>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</si>
  <si>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</si>
  <si>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</si>
  <si>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</si>
  <si>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</si>
  <si>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</si>
  <si>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</si>
  <si>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</si>
  <si>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</si>
  <si>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</si>
  <si>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</si>
  <si>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</si>
  <si>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</si>
  <si>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</si>
  <si>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</si>
  <si>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</si>
  <si>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</si>
  <si>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</si>
  <si>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</si>
  <si>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</si>
  <si>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</si>
  <si>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</si>
  <si>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</si>
  <si>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</si>
  <si>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</si>
  <si>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</si>
  <si>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</si>
  <si>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</si>
  <si>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</si>
  <si>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</si>
  <si>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</si>
  <si>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</si>
  <si>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</si>
  <si>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</si>
  <si>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</si>
  <si>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</si>
  <si>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</si>
  <si>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</si>
  <si>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</si>
  <si>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</si>
  <si>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</si>
  <si>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</si>
  <si>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</si>
  <si>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</si>
  <si>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</si>
  <si>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</si>
  <si>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</si>
  <si>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</si>
  <si>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</si>
  <si>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</si>
  <si>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</si>
  <si>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</si>
  <si>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</si>
  <si>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</si>
  <si>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</si>
  <si>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</si>
  <si>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</si>
  <si>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</si>
  <si>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</si>
  <si>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</si>
  <si>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</si>
  <si>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</si>
  <si>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</si>
  <si>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</si>
  <si>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</si>
  <si>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</si>
  <si>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</si>
  <si>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</si>
  <si>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</si>
  <si>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</si>
  <si>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</si>
  <si>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</si>
  <si>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</si>
  <si>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</si>
  <si>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</si>
  <si>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</si>
  <si>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</si>
  <si>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</si>
  <si>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</si>
  <si>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</si>
  <si>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</si>
  <si>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</si>
  <si>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</si>
  <si>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</si>
  <si>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</si>
  <si>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</si>
  <si>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</si>
  <si>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</si>
  <si>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</si>
  <si>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</si>
  <si>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</si>
  <si>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</si>
  <si>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</si>
  <si>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</si>
  <si>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</si>
  <si>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</si>
  <si>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</si>
  <si>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</si>
  <si>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</si>
  <si>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</si>
  <si>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</si>
  <si>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</si>
  <si>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</si>
  <si>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</si>
  <si>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</si>
  <si>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</si>
  <si>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</si>
  <si>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</si>
  <si>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</si>
  <si>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</si>
  <si>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</si>
  <si>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</si>
  <si>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</si>
  <si>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</si>
  <si>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</si>
  <si>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</si>
  <si>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</si>
  <si>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</si>
  <si>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</si>
  <si>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</si>
  <si>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</si>
  <si>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</si>
  <si>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</si>
  <si>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</si>
  <si>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</si>
  <si>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</si>
  <si>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</si>
  <si>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</si>
  <si>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</si>
  <si>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</si>
  <si>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</si>
  <si>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</si>
  <si>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</si>
  <si>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</si>
  <si>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</si>
  <si>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</si>
  <si>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</si>
  <si>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</si>
  <si>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</si>
  <si>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</si>
  <si>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</si>
  <si>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</si>
  <si>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</si>
  <si>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</si>
  <si>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</si>
  <si>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</si>
  <si>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</si>
  <si>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</si>
  <si>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</si>
  <si>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</si>
  <si>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</si>
  <si>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</si>
  <si>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</si>
  <si>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</si>
  <si>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</si>
  <si>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</si>
  <si>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</si>
  <si>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</si>
  <si>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</si>
  <si>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</si>
  <si>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</si>
  <si>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</si>
  <si>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</si>
  <si>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</si>
  <si>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</si>
  <si>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</si>
  <si>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</si>
  <si>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</si>
  <si>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</si>
  <si>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</si>
  <si>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</si>
  <si>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</si>
  <si>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</si>
  <si>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</si>
  <si>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</si>
  <si>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</si>
  <si>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</si>
  <si>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</si>
  <si>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</si>
  <si>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</si>
  <si>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</si>
  <si>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</si>
  <si>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</si>
  <si>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</si>
  <si>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</si>
  <si>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</si>
  <si>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</si>
  <si>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</si>
  <si>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</si>
  <si>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</si>
  <si>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</si>
  <si>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</si>
  <si>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</si>
  <si>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</si>
  <si>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</si>
  <si>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</si>
  <si>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</si>
  <si>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</si>
  <si>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</si>
  <si>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</si>
  <si>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</si>
  <si>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</si>
  <si>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</si>
  <si>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</si>
  <si>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</si>
  <si>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</si>
  <si>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</si>
  <si>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</si>
  <si>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</si>
  <si>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</si>
  <si>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</si>
  <si>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</si>
  <si>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</si>
  <si>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</si>
  <si>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</si>
  <si>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</si>
  <si>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</si>
  <si>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</si>
  <si>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</si>
  <si>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</si>
  <si>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</si>
  <si>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</si>
  <si>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</si>
  <si>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</si>
  <si>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</si>
  <si>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</si>
  <si>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</si>
  <si>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</si>
  <si>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</si>
  <si>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</si>
  <si>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</si>
  <si>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</si>
  <si>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</si>
  <si>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</si>
  <si>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</si>
  <si>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</si>
  <si>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</si>
  <si>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</si>
  <si>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</si>
  <si>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</si>
  <si>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</si>
  <si>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</si>
  <si>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</si>
  <si>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</si>
  <si>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</si>
  <si>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</si>
  <si>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</si>
  <si>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</si>
  <si>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</si>
  <si>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</si>
  <si>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</si>
  <si>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</si>
  <si>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</si>
  <si>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</si>
  <si>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</si>
  <si>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</si>
  <si>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</si>
  <si>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</si>
  <si>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</si>
  <si>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</si>
  <si>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</si>
  <si>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</si>
  <si>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</si>
  <si>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</si>
  <si>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</si>
  <si>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</si>
  <si>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</si>
  <si>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</si>
  <si>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</si>
  <si>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</si>
  <si>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</si>
  <si>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</si>
  <si>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</si>
  <si>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</si>
  <si>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</si>
  <si>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</si>
  <si>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</si>
  <si>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</si>
  <si>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</si>
  <si>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</si>
  <si>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</si>
  <si>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</si>
  <si>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</si>
  <si>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</si>
  <si>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</si>
  <si>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</si>
  <si>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</si>
  <si>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</si>
  <si>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</si>
  <si>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</si>
  <si>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</si>
  <si>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</si>
  <si>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</si>
  <si>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</si>
  <si>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</si>
  <si>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</si>
  <si>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</si>
  <si>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</si>
  <si>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</si>
  <si>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</si>
  <si>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</si>
  <si>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</si>
  <si>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</si>
  <si>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</si>
  <si>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</si>
  <si>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</si>
  <si>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</si>
  <si>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</si>
  <si>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</si>
  <si>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</si>
  <si>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</si>
  <si>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</si>
  <si>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</si>
  <si>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</si>
  <si>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</si>
  <si>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</si>
  <si>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</si>
  <si>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</si>
  <si>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</si>
  <si>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</si>
  <si>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</si>
  <si>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</si>
  <si>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</si>
  <si>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</si>
  <si>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</si>
  <si>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</si>
  <si>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</si>
  <si>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</si>
  <si>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</si>
  <si>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</si>
  <si>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</si>
  <si>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</si>
  <si>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</si>
  <si>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</si>
  <si>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</si>
  <si>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</si>
  <si>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</si>
  <si>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</si>
  <si>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</si>
  <si>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</si>
  <si>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</si>
  <si>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</si>
  <si>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</si>
  <si>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</si>
  <si>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</si>
  <si>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</si>
  <si>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</si>
  <si>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</si>
  <si>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</si>
  <si>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Products and Natural Gas Historical Consumption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</si>
  <si>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</si>
  <si>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</si>
  <si>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</si>
  <si>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</si>
  <si>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</si>
  <si>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</si>
  <si>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</si>
  <si>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</si>
  <si>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</si>
  <si>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</si>
  <si>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</si>
  <si>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</si>
  <si>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</si>
  <si>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</si>
  <si>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</si>
  <si>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</si>
  <si>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</si>
  <si>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</si>
  <si>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</si>
  <si>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</si>
  <si>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</si>
  <si>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The Annual Survey of Industries is missing data for some industries (for example, it is about 200 times too low on agricultural electricity use) and classifies much of the industrial electricity use into "other." Therefore, we usethe most recent Yearwise Consumption of Electricity from MoSPI and allocate industry electricity use to subinudstries using IESS.</t>
  </si>
  <si>
    <t>The exception is Water and Waste, which is not tracked in IESS. Therefore, we take that value directly from the Annual Survey of Industries. We then scale all subindustries by either IESS or population growth in the case of water/waste.</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</si>
  <si>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</si>
  <si>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</si>
  <si>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</si>
  <si>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</si>
  <si>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</si>
  <si>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</si>
  <si>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</si>
  <si>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</si>
  <si>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</si>
  <si>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</si>
  <si>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</si>
  <si>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</si>
  <si>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</si>
  <si>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</si>
  <si>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</si>
  <si>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</si>
  <si>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</si>
  <si>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</si>
  <si>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</si>
  <si>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Aggregated</t>
  </si>
  <si>
    <t xml:space="preserve">We use MoSPI for historical coal/lignite production except for water and waste, then scale by IESS (or population). </t>
  </si>
  <si>
    <t>Coal (Table 6.3), million tonnes</t>
  </si>
  <si>
    <t>Lignite (Table 6.4), million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</si>
</sst>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55">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0" fontId="26" fillId="25" borderId="20" xfId="0" applyFont="1" applyFill="1" applyBorder="1" applyAlignment="1">
      <alignment horizontal="left"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5" fillId="0" borderId="18"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6" fillId="0" borderId="19"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ppac.gov.in/WriteReadData/Reports/202109010920476205160PPACRRJuly2021webversion.pdf" TargetMode="External"/><Relationship Id="rId2" Type="http://schemas.openxmlformats.org/officeDocument/2006/relationships/hyperlink" Target="http://www.csoisw.gov.in/cms/cms/Files/70.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opLeftCell="A7" zoomScaleNormal="100" zoomScalePageLayoutView="125" workbookViewId="0">
      <selection activeCell="F32" sqref="F32"/>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586</v>
      </c>
      <c r="D3" s="3" t="s">
        <v>270</v>
      </c>
      <c r="F3" s="3" t="s">
        <v>242</v>
      </c>
    </row>
    <row r="4" spans="1:6" x14ac:dyDescent="0.25">
      <c r="A4" s="4"/>
      <c r="B4" s="4" t="s">
        <v>175</v>
      </c>
      <c r="D4" s="2" t="s">
        <v>271</v>
      </c>
      <c r="F4" s="4" t="s">
        <v>517</v>
      </c>
    </row>
    <row r="5" spans="1:6" x14ac:dyDescent="0.25">
      <c r="A5" s="4"/>
      <c r="B5" s="2" t="s">
        <v>574</v>
      </c>
      <c r="D5" s="2">
        <v>2015</v>
      </c>
    </row>
    <row r="6" spans="1:6" x14ac:dyDescent="0.25">
      <c r="A6" s="4"/>
      <c r="B6" s="4" t="s">
        <v>569</v>
      </c>
      <c r="D6" s="6" t="s">
        <v>272</v>
      </c>
    </row>
    <row r="7" spans="1:6" x14ac:dyDescent="0.25">
      <c r="A7" s="4"/>
      <c r="B7" s="387" t="s">
        <v>570</v>
      </c>
      <c r="D7" s="6" t="s">
        <v>273</v>
      </c>
    </row>
    <row r="8" spans="1:6" x14ac:dyDescent="0.25">
      <c r="A8" s="4"/>
      <c r="B8" s="4" t="s">
        <v>581</v>
      </c>
      <c r="D8" s="4" t="s">
        <v>274</v>
      </c>
    </row>
    <row r="9" spans="1:6" x14ac:dyDescent="0.25">
      <c r="A9" s="4"/>
      <c r="B9" s="4"/>
    </row>
    <row r="10" spans="1:6" x14ac:dyDescent="0.25">
      <c r="A10" s="4"/>
      <c r="B10" s="3" t="s">
        <v>267</v>
      </c>
      <c r="D10" s="3" t="s">
        <v>288</v>
      </c>
    </row>
    <row r="11" spans="1:6" x14ac:dyDescent="0.25">
      <c r="A11" s="4"/>
      <c r="B11" s="4" t="s">
        <v>268</v>
      </c>
      <c r="D11" s="4" t="s">
        <v>487</v>
      </c>
    </row>
    <row r="12" spans="1:6" x14ac:dyDescent="0.25">
      <c r="A12" s="4"/>
      <c r="B12" s="2" t="s">
        <v>573</v>
      </c>
      <c r="D12" s="2">
        <v>2014</v>
      </c>
    </row>
    <row r="13" spans="1:6" x14ac:dyDescent="0.25">
      <c r="A13" s="4"/>
      <c r="B13" s="4" t="s">
        <v>269</v>
      </c>
      <c r="D13" s="4" t="s">
        <v>289</v>
      </c>
    </row>
    <row r="14" spans="1:6" x14ac:dyDescent="0.25">
      <c r="A14" s="4"/>
      <c r="B14" s="387" t="s">
        <v>594</v>
      </c>
      <c r="D14" s="4" t="s">
        <v>290</v>
      </c>
    </row>
    <row r="15" spans="1:6" x14ac:dyDescent="0.25">
      <c r="A15" s="4"/>
      <c r="B15" s="4" t="s">
        <v>500</v>
      </c>
      <c r="D15" s="4" t="s">
        <v>291</v>
      </c>
    </row>
    <row r="16" spans="1:6" x14ac:dyDescent="0.25">
      <c r="A16" s="4"/>
      <c r="B16" s="4"/>
      <c r="F16" s="423"/>
    </row>
    <row r="17" spans="1:6" x14ac:dyDescent="0.25">
      <c r="A17" s="4"/>
      <c r="B17" s="3" t="s">
        <v>585</v>
      </c>
      <c r="D17" s="3" t="s">
        <v>292</v>
      </c>
    </row>
    <row r="18" spans="1:6" x14ac:dyDescent="0.25">
      <c r="A18" s="4"/>
      <c r="B18" s="4" t="s">
        <v>587</v>
      </c>
      <c r="D18" s="4" t="s">
        <v>293</v>
      </c>
    </row>
    <row r="19" spans="1:6" x14ac:dyDescent="0.25">
      <c r="A19" s="4"/>
      <c r="B19" s="2" t="s">
        <v>574</v>
      </c>
      <c r="D19" s="2">
        <v>2016</v>
      </c>
    </row>
    <row r="20" spans="1:6" x14ac:dyDescent="0.25">
      <c r="A20" s="4"/>
      <c r="B20" s="4" t="s">
        <v>588</v>
      </c>
      <c r="D20" s="4" t="s">
        <v>294</v>
      </c>
    </row>
    <row r="21" spans="1:6" x14ac:dyDescent="0.25">
      <c r="A21" s="4"/>
      <c r="B21" s="387" t="s">
        <v>589</v>
      </c>
      <c r="D21" s="387" t="s">
        <v>295</v>
      </c>
    </row>
    <row r="22" spans="1:6" x14ac:dyDescent="0.25">
      <c r="A22" s="4"/>
      <c r="B22" s="423" t="s">
        <v>590</v>
      </c>
      <c r="D22" s="4" t="s">
        <v>296</v>
      </c>
    </row>
    <row r="23" spans="1:6" x14ac:dyDescent="0.25">
      <c r="A23" s="4"/>
      <c r="B23" s="4"/>
    </row>
    <row r="24" spans="1:6" x14ac:dyDescent="0.25">
      <c r="A24" s="4"/>
      <c r="B24" s="4"/>
    </row>
    <row r="25" spans="1:6" x14ac:dyDescent="0.25">
      <c r="A25" s="1" t="s">
        <v>275</v>
      </c>
      <c r="B25" s="4"/>
      <c r="F25" s="4" t="s">
        <v>7</v>
      </c>
    </row>
    <row r="26" spans="1:6" x14ac:dyDescent="0.25">
      <c r="A26" s="5" t="s">
        <v>518</v>
      </c>
      <c r="B26" s="4"/>
      <c r="F26" s="4" t="s">
        <v>608</v>
      </c>
    </row>
    <row r="27" spans="1:6" x14ac:dyDescent="0.25">
      <c r="A27" s="5" t="s">
        <v>519</v>
      </c>
      <c r="B27" s="4"/>
      <c r="F27" s="4" t="s">
        <v>609</v>
      </c>
    </row>
    <row r="28" spans="1:6" x14ac:dyDescent="0.25">
      <c r="A28" s="5" t="s">
        <v>520</v>
      </c>
      <c r="B28" s="4"/>
    </row>
    <row r="29" spans="1:6" x14ac:dyDescent="0.25">
      <c r="A29" s="5"/>
      <c r="B29" s="4"/>
      <c r="F29" s="4" t="s">
        <v>51</v>
      </c>
    </row>
    <row r="30" spans="1:6" x14ac:dyDescent="0.25">
      <c r="A30" s="412" t="s">
        <v>521</v>
      </c>
      <c r="B30" s="80"/>
      <c r="C30" s="80"/>
      <c r="D30" s="80"/>
      <c r="F30" s="4" t="s">
        <v>630</v>
      </c>
    </row>
    <row r="31" spans="1:6" x14ac:dyDescent="0.25">
      <c r="A31" s="5" t="s">
        <v>522</v>
      </c>
      <c r="B31" s="4"/>
    </row>
    <row r="32" spans="1:6" x14ac:dyDescent="0.25">
      <c r="A32" s="5" t="s">
        <v>523</v>
      </c>
      <c r="B32" s="4"/>
    </row>
    <row r="33" spans="1:2" x14ac:dyDescent="0.25">
      <c r="A33" s="5" t="s">
        <v>524</v>
      </c>
      <c r="B33" s="4"/>
    </row>
    <row r="34" spans="1:2" x14ac:dyDescent="0.25">
      <c r="A34" s="5" t="s">
        <v>525</v>
      </c>
      <c r="B34" s="4"/>
    </row>
    <row r="35" spans="1:2" x14ac:dyDescent="0.25">
      <c r="A35" s="5" t="s">
        <v>526</v>
      </c>
      <c r="B35" s="4"/>
    </row>
    <row r="36" spans="1:2" x14ac:dyDescent="0.25">
      <c r="A36" s="5"/>
      <c r="B36" s="4"/>
    </row>
    <row r="37" spans="1:2" x14ac:dyDescent="0.25">
      <c r="A37" s="4" t="s">
        <v>276</v>
      </c>
    </row>
    <row r="38" spans="1:2" x14ac:dyDescent="0.25">
      <c r="A38" t="s">
        <v>287</v>
      </c>
    </row>
    <row r="39" spans="1:2" x14ac:dyDescent="0.25">
      <c r="A39" t="s">
        <v>567</v>
      </c>
    </row>
    <row r="40" spans="1:2" x14ac:dyDescent="0.25">
      <c r="A40" t="s">
        <v>568</v>
      </c>
    </row>
    <row r="41" spans="1:2" x14ac:dyDescent="0.25">
      <c r="A41" s="4"/>
      <c r="B41" s="4"/>
    </row>
    <row r="42" spans="1:2" x14ac:dyDescent="0.25">
      <c r="A42" s="4" t="s">
        <v>277</v>
      </c>
      <c r="B42" s="4"/>
    </row>
    <row r="43" spans="1:2" x14ac:dyDescent="0.25">
      <c r="A43" s="4" t="s">
        <v>278</v>
      </c>
      <c r="B43" s="4"/>
    </row>
    <row r="44" spans="1:2" x14ac:dyDescent="0.25">
      <c r="A44" s="4" t="s">
        <v>279</v>
      </c>
      <c r="B44" s="4"/>
    </row>
    <row r="45" spans="1:2" x14ac:dyDescent="0.25">
      <c r="A45" s="4" t="s">
        <v>280</v>
      </c>
    </row>
    <row r="46" spans="1:2" x14ac:dyDescent="0.25">
      <c r="A46" s="4" t="s">
        <v>515</v>
      </c>
      <c r="B46" s="4"/>
    </row>
    <row r="47" spans="1:2" x14ac:dyDescent="0.25">
      <c r="A47" s="4"/>
      <c r="B47" s="4"/>
    </row>
    <row r="48" spans="1:2" x14ac:dyDescent="0.25">
      <c r="A48" s="1" t="s">
        <v>297</v>
      </c>
      <c r="B48" s="4"/>
    </row>
    <row r="49" spans="1:2" x14ac:dyDescent="0.25">
      <c r="A49" s="4" t="s">
        <v>298</v>
      </c>
      <c r="B49" s="4"/>
    </row>
    <row r="50" spans="1:2" x14ac:dyDescent="0.25">
      <c r="A50" s="4" t="s">
        <v>299</v>
      </c>
      <c r="B50" s="4"/>
    </row>
    <row r="51" spans="1:2" x14ac:dyDescent="0.25">
      <c r="A51" s="4" t="s">
        <v>300</v>
      </c>
      <c r="B51" s="4"/>
    </row>
    <row r="52" spans="1:2" x14ac:dyDescent="0.25">
      <c r="A52" s="4"/>
      <c r="B52" s="4"/>
    </row>
    <row r="53" spans="1:2" x14ac:dyDescent="0.25">
      <c r="A53" s="4" t="s">
        <v>516</v>
      </c>
      <c r="B53" s="4"/>
    </row>
    <row r="54" spans="1:2" x14ac:dyDescent="0.25">
      <c r="A54" s="4"/>
      <c r="B54" s="4"/>
    </row>
    <row r="55" spans="1:2" x14ac:dyDescent="0.25">
      <c r="A55" t="s">
        <v>542</v>
      </c>
      <c r="B55" s="4"/>
    </row>
    <row r="56" spans="1:2" x14ac:dyDescent="0.25">
      <c r="A56" s="4" t="s">
        <v>553</v>
      </c>
    </row>
    <row r="57" spans="1:2" x14ac:dyDescent="0.25">
      <c r="A57" s="4" t="s">
        <v>555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 ref="B21" r:id="rId3"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310</v>
      </c>
    </row>
    <row r="2" spans="1:23" x14ac:dyDescent="0.25">
      <c r="A2" s="212" t="s">
        <v>311</v>
      </c>
    </row>
    <row r="3" spans="1:23" ht="12.75" customHeight="1" x14ac:dyDescent="0.25">
      <c r="A3" s="213" t="s">
        <v>2</v>
      </c>
      <c r="B3" s="214" t="s">
        <v>312</v>
      </c>
      <c r="C3" s="215"/>
      <c r="D3" s="215"/>
      <c r="E3" s="216" t="s">
        <v>313</v>
      </c>
      <c r="F3" s="216" t="s">
        <v>314</v>
      </c>
      <c r="G3" s="216" t="s">
        <v>315</v>
      </c>
      <c r="H3" s="217" t="s">
        <v>315</v>
      </c>
      <c r="I3" s="218"/>
    </row>
    <row r="4" spans="1:23" ht="26.25" x14ac:dyDescent="0.25">
      <c r="A4" s="219"/>
      <c r="B4" s="220" t="s">
        <v>316</v>
      </c>
      <c r="C4" s="221" t="s">
        <v>317</v>
      </c>
      <c r="D4" s="221" t="s">
        <v>318</v>
      </c>
      <c r="E4" s="221"/>
      <c r="F4" s="221" t="s">
        <v>319</v>
      </c>
      <c r="G4" s="221" t="s">
        <v>320</v>
      </c>
      <c r="H4" s="222" t="s">
        <v>321</v>
      </c>
      <c r="I4" s="223" t="s">
        <v>322</v>
      </c>
    </row>
    <row r="5" spans="1:23" x14ac:dyDescent="0.25">
      <c r="A5" s="224" t="s">
        <v>323</v>
      </c>
      <c r="B5" s="225">
        <v>1</v>
      </c>
      <c r="C5" s="226" t="s">
        <v>324</v>
      </c>
      <c r="D5" s="226"/>
      <c r="E5" s="227"/>
      <c r="F5" s="227"/>
      <c r="G5" s="227"/>
      <c r="H5" s="228"/>
      <c r="I5" s="229"/>
    </row>
    <row r="6" spans="1:23" x14ac:dyDescent="0.25">
      <c r="A6" s="230" t="s">
        <v>325</v>
      </c>
      <c r="B6" s="231" t="s">
        <v>326</v>
      </c>
      <c r="C6" s="232" t="s">
        <v>326</v>
      </c>
      <c r="D6" s="232" t="s">
        <v>326</v>
      </c>
      <c r="E6" s="232" t="s">
        <v>327</v>
      </c>
      <c r="F6" s="233"/>
      <c r="G6" s="233"/>
      <c r="H6" s="234"/>
      <c r="I6" s="235"/>
      <c r="P6" s="236"/>
      <c r="R6" s="236"/>
      <c r="T6" s="236"/>
      <c r="V6" s="236"/>
    </row>
    <row r="7" spans="1:23" x14ac:dyDescent="0.25">
      <c r="A7" s="237" t="s">
        <v>328</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329</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330</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331</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332</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333</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334</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335</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336</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337</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338</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339</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340</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341</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342</v>
      </c>
      <c r="B21" s="238"/>
      <c r="C21" s="247"/>
      <c r="D21" s="247"/>
      <c r="E21" s="247"/>
      <c r="F21" s="258"/>
      <c r="G21" s="247">
        <v>120</v>
      </c>
      <c r="H21" s="242">
        <v>1.2E-4</v>
      </c>
      <c r="I21" s="243"/>
    </row>
    <row r="22" spans="1:23" x14ac:dyDescent="0.25">
      <c r="A22" s="237" t="s">
        <v>343</v>
      </c>
      <c r="B22" s="238">
        <v>128450</v>
      </c>
      <c r="C22" s="247">
        <v>128450</v>
      </c>
      <c r="D22" s="247">
        <v>137380</v>
      </c>
      <c r="E22" s="247">
        <v>3167</v>
      </c>
      <c r="F22" s="248">
        <v>0.86499999999999999</v>
      </c>
      <c r="G22" s="247">
        <v>11</v>
      </c>
      <c r="H22" s="242">
        <v>1.1E-5</v>
      </c>
      <c r="I22" s="243">
        <v>0.93499781627602274</v>
      </c>
    </row>
    <row r="23" spans="1:23" x14ac:dyDescent="0.25">
      <c r="A23" s="237" t="s">
        <v>344</v>
      </c>
      <c r="B23" s="238">
        <v>129487.84757606639</v>
      </c>
      <c r="C23" s="247">
        <v>129487.84757606639</v>
      </c>
      <c r="D23" s="239">
        <v>138490</v>
      </c>
      <c r="E23" s="239">
        <v>3206</v>
      </c>
      <c r="F23" s="240">
        <v>0.871</v>
      </c>
      <c r="G23" s="241">
        <v>11</v>
      </c>
      <c r="H23" s="242">
        <v>1.1E-5</v>
      </c>
      <c r="I23" s="243">
        <v>0.93499781627602274</v>
      </c>
    </row>
    <row r="24" spans="1:23" x14ac:dyDescent="0.25">
      <c r="A24" s="237" t="s">
        <v>345</v>
      </c>
      <c r="B24" s="238">
        <v>116920</v>
      </c>
      <c r="C24" s="239">
        <v>116920</v>
      </c>
      <c r="D24" s="239">
        <v>125080</v>
      </c>
      <c r="E24" s="239">
        <v>2745</v>
      </c>
      <c r="F24" s="240">
        <v>0.85</v>
      </c>
      <c r="G24" s="241">
        <v>1</v>
      </c>
      <c r="H24" s="242">
        <v>9.9999999999999995E-7</v>
      </c>
      <c r="I24" s="243">
        <v>0.93476175247841387</v>
      </c>
    </row>
    <row r="25" spans="1:23" x14ac:dyDescent="0.25">
      <c r="A25" s="259" t="s">
        <v>346</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347</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348</v>
      </c>
      <c r="B27" s="238">
        <v>111520</v>
      </c>
      <c r="C27" s="239">
        <v>111520</v>
      </c>
      <c r="D27" s="239">
        <v>119740</v>
      </c>
      <c r="E27" s="261">
        <v>2651</v>
      </c>
      <c r="F27" s="240">
        <v>0.84199999999999997</v>
      </c>
      <c r="G27" s="241">
        <v>0</v>
      </c>
      <c r="H27" s="242">
        <v>0</v>
      </c>
      <c r="I27" s="243">
        <v>0.93135126106564226</v>
      </c>
    </row>
    <row r="28" spans="1:23" x14ac:dyDescent="0.25">
      <c r="A28" s="260" t="s">
        <v>349</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350</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351</v>
      </c>
      <c r="B30" s="238">
        <v>57250</v>
      </c>
      <c r="C30" s="239">
        <v>57250</v>
      </c>
      <c r="D30" s="239">
        <v>65200</v>
      </c>
      <c r="E30" s="239">
        <v>3006</v>
      </c>
      <c r="F30" s="263">
        <v>0.375</v>
      </c>
      <c r="G30" s="241">
        <v>0</v>
      </c>
      <c r="H30" s="242">
        <v>0</v>
      </c>
      <c r="I30" s="243">
        <v>0.87806748466257667</v>
      </c>
    </row>
    <row r="31" spans="1:23" x14ac:dyDescent="0.25">
      <c r="A31" s="260" t="s">
        <v>352</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353</v>
      </c>
      <c r="B32" s="238">
        <v>99837</v>
      </c>
      <c r="C32" s="264">
        <v>99837</v>
      </c>
      <c r="D32" s="261">
        <v>108458</v>
      </c>
      <c r="E32" s="264">
        <v>3065</v>
      </c>
      <c r="F32" s="265">
        <v>0.64859999999999995</v>
      </c>
      <c r="G32" s="266">
        <v>0</v>
      </c>
      <c r="H32" s="242">
        <v>0</v>
      </c>
      <c r="I32" s="243">
        <v>0.92051300964428628</v>
      </c>
    </row>
    <row r="33" spans="1:11" x14ac:dyDescent="0.25">
      <c r="A33" s="260" t="s">
        <v>354</v>
      </c>
      <c r="B33" s="238">
        <v>83127</v>
      </c>
      <c r="C33" s="264">
        <v>83127</v>
      </c>
      <c r="D33" s="261">
        <v>89511</v>
      </c>
      <c r="E33" s="264">
        <v>2964</v>
      </c>
      <c r="F33" s="265">
        <v>0.61980000000000002</v>
      </c>
      <c r="G33" s="266">
        <v>0</v>
      </c>
      <c r="H33" s="242">
        <v>0</v>
      </c>
      <c r="I33" s="243">
        <v>0.92867915675168411</v>
      </c>
      <c r="J33" s="262"/>
    </row>
    <row r="34" spans="1:11" x14ac:dyDescent="0.25">
      <c r="A34" s="260" t="s">
        <v>355</v>
      </c>
      <c r="B34" s="238">
        <v>116090</v>
      </c>
      <c r="C34" s="247">
        <v>116090</v>
      </c>
      <c r="D34" s="247">
        <v>124340</v>
      </c>
      <c r="E34" s="247">
        <v>2819</v>
      </c>
      <c r="F34" s="248">
        <v>0.86299999999999999</v>
      </c>
      <c r="G34" s="247">
        <v>25.5</v>
      </c>
      <c r="H34" s="242">
        <v>2.55E-5</v>
      </c>
      <c r="I34" s="243">
        <v>0.93364967025896739</v>
      </c>
    </row>
    <row r="35" spans="1:11" x14ac:dyDescent="0.25">
      <c r="A35" s="260" t="s">
        <v>356</v>
      </c>
      <c r="B35" s="238">
        <v>84950</v>
      </c>
      <c r="C35" s="239">
        <v>84950</v>
      </c>
      <c r="D35" s="239">
        <v>91410</v>
      </c>
      <c r="E35" s="241">
        <v>1923</v>
      </c>
      <c r="F35" s="263">
        <v>0.82</v>
      </c>
      <c r="G35" s="241">
        <v>0</v>
      </c>
      <c r="H35" s="242">
        <v>0</v>
      </c>
      <c r="I35" s="243">
        <v>0.9293293950333662</v>
      </c>
      <c r="J35" s="262"/>
    </row>
    <row r="36" spans="1:11" x14ac:dyDescent="0.25">
      <c r="A36" s="260" t="s">
        <v>357</v>
      </c>
      <c r="B36" s="238">
        <v>74720</v>
      </c>
      <c r="C36" s="239">
        <v>74720</v>
      </c>
      <c r="D36" s="239">
        <v>84820</v>
      </c>
      <c r="E36" s="239">
        <v>1621</v>
      </c>
      <c r="F36" s="240">
        <v>0.75</v>
      </c>
      <c r="G36" s="241">
        <v>0</v>
      </c>
      <c r="H36" s="242">
        <v>0</v>
      </c>
      <c r="I36" s="243">
        <v>0.88092431030417351</v>
      </c>
      <c r="J36" s="262"/>
    </row>
    <row r="37" spans="1:11" x14ac:dyDescent="0.25">
      <c r="A37" s="260" t="s">
        <v>358</v>
      </c>
      <c r="B37" s="238">
        <v>68930</v>
      </c>
      <c r="C37" s="239">
        <v>68930</v>
      </c>
      <c r="D37" s="239">
        <v>75610</v>
      </c>
      <c r="E37" s="239">
        <v>2518</v>
      </c>
      <c r="F37" s="267">
        <v>0.52200000000000002</v>
      </c>
      <c r="G37" s="241">
        <v>0</v>
      </c>
      <c r="H37" s="242">
        <v>0</v>
      </c>
      <c r="I37" s="243">
        <v>0.91165189789710355</v>
      </c>
      <c r="J37" s="262"/>
    </row>
    <row r="38" spans="1:11" x14ac:dyDescent="0.25">
      <c r="A38" s="260" t="s">
        <v>359</v>
      </c>
      <c r="B38" s="238">
        <v>72200</v>
      </c>
      <c r="C38" s="241">
        <v>72200</v>
      </c>
      <c r="D38" s="247">
        <v>79196.89540113158</v>
      </c>
      <c r="E38" s="241">
        <v>3255</v>
      </c>
      <c r="F38" s="263">
        <v>0.47399999999999998</v>
      </c>
      <c r="G38" s="241">
        <v>0</v>
      </c>
      <c r="H38" s="242">
        <v>0</v>
      </c>
      <c r="I38" s="243">
        <v>0.91165189789710355</v>
      </c>
      <c r="J38" s="262"/>
    </row>
    <row r="39" spans="1:11" x14ac:dyDescent="0.25">
      <c r="A39" s="260" t="s">
        <v>360</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361</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362</v>
      </c>
      <c r="B41" s="238">
        <v>117059</v>
      </c>
      <c r="C41" s="241">
        <v>117059</v>
      </c>
      <c r="D41" s="241">
        <v>125293.76528649101</v>
      </c>
      <c r="E41" s="241">
        <v>2835</v>
      </c>
      <c r="F41" s="263">
        <v>0.871</v>
      </c>
      <c r="G41" s="247">
        <v>0</v>
      </c>
      <c r="H41" s="242">
        <v>0</v>
      </c>
      <c r="I41" s="243">
        <v>0.93427633635511098</v>
      </c>
      <c r="K41" s="262"/>
    </row>
    <row r="42" spans="1:11" x14ac:dyDescent="0.25">
      <c r="A42" s="259" t="s">
        <v>363</v>
      </c>
      <c r="B42" s="238">
        <v>122887</v>
      </c>
      <c r="C42" s="261">
        <v>122887</v>
      </c>
      <c r="D42" s="261">
        <v>130817</v>
      </c>
      <c r="E42" s="261">
        <v>2948</v>
      </c>
      <c r="F42" s="263">
        <v>0.871</v>
      </c>
      <c r="G42" s="247">
        <v>0</v>
      </c>
      <c r="H42" s="242">
        <v>0</v>
      </c>
      <c r="I42" s="243">
        <v>0.93938096730547249</v>
      </c>
      <c r="K42" s="262"/>
    </row>
    <row r="43" spans="1:11" x14ac:dyDescent="0.25">
      <c r="A43" s="259" t="s">
        <v>364</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365</v>
      </c>
      <c r="B44" s="238">
        <v>115983</v>
      </c>
      <c r="C44" s="261">
        <v>115983</v>
      </c>
      <c r="D44" s="261">
        <v>124230</v>
      </c>
      <c r="E44" s="261">
        <v>2830</v>
      </c>
      <c r="F44" s="263">
        <v>0.84</v>
      </c>
      <c r="G44" s="247">
        <v>0</v>
      </c>
      <c r="H44" s="242">
        <v>0</v>
      </c>
      <c r="I44" s="243">
        <v>0.93361506882395562</v>
      </c>
      <c r="K44" s="262"/>
    </row>
    <row r="45" spans="1:11" x14ac:dyDescent="0.25">
      <c r="A45" s="211" t="s">
        <v>366</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367</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368</v>
      </c>
      <c r="B47" s="238">
        <v>30500</v>
      </c>
      <c r="C47" s="239">
        <v>30500</v>
      </c>
      <c r="D47" s="239">
        <v>36020</v>
      </c>
      <c r="E47" s="239">
        <v>268</v>
      </c>
      <c r="F47" s="263">
        <v>0</v>
      </c>
      <c r="G47" s="241">
        <v>0</v>
      </c>
      <c r="H47" s="242">
        <v>0</v>
      </c>
      <c r="I47" s="243">
        <v>0.84675180455302612</v>
      </c>
    </row>
    <row r="48" spans="1:11" x14ac:dyDescent="0.25">
      <c r="A48" s="237" t="s">
        <v>369</v>
      </c>
      <c r="B48" s="238">
        <v>93540</v>
      </c>
      <c r="C48" s="239">
        <v>93540</v>
      </c>
      <c r="D48" s="239">
        <v>101130</v>
      </c>
      <c r="E48" s="239">
        <v>2811</v>
      </c>
      <c r="F48" s="263">
        <v>0.68100000000000005</v>
      </c>
      <c r="G48" s="241">
        <v>0</v>
      </c>
      <c r="H48" s="242">
        <v>0</v>
      </c>
      <c r="I48" s="243">
        <v>0.92494808662118067</v>
      </c>
    </row>
    <row r="49" spans="1:12" x14ac:dyDescent="0.25">
      <c r="A49" s="237" t="s">
        <v>370</v>
      </c>
      <c r="B49" s="238">
        <v>96720</v>
      </c>
      <c r="C49" s="239">
        <v>96720</v>
      </c>
      <c r="D49" s="239">
        <v>104530</v>
      </c>
      <c r="E49" s="239">
        <v>2810</v>
      </c>
      <c r="F49" s="263">
        <v>0.70599999999999996</v>
      </c>
      <c r="G49" s="241">
        <v>0</v>
      </c>
      <c r="H49" s="242">
        <v>0</v>
      </c>
      <c r="I49" s="243">
        <v>0.92528460728977324</v>
      </c>
      <c r="J49" s="262"/>
    </row>
    <row r="50" spans="1:12" x14ac:dyDescent="0.25">
      <c r="A50" s="237" t="s">
        <v>371</v>
      </c>
      <c r="B50" s="238">
        <v>100480</v>
      </c>
      <c r="C50" s="239">
        <v>100480</v>
      </c>
      <c r="D50" s="239">
        <v>108570</v>
      </c>
      <c r="E50" s="239">
        <v>2913</v>
      </c>
      <c r="F50" s="263">
        <v>0.70599999999999996</v>
      </c>
      <c r="G50" s="241">
        <v>0</v>
      </c>
      <c r="H50" s="242">
        <v>0</v>
      </c>
      <c r="I50" s="243">
        <v>0.92548586165607438</v>
      </c>
      <c r="J50" s="262"/>
    </row>
    <row r="51" spans="1:12" x14ac:dyDescent="0.25">
      <c r="A51" s="237" t="s">
        <v>372</v>
      </c>
      <c r="B51" s="238">
        <v>94970</v>
      </c>
      <c r="C51" s="239">
        <v>94970</v>
      </c>
      <c r="D51" s="239">
        <v>103220</v>
      </c>
      <c r="E51" s="239">
        <v>2213</v>
      </c>
      <c r="F51" s="263">
        <v>0.82799999999999996</v>
      </c>
      <c r="G51" s="241">
        <v>0</v>
      </c>
      <c r="H51" s="242">
        <v>0</v>
      </c>
      <c r="I51" s="243">
        <v>0.92007362914163926</v>
      </c>
      <c r="J51" s="262"/>
    </row>
    <row r="52" spans="1:12" x14ac:dyDescent="0.25">
      <c r="A52" s="237" t="s">
        <v>373</v>
      </c>
      <c r="B52" s="238">
        <v>90060</v>
      </c>
      <c r="C52" s="239">
        <v>90060</v>
      </c>
      <c r="D52" s="239">
        <v>98560</v>
      </c>
      <c r="E52" s="239">
        <v>2118</v>
      </c>
      <c r="F52" s="263">
        <v>0.82799999999999996</v>
      </c>
      <c r="G52" s="241">
        <v>0</v>
      </c>
      <c r="H52" s="242">
        <v>0</v>
      </c>
      <c r="I52" s="243">
        <v>0.91375811688311692</v>
      </c>
      <c r="J52" s="262"/>
    </row>
    <row r="53" spans="1:12" x14ac:dyDescent="0.25">
      <c r="A53" s="237" t="s">
        <v>374</v>
      </c>
      <c r="B53" s="238">
        <v>95720</v>
      </c>
      <c r="C53" s="239">
        <v>95720</v>
      </c>
      <c r="D53" s="239">
        <v>103010</v>
      </c>
      <c r="E53" s="239">
        <v>2253</v>
      </c>
      <c r="F53" s="263">
        <v>0.85699999999999998</v>
      </c>
      <c r="G53" s="241">
        <v>0</v>
      </c>
      <c r="H53" s="242">
        <v>0</v>
      </c>
      <c r="I53" s="243">
        <v>0.92923017182797785</v>
      </c>
      <c r="J53" s="262"/>
    </row>
    <row r="54" spans="1:12" x14ac:dyDescent="0.25">
      <c r="A54" s="237" t="s">
        <v>375</v>
      </c>
      <c r="B54" s="238">
        <v>84250</v>
      </c>
      <c r="C54" s="239">
        <v>84250</v>
      </c>
      <c r="D54" s="239">
        <v>91420</v>
      </c>
      <c r="E54" s="239">
        <v>1920</v>
      </c>
      <c r="F54" s="263">
        <v>0.81799999999999995</v>
      </c>
      <c r="G54" s="241">
        <v>0</v>
      </c>
      <c r="H54" s="242">
        <v>0</v>
      </c>
      <c r="I54" s="243">
        <v>0.92157077225989936</v>
      </c>
      <c r="J54" s="262"/>
    </row>
    <row r="55" spans="1:12" x14ac:dyDescent="0.25">
      <c r="A55" s="237" t="s">
        <v>376</v>
      </c>
      <c r="B55" s="238">
        <v>83686.11202275462</v>
      </c>
      <c r="C55" s="247">
        <v>83686.11202275462</v>
      </c>
      <c r="D55" s="239">
        <v>90050</v>
      </c>
      <c r="E55" s="247">
        <v>2532</v>
      </c>
      <c r="F55" s="248"/>
      <c r="G55" s="241">
        <v>0</v>
      </c>
      <c r="H55" s="242">
        <v>0</v>
      </c>
      <c r="I55" s="243">
        <v>0.92932939503336609</v>
      </c>
      <c r="J55" s="262"/>
    </row>
    <row r="56" spans="1:12" x14ac:dyDescent="0.25">
      <c r="A56" s="256" t="s">
        <v>377</v>
      </c>
      <c r="B56" s="238">
        <v>105124.8</v>
      </c>
      <c r="C56" s="269">
        <v>105124.8</v>
      </c>
      <c r="D56" s="247">
        <v>112166.3</v>
      </c>
      <c r="E56" s="269">
        <v>2478.6999999999998</v>
      </c>
      <c r="F56" s="270">
        <v>0.83625099999999997</v>
      </c>
      <c r="G56" s="241">
        <v>0</v>
      </c>
      <c r="H56" s="242">
        <v>0</v>
      </c>
      <c r="I56" s="243">
        <v>0.93722267739953979</v>
      </c>
    </row>
    <row r="57" spans="1:12" x14ac:dyDescent="0.25">
      <c r="A57" s="237" t="s">
        <v>378</v>
      </c>
      <c r="B57" s="238">
        <v>128590</v>
      </c>
      <c r="C57" s="241">
        <v>128590</v>
      </c>
      <c r="D57" s="241">
        <v>142860</v>
      </c>
      <c r="E57" s="269"/>
      <c r="F57" s="270"/>
      <c r="G57" s="241">
        <v>0</v>
      </c>
      <c r="H57" s="242">
        <v>0</v>
      </c>
      <c r="I57" s="243">
        <v>0.9001119977600448</v>
      </c>
    </row>
    <row r="58" spans="1:12" x14ac:dyDescent="0.25">
      <c r="A58" s="230" t="s">
        <v>379</v>
      </c>
      <c r="B58" s="271" t="s">
        <v>380</v>
      </c>
      <c r="C58" s="272" t="s">
        <v>380</v>
      </c>
      <c r="D58" s="272" t="s">
        <v>380</v>
      </c>
      <c r="E58" s="272" t="s">
        <v>381</v>
      </c>
      <c r="F58" s="273"/>
      <c r="G58" s="274"/>
      <c r="H58" s="275"/>
      <c r="I58" s="276" t="s">
        <v>322</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382</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383</v>
      </c>
      <c r="B61" s="238">
        <v>290</v>
      </c>
      <c r="C61" s="278">
        <v>290</v>
      </c>
      <c r="D61" s="278">
        <v>343</v>
      </c>
      <c r="E61" s="279">
        <v>2.5499999999999998</v>
      </c>
      <c r="F61" s="263">
        <v>0</v>
      </c>
      <c r="G61" s="241">
        <v>0</v>
      </c>
      <c r="H61" s="242">
        <v>0</v>
      </c>
      <c r="I61" s="243">
        <v>0.84548104956268222</v>
      </c>
      <c r="L61" s="236"/>
    </row>
    <row r="62" spans="1:12" x14ac:dyDescent="0.25">
      <c r="A62" s="237" t="s">
        <v>384</v>
      </c>
      <c r="B62" s="238"/>
      <c r="C62" s="247"/>
      <c r="D62" s="247"/>
      <c r="E62" s="280">
        <v>55.977829999999997</v>
      </c>
      <c r="F62" s="267">
        <v>0.27272727272727271</v>
      </c>
      <c r="G62" s="241">
        <v>0</v>
      </c>
      <c r="H62" s="242">
        <v>0</v>
      </c>
      <c r="I62" s="243"/>
    </row>
    <row r="63" spans="1:12" x14ac:dyDescent="0.25">
      <c r="A63" s="260" t="s">
        <v>378</v>
      </c>
      <c r="B63" s="238">
        <v>982</v>
      </c>
      <c r="C63" s="245">
        <v>982</v>
      </c>
      <c r="D63" s="245">
        <v>1043.738844</v>
      </c>
      <c r="E63" s="281">
        <v>20.3</v>
      </c>
      <c r="F63" s="267">
        <v>0.75800000000000001</v>
      </c>
      <c r="G63" s="261">
        <v>6</v>
      </c>
      <c r="H63" s="242">
        <v>6.0000000000000002E-6</v>
      </c>
      <c r="I63" s="243">
        <v>0.94084837950133815</v>
      </c>
    </row>
    <row r="64" spans="1:12" x14ac:dyDescent="0.25">
      <c r="A64" s="230" t="s">
        <v>385</v>
      </c>
      <c r="B64" s="271" t="s">
        <v>386</v>
      </c>
      <c r="C64" s="282" t="s">
        <v>386</v>
      </c>
      <c r="D64" s="272" t="s">
        <v>386</v>
      </c>
      <c r="E64" s="274"/>
      <c r="F64" s="273"/>
      <c r="G64" s="274"/>
      <c r="H64" s="275"/>
      <c r="I64" s="276" t="s">
        <v>322</v>
      </c>
      <c r="K64" s="236"/>
    </row>
    <row r="65" spans="1:13" x14ac:dyDescent="0.25">
      <c r="A65" s="256" t="s">
        <v>387</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388</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389</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390</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391</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392</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393</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394</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281</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395</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396</v>
      </c>
      <c r="B75" s="238">
        <v>15929000</v>
      </c>
      <c r="C75" s="261">
        <v>15929000</v>
      </c>
      <c r="D75" s="261">
        <v>17062000</v>
      </c>
      <c r="E75" s="247"/>
      <c r="F75" s="267">
        <v>0.501</v>
      </c>
      <c r="G75" s="261">
        <v>200</v>
      </c>
      <c r="H75" s="242">
        <v>2.0000000000000001E-4</v>
      </c>
      <c r="I75" s="243">
        <v>0.93359512366662756</v>
      </c>
      <c r="K75" s="286"/>
    </row>
    <row r="76" spans="1:13" x14ac:dyDescent="0.25">
      <c r="A76" s="237" t="s">
        <v>397</v>
      </c>
      <c r="B76" s="238">
        <v>14447000</v>
      </c>
      <c r="C76" s="261">
        <v>14447000</v>
      </c>
      <c r="D76" s="239">
        <v>15583000</v>
      </c>
      <c r="E76" s="269"/>
      <c r="F76" s="240">
        <v>0.46600000000000003</v>
      </c>
      <c r="G76" s="241">
        <v>1100</v>
      </c>
      <c r="H76" s="242">
        <v>1.1000000000000001E-3</v>
      </c>
      <c r="I76" s="243">
        <v>0.92710004492074694</v>
      </c>
    </row>
    <row r="77" spans="1:13" x14ac:dyDescent="0.25">
      <c r="A77" s="259" t="s">
        <v>398</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399</v>
      </c>
      <c r="B78" s="238">
        <v>14716000</v>
      </c>
      <c r="C78" s="241">
        <v>14716000</v>
      </c>
      <c r="D78" s="241">
        <v>15774000</v>
      </c>
      <c r="E78" s="247"/>
      <c r="F78" s="263">
        <v>0.46700000000000003</v>
      </c>
      <c r="G78" s="241">
        <v>1000</v>
      </c>
      <c r="H78" s="242">
        <v>1E-3</v>
      </c>
      <c r="I78" s="243">
        <v>0.93292760238366934</v>
      </c>
      <c r="K78" s="286"/>
    </row>
    <row r="79" spans="1:13" x14ac:dyDescent="0.25">
      <c r="A79" s="260" t="s">
        <v>400</v>
      </c>
      <c r="B79" s="238">
        <v>17289000</v>
      </c>
      <c r="C79" s="241">
        <v>17289000</v>
      </c>
      <c r="D79" s="241">
        <v>17906000</v>
      </c>
      <c r="E79" s="247"/>
      <c r="F79" s="263">
        <v>0.503</v>
      </c>
      <c r="G79" s="241">
        <v>400</v>
      </c>
      <c r="H79" s="242">
        <v>4.0000000000000002E-4</v>
      </c>
      <c r="I79" s="243">
        <v>0.96554227633195577</v>
      </c>
    </row>
    <row r="80" spans="1:13" x14ac:dyDescent="0.25">
      <c r="A80" s="260" t="s">
        <v>401</v>
      </c>
      <c r="B80" s="238">
        <v>14999999.999999998</v>
      </c>
      <c r="C80" s="241">
        <v>14999999.999999998</v>
      </c>
      <c r="D80" s="247"/>
      <c r="E80" s="247"/>
      <c r="F80" s="263">
        <v>0.47799999999999998</v>
      </c>
      <c r="G80" s="241">
        <v>400</v>
      </c>
      <c r="H80" s="242">
        <v>4.0000000000000002E-4</v>
      </c>
      <c r="I80" s="243"/>
    </row>
    <row r="81" spans="1:14" x14ac:dyDescent="0.25">
      <c r="A81" s="260" t="s">
        <v>402</v>
      </c>
      <c r="B81" s="238">
        <v>13454048.892850777</v>
      </c>
      <c r="C81" s="261">
        <v>13454048.892850777</v>
      </c>
      <c r="D81" s="247">
        <v>15774000</v>
      </c>
      <c r="E81" s="247"/>
      <c r="F81" s="263">
        <v>0.5</v>
      </c>
      <c r="G81" s="247"/>
      <c r="H81" s="242"/>
      <c r="I81" s="243">
        <v>0.85292563033160751</v>
      </c>
    </row>
    <row r="82" spans="1:14" x14ac:dyDescent="0.25">
      <c r="A82" s="260" t="s">
        <v>403</v>
      </c>
      <c r="B82" s="238">
        <v>12381771.311916806</v>
      </c>
      <c r="C82" s="241">
        <v>12381771.311916806</v>
      </c>
      <c r="D82" s="261">
        <v>14062678</v>
      </c>
      <c r="E82" s="247"/>
      <c r="F82" s="263">
        <v>0.46300000000000002</v>
      </c>
      <c r="G82" s="247"/>
      <c r="H82" s="242"/>
      <c r="I82" s="243">
        <v>0.88047037071579148</v>
      </c>
    </row>
    <row r="83" spans="1:14" x14ac:dyDescent="0.25">
      <c r="A83" s="288" t="s">
        <v>404</v>
      </c>
      <c r="B83" s="238">
        <v>18916910.5715716</v>
      </c>
      <c r="C83" s="241">
        <v>18916910.5715716</v>
      </c>
      <c r="D83" s="241">
        <v>18916910.5715716</v>
      </c>
      <c r="E83" s="247"/>
      <c r="F83" s="289">
        <v>0.51200000000000001</v>
      </c>
      <c r="G83" s="241">
        <v>0</v>
      </c>
      <c r="H83" s="290">
        <v>0</v>
      </c>
      <c r="I83" s="291">
        <v>1</v>
      </c>
    </row>
    <row r="84" spans="1:14" x14ac:dyDescent="0.25">
      <c r="A84" s="292" t="s">
        <v>405</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406</v>
      </c>
      <c r="B85" s="247">
        <v>14409931.248165678</v>
      </c>
      <c r="C85" s="261">
        <v>14409931.248165678</v>
      </c>
      <c r="D85" s="261">
        <v>15305245.093897162</v>
      </c>
      <c r="E85" s="247"/>
      <c r="F85" s="293">
        <v>0.41985</v>
      </c>
      <c r="G85" s="241">
        <v>0</v>
      </c>
      <c r="H85" s="290">
        <v>0</v>
      </c>
      <c r="I85" s="291">
        <v>0.94150280898876404</v>
      </c>
    </row>
    <row r="86" spans="1:14" x14ac:dyDescent="0.25">
      <c r="A86" s="292" t="s">
        <v>407</v>
      </c>
      <c r="B86" s="247">
        <v>14409931.248165678</v>
      </c>
      <c r="C86" s="247">
        <v>14409931.248165678</v>
      </c>
      <c r="D86" s="247">
        <v>15305245.093897162</v>
      </c>
      <c r="E86" s="247"/>
      <c r="F86" s="294">
        <v>0.41985</v>
      </c>
      <c r="G86" s="261">
        <v>0</v>
      </c>
      <c r="H86" s="290">
        <v>0</v>
      </c>
      <c r="I86" s="291">
        <v>0.94150280898876404</v>
      </c>
    </row>
    <row r="87" spans="1:14" x14ac:dyDescent="0.25">
      <c r="A87" s="295" t="s">
        <v>408</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409</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410</v>
      </c>
      <c r="B90" s="306"/>
      <c r="C90" s="306"/>
      <c r="D90" s="306"/>
      <c r="E90" s="306"/>
      <c r="F90" s="306"/>
    </row>
    <row r="91" spans="1:14" x14ac:dyDescent="0.25">
      <c r="A91" s="262" t="s">
        <v>411</v>
      </c>
      <c r="B91" s="306"/>
      <c r="C91" s="306"/>
      <c r="D91" s="306"/>
      <c r="E91" s="306"/>
      <c r="F91" s="306"/>
    </row>
    <row r="92" spans="1:14" x14ac:dyDescent="0.25">
      <c r="A92" s="307" t="s">
        <v>412</v>
      </c>
      <c r="B92" s="308" t="s">
        <v>413</v>
      </c>
      <c r="C92" s="309" t="s">
        <v>413</v>
      </c>
      <c r="D92" s="309" t="s">
        <v>413</v>
      </c>
      <c r="E92" s="309" t="s">
        <v>414</v>
      </c>
      <c r="F92" s="309" t="s">
        <v>414</v>
      </c>
      <c r="G92" s="310" t="s">
        <v>415</v>
      </c>
      <c r="H92" s="310" t="s">
        <v>415</v>
      </c>
      <c r="I92" s="310" t="s">
        <v>416</v>
      </c>
      <c r="J92" s="310" t="s">
        <v>416</v>
      </c>
      <c r="K92" s="310" t="s">
        <v>417</v>
      </c>
      <c r="L92" s="310" t="s">
        <v>417</v>
      </c>
      <c r="M92" s="310" t="s">
        <v>418</v>
      </c>
      <c r="N92" s="311" t="s">
        <v>418</v>
      </c>
    </row>
    <row r="93" spans="1:14" x14ac:dyDescent="0.25">
      <c r="A93" s="312" t="s">
        <v>419</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420</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421</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422</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423</v>
      </c>
      <c r="B98" s="250"/>
      <c r="C98" s="262"/>
      <c r="D98" s="262"/>
      <c r="E98" s="262"/>
      <c r="F98" s="262"/>
      <c r="I98" s="262"/>
    </row>
    <row r="99" spans="1:9" x14ac:dyDescent="0.25">
      <c r="A99" s="326" t="s">
        <v>424</v>
      </c>
      <c r="B99" s="327" t="s">
        <v>425</v>
      </c>
      <c r="C99" s="328" t="s">
        <v>425</v>
      </c>
      <c r="D99" s="328" t="s">
        <v>426</v>
      </c>
      <c r="E99" s="328" t="s">
        <v>426</v>
      </c>
      <c r="F99" s="328" t="s">
        <v>427</v>
      </c>
      <c r="G99" s="329" t="s">
        <v>427</v>
      </c>
      <c r="I99" s="262"/>
    </row>
    <row r="100" spans="1:9" x14ac:dyDescent="0.25">
      <c r="A100" s="312" t="s">
        <v>419</v>
      </c>
      <c r="B100" s="313">
        <v>100</v>
      </c>
      <c r="C100" s="330"/>
      <c r="D100" s="330">
        <v>100</v>
      </c>
      <c r="E100" s="330">
        <v>20</v>
      </c>
      <c r="F100" s="330">
        <v>100</v>
      </c>
      <c r="G100" s="331">
        <v>20</v>
      </c>
      <c r="I100" s="262"/>
    </row>
    <row r="101" spans="1:9" x14ac:dyDescent="0.25">
      <c r="A101" s="316" t="s">
        <v>428</v>
      </c>
      <c r="B101" s="317">
        <v>0</v>
      </c>
      <c r="C101" s="211">
        <v>0</v>
      </c>
      <c r="D101" s="211">
        <v>4.5</v>
      </c>
      <c r="E101" s="250">
        <v>14</v>
      </c>
      <c r="F101" s="211">
        <v>0.66</v>
      </c>
      <c r="G101" s="318">
        <v>7.5</v>
      </c>
    </row>
    <row r="102" spans="1:9" x14ac:dyDescent="0.25">
      <c r="A102" s="316" t="s">
        <v>429</v>
      </c>
      <c r="B102" s="317">
        <v>0</v>
      </c>
      <c r="C102" s="211">
        <v>0</v>
      </c>
      <c r="D102" s="211">
        <v>2.65</v>
      </c>
      <c r="E102" s="211">
        <v>7.65</v>
      </c>
      <c r="F102" s="262">
        <v>0.42</v>
      </c>
      <c r="G102" s="318">
        <v>4.9000000000000004</v>
      </c>
    </row>
    <row r="103" spans="1:9" x14ac:dyDescent="0.25">
      <c r="A103" s="316" t="s">
        <v>430</v>
      </c>
      <c r="B103" s="317">
        <v>0</v>
      </c>
      <c r="C103" s="211">
        <v>0</v>
      </c>
      <c r="D103" s="262">
        <v>-11</v>
      </c>
      <c r="E103" s="211">
        <v>19</v>
      </c>
      <c r="F103" s="262">
        <v>-2.9</v>
      </c>
      <c r="G103" s="318">
        <v>-87</v>
      </c>
    </row>
    <row r="104" spans="1:9" x14ac:dyDescent="0.25">
      <c r="A104" s="316" t="s">
        <v>431</v>
      </c>
      <c r="B104" s="317">
        <v>0</v>
      </c>
      <c r="C104" s="262">
        <v>0</v>
      </c>
      <c r="D104" s="332">
        <v>900</v>
      </c>
      <c r="E104" s="332">
        <v>3200</v>
      </c>
      <c r="F104" s="332">
        <v>130</v>
      </c>
      <c r="G104" s="333">
        <v>920</v>
      </c>
    </row>
    <row r="105" spans="1:9" x14ac:dyDescent="0.25">
      <c r="A105" s="319" t="s">
        <v>432</v>
      </c>
      <c r="B105" s="320">
        <v>0</v>
      </c>
      <c r="C105" s="322">
        <v>0</v>
      </c>
      <c r="D105" s="322">
        <v>-69</v>
      </c>
      <c r="E105" s="322">
        <v>-240</v>
      </c>
      <c r="F105" s="322">
        <v>-10</v>
      </c>
      <c r="G105" s="323">
        <v>-71</v>
      </c>
    </row>
    <row r="107" spans="1:9" x14ac:dyDescent="0.25">
      <c r="A107" s="212" t="s">
        <v>433</v>
      </c>
    </row>
    <row r="108" spans="1:9" x14ac:dyDescent="0.25">
      <c r="A108" s="307" t="s">
        <v>434</v>
      </c>
      <c r="B108" s="334">
        <v>0.85</v>
      </c>
    </row>
    <row r="109" spans="1:9" x14ac:dyDescent="0.25">
      <c r="A109" s="316" t="s">
        <v>435</v>
      </c>
      <c r="B109" s="335">
        <v>0.42857142857142855</v>
      </c>
      <c r="F109" s="262"/>
    </row>
    <row r="110" spans="1:9" x14ac:dyDescent="0.25">
      <c r="A110" s="316" t="s">
        <v>436</v>
      </c>
      <c r="B110" s="335">
        <v>0.75</v>
      </c>
    </row>
    <row r="111" spans="1:9" x14ac:dyDescent="0.25">
      <c r="A111" s="316" t="s">
        <v>437</v>
      </c>
      <c r="B111" s="335">
        <v>0.27272727272727271</v>
      </c>
    </row>
    <row r="112" spans="1:9" x14ac:dyDescent="0.25">
      <c r="A112" s="319" t="s">
        <v>438</v>
      </c>
      <c r="B112" s="336">
        <v>0.5</v>
      </c>
    </row>
    <row r="114" spans="1:24" x14ac:dyDescent="0.25">
      <c r="A114" s="337" t="s">
        <v>439</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440</v>
      </c>
      <c r="C118" s="345" t="s">
        <v>441</v>
      </c>
      <c r="D118" s="346" t="s">
        <v>442</v>
      </c>
      <c r="F118" s="344" t="s">
        <v>440</v>
      </c>
      <c r="G118" s="345" t="s">
        <v>443</v>
      </c>
      <c r="H118" s="346" t="s">
        <v>442</v>
      </c>
      <c r="J118" s="344" t="s">
        <v>440</v>
      </c>
      <c r="K118" s="347" t="s">
        <v>444</v>
      </c>
      <c r="L118" s="346" t="s">
        <v>442</v>
      </c>
      <c r="N118" s="344" t="s">
        <v>440</v>
      </c>
      <c r="O118" s="347" t="s">
        <v>445</v>
      </c>
      <c r="P118" s="346" t="s">
        <v>442</v>
      </c>
      <c r="R118" s="344" t="s">
        <v>440</v>
      </c>
      <c r="S118" s="347" t="s">
        <v>446</v>
      </c>
      <c r="T118" s="346" t="s">
        <v>442</v>
      </c>
      <c r="V118" s="344" t="s">
        <v>440</v>
      </c>
      <c r="W118" s="347" t="s">
        <v>447</v>
      </c>
      <c r="X118" s="346" t="s">
        <v>442</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448</v>
      </c>
    </row>
    <row r="129" spans="1:9" x14ac:dyDescent="0.25">
      <c r="A129" s="360" t="s">
        <v>449</v>
      </c>
      <c r="B129" s="361" t="s">
        <v>450</v>
      </c>
      <c r="C129" s="361" t="s">
        <v>451</v>
      </c>
      <c r="D129" s="361" t="s">
        <v>452</v>
      </c>
      <c r="E129" s="361" t="s">
        <v>453</v>
      </c>
      <c r="F129" s="362" t="s">
        <v>454</v>
      </c>
      <c r="G129" s="363"/>
      <c r="H129" s="363"/>
    </row>
    <row r="130" spans="1:9" x14ac:dyDescent="0.25">
      <c r="A130" s="364" t="s">
        <v>455</v>
      </c>
      <c r="B130" s="365">
        <v>1</v>
      </c>
      <c r="C130" s="365">
        <v>1000</v>
      </c>
      <c r="D130" s="365">
        <v>1000000</v>
      </c>
      <c r="E130" s="366">
        <v>453.59237000000002</v>
      </c>
      <c r="F130" s="367">
        <v>907184.74</v>
      </c>
      <c r="G130" s="363"/>
      <c r="H130" s="363"/>
    </row>
    <row r="131" spans="1:9" x14ac:dyDescent="0.25">
      <c r="A131" s="364" t="s">
        <v>456</v>
      </c>
      <c r="B131" s="368">
        <v>1E-3</v>
      </c>
      <c r="C131" s="365">
        <v>1</v>
      </c>
      <c r="D131" s="365">
        <v>1000</v>
      </c>
      <c r="E131" s="366">
        <v>0.45359237000000002</v>
      </c>
      <c r="F131" s="369">
        <v>907.18474000000003</v>
      </c>
      <c r="G131" s="363"/>
      <c r="H131" s="363"/>
    </row>
    <row r="132" spans="1:9" x14ac:dyDescent="0.25">
      <c r="A132" s="364" t="s">
        <v>457</v>
      </c>
      <c r="B132" s="368">
        <v>9.9999999999999995E-7</v>
      </c>
      <c r="C132" s="368">
        <v>1E-3</v>
      </c>
      <c r="D132" s="365">
        <v>1</v>
      </c>
      <c r="E132" s="368">
        <v>4.5359237000000004E-4</v>
      </c>
      <c r="F132" s="369">
        <v>0.90718474000000004</v>
      </c>
      <c r="G132" s="363"/>
      <c r="H132" s="363"/>
    </row>
    <row r="133" spans="1:9" x14ac:dyDescent="0.25">
      <c r="A133" s="364" t="s">
        <v>458</v>
      </c>
      <c r="B133" s="368">
        <v>2.2046226218487759E-3</v>
      </c>
      <c r="C133" s="366">
        <v>2.2046226218487757</v>
      </c>
      <c r="D133" s="365">
        <v>2204.6226218487759</v>
      </c>
      <c r="E133" s="365">
        <v>1</v>
      </c>
      <c r="F133" s="367">
        <v>2000</v>
      </c>
      <c r="G133" s="363"/>
      <c r="H133" s="363"/>
    </row>
    <row r="134" spans="1:9" x14ac:dyDescent="0.25">
      <c r="A134" s="370" t="s">
        <v>459</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460</v>
      </c>
      <c r="B136" s="361" t="s">
        <v>461</v>
      </c>
      <c r="C136" s="361" t="s">
        <v>462</v>
      </c>
      <c r="D136" s="361" t="s">
        <v>463</v>
      </c>
      <c r="E136" s="361" t="s">
        <v>464</v>
      </c>
      <c r="F136" s="362" t="s">
        <v>465</v>
      </c>
      <c r="G136" s="363"/>
      <c r="H136" s="363"/>
    </row>
    <row r="137" spans="1:9" x14ac:dyDescent="0.25">
      <c r="A137" s="364" t="s">
        <v>466</v>
      </c>
      <c r="B137" s="374">
        <v>1</v>
      </c>
      <c r="C137" s="375">
        <v>9.9999999999999995E-7</v>
      </c>
      <c r="D137" s="376">
        <v>1E-3</v>
      </c>
      <c r="E137" s="377">
        <v>3.7854109999999998E-3</v>
      </c>
      <c r="F137" s="378">
        <v>2.8316846999999999E-2</v>
      </c>
      <c r="G137" s="363"/>
      <c r="H137" s="363"/>
    </row>
    <row r="138" spans="1:9" x14ac:dyDescent="0.25">
      <c r="A138" s="364" t="s">
        <v>467</v>
      </c>
      <c r="B138" s="365">
        <v>1000000</v>
      </c>
      <c r="C138" s="365">
        <v>1</v>
      </c>
      <c r="D138" s="365">
        <v>1000.0000000000001</v>
      </c>
      <c r="E138" s="365">
        <v>3785.4110000000001</v>
      </c>
      <c r="F138" s="367">
        <v>28316.847000000002</v>
      </c>
      <c r="G138" s="363"/>
      <c r="H138" s="363"/>
    </row>
    <row r="139" spans="1:9" x14ac:dyDescent="0.25">
      <c r="A139" s="364" t="s">
        <v>468</v>
      </c>
      <c r="B139" s="365">
        <v>1000</v>
      </c>
      <c r="C139" s="366">
        <v>1E-3</v>
      </c>
      <c r="D139" s="365">
        <v>1</v>
      </c>
      <c r="E139" s="366">
        <v>3.7854109999999999</v>
      </c>
      <c r="F139" s="369">
        <v>28.316846999999999</v>
      </c>
      <c r="G139" s="363"/>
      <c r="H139" s="363"/>
    </row>
    <row r="140" spans="1:9" x14ac:dyDescent="0.25">
      <c r="A140" s="364" t="s">
        <v>469</v>
      </c>
      <c r="B140" s="352">
        <v>264.17210707106841</v>
      </c>
      <c r="C140" s="368">
        <v>2.6417210707106839E-4</v>
      </c>
      <c r="D140" s="366">
        <v>0.26417210707106842</v>
      </c>
      <c r="E140" s="365">
        <v>1</v>
      </c>
      <c r="F140" s="369">
        <v>7.4805211375990615</v>
      </c>
      <c r="G140" s="363"/>
      <c r="H140" s="363"/>
    </row>
    <row r="141" spans="1:9" x14ac:dyDescent="0.25">
      <c r="A141" s="370" t="s">
        <v>470</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471</v>
      </c>
      <c r="B143" s="361" t="s">
        <v>472</v>
      </c>
      <c r="C143" s="361" t="s">
        <v>473</v>
      </c>
      <c r="D143" s="361" t="s">
        <v>474</v>
      </c>
      <c r="E143" s="361" t="s">
        <v>475</v>
      </c>
      <c r="F143" s="361" t="s">
        <v>476</v>
      </c>
      <c r="G143" s="361" t="s">
        <v>477</v>
      </c>
      <c r="H143" s="361" t="s">
        <v>478</v>
      </c>
      <c r="I143" s="379" t="s">
        <v>479</v>
      </c>
    </row>
    <row r="144" spans="1:9" x14ac:dyDescent="0.25">
      <c r="A144" s="364" t="s">
        <v>480</v>
      </c>
      <c r="B144" s="365">
        <v>1</v>
      </c>
      <c r="C144" s="365">
        <v>1000</v>
      </c>
      <c r="D144" s="365">
        <v>1000000</v>
      </c>
      <c r="E144" s="365">
        <v>3600</v>
      </c>
      <c r="F144" s="365">
        <v>3600000</v>
      </c>
      <c r="G144" s="365">
        <v>1055.05585</v>
      </c>
      <c r="H144" s="365">
        <v>1055055850</v>
      </c>
      <c r="I144" s="318">
        <v>2684519.5376862194</v>
      </c>
    </row>
    <row r="145" spans="1:9" x14ac:dyDescent="0.25">
      <c r="A145" s="364" t="s">
        <v>481</v>
      </c>
      <c r="B145" s="366">
        <v>1E-3</v>
      </c>
      <c r="C145" s="365">
        <v>1</v>
      </c>
      <c r="D145" s="365">
        <v>1000</v>
      </c>
      <c r="E145" s="352">
        <v>3.6</v>
      </c>
      <c r="F145" s="365">
        <v>3600</v>
      </c>
      <c r="G145" s="366">
        <v>1.05505585</v>
      </c>
      <c r="H145" s="365">
        <v>1055055.8500000001</v>
      </c>
      <c r="I145" s="318">
        <v>2684.5195376862198</v>
      </c>
    </row>
    <row r="146" spans="1:9" x14ac:dyDescent="0.25">
      <c r="A146" s="364" t="s">
        <v>482</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483</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484</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309</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485</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486</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12" workbookViewId="0">
      <selection activeCell="A123" sqref="A123:XFD125"/>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502</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503</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504</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505</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506</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507</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508</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509</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283</v>
      </c>
      <c r="N59" s="4" t="s">
        <v>16</v>
      </c>
    </row>
    <row r="60" spans="1:14" s="4" customFormat="1" x14ac:dyDescent="0.25"/>
    <row r="61" spans="1:14" s="4" customFormat="1" x14ac:dyDescent="0.25">
      <c r="A61" s="18" t="s">
        <v>510</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284</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285</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286</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563</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511</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512</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513</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514</v>
      </c>
      <c r="C102" s="164"/>
      <c r="D102" s="164"/>
      <c r="E102" s="164"/>
      <c r="F102" s="164"/>
      <c r="G102" s="164"/>
      <c r="H102" s="164"/>
      <c r="I102" s="164"/>
      <c r="J102" s="164"/>
      <c r="K102" s="164"/>
      <c r="L102" s="164"/>
      <c r="M102" s="164"/>
      <c r="N102" s="164"/>
      <c r="T102" s="487"/>
    </row>
    <row r="103" spans="1:20" s="4" customFormat="1" x14ac:dyDescent="0.25">
      <c r="A103" s="163"/>
      <c r="B103" s="165" t="s">
        <v>254</v>
      </c>
      <c r="C103" s="164"/>
      <c r="D103" s="166"/>
      <c r="E103" s="167"/>
      <c r="F103" s="166"/>
      <c r="G103" s="164"/>
      <c r="H103" s="164"/>
      <c r="I103" s="164"/>
      <c r="J103" s="164"/>
      <c r="K103" s="164"/>
      <c r="L103" s="164"/>
      <c r="M103" s="164"/>
      <c r="N103" s="166" t="s">
        <v>16</v>
      </c>
      <c r="T103" s="487"/>
    </row>
    <row r="104" spans="1:20" s="4" customFormat="1" x14ac:dyDescent="0.25">
      <c r="A104" s="163"/>
      <c r="B104" s="164"/>
      <c r="C104" s="164"/>
      <c r="D104" s="164"/>
      <c r="E104" s="164"/>
      <c r="F104" s="164"/>
      <c r="G104" s="164"/>
      <c r="H104" s="164"/>
      <c r="I104" s="164"/>
      <c r="J104" s="164"/>
      <c r="K104" s="164"/>
      <c r="L104" s="164"/>
      <c r="M104" s="164"/>
      <c r="N104" s="164"/>
      <c r="T104" s="487"/>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87"/>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87"/>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87"/>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87"/>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87"/>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533</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528</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529</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530</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531</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532</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40" customFormat="1" x14ac:dyDescent="0.25">
      <c r="A123" s="440" t="s">
        <v>528</v>
      </c>
      <c r="B123" s="440" t="s">
        <v>51</v>
      </c>
      <c r="C123" s="441">
        <f>G6</f>
        <v>214.15614020033445</v>
      </c>
      <c r="D123" s="442">
        <f t="shared" si="19"/>
        <v>215.62251830234814</v>
      </c>
      <c r="E123" s="442">
        <f t="shared" si="19"/>
        <v>217.08889640436183</v>
      </c>
      <c r="F123" s="442">
        <f t="shared" si="19"/>
        <v>218.55527450637555</v>
      </c>
      <c r="G123" s="442">
        <f t="shared" si="19"/>
        <v>220.02165260838925</v>
      </c>
      <c r="H123" s="442">
        <f>H6</f>
        <v>221.48803071040294</v>
      </c>
      <c r="I123" s="442">
        <f t="shared" si="20"/>
        <v>230.99896779002773</v>
      </c>
      <c r="J123" s="442">
        <f t="shared" si="20"/>
        <v>240.5099048696525</v>
      </c>
      <c r="K123" s="442">
        <f t="shared" si="20"/>
        <v>250.0208419492773</v>
      </c>
      <c r="L123" s="442">
        <f t="shared" si="20"/>
        <v>259.53177902890206</v>
      </c>
      <c r="M123" s="443">
        <f>I6</f>
        <v>269.04271610852686</v>
      </c>
      <c r="N123" s="442">
        <f t="shared" si="21"/>
        <v>281.61618816640953</v>
      </c>
      <c r="O123" s="442">
        <f t="shared" si="21"/>
        <v>294.18966022429214</v>
      </c>
      <c r="P123" s="442">
        <f t="shared" si="21"/>
        <v>306.76313228217481</v>
      </c>
      <c r="Q123" s="442">
        <f t="shared" si="21"/>
        <v>319.33660434005742</v>
      </c>
      <c r="R123" s="443">
        <f>J6</f>
        <v>331.91007639794009</v>
      </c>
      <c r="S123" s="442">
        <f t="shared" si="22"/>
        <v>348.36580065171268</v>
      </c>
      <c r="T123" s="442">
        <f t="shared" si="22"/>
        <v>364.82152490548532</v>
      </c>
      <c r="U123" s="442">
        <f t="shared" si="22"/>
        <v>381.27724915925791</v>
      </c>
      <c r="V123" s="442">
        <f t="shared" si="22"/>
        <v>397.73297341303055</v>
      </c>
      <c r="W123" s="443">
        <f>K6</f>
        <v>414.18869766680314</v>
      </c>
      <c r="X123" s="442">
        <f t="shared" si="17"/>
        <v>433.6014066735151</v>
      </c>
      <c r="Y123" s="442">
        <f t="shared" si="17"/>
        <v>453.01411568022706</v>
      </c>
      <c r="Z123" s="442">
        <f t="shared" si="17"/>
        <v>472.42682468693909</v>
      </c>
      <c r="AA123" s="442">
        <f t="shared" si="17"/>
        <v>491.83953369365105</v>
      </c>
      <c r="AB123" s="443">
        <f>L6</f>
        <v>511.25224270036301</v>
      </c>
      <c r="AC123" s="442">
        <f t="shared" si="23"/>
        <v>529.70068419248139</v>
      </c>
      <c r="AD123" s="442">
        <f t="shared" si="23"/>
        <v>548.14912568459977</v>
      </c>
      <c r="AE123" s="442">
        <f t="shared" si="23"/>
        <v>566.59756717671826</v>
      </c>
      <c r="AF123" s="442">
        <f t="shared" si="23"/>
        <v>585.04600866883663</v>
      </c>
      <c r="AG123" s="443">
        <f>M6</f>
        <v>603.49445016095501</v>
      </c>
      <c r="AH123" s="442">
        <f t="shared" si="24"/>
        <v>620.19578174746516</v>
      </c>
      <c r="AI123" s="442">
        <f t="shared" si="24"/>
        <v>636.8971133339752</v>
      </c>
      <c r="AJ123" s="442">
        <f t="shared" si="24"/>
        <v>653.59844492048535</v>
      </c>
      <c r="AK123" s="442">
        <f t="shared" si="24"/>
        <v>670.29977650699539</v>
      </c>
      <c r="AL123" s="443">
        <f>N6</f>
        <v>687.00110809350554</v>
      </c>
      <c r="AM123" s="442">
        <f t="shared" si="25"/>
        <v>703.70243968001569</v>
      </c>
      <c r="AN123" s="442">
        <f t="shared" si="25"/>
        <v>720.40377126652572</v>
      </c>
      <c r="AO123" s="442">
        <f t="shared" si="25"/>
        <v>737.10510285303587</v>
      </c>
      <c r="AP123" s="442">
        <f>SUM(AL123:AL130)</f>
        <v>8501.2034022287444</v>
      </c>
    </row>
    <row r="124" spans="1:42" s="440" customFormat="1" x14ac:dyDescent="0.25">
      <c r="A124" s="440" t="s">
        <v>529</v>
      </c>
      <c r="B124" s="440" t="s">
        <v>51</v>
      </c>
      <c r="C124" s="444">
        <f>E$92</f>
        <v>892.07603274999997</v>
      </c>
      <c r="D124" s="442">
        <f t="shared" si="19"/>
        <v>884.12929716850476</v>
      </c>
      <c r="E124" s="442">
        <f t="shared" si="19"/>
        <v>876.18256158700967</v>
      </c>
      <c r="F124" s="442">
        <f t="shared" si="19"/>
        <v>868.23582600551447</v>
      </c>
      <c r="G124" s="442">
        <f t="shared" si="19"/>
        <v>860.28909042401938</v>
      </c>
      <c r="H124" s="444">
        <f>F$92</f>
        <v>852.34235484252417</v>
      </c>
      <c r="I124" s="442">
        <f t="shared" si="20"/>
        <v>870.00072871930229</v>
      </c>
      <c r="J124" s="442">
        <f t="shared" si="20"/>
        <v>887.6591025960804</v>
      </c>
      <c r="K124" s="442">
        <f t="shared" si="20"/>
        <v>905.3174764728584</v>
      </c>
      <c r="L124" s="442">
        <f t="shared" si="20"/>
        <v>922.97585034963652</v>
      </c>
      <c r="M124" s="444">
        <f>G$92</f>
        <v>940.63422422641463</v>
      </c>
      <c r="N124" s="442">
        <f t="shared" si="21"/>
        <v>967.0312408215957</v>
      </c>
      <c r="O124" s="442">
        <f t="shared" si="21"/>
        <v>993.42825741677689</v>
      </c>
      <c r="P124" s="442">
        <f t="shared" si="21"/>
        <v>1019.825274011958</v>
      </c>
      <c r="Q124" s="442">
        <f t="shared" si="21"/>
        <v>1046.222290607139</v>
      </c>
      <c r="R124" s="444">
        <f>H$92</f>
        <v>1072.6193072023202</v>
      </c>
      <c r="S124" s="442">
        <f t="shared" si="22"/>
        <v>1102.9707908742007</v>
      </c>
      <c r="T124" s="442">
        <f t="shared" si="22"/>
        <v>1133.3222745460812</v>
      </c>
      <c r="U124" s="442">
        <f t="shared" si="22"/>
        <v>1163.6737582179619</v>
      </c>
      <c r="V124" s="442">
        <f t="shared" si="22"/>
        <v>1194.0252418898424</v>
      </c>
      <c r="W124" s="444">
        <f>I$92</f>
        <v>1224.3767255617229</v>
      </c>
      <c r="X124" s="442">
        <f t="shared" si="17"/>
        <v>1259.1618807403138</v>
      </c>
      <c r="Y124" s="442">
        <f t="shared" si="17"/>
        <v>1293.9470359189045</v>
      </c>
      <c r="Z124" s="442">
        <f t="shared" si="17"/>
        <v>1328.7321910974954</v>
      </c>
      <c r="AA124" s="442">
        <f t="shared" si="17"/>
        <v>1363.5173462760861</v>
      </c>
      <c r="AB124" s="444">
        <f>J$92</f>
        <v>1398.302501454677</v>
      </c>
      <c r="AC124" s="442">
        <f t="shared" si="23"/>
        <v>1441.3071687654308</v>
      </c>
      <c r="AD124" s="442">
        <f t="shared" si="23"/>
        <v>1484.3118360761846</v>
      </c>
      <c r="AE124" s="442">
        <f t="shared" si="23"/>
        <v>1527.3165033869386</v>
      </c>
      <c r="AF124" s="442">
        <f t="shared" si="23"/>
        <v>1570.3211706976924</v>
      </c>
      <c r="AG124" s="444">
        <f>K$92</f>
        <v>1613.3258380084462</v>
      </c>
      <c r="AH124" s="442">
        <f t="shared" si="24"/>
        <v>1667.4760625262625</v>
      </c>
      <c r="AI124" s="442">
        <f t="shared" si="24"/>
        <v>1721.6262870440787</v>
      </c>
      <c r="AJ124" s="442">
        <f t="shared" si="24"/>
        <v>1775.7765115618949</v>
      </c>
      <c r="AK124" s="442">
        <f t="shared" si="24"/>
        <v>1829.926736079711</v>
      </c>
      <c r="AL124" s="444">
        <f>L$92</f>
        <v>1884.0769605975272</v>
      </c>
      <c r="AM124" s="442">
        <f t="shared" si="25"/>
        <v>1938.2271851153434</v>
      </c>
      <c r="AN124" s="442">
        <f t="shared" si="25"/>
        <v>1992.3774096331597</v>
      </c>
      <c r="AO124" s="442">
        <f t="shared" si="25"/>
        <v>2046.5276341509757</v>
      </c>
    </row>
    <row r="125" spans="1:42" s="440" customFormat="1" x14ac:dyDescent="0.25">
      <c r="A125" s="440" t="s">
        <v>27</v>
      </c>
      <c r="B125" s="440" t="s">
        <v>51</v>
      </c>
      <c r="C125" s="441">
        <f>G24</f>
        <v>484.40684690346245</v>
      </c>
      <c r="D125" s="442">
        <f t="shared" si="19"/>
        <v>517.04371876766311</v>
      </c>
      <c r="E125" s="442">
        <f t="shared" si="19"/>
        <v>549.68059063186377</v>
      </c>
      <c r="F125" s="442">
        <f t="shared" si="19"/>
        <v>582.31746249606431</v>
      </c>
      <c r="G125" s="442">
        <f t="shared" si="19"/>
        <v>614.95433436026497</v>
      </c>
      <c r="H125" s="442">
        <f>H24</f>
        <v>647.59120622446562</v>
      </c>
      <c r="I125" s="442">
        <f t="shared" si="20"/>
        <v>690.16697262139712</v>
      </c>
      <c r="J125" s="442">
        <f t="shared" si="20"/>
        <v>732.74273901832873</v>
      </c>
      <c r="K125" s="442">
        <f t="shared" si="20"/>
        <v>775.31850541526023</v>
      </c>
      <c r="L125" s="442">
        <f t="shared" si="20"/>
        <v>817.89427181219185</v>
      </c>
      <c r="M125" s="443">
        <f>I24</f>
        <v>860.47003820912335</v>
      </c>
      <c r="N125" s="442">
        <f t="shared" si="21"/>
        <v>913.81231178070391</v>
      </c>
      <c r="O125" s="442">
        <f t="shared" si="21"/>
        <v>967.15458535228447</v>
      </c>
      <c r="P125" s="442">
        <f t="shared" si="21"/>
        <v>1020.4968589238651</v>
      </c>
      <c r="Q125" s="442">
        <f t="shared" si="21"/>
        <v>1073.8391324954457</v>
      </c>
      <c r="R125" s="443">
        <f>J24</f>
        <v>1127.1814060670263</v>
      </c>
      <c r="S125" s="442">
        <f t="shared" si="22"/>
        <v>1195.2547184993837</v>
      </c>
      <c r="T125" s="442">
        <f t="shared" si="22"/>
        <v>1263.3280309317408</v>
      </c>
      <c r="U125" s="442">
        <f t="shared" si="22"/>
        <v>1331.4013433640982</v>
      </c>
      <c r="V125" s="442">
        <f t="shared" si="22"/>
        <v>1399.4746557964554</v>
      </c>
      <c r="W125" s="443">
        <f>K24</f>
        <v>1467.5479682288128</v>
      </c>
      <c r="X125" s="442">
        <f t="shared" si="17"/>
        <v>1529.9271246523394</v>
      </c>
      <c r="Y125" s="442">
        <f t="shared" si="17"/>
        <v>1592.3062810758663</v>
      </c>
      <c r="Z125" s="442">
        <f t="shared" si="17"/>
        <v>1654.6854374993929</v>
      </c>
      <c r="AA125" s="442">
        <f t="shared" si="17"/>
        <v>1717.0645939229198</v>
      </c>
      <c r="AB125" s="443">
        <f>L24</f>
        <v>1779.4437503464464</v>
      </c>
      <c r="AC125" s="442">
        <f t="shared" si="23"/>
        <v>1829.1182323961054</v>
      </c>
      <c r="AD125" s="442">
        <f t="shared" si="23"/>
        <v>1878.7927144457644</v>
      </c>
      <c r="AE125" s="442">
        <f t="shared" si="23"/>
        <v>1928.4671964954232</v>
      </c>
      <c r="AF125" s="442">
        <f t="shared" si="23"/>
        <v>1978.1416785450822</v>
      </c>
      <c r="AG125" s="443">
        <f>M24</f>
        <v>2027.8161605947412</v>
      </c>
      <c r="AH125" s="442">
        <f t="shared" si="24"/>
        <v>2060.5578058907813</v>
      </c>
      <c r="AI125" s="442">
        <f t="shared" si="24"/>
        <v>2093.2994511868219</v>
      </c>
      <c r="AJ125" s="442">
        <f t="shared" si="24"/>
        <v>2126.041096482862</v>
      </c>
      <c r="AK125" s="442">
        <f t="shared" si="24"/>
        <v>2158.7827417789026</v>
      </c>
      <c r="AL125" s="443">
        <f>N24</f>
        <v>2191.5243870749428</v>
      </c>
      <c r="AM125" s="442">
        <f t="shared" si="25"/>
        <v>2224.2660323709829</v>
      </c>
      <c r="AN125" s="442">
        <f t="shared" si="25"/>
        <v>2257.0076776670235</v>
      </c>
      <c r="AO125" s="442">
        <f t="shared" si="25"/>
        <v>2289.7493229630636</v>
      </c>
    </row>
    <row r="126" spans="1:42" s="440" customFormat="1" x14ac:dyDescent="0.25">
      <c r="A126" s="440" t="s">
        <v>6</v>
      </c>
      <c r="B126" s="440" t="s">
        <v>51</v>
      </c>
      <c r="C126" s="441">
        <f>SUM(G11,G46)</f>
        <v>78.718525584117614</v>
      </c>
      <c r="D126" s="442">
        <f t="shared" si="19"/>
        <v>80.001920483849915</v>
      </c>
      <c r="E126" s="442">
        <f t="shared" si="19"/>
        <v>81.285315383582216</v>
      </c>
      <c r="F126" s="442">
        <f t="shared" si="19"/>
        <v>82.56871028331453</v>
      </c>
      <c r="G126" s="442">
        <f t="shared" si="19"/>
        <v>83.852105183046831</v>
      </c>
      <c r="H126" s="441">
        <f>SUM(H11,H46)</f>
        <v>85.135500082779132</v>
      </c>
      <c r="I126" s="442">
        <f t="shared" si="20"/>
        <v>85.894111055243428</v>
      </c>
      <c r="J126" s="442">
        <f t="shared" si="20"/>
        <v>86.652722027707711</v>
      </c>
      <c r="K126" s="442">
        <f t="shared" si="20"/>
        <v>87.411333000172007</v>
      </c>
      <c r="L126" s="442">
        <f t="shared" si="20"/>
        <v>88.16994397263629</v>
      </c>
      <c r="M126" s="441">
        <f>SUM(I11,I46)</f>
        <v>88.928554945100586</v>
      </c>
      <c r="N126" s="442">
        <f t="shared" si="21"/>
        <v>89.51765792780877</v>
      </c>
      <c r="O126" s="442">
        <f t="shared" si="21"/>
        <v>90.10676091051694</v>
      </c>
      <c r="P126" s="442">
        <f t="shared" si="21"/>
        <v>90.695863893225123</v>
      </c>
      <c r="Q126" s="442">
        <f t="shared" si="21"/>
        <v>91.284966875933293</v>
      </c>
      <c r="R126" s="441">
        <f>SUM(J11,J46)</f>
        <v>91.874069858641477</v>
      </c>
      <c r="S126" s="442">
        <f t="shared" si="22"/>
        <v>92.157632031720226</v>
      </c>
      <c r="T126" s="442">
        <f t="shared" si="22"/>
        <v>92.441194204798975</v>
      </c>
      <c r="U126" s="442">
        <f t="shared" si="22"/>
        <v>92.724756377877711</v>
      </c>
      <c r="V126" s="442">
        <f t="shared" si="22"/>
        <v>93.00831855095646</v>
      </c>
      <c r="W126" s="441">
        <f>SUM(K11,K46)</f>
        <v>93.291880724035209</v>
      </c>
      <c r="X126" s="442">
        <f t="shared" si="17"/>
        <v>93.456781820679126</v>
      </c>
      <c r="Y126" s="442">
        <f t="shared" si="17"/>
        <v>93.621682917323028</v>
      </c>
      <c r="Z126" s="442">
        <f t="shared" si="17"/>
        <v>93.786584013966944</v>
      </c>
      <c r="AA126" s="442">
        <f t="shared" si="17"/>
        <v>93.951485110610847</v>
      </c>
      <c r="AB126" s="441">
        <f>SUM(L11,L46)</f>
        <v>94.116386207254763</v>
      </c>
      <c r="AC126" s="442">
        <f t="shared" si="23"/>
        <v>94.155344748817242</v>
      </c>
      <c r="AD126" s="442">
        <f t="shared" si="23"/>
        <v>94.194303290379722</v>
      </c>
      <c r="AE126" s="442">
        <f t="shared" si="23"/>
        <v>94.233261831942187</v>
      </c>
      <c r="AF126" s="442">
        <f t="shared" si="23"/>
        <v>94.272220373504666</v>
      </c>
      <c r="AG126" s="441">
        <f>SUM(M11,M46)</f>
        <v>94.311178915067146</v>
      </c>
      <c r="AH126" s="442">
        <f t="shared" si="24"/>
        <v>94.117266988245859</v>
      </c>
      <c r="AI126" s="442">
        <f t="shared" si="24"/>
        <v>93.923355061424573</v>
      </c>
      <c r="AJ126" s="442">
        <f t="shared" si="24"/>
        <v>93.729443134603272</v>
      </c>
      <c r="AK126" s="442">
        <f t="shared" si="24"/>
        <v>93.535531207781986</v>
      </c>
      <c r="AL126" s="441">
        <f>SUM(N11,N46)</f>
        <v>93.3416192809607</v>
      </c>
      <c r="AM126" s="442">
        <f t="shared" si="25"/>
        <v>93.147707354139413</v>
      </c>
      <c r="AN126" s="442">
        <f t="shared" si="25"/>
        <v>92.953795427318127</v>
      </c>
      <c r="AO126" s="442">
        <f t="shared" si="25"/>
        <v>92.759883500496827</v>
      </c>
    </row>
    <row r="127" spans="1:42" s="440" customFormat="1" x14ac:dyDescent="0.25">
      <c r="A127" s="440" t="s">
        <v>530</v>
      </c>
      <c r="B127" s="440" t="s">
        <v>51</v>
      </c>
      <c r="C127" s="444">
        <f>E$98</f>
        <v>2706.3</v>
      </c>
      <c r="D127" s="442">
        <f t="shared" si="19"/>
        <v>2801.1600000000003</v>
      </c>
      <c r="E127" s="442">
        <f t="shared" si="19"/>
        <v>2896.0200000000004</v>
      </c>
      <c r="F127" s="442">
        <f t="shared" si="19"/>
        <v>2990.88</v>
      </c>
      <c r="G127" s="442">
        <f t="shared" si="19"/>
        <v>3085.7400000000002</v>
      </c>
      <c r="H127" s="444">
        <f>F$98</f>
        <v>3180.6000000000004</v>
      </c>
      <c r="I127" s="442">
        <f t="shared" si="20"/>
        <v>3255.0000000000005</v>
      </c>
      <c r="J127" s="442">
        <f t="shared" si="20"/>
        <v>3329.4000000000005</v>
      </c>
      <c r="K127" s="442">
        <f t="shared" si="20"/>
        <v>3403.8</v>
      </c>
      <c r="L127" s="442">
        <f t="shared" si="20"/>
        <v>3478.2000000000003</v>
      </c>
      <c r="M127" s="444">
        <f>G$98</f>
        <v>3552.6000000000004</v>
      </c>
      <c r="N127" s="442">
        <f t="shared" si="21"/>
        <v>3587.01</v>
      </c>
      <c r="O127" s="442">
        <f t="shared" si="21"/>
        <v>3621.42</v>
      </c>
      <c r="P127" s="442">
        <f t="shared" si="21"/>
        <v>3655.8300000000004</v>
      </c>
      <c r="Q127" s="442">
        <f t="shared" si="21"/>
        <v>3690.2400000000002</v>
      </c>
      <c r="R127" s="444">
        <f>H$98</f>
        <v>3724.65</v>
      </c>
      <c r="S127" s="442">
        <f t="shared" si="22"/>
        <v>3719.07</v>
      </c>
      <c r="T127" s="442">
        <f t="shared" si="22"/>
        <v>3713.4900000000002</v>
      </c>
      <c r="U127" s="442">
        <f t="shared" si="22"/>
        <v>3707.9100000000003</v>
      </c>
      <c r="V127" s="442">
        <f t="shared" si="22"/>
        <v>3702.3300000000004</v>
      </c>
      <c r="W127" s="444">
        <f>I$98</f>
        <v>3696.7500000000005</v>
      </c>
      <c r="X127" s="442">
        <f t="shared" si="17"/>
        <v>3692.1000000000004</v>
      </c>
      <c r="Y127" s="442">
        <f t="shared" si="17"/>
        <v>3687.4500000000003</v>
      </c>
      <c r="Z127" s="442">
        <f t="shared" si="17"/>
        <v>3682.8000000000006</v>
      </c>
      <c r="AA127" s="442">
        <f t="shared" si="17"/>
        <v>3678.1500000000005</v>
      </c>
      <c r="AB127" s="444">
        <f>J$98</f>
        <v>3673.5000000000005</v>
      </c>
      <c r="AC127" s="442">
        <f t="shared" si="23"/>
        <v>3546.0900000000006</v>
      </c>
      <c r="AD127" s="442">
        <f t="shared" si="23"/>
        <v>3418.6800000000003</v>
      </c>
      <c r="AE127" s="442">
        <f t="shared" si="23"/>
        <v>3291.2700000000004</v>
      </c>
      <c r="AF127" s="442">
        <f t="shared" si="23"/>
        <v>3163.86</v>
      </c>
      <c r="AG127" s="444">
        <f>K$98</f>
        <v>3036.4500000000003</v>
      </c>
      <c r="AH127" s="442">
        <f t="shared" si="24"/>
        <v>2931.36</v>
      </c>
      <c r="AI127" s="442">
        <f t="shared" si="24"/>
        <v>2826.27</v>
      </c>
      <c r="AJ127" s="442">
        <f t="shared" si="24"/>
        <v>2721.1800000000003</v>
      </c>
      <c r="AK127" s="442">
        <f t="shared" si="24"/>
        <v>2616.09</v>
      </c>
      <c r="AL127" s="444">
        <f>L$98</f>
        <v>2511</v>
      </c>
      <c r="AM127" s="442">
        <f t="shared" si="25"/>
        <v>2405.91</v>
      </c>
      <c r="AN127" s="442">
        <f t="shared" si="25"/>
        <v>2300.8199999999997</v>
      </c>
      <c r="AO127" s="442">
        <f t="shared" si="25"/>
        <v>2195.7299999999996</v>
      </c>
    </row>
    <row r="128" spans="1:42" s="440" customFormat="1" x14ac:dyDescent="0.25">
      <c r="A128" s="440" t="s">
        <v>531</v>
      </c>
      <c r="B128" s="440" t="s">
        <v>51</v>
      </c>
      <c r="C128" s="440">
        <f t="shared" ref="C128:AO128" si="26">A$74/$A$74</f>
        <v>1</v>
      </c>
      <c r="D128" s="440">
        <f t="shared" si="26"/>
        <v>1.0122688417040666</v>
      </c>
      <c r="E128" s="440">
        <f t="shared" si="26"/>
        <v>1.0243799180788873</v>
      </c>
      <c r="F128" s="440">
        <f t="shared" si="26"/>
        <v>1.0364099210877882</v>
      </c>
      <c r="G128" s="440">
        <f t="shared" si="26"/>
        <v>1.0483787143031715</v>
      </c>
      <c r="H128" s="440">
        <f t="shared" si="26"/>
        <v>1.0602614249126261</v>
      </c>
      <c r="I128" s="440">
        <f t="shared" si="26"/>
        <v>1.0720359495555423</v>
      </c>
      <c r="J128" s="440">
        <f t="shared" si="26"/>
        <v>1.0836632134679862</v>
      </c>
      <c r="K128" s="440">
        <f t="shared" si="26"/>
        <v>1.095111547675663</v>
      </c>
      <c r="L128" s="440">
        <f t="shared" si="26"/>
        <v>1.1063738266593561</v>
      </c>
      <c r="M128" s="440">
        <f t="shared" si="26"/>
        <v>1.1174516338677802</v>
      </c>
      <c r="N128" s="440">
        <f t="shared" si="26"/>
        <v>1.1283323017112175</v>
      </c>
      <c r="O128" s="440">
        <f t="shared" si="26"/>
        <v>1.1390023708755923</v>
      </c>
      <c r="P128" s="440">
        <f t="shared" si="26"/>
        <v>1.1494483820468293</v>
      </c>
      <c r="Q128" s="440">
        <f t="shared" si="26"/>
        <v>1.1596592510839252</v>
      </c>
      <c r="R128" s="440">
        <f t="shared" si="26"/>
        <v>1.1696238938458769</v>
      </c>
      <c r="S128" s="440">
        <f t="shared" si="26"/>
        <v>1.1793248923968218</v>
      </c>
      <c r="T128" s="440">
        <f t="shared" si="26"/>
        <v>1.1887440370765403</v>
      </c>
      <c r="U128" s="440">
        <f t="shared" si="26"/>
        <v>1.1978670768465998</v>
      </c>
      <c r="V128" s="440">
        <f t="shared" si="26"/>
        <v>1.2066860944634263</v>
      </c>
      <c r="W128" s="440">
        <f t="shared" si="26"/>
        <v>1.2151931726834462</v>
      </c>
      <c r="X128" s="440">
        <f t="shared" si="26"/>
        <v>1.2233756439169412</v>
      </c>
      <c r="Y128" s="440">
        <f t="shared" si="26"/>
        <v>1.2312168819524067</v>
      </c>
      <c r="Z128" s="440">
        <f t="shared" si="26"/>
        <v>1.2387081778219113</v>
      </c>
      <c r="AA128" s="440">
        <f t="shared" si="26"/>
        <v>1.2458431977305962</v>
      </c>
      <c r="AB128" s="440">
        <f t="shared" si="26"/>
        <v>1.2526243168515334</v>
      </c>
      <c r="AC128" s="440">
        <f t="shared" si="26"/>
        <v>1.2590649944987984</v>
      </c>
      <c r="AD128" s="440">
        <f t="shared" si="26"/>
        <v>1.265184232056968</v>
      </c>
      <c r="AE128" s="440">
        <f t="shared" si="26"/>
        <v>1.2709994474619049</v>
      </c>
      <c r="AF128" s="440">
        <f t="shared" si="26"/>
        <v>1.2765130158866809</v>
      </c>
      <c r="AG128" s="440">
        <f t="shared" si="26"/>
        <v>1.2817273125043682</v>
      </c>
      <c r="AH128" s="440">
        <f t="shared" si="26"/>
        <v>1.2866494628341834</v>
      </c>
      <c r="AI128" s="440">
        <f t="shared" si="26"/>
        <v>1.2912897592927721</v>
      </c>
      <c r="AJ128" s="440">
        <f t="shared" si="26"/>
        <v>1.2956537439506361</v>
      </c>
      <c r="AK128" s="440">
        <f t="shared" si="26"/>
        <v>1.2997477506026345</v>
      </c>
      <c r="AL128" s="440">
        <f t="shared" si="26"/>
        <v>1.3035725709731245</v>
      </c>
      <c r="AM128" s="440">
        <f t="shared" si="26"/>
        <v>1.3071321636838933</v>
      </c>
      <c r="AN128" s="440">
        <f t="shared" si="26"/>
        <v>1.3104249452862258</v>
      </c>
      <c r="AO128" s="440">
        <f t="shared" si="26"/>
        <v>1.3134532909531942</v>
      </c>
    </row>
    <row r="129" spans="1:41" s="440" customFormat="1" x14ac:dyDescent="0.25">
      <c r="A129" s="440" t="s">
        <v>11</v>
      </c>
      <c r="B129" s="440" t="s">
        <v>51</v>
      </c>
      <c r="C129" s="441">
        <f>-SUM(F$107:F$108)</f>
        <v>237.20689383625</v>
      </c>
      <c r="D129" s="442">
        <f t="shared" ref="D129:G130" si="27">($H129-$C129)/5*(D$114-$C$114)+$C129</f>
        <v>252.89581834503804</v>
      </c>
      <c r="E129" s="442">
        <f t="shared" si="27"/>
        <v>268.58474285382607</v>
      </c>
      <c r="F129" s="442">
        <f t="shared" si="27"/>
        <v>284.27366736261411</v>
      </c>
      <c r="G129" s="442">
        <f t="shared" si="27"/>
        <v>299.96259187140214</v>
      </c>
      <c r="H129" s="441">
        <f>-SUM(G$107:G$108)</f>
        <v>315.65151638019017</v>
      </c>
      <c r="I129" s="442">
        <f t="shared" ref="I129:L130" si="28">($M129-$H129)/5*(I$114-$H$114)+$H129</f>
        <v>336.32075875808727</v>
      </c>
      <c r="J129" s="442">
        <f t="shared" si="28"/>
        <v>356.9900011359843</v>
      </c>
      <c r="K129" s="442">
        <f t="shared" si="28"/>
        <v>377.65924351388139</v>
      </c>
      <c r="L129" s="442">
        <f t="shared" si="28"/>
        <v>398.32848589177843</v>
      </c>
      <c r="M129" s="441">
        <f>-SUM(H$107:H$108)</f>
        <v>418.99772826967552</v>
      </c>
      <c r="N129" s="442">
        <f t="shared" ref="N129:Q130" si="29">($R129-$M129)/5*(N$114-$M$114)+$M129</f>
        <v>439.38335357140261</v>
      </c>
      <c r="O129" s="442">
        <f t="shared" si="29"/>
        <v>459.76897887312964</v>
      </c>
      <c r="P129" s="442">
        <f t="shared" si="29"/>
        <v>480.15460417485673</v>
      </c>
      <c r="Q129" s="442">
        <f t="shared" si="29"/>
        <v>500.54022947658382</v>
      </c>
      <c r="R129" s="441">
        <f>-SUM(I$107:I$108)</f>
        <v>520.92585477831085</v>
      </c>
      <c r="S129" s="442">
        <f t="shared" ref="S129:V130" si="30">($W129-$R129)/5*(S$114-$R$114)+$R129</f>
        <v>540.37904013291302</v>
      </c>
      <c r="T129" s="442">
        <f t="shared" si="30"/>
        <v>559.83222548751519</v>
      </c>
      <c r="U129" s="442">
        <f t="shared" si="30"/>
        <v>579.28541084211724</v>
      </c>
      <c r="V129" s="442">
        <f t="shared" si="30"/>
        <v>598.73859619671941</v>
      </c>
      <c r="W129" s="441">
        <f>-SUM(J$107:J$108)</f>
        <v>618.19178155132158</v>
      </c>
      <c r="X129" s="442">
        <f t="shared" si="17"/>
        <v>628.65598122769256</v>
      </c>
      <c r="Y129" s="442">
        <f t="shared" si="17"/>
        <v>639.12018090406366</v>
      </c>
      <c r="Z129" s="442">
        <f t="shared" si="17"/>
        <v>649.58438058043464</v>
      </c>
      <c r="AA129" s="442">
        <f t="shared" si="17"/>
        <v>660.04858025680574</v>
      </c>
      <c r="AB129" s="441">
        <f>-SUM(K$107:K$108)</f>
        <v>670.51277993317672</v>
      </c>
      <c r="AC129" s="442">
        <f t="shared" ref="AC129:AF130" si="31">($AG129-$AB129)/5*(AC$114-$AB$114)+$AB129</f>
        <v>682.25886344174523</v>
      </c>
      <c r="AD129" s="442">
        <f t="shared" si="31"/>
        <v>694.00494695031375</v>
      </c>
      <c r="AE129" s="442">
        <f t="shared" si="31"/>
        <v>705.75103045888227</v>
      </c>
      <c r="AF129" s="442">
        <f t="shared" si="31"/>
        <v>717.49711396745079</v>
      </c>
      <c r="AG129" s="441">
        <f>-SUM(L$107:L$108)</f>
        <v>729.2431974760193</v>
      </c>
      <c r="AH129" s="442">
        <f t="shared" ref="AH129:AK130" si="32">($AL129-$AG129)/5*(AH$114-$AG$114)+$AG129</f>
        <v>736.66659185660262</v>
      </c>
      <c r="AI129" s="442">
        <f t="shared" si="32"/>
        <v>744.08998623718594</v>
      </c>
      <c r="AJ129" s="442">
        <f t="shared" si="32"/>
        <v>751.51338061776937</v>
      </c>
      <c r="AK129" s="442">
        <f t="shared" si="32"/>
        <v>758.93677499835269</v>
      </c>
      <c r="AL129" s="441">
        <f>-SUM(M$107:M$108)</f>
        <v>766.36016937893601</v>
      </c>
      <c r="AM129" s="442">
        <f t="shared" ref="AM129:AO130" si="33">($AL129-$AG129)/5*(AM$114-$AG$114)+$AG129</f>
        <v>773.78356375951932</v>
      </c>
      <c r="AN129" s="442">
        <f t="shared" si="33"/>
        <v>781.20695814010264</v>
      </c>
      <c r="AO129" s="442">
        <f t="shared" si="33"/>
        <v>788.63035252068607</v>
      </c>
    </row>
    <row r="130" spans="1:41" s="440" customFormat="1" x14ac:dyDescent="0.25">
      <c r="A130" s="440" t="s">
        <v>532</v>
      </c>
      <c r="B130" s="440" t="s">
        <v>51</v>
      </c>
      <c r="C130" s="443">
        <f>G53</f>
        <v>184.771504160463</v>
      </c>
      <c r="D130" s="442">
        <f t="shared" si="27"/>
        <v>186.59619663294623</v>
      </c>
      <c r="E130" s="442">
        <f t="shared" si="27"/>
        <v>188.42088910542947</v>
      </c>
      <c r="F130" s="442">
        <f t="shared" si="27"/>
        <v>190.2455815779127</v>
      </c>
      <c r="G130" s="442">
        <f t="shared" si="27"/>
        <v>192.07027405039594</v>
      </c>
      <c r="H130" s="443">
        <f>H53</f>
        <v>193.89496652287917</v>
      </c>
      <c r="I130" s="442">
        <f t="shared" si="28"/>
        <v>197.47649533752752</v>
      </c>
      <c r="J130" s="442">
        <f t="shared" si="28"/>
        <v>201.05802415217588</v>
      </c>
      <c r="K130" s="442">
        <f t="shared" si="28"/>
        <v>204.63955296682423</v>
      </c>
      <c r="L130" s="442">
        <f t="shared" si="28"/>
        <v>208.22108178147258</v>
      </c>
      <c r="M130" s="443">
        <f>I53</f>
        <v>211.80261059612093</v>
      </c>
      <c r="N130" s="442">
        <f t="shared" si="29"/>
        <v>216.14582848089924</v>
      </c>
      <c r="O130" s="442">
        <f t="shared" si="29"/>
        <v>220.48904636567758</v>
      </c>
      <c r="P130" s="442">
        <f t="shared" si="29"/>
        <v>224.83226425045589</v>
      </c>
      <c r="Q130" s="442">
        <f t="shared" si="29"/>
        <v>229.17548213523423</v>
      </c>
      <c r="R130" s="443">
        <f>J53</f>
        <v>233.51870002001255</v>
      </c>
      <c r="S130" s="442">
        <f t="shared" si="30"/>
        <v>238.14784479950779</v>
      </c>
      <c r="T130" s="442">
        <f t="shared" si="30"/>
        <v>242.77698957900304</v>
      </c>
      <c r="U130" s="442">
        <f t="shared" si="30"/>
        <v>247.40613435849826</v>
      </c>
      <c r="V130" s="442">
        <f t="shared" si="30"/>
        <v>252.03527913799351</v>
      </c>
      <c r="W130" s="443">
        <f>K53</f>
        <v>256.66442391748876</v>
      </c>
      <c r="X130" s="442">
        <f t="shared" si="17"/>
        <v>262.81876098844498</v>
      </c>
      <c r="Y130" s="442">
        <f t="shared" si="17"/>
        <v>268.9730980594012</v>
      </c>
      <c r="Z130" s="442">
        <f t="shared" si="17"/>
        <v>275.12743513035747</v>
      </c>
      <c r="AA130" s="442">
        <f t="shared" si="17"/>
        <v>281.28177220131369</v>
      </c>
      <c r="AB130" s="443">
        <f>L53</f>
        <v>287.4361092722699</v>
      </c>
      <c r="AC130" s="442">
        <f t="shared" si="31"/>
        <v>296.29500500531242</v>
      </c>
      <c r="AD130" s="442">
        <f t="shared" si="31"/>
        <v>305.15390073835493</v>
      </c>
      <c r="AE130" s="442">
        <f t="shared" si="31"/>
        <v>314.01279647139739</v>
      </c>
      <c r="AF130" s="442">
        <f t="shared" si="31"/>
        <v>322.87169220443991</v>
      </c>
      <c r="AG130" s="443">
        <f>M53</f>
        <v>331.73058793748243</v>
      </c>
      <c r="AH130" s="442">
        <f t="shared" si="32"/>
        <v>338.70358739636561</v>
      </c>
      <c r="AI130" s="442">
        <f t="shared" si="32"/>
        <v>345.67658685524879</v>
      </c>
      <c r="AJ130" s="442">
        <f t="shared" si="32"/>
        <v>352.64958631413197</v>
      </c>
      <c r="AK130" s="442">
        <f t="shared" si="32"/>
        <v>359.62258577301515</v>
      </c>
      <c r="AL130" s="443">
        <f>N53</f>
        <v>366.59558523189833</v>
      </c>
      <c r="AM130" s="442">
        <f t="shared" si="33"/>
        <v>373.56858469078151</v>
      </c>
      <c r="AN130" s="442">
        <f t="shared" si="33"/>
        <v>380.54158414966469</v>
      </c>
      <c r="AO130" s="442">
        <f t="shared" si="33"/>
        <v>387.51458360854787</v>
      </c>
    </row>
    <row r="131" spans="1:41" x14ac:dyDescent="0.25">
      <c r="A131" s="4" t="s">
        <v>528</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529</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530</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531</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532</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528</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529</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530</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531</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532</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528</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529</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530</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531</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532</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528</v>
      </c>
      <c r="B155" s="4" t="s">
        <v>534</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529</v>
      </c>
      <c r="B156" s="4" t="s">
        <v>534</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534</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534</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530</v>
      </c>
      <c r="B159" s="4" t="s">
        <v>534</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531</v>
      </c>
      <c r="B160" s="4" t="s">
        <v>534</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534</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532</v>
      </c>
      <c r="B162" s="4" t="s">
        <v>534</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528</v>
      </c>
      <c r="B163" s="4" t="s">
        <v>535</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529</v>
      </c>
      <c r="B164" s="4" t="s">
        <v>535</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535</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535</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530</v>
      </c>
      <c r="B167" s="4" t="s">
        <v>535</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531</v>
      </c>
      <c r="B168" s="4" t="s">
        <v>535</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535</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532</v>
      </c>
      <c r="B170" s="4" t="s">
        <v>535</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528</v>
      </c>
      <c r="B171" s="4" t="s">
        <v>536</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529</v>
      </c>
      <c r="B172" s="4" t="s">
        <v>536</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536</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536</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530</v>
      </c>
      <c r="B175" s="4" t="s">
        <v>536</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531</v>
      </c>
      <c r="B176" s="4" t="s">
        <v>536</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536</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532</v>
      </c>
      <c r="B178" s="4" t="s">
        <v>536</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528</v>
      </c>
      <c r="B179" s="4" t="s">
        <v>537</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529</v>
      </c>
      <c r="B180" s="4" t="s">
        <v>537</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537</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537</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530</v>
      </c>
      <c r="B183" s="4" t="s">
        <v>537</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531</v>
      </c>
      <c r="B184" s="4" t="s">
        <v>537</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537</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532</v>
      </c>
      <c r="B186" s="4" t="s">
        <v>537</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528</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529</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530</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531</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532</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528</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529</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530</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531</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532</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528</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529</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530</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531</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532</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528</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529</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530</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531</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532</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528</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529</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530</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531</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532</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528</v>
      </c>
      <c r="B230" s="4" t="s">
        <v>534</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529</v>
      </c>
      <c r="B231" s="4" t="s">
        <v>534</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534</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534</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530</v>
      </c>
      <c r="B234" s="4" t="s">
        <v>534</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531</v>
      </c>
      <c r="B235" s="4" t="s">
        <v>534</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534</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532</v>
      </c>
      <c r="B237" s="4" t="s">
        <v>534</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528</v>
      </c>
      <c r="B238" s="4" t="s">
        <v>535</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529</v>
      </c>
      <c r="B239" s="4" t="s">
        <v>535</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535</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535</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530</v>
      </c>
      <c r="B242" s="4" t="s">
        <v>535</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531</v>
      </c>
      <c r="B243" s="4" t="s">
        <v>535</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535</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532</v>
      </c>
      <c r="B245" s="4" t="s">
        <v>535</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528</v>
      </c>
      <c r="B246" s="4" t="s">
        <v>536</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529</v>
      </c>
      <c r="B247" s="4" t="s">
        <v>536</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536</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536</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530</v>
      </c>
      <c r="B250" s="4" t="s">
        <v>536</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531</v>
      </c>
      <c r="B251" s="4" t="s">
        <v>536</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536</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532</v>
      </c>
      <c r="B253" s="4" t="s">
        <v>536</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528</v>
      </c>
      <c r="B254" s="4" t="s">
        <v>537</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529</v>
      </c>
      <c r="B255" s="4" t="s">
        <v>537</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537</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537</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530</v>
      </c>
      <c r="B258" s="4" t="s">
        <v>537</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531</v>
      </c>
      <c r="B259" s="4" t="s">
        <v>537</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537</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532</v>
      </c>
      <c r="B261" s="4" t="s">
        <v>537</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4" customFormat="1" x14ac:dyDescent="0.25">
      <c r="A263" s="424" t="s">
        <v>528</v>
      </c>
      <c r="B263" s="424" t="s">
        <v>24</v>
      </c>
      <c r="C263" s="424">
        <v>1</v>
      </c>
      <c r="D263" s="424">
        <f>$C$263*(D147/$C147)</f>
        <v>1.0068472381909852</v>
      </c>
      <c r="E263" s="424">
        <f t="shared" ref="E263:AO270" si="115">$C$263*(E147/$C147)</f>
        <v>1.0136944763819704</v>
      </c>
      <c r="F263" s="424">
        <f t="shared" si="115"/>
        <v>1.0205417145729554</v>
      </c>
      <c r="G263" s="424">
        <f t="shared" si="115"/>
        <v>1.0273889527639406</v>
      </c>
      <c r="H263" s="424">
        <f t="shared" si="115"/>
        <v>1.0342361909549258</v>
      </c>
      <c r="I263" s="424">
        <f t="shared" si="115"/>
        <v>1.0786474185327466</v>
      </c>
      <c r="J263" s="424">
        <f t="shared" si="115"/>
        <v>1.1230586461105676</v>
      </c>
      <c r="K263" s="424">
        <f t="shared" si="115"/>
        <v>1.1674698736883886</v>
      </c>
      <c r="L263" s="424">
        <f t="shared" si="115"/>
        <v>1.2118811012662094</v>
      </c>
      <c r="M263" s="424">
        <f t="shared" si="115"/>
        <v>1.2562923288440304</v>
      </c>
      <c r="N263" s="424">
        <f t="shared" si="115"/>
        <v>1.3150040335195101</v>
      </c>
      <c r="O263" s="424">
        <f t="shared" si="115"/>
        <v>1.3737157381949896</v>
      </c>
      <c r="P263" s="424">
        <f t="shared" si="115"/>
        <v>1.4324274428704695</v>
      </c>
      <c r="Q263" s="424">
        <f t="shared" si="115"/>
        <v>1.4911391475459488</v>
      </c>
      <c r="R263" s="424">
        <f t="shared" si="115"/>
        <v>1.5498508522214285</v>
      </c>
      <c r="S263" s="424">
        <f t="shared" si="115"/>
        <v>1.6266906955169742</v>
      </c>
      <c r="T263" s="424">
        <f t="shared" si="115"/>
        <v>1.7035305388125201</v>
      </c>
      <c r="U263" s="424">
        <f t="shared" si="115"/>
        <v>1.7803703821080656</v>
      </c>
      <c r="V263" s="424">
        <f t="shared" si="115"/>
        <v>1.8572102254036116</v>
      </c>
      <c r="W263" s="424">
        <f t="shared" si="115"/>
        <v>1.9340500686991573</v>
      </c>
      <c r="X263" s="424">
        <f t="shared" si="115"/>
        <v>2.0246975233486113</v>
      </c>
      <c r="Y263" s="424">
        <f t="shared" si="115"/>
        <v>2.1153449779980655</v>
      </c>
      <c r="Z263" s="424">
        <f t="shared" si="115"/>
        <v>2.2059924326475198</v>
      </c>
      <c r="AA263" s="424">
        <f t="shared" si="115"/>
        <v>2.296639887296974</v>
      </c>
      <c r="AB263" s="424">
        <f t="shared" si="115"/>
        <v>2.3872873419464282</v>
      </c>
      <c r="AC263" s="424">
        <f t="shared" si="115"/>
        <v>2.4734321588770127</v>
      </c>
      <c r="AD263" s="424">
        <f t="shared" si="115"/>
        <v>2.5595769758075968</v>
      </c>
      <c r="AE263" s="424">
        <f t="shared" si="115"/>
        <v>2.6457217927381818</v>
      </c>
      <c r="AF263" s="424">
        <f t="shared" si="115"/>
        <v>2.7318666096687663</v>
      </c>
      <c r="AG263" s="424">
        <f t="shared" si="115"/>
        <v>2.8180114265993503</v>
      </c>
      <c r="AH263" s="424">
        <f t="shared" si="115"/>
        <v>2.89599813093053</v>
      </c>
      <c r="AI263" s="424">
        <f t="shared" si="115"/>
        <v>2.9739848352617093</v>
      </c>
      <c r="AJ263" s="424">
        <f t="shared" si="115"/>
        <v>3.0519715395928895</v>
      </c>
      <c r="AK263" s="424">
        <f t="shared" si="115"/>
        <v>3.1299582439240687</v>
      </c>
      <c r="AL263" s="424">
        <f t="shared" si="115"/>
        <v>3.207944948255248</v>
      </c>
      <c r="AM263" s="424">
        <f t="shared" si="115"/>
        <v>3.2859316525864277</v>
      </c>
      <c r="AN263" s="424">
        <f t="shared" si="115"/>
        <v>3.363918356917607</v>
      </c>
      <c r="AO263" s="424">
        <f t="shared" si="115"/>
        <v>3.4419050612487871</v>
      </c>
    </row>
    <row r="264" spans="1:41" s="424" customFormat="1" x14ac:dyDescent="0.25">
      <c r="A264" s="424" t="s">
        <v>529</v>
      </c>
      <c r="B264" s="424" t="s">
        <v>24</v>
      </c>
      <c r="C264" s="424">
        <v>1</v>
      </c>
      <c r="D264" s="424">
        <f t="shared" ref="D264:S270" si="116">$C$263*(D148/$C148)</f>
        <v>0.99109186292451124</v>
      </c>
      <c r="E264" s="424">
        <f t="shared" si="116"/>
        <v>0.98218372584902258</v>
      </c>
      <c r="F264" s="424">
        <f t="shared" si="116"/>
        <v>0.97327558877353382</v>
      </c>
      <c r="G264" s="424">
        <f t="shared" si="116"/>
        <v>0.96436745169804516</v>
      </c>
      <c r="H264" s="424">
        <f t="shared" si="116"/>
        <v>0.9554593146225564</v>
      </c>
      <c r="I264" s="424">
        <f t="shared" si="116"/>
        <v>0.97525401062211459</v>
      </c>
      <c r="J264" s="424">
        <f t="shared" si="116"/>
        <v>0.99504870662167266</v>
      </c>
      <c r="K264" s="424">
        <f t="shared" si="116"/>
        <v>1.0148434026212307</v>
      </c>
      <c r="L264" s="424">
        <f t="shared" si="116"/>
        <v>1.0346380986207888</v>
      </c>
      <c r="M264" s="424">
        <f t="shared" si="116"/>
        <v>1.0544327946203469</v>
      </c>
      <c r="N264" s="424">
        <f t="shared" si="116"/>
        <v>1.0840233402981712</v>
      </c>
      <c r="O264" s="424">
        <f t="shared" si="116"/>
        <v>1.1136138859759954</v>
      </c>
      <c r="P264" s="424">
        <f t="shared" si="116"/>
        <v>1.1432044316538197</v>
      </c>
      <c r="Q264" s="424">
        <f t="shared" si="116"/>
        <v>1.172794977331644</v>
      </c>
      <c r="R264" s="424">
        <f t="shared" si="116"/>
        <v>1.2023855230094682</v>
      </c>
      <c r="S264" s="424">
        <f t="shared" si="116"/>
        <v>1.236408949889704</v>
      </c>
      <c r="T264" s="424">
        <f t="shared" si="115"/>
        <v>1.2704323767699399</v>
      </c>
      <c r="U264" s="424">
        <f t="shared" si="115"/>
        <v>1.3044558036501759</v>
      </c>
      <c r="V264" s="424">
        <f t="shared" si="115"/>
        <v>1.3384792305304118</v>
      </c>
      <c r="W264" s="424">
        <f t="shared" si="115"/>
        <v>1.3725026574106476</v>
      </c>
      <c r="X264" s="424">
        <f t="shared" si="115"/>
        <v>1.4114961444022875</v>
      </c>
      <c r="Y264" s="424">
        <f t="shared" si="115"/>
        <v>1.4504896313939273</v>
      </c>
      <c r="Z264" s="424">
        <f t="shared" si="115"/>
        <v>1.4894831183855672</v>
      </c>
      <c r="AA264" s="424">
        <f t="shared" si="115"/>
        <v>1.528476605377207</v>
      </c>
      <c r="AB264" s="424">
        <f t="shared" si="115"/>
        <v>1.5674700923688469</v>
      </c>
      <c r="AC264" s="424">
        <f t="shared" si="115"/>
        <v>1.6156774936799028</v>
      </c>
      <c r="AD264" s="424">
        <f t="shared" si="115"/>
        <v>1.6638848949909586</v>
      </c>
      <c r="AE264" s="424">
        <f t="shared" si="115"/>
        <v>1.7120922963020146</v>
      </c>
      <c r="AF264" s="424">
        <f t="shared" si="115"/>
        <v>1.7602996976130705</v>
      </c>
      <c r="AG264" s="424">
        <f t="shared" si="115"/>
        <v>1.8085070989241261</v>
      </c>
      <c r="AH264" s="424">
        <f t="shared" si="115"/>
        <v>1.8692084545595731</v>
      </c>
      <c r="AI264" s="424">
        <f t="shared" si="115"/>
        <v>1.9299098101950198</v>
      </c>
      <c r="AJ264" s="424">
        <f t="shared" si="115"/>
        <v>1.9906111658304666</v>
      </c>
      <c r="AK264" s="424">
        <f t="shared" si="115"/>
        <v>2.0513125214659134</v>
      </c>
      <c r="AL264" s="424">
        <f t="shared" si="115"/>
        <v>2.1120138771013601</v>
      </c>
      <c r="AM264" s="424">
        <f t="shared" si="115"/>
        <v>2.1727152327368069</v>
      </c>
      <c r="AN264" s="424">
        <f t="shared" si="115"/>
        <v>2.2334165883722537</v>
      </c>
      <c r="AO264" s="424">
        <f t="shared" si="115"/>
        <v>2.2941179440077</v>
      </c>
    </row>
    <row r="265" spans="1:41" s="424" customFormat="1" x14ac:dyDescent="0.25">
      <c r="A265" s="424" t="s">
        <v>27</v>
      </c>
      <c r="B265" s="424" t="s">
        <v>24</v>
      </c>
      <c r="C265" s="424">
        <v>1</v>
      </c>
      <c r="D265" s="424">
        <f t="shared" si="116"/>
        <v>1.0673749185686157</v>
      </c>
      <c r="E265" s="424">
        <f t="shared" si="115"/>
        <v>1.1347498371372311</v>
      </c>
      <c r="F265" s="424">
        <f t="shared" si="115"/>
        <v>1.202124755705847</v>
      </c>
      <c r="G265" s="424">
        <f t="shared" si="115"/>
        <v>1.2694996742744626</v>
      </c>
      <c r="H265" s="424">
        <f t="shared" si="115"/>
        <v>1.3368745928430781</v>
      </c>
      <c r="I265" s="424">
        <f t="shared" si="115"/>
        <v>1.4247671704750711</v>
      </c>
      <c r="J265" s="424">
        <f t="shared" si="115"/>
        <v>1.5126597481070643</v>
      </c>
      <c r="K265" s="424">
        <f t="shared" si="115"/>
        <v>1.6005523257390573</v>
      </c>
      <c r="L265" s="424">
        <f t="shared" si="115"/>
        <v>1.6884449033710505</v>
      </c>
      <c r="M265" s="424">
        <f t="shared" si="115"/>
        <v>1.7763374810030435</v>
      </c>
      <c r="N265" s="424">
        <f t="shared" si="115"/>
        <v>1.8864562250145442</v>
      </c>
      <c r="O265" s="424">
        <f t="shared" si="115"/>
        <v>1.996574969026045</v>
      </c>
      <c r="P265" s="424">
        <f t="shared" si="115"/>
        <v>2.1066937130375458</v>
      </c>
      <c r="Q265" s="424">
        <f t="shared" si="115"/>
        <v>2.2168124570490462</v>
      </c>
      <c r="R265" s="424">
        <f t="shared" si="115"/>
        <v>2.326931201060547</v>
      </c>
      <c r="S265" s="424">
        <f t="shared" si="115"/>
        <v>2.467460412956521</v>
      </c>
      <c r="T265" s="424">
        <f t="shared" si="115"/>
        <v>2.607989624852495</v>
      </c>
      <c r="U265" s="424">
        <f t="shared" si="115"/>
        <v>2.748518836748469</v>
      </c>
      <c r="V265" s="424">
        <f t="shared" si="115"/>
        <v>2.889048048644443</v>
      </c>
      <c r="W265" s="424">
        <f t="shared" si="115"/>
        <v>3.029577260540417</v>
      </c>
      <c r="X265" s="424">
        <f t="shared" si="115"/>
        <v>3.1583515683816072</v>
      </c>
      <c r="Y265" s="424">
        <f t="shared" si="115"/>
        <v>3.2871258762227975</v>
      </c>
      <c r="Z265" s="424">
        <f t="shared" si="115"/>
        <v>3.4159001840639869</v>
      </c>
      <c r="AA265" s="424">
        <f t="shared" si="115"/>
        <v>3.5446744919051771</v>
      </c>
      <c r="AB265" s="424">
        <f t="shared" si="115"/>
        <v>3.6734487997463674</v>
      </c>
      <c r="AC265" s="424">
        <f t="shared" si="115"/>
        <v>3.7759958268315534</v>
      </c>
      <c r="AD265" s="424">
        <f t="shared" si="115"/>
        <v>3.8785428539167395</v>
      </c>
      <c r="AE265" s="424">
        <f t="shared" si="115"/>
        <v>3.9810898810019251</v>
      </c>
      <c r="AF265" s="424">
        <f t="shared" si="115"/>
        <v>4.0836369080871116</v>
      </c>
      <c r="AG265" s="424">
        <f t="shared" si="115"/>
        <v>4.1861839351722976</v>
      </c>
      <c r="AH265" s="424">
        <f t="shared" si="115"/>
        <v>4.2537751459599624</v>
      </c>
      <c r="AI265" s="424">
        <f t="shared" si="115"/>
        <v>4.3213663567476281</v>
      </c>
      <c r="AJ265" s="424">
        <f t="shared" si="115"/>
        <v>4.3889575675352939</v>
      </c>
      <c r="AK265" s="424">
        <f t="shared" si="115"/>
        <v>4.4565487783229596</v>
      </c>
      <c r="AL265" s="424">
        <f t="shared" si="115"/>
        <v>4.5241399891106244</v>
      </c>
      <c r="AM265" s="424">
        <f t="shared" si="115"/>
        <v>4.5917311998982901</v>
      </c>
      <c r="AN265" s="424">
        <f t="shared" si="115"/>
        <v>4.6593224106859559</v>
      </c>
      <c r="AO265" s="424">
        <f t="shared" si="115"/>
        <v>4.7269136214736207</v>
      </c>
    </row>
    <row r="266" spans="1:41" s="424" customFormat="1" x14ac:dyDescent="0.25">
      <c r="A266" s="424" t="s">
        <v>6</v>
      </c>
      <c r="B266" s="424" t="s">
        <v>24</v>
      </c>
      <c r="C266" s="424">
        <v>1</v>
      </c>
      <c r="D266" s="424">
        <f t="shared" si="116"/>
        <v>1.0173280798301225</v>
      </c>
      <c r="E266" s="424">
        <f t="shared" si="115"/>
        <v>1.034656159660245</v>
      </c>
      <c r="F266" s="424">
        <f t="shared" si="115"/>
        <v>1.0519842394903676</v>
      </c>
      <c r="G266" s="424">
        <f t="shared" si="115"/>
        <v>1.0693123193204901</v>
      </c>
      <c r="H266" s="424">
        <f t="shared" si="115"/>
        <v>1.0866403991506126</v>
      </c>
      <c r="I266" s="424">
        <f t="shared" si="115"/>
        <v>1.0967418658779227</v>
      </c>
      <c r="J266" s="424">
        <f t="shared" si="115"/>
        <v>1.1068433326052325</v>
      </c>
      <c r="K266" s="424">
        <f t="shared" si="115"/>
        <v>1.1169447993325423</v>
      </c>
      <c r="L266" s="424">
        <f t="shared" si="115"/>
        <v>1.1270462660598521</v>
      </c>
      <c r="M266" s="424">
        <f t="shared" si="115"/>
        <v>1.1371477327871622</v>
      </c>
      <c r="N266" s="424">
        <f t="shared" si="115"/>
        <v>1.1447194665278175</v>
      </c>
      <c r="O266" s="424">
        <f t="shared" si="115"/>
        <v>1.1522912002684726</v>
      </c>
      <c r="P266" s="424">
        <f t="shared" si="115"/>
        <v>1.159862934009128</v>
      </c>
      <c r="Q266" s="424">
        <f t="shared" si="115"/>
        <v>1.1674346677497833</v>
      </c>
      <c r="R266" s="424">
        <f t="shared" si="115"/>
        <v>1.1750064014904384</v>
      </c>
      <c r="S266" s="424">
        <f t="shared" si="115"/>
        <v>1.1783719105261592</v>
      </c>
      <c r="T266" s="424">
        <f t="shared" si="115"/>
        <v>1.1817374195618799</v>
      </c>
      <c r="U266" s="424">
        <f t="shared" si="115"/>
        <v>1.1851029285976009</v>
      </c>
      <c r="V266" s="424">
        <f t="shared" si="115"/>
        <v>1.1884684376333217</v>
      </c>
      <c r="W266" s="424">
        <f t="shared" si="115"/>
        <v>1.1918339466690424</v>
      </c>
      <c r="X266" s="424">
        <f t="shared" si="115"/>
        <v>1.1936274239707265</v>
      </c>
      <c r="Y266" s="424">
        <f t="shared" si="115"/>
        <v>1.1954209012724111</v>
      </c>
      <c r="Z266" s="424">
        <f t="shared" si="115"/>
        <v>1.1972143785740952</v>
      </c>
      <c r="AA266" s="424">
        <f t="shared" si="115"/>
        <v>1.1990078558757797</v>
      </c>
      <c r="AB266" s="424">
        <f t="shared" si="115"/>
        <v>1.2008013331774638</v>
      </c>
      <c r="AC266" s="424">
        <f t="shared" si="115"/>
        <v>1.2009260942301114</v>
      </c>
      <c r="AD266" s="424">
        <f t="shared" si="115"/>
        <v>1.2010508552827592</v>
      </c>
      <c r="AE266" s="424">
        <f t="shared" si="115"/>
        <v>1.2011756163354068</v>
      </c>
      <c r="AF266" s="424">
        <f t="shared" si="115"/>
        <v>1.2013003773880544</v>
      </c>
      <c r="AG266" s="424">
        <f t="shared" si="115"/>
        <v>1.201425138440702</v>
      </c>
      <c r="AH266" s="424">
        <f t="shared" si="115"/>
        <v>1.1984840431722419</v>
      </c>
      <c r="AI266" s="424">
        <f t="shared" si="115"/>
        <v>1.1955429479037816</v>
      </c>
      <c r="AJ266" s="424">
        <f t="shared" si="115"/>
        <v>1.1926018526353215</v>
      </c>
      <c r="AK266" s="424">
        <f t="shared" si="115"/>
        <v>1.1896607573668612</v>
      </c>
      <c r="AL266" s="424">
        <f t="shared" si="115"/>
        <v>1.1867196620984009</v>
      </c>
      <c r="AM266" s="424">
        <f t="shared" si="115"/>
        <v>1.1837785668299408</v>
      </c>
      <c r="AN266" s="424">
        <f t="shared" si="115"/>
        <v>1.1808374715614804</v>
      </c>
      <c r="AO266" s="424">
        <f t="shared" si="115"/>
        <v>1.1778963762930204</v>
      </c>
    </row>
    <row r="267" spans="1:41" s="424" customFormat="1" x14ac:dyDescent="0.25">
      <c r="A267" s="424" t="s">
        <v>530</v>
      </c>
      <c r="B267" s="424" t="s">
        <v>24</v>
      </c>
      <c r="C267" s="424">
        <v>1</v>
      </c>
      <c r="D267" s="424">
        <f t="shared" si="116"/>
        <v>1.0350515463917527</v>
      </c>
      <c r="E267" s="424">
        <f t="shared" si="115"/>
        <v>1.0701030927835053</v>
      </c>
      <c r="F267" s="424">
        <f t="shared" si="115"/>
        <v>1.1051546391752578</v>
      </c>
      <c r="G267" s="424">
        <f t="shared" si="115"/>
        <v>1.1402061855670103</v>
      </c>
      <c r="H267" s="424">
        <f t="shared" si="115"/>
        <v>1.1752577319587629</v>
      </c>
      <c r="I267" s="424">
        <f t="shared" si="115"/>
        <v>1.202749140893471</v>
      </c>
      <c r="J267" s="424">
        <f t="shared" si="115"/>
        <v>1.2302405498281788</v>
      </c>
      <c r="K267" s="424">
        <f t="shared" si="115"/>
        <v>1.2577319587628866</v>
      </c>
      <c r="L267" s="424">
        <f t="shared" si="115"/>
        <v>1.2852233676975946</v>
      </c>
      <c r="M267" s="424">
        <f t="shared" si="115"/>
        <v>1.3127147766323024</v>
      </c>
      <c r="N267" s="424">
        <f t="shared" si="115"/>
        <v>1.3254295532646048</v>
      </c>
      <c r="O267" s="424">
        <f t="shared" si="115"/>
        <v>1.3381443298969071</v>
      </c>
      <c r="P267" s="424">
        <f t="shared" si="115"/>
        <v>1.3508591065292097</v>
      </c>
      <c r="Q267" s="424">
        <f t="shared" si="115"/>
        <v>1.3635738831615121</v>
      </c>
      <c r="R267" s="424">
        <f t="shared" si="115"/>
        <v>1.3762886597938144</v>
      </c>
      <c r="S267" s="424">
        <f t="shared" si="115"/>
        <v>1.3742268041237113</v>
      </c>
      <c r="T267" s="424">
        <f t="shared" si="115"/>
        <v>1.3721649484536083</v>
      </c>
      <c r="U267" s="424">
        <f t="shared" si="115"/>
        <v>1.3701030927835052</v>
      </c>
      <c r="V267" s="424">
        <f t="shared" si="115"/>
        <v>1.3680412371134021</v>
      </c>
      <c r="W267" s="424">
        <f t="shared" si="115"/>
        <v>1.365979381443299</v>
      </c>
      <c r="X267" s="424">
        <f t="shared" si="115"/>
        <v>1.3642611683848798</v>
      </c>
      <c r="Y267" s="424">
        <f t="shared" si="115"/>
        <v>1.3625429553264605</v>
      </c>
      <c r="Z267" s="424">
        <f t="shared" si="115"/>
        <v>1.3608247422680413</v>
      </c>
      <c r="AA267" s="424">
        <f t="shared" si="115"/>
        <v>1.359106529209622</v>
      </c>
      <c r="AB267" s="424">
        <f t="shared" si="115"/>
        <v>1.3573883161512028</v>
      </c>
      <c r="AC267" s="424">
        <f t="shared" si="115"/>
        <v>1.3103092783505157</v>
      </c>
      <c r="AD267" s="424">
        <f t="shared" si="115"/>
        <v>1.2632302405498281</v>
      </c>
      <c r="AE267" s="424">
        <f t="shared" si="115"/>
        <v>1.216151202749141</v>
      </c>
      <c r="AF267" s="424">
        <f t="shared" si="115"/>
        <v>1.1690721649484537</v>
      </c>
      <c r="AG267" s="424">
        <f t="shared" si="115"/>
        <v>1.1219931271477663</v>
      </c>
      <c r="AH267" s="424">
        <f t="shared" si="115"/>
        <v>1.0831615120274913</v>
      </c>
      <c r="AI267" s="424">
        <f t="shared" si="115"/>
        <v>1.0443298969072163</v>
      </c>
      <c r="AJ267" s="424">
        <f t="shared" si="115"/>
        <v>1.0054982817869416</v>
      </c>
      <c r="AK267" s="424">
        <f t="shared" si="115"/>
        <v>0.96666666666666667</v>
      </c>
      <c r="AL267" s="424">
        <f t="shared" si="115"/>
        <v>0.92783505154639168</v>
      </c>
      <c r="AM267" s="424">
        <f t="shared" si="115"/>
        <v>0.88900343642611668</v>
      </c>
      <c r="AN267" s="424">
        <f t="shared" si="115"/>
        <v>0.85017182130584179</v>
      </c>
      <c r="AO267" s="424">
        <f t="shared" si="115"/>
        <v>0.81134020618556679</v>
      </c>
    </row>
    <row r="268" spans="1:41" s="424" customFormat="1" x14ac:dyDescent="0.25">
      <c r="A268" s="424" t="s">
        <v>531</v>
      </c>
      <c r="B268" s="424" t="s">
        <v>24</v>
      </c>
      <c r="C268" s="424">
        <v>1</v>
      </c>
      <c r="D268" s="424">
        <f t="shared" si="116"/>
        <v>1.0122688417040666</v>
      </c>
      <c r="E268" s="424">
        <f t="shared" si="115"/>
        <v>1.0243799180788873</v>
      </c>
      <c r="F268" s="424">
        <f t="shared" si="115"/>
        <v>1.0364099210877882</v>
      </c>
      <c r="G268" s="424">
        <f t="shared" si="115"/>
        <v>1.0483787143031715</v>
      </c>
      <c r="H268" s="424">
        <f t="shared" si="115"/>
        <v>1.0602614249126261</v>
      </c>
      <c r="I268" s="424">
        <f t="shared" si="115"/>
        <v>1.0720359495555423</v>
      </c>
      <c r="J268" s="424">
        <f t="shared" si="115"/>
        <v>1.0836632134679862</v>
      </c>
      <c r="K268" s="424">
        <f t="shared" si="115"/>
        <v>1.095111547675663</v>
      </c>
      <c r="L268" s="424">
        <f t="shared" si="115"/>
        <v>1.1063738266593561</v>
      </c>
      <c r="M268" s="424">
        <f t="shared" si="115"/>
        <v>1.1174516338677802</v>
      </c>
      <c r="N268" s="424">
        <f t="shared" si="115"/>
        <v>1.1283323017112175</v>
      </c>
      <c r="O268" s="424">
        <f t="shared" si="115"/>
        <v>1.1390023708755923</v>
      </c>
      <c r="P268" s="424">
        <f t="shared" si="115"/>
        <v>1.1494483820468293</v>
      </c>
      <c r="Q268" s="424">
        <f t="shared" si="115"/>
        <v>1.1596592510839252</v>
      </c>
      <c r="R268" s="424">
        <f t="shared" si="115"/>
        <v>1.1696238938458769</v>
      </c>
      <c r="S268" s="424">
        <f t="shared" si="115"/>
        <v>1.1793248923968218</v>
      </c>
      <c r="T268" s="424">
        <f t="shared" si="115"/>
        <v>1.1887440370765403</v>
      </c>
      <c r="U268" s="424">
        <f t="shared" si="115"/>
        <v>1.1978670768465998</v>
      </c>
      <c r="V268" s="424">
        <f t="shared" si="115"/>
        <v>1.2066860944634263</v>
      </c>
      <c r="W268" s="424">
        <f t="shared" si="115"/>
        <v>1.2151931726834462</v>
      </c>
      <c r="X268" s="424">
        <f t="shared" si="115"/>
        <v>1.2233756439169412</v>
      </c>
      <c r="Y268" s="424">
        <f t="shared" si="115"/>
        <v>1.2312168819524067</v>
      </c>
      <c r="Z268" s="424">
        <f t="shared" si="115"/>
        <v>1.2387081778219113</v>
      </c>
      <c r="AA268" s="424">
        <f t="shared" si="115"/>
        <v>1.2458431977305962</v>
      </c>
      <c r="AB268" s="424">
        <f t="shared" si="115"/>
        <v>1.2526243168515334</v>
      </c>
      <c r="AC268" s="424">
        <f t="shared" si="115"/>
        <v>1.2590649944987984</v>
      </c>
      <c r="AD268" s="424">
        <f t="shared" si="115"/>
        <v>1.265184232056968</v>
      </c>
      <c r="AE268" s="424">
        <f t="shared" si="115"/>
        <v>1.2709994474619049</v>
      </c>
      <c r="AF268" s="424">
        <f t="shared" si="115"/>
        <v>1.2765130158866809</v>
      </c>
      <c r="AG268" s="424">
        <f t="shared" si="115"/>
        <v>1.2817273125043682</v>
      </c>
      <c r="AH268" s="424">
        <f t="shared" si="115"/>
        <v>1.2866494628341834</v>
      </c>
      <c r="AI268" s="424">
        <f t="shared" si="115"/>
        <v>1.2912897592927721</v>
      </c>
      <c r="AJ268" s="424">
        <f t="shared" si="115"/>
        <v>1.2956537439506361</v>
      </c>
      <c r="AK268" s="424">
        <f t="shared" si="115"/>
        <v>1.2997477506026345</v>
      </c>
      <c r="AL268" s="424">
        <f t="shared" si="115"/>
        <v>1.3035725709731245</v>
      </c>
      <c r="AM268" s="424">
        <f t="shared" si="115"/>
        <v>1.3071321636838933</v>
      </c>
      <c r="AN268" s="424">
        <f t="shared" si="115"/>
        <v>1.3104249452862258</v>
      </c>
      <c r="AO268" s="424">
        <f t="shared" si="115"/>
        <v>1.3134532909531942</v>
      </c>
    </row>
    <row r="269" spans="1:41" s="424" customFormat="1" x14ac:dyDescent="0.25">
      <c r="A269" s="424" t="s">
        <v>11</v>
      </c>
      <c r="B269" s="424" t="s">
        <v>24</v>
      </c>
      <c r="C269" s="424">
        <v>1</v>
      </c>
      <c r="D269" s="424">
        <f t="shared" si="116"/>
        <v>1.0626186485568236</v>
      </c>
      <c r="E269" s="424">
        <f t="shared" si="115"/>
        <v>1.1252372971136475</v>
      </c>
      <c r="F269" s="424">
        <f t="shared" si="115"/>
        <v>1.1878559456704711</v>
      </c>
      <c r="G269" s="424">
        <f t="shared" si="115"/>
        <v>1.250474594227295</v>
      </c>
      <c r="H269" s="424">
        <f t="shared" si="115"/>
        <v>1.3130932427841187</v>
      </c>
      <c r="I269" s="424">
        <f t="shared" si="115"/>
        <v>1.3931611382837406</v>
      </c>
      <c r="J269" s="424">
        <f t="shared" si="115"/>
        <v>1.4732290337833627</v>
      </c>
      <c r="K269" s="424">
        <f t="shared" si="115"/>
        <v>1.5532969292829846</v>
      </c>
      <c r="L269" s="424">
        <f t="shared" si="115"/>
        <v>1.6333648247826067</v>
      </c>
      <c r="M269" s="424">
        <f t="shared" si="115"/>
        <v>1.7134327202822288</v>
      </c>
      <c r="N269" s="424">
        <f t="shared" si="115"/>
        <v>1.8066872280622928</v>
      </c>
      <c r="O269" s="424">
        <f t="shared" si="115"/>
        <v>1.8999417358423567</v>
      </c>
      <c r="P269" s="424">
        <f t="shared" si="115"/>
        <v>1.9931962436224209</v>
      </c>
      <c r="Q269" s="424">
        <f t="shared" si="115"/>
        <v>2.0864507514024853</v>
      </c>
      <c r="R269" s="424">
        <f t="shared" si="115"/>
        <v>2.179705259182549</v>
      </c>
      <c r="S269" s="424">
        <f t="shared" si="115"/>
        <v>2.2527233778871478</v>
      </c>
      <c r="T269" s="424">
        <f t="shared" si="115"/>
        <v>2.3257414965917471</v>
      </c>
      <c r="U269" s="424">
        <f t="shared" si="115"/>
        <v>2.398759615296346</v>
      </c>
      <c r="V269" s="424">
        <f t="shared" si="115"/>
        <v>2.4717777340009452</v>
      </c>
      <c r="W269" s="424">
        <f t="shared" si="115"/>
        <v>2.5447958527055441</v>
      </c>
      <c r="X269" s="424">
        <f t="shared" si="115"/>
        <v>2.5522326270929496</v>
      </c>
      <c r="Y269" s="424">
        <f t="shared" si="115"/>
        <v>2.5596694014803543</v>
      </c>
      <c r="Z269" s="424">
        <f t="shared" si="115"/>
        <v>2.5671061758677598</v>
      </c>
      <c r="AA269" s="424">
        <f t="shared" si="115"/>
        <v>2.5745429502551649</v>
      </c>
      <c r="AB269" s="424">
        <f t="shared" si="115"/>
        <v>2.5819797246425704</v>
      </c>
      <c r="AC269" s="424">
        <f t="shared" si="115"/>
        <v>2.5891597881146549</v>
      </c>
      <c r="AD269" s="424">
        <f t="shared" si="115"/>
        <v>2.5963398515867389</v>
      </c>
      <c r="AE269" s="424">
        <f t="shared" si="115"/>
        <v>2.6035199150588233</v>
      </c>
      <c r="AF269" s="424">
        <f t="shared" si="115"/>
        <v>2.6106999785309073</v>
      </c>
      <c r="AG269" s="424">
        <f t="shared" si="115"/>
        <v>2.6178800420029917</v>
      </c>
      <c r="AH269" s="424">
        <f t="shared" si="115"/>
        <v>2.6174606992922023</v>
      </c>
      <c r="AI269" s="424">
        <f t="shared" si="115"/>
        <v>2.6170413565814123</v>
      </c>
      <c r="AJ269" s="424">
        <f t="shared" si="115"/>
        <v>2.6166220138706229</v>
      </c>
      <c r="AK269" s="424">
        <f t="shared" si="115"/>
        <v>2.6162026711598334</v>
      </c>
      <c r="AL269" s="424">
        <f t="shared" si="115"/>
        <v>2.6157833284490439</v>
      </c>
      <c r="AM269" s="424">
        <f t="shared" si="115"/>
        <v>2.615363985738254</v>
      </c>
      <c r="AN269" s="424">
        <f t="shared" si="115"/>
        <v>2.6149446430274645</v>
      </c>
      <c r="AO269" s="424">
        <f t="shared" si="115"/>
        <v>2.6145253003166751</v>
      </c>
    </row>
    <row r="270" spans="1:41" s="424" customFormat="1" x14ac:dyDescent="0.25">
      <c r="A270" s="424" t="s">
        <v>532</v>
      </c>
      <c r="B270" s="424" t="s">
        <v>24</v>
      </c>
      <c r="C270" s="424">
        <v>1</v>
      </c>
      <c r="D270" s="424">
        <f t="shared" si="116"/>
        <v>1.0076313338760676</v>
      </c>
      <c r="E270" s="424">
        <f t="shared" si="115"/>
        <v>1.0152626677521353</v>
      </c>
      <c r="F270" s="424">
        <f t="shared" si="115"/>
        <v>1.0228940016282029</v>
      </c>
      <c r="G270" s="424">
        <f t="shared" si="115"/>
        <v>1.0305253355042705</v>
      </c>
      <c r="H270" s="424">
        <f t="shared" si="115"/>
        <v>1.0381566693803381</v>
      </c>
      <c r="I270" s="424">
        <f t="shared" si="115"/>
        <v>1.0548816471648159</v>
      </c>
      <c r="J270" s="424">
        <f t="shared" si="115"/>
        <v>1.0716066249492937</v>
      </c>
      <c r="K270" s="424">
        <f t="shared" si="115"/>
        <v>1.0883316027337715</v>
      </c>
      <c r="L270" s="424">
        <f t="shared" si="115"/>
        <v>1.1050565805182493</v>
      </c>
      <c r="M270" s="424">
        <f t="shared" si="115"/>
        <v>1.1217815583027271</v>
      </c>
      <c r="N270" s="424">
        <f t="shared" si="115"/>
        <v>1.1420821209962611</v>
      </c>
      <c r="O270" s="424">
        <f t="shared" si="115"/>
        <v>1.162382683689795</v>
      </c>
      <c r="P270" s="424">
        <f t="shared" ref="P270:AO270" si="117">$C$263*(P154/$C154)</f>
        <v>1.182683246383329</v>
      </c>
      <c r="Q270" s="424">
        <f t="shared" si="117"/>
        <v>1.2029838090768632</v>
      </c>
      <c r="R270" s="424">
        <f t="shared" si="117"/>
        <v>1.2232843717703972</v>
      </c>
      <c r="S270" s="424">
        <f t="shared" si="117"/>
        <v>1.2445635450088373</v>
      </c>
      <c r="T270" s="424">
        <f t="shared" si="117"/>
        <v>1.2658427182472776</v>
      </c>
      <c r="U270" s="424">
        <f t="shared" si="117"/>
        <v>1.2871218914857177</v>
      </c>
      <c r="V270" s="424">
        <f t="shared" si="117"/>
        <v>1.308401064724158</v>
      </c>
      <c r="W270" s="424">
        <f t="shared" si="117"/>
        <v>1.329680237962598</v>
      </c>
      <c r="X270" s="424">
        <f t="shared" si="117"/>
        <v>1.358236829869373</v>
      </c>
      <c r="Y270" s="424">
        <f t="shared" si="117"/>
        <v>1.3867934217761477</v>
      </c>
      <c r="Z270" s="424">
        <f t="shared" si="117"/>
        <v>1.4153500136829227</v>
      </c>
      <c r="AA270" s="424">
        <f t="shared" si="117"/>
        <v>1.4439066055896974</v>
      </c>
      <c r="AB270" s="424">
        <f t="shared" si="117"/>
        <v>1.4724631974964724</v>
      </c>
      <c r="AC270" s="424">
        <f t="shared" si="117"/>
        <v>1.5140057790886714</v>
      </c>
      <c r="AD270" s="424">
        <f t="shared" si="117"/>
        <v>1.5555483606808702</v>
      </c>
      <c r="AE270" s="424">
        <f t="shared" si="117"/>
        <v>1.5970909422730692</v>
      </c>
      <c r="AF270" s="424">
        <f t="shared" si="117"/>
        <v>1.6386335238652683</v>
      </c>
      <c r="AG270" s="424">
        <f t="shared" si="117"/>
        <v>1.6801761054574673</v>
      </c>
      <c r="AH270" s="424">
        <f t="shared" si="117"/>
        <v>1.711250684583512</v>
      </c>
      <c r="AI270" s="424">
        <f t="shared" si="117"/>
        <v>1.7423252637095568</v>
      </c>
      <c r="AJ270" s="424">
        <f t="shared" si="117"/>
        <v>1.7733998428356017</v>
      </c>
      <c r="AK270" s="424">
        <f t="shared" si="117"/>
        <v>1.8044744219616462</v>
      </c>
      <c r="AL270" s="424">
        <f t="shared" si="117"/>
        <v>1.8355490010876911</v>
      </c>
      <c r="AM270" s="424">
        <f t="shared" si="117"/>
        <v>1.8666235802137356</v>
      </c>
      <c r="AN270" s="424">
        <f t="shared" si="117"/>
        <v>1.8976981593397806</v>
      </c>
      <c r="AO270" s="424">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F17" sqref="F17"/>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46">
        <v>2017</v>
      </c>
    </row>
    <row r="2" spans="1:7" x14ac:dyDescent="0.25">
      <c r="A2" s="4" t="s">
        <v>528</v>
      </c>
      <c r="B2" s="4" t="s">
        <v>7</v>
      </c>
      <c r="C2" s="4">
        <f>'Future Year Scaling'!H5*10^6*'Unit Conversions'!A26/'Annual Survey of Industries'!L29</f>
        <v>0.59791246467420445</v>
      </c>
      <c r="E2" s="446" t="s">
        <v>565</v>
      </c>
      <c r="F2" s="446">
        <f ca="1">('Future Year Scaling'!H7*10^6*'Unit Conversions'!A26/SUM('Min. of Petr. &amp; NG'!B194,'Min. of Petr. &amp; NG'!E194,'Min. of Petr. &amp; NG'!F194))</f>
        <v>0.15092822578371601</v>
      </c>
      <c r="G2" s="447"/>
    </row>
    <row r="3" spans="1:7" x14ac:dyDescent="0.25">
      <c r="A3" s="4" t="s">
        <v>529</v>
      </c>
      <c r="B3" s="4" t="s">
        <v>7</v>
      </c>
      <c r="C3" s="4">
        <v>1</v>
      </c>
      <c r="E3" s="446" t="s">
        <v>565</v>
      </c>
      <c r="F3" s="446">
        <v>1</v>
      </c>
      <c r="G3" s="447"/>
    </row>
    <row r="4" spans="1:7" x14ac:dyDescent="0.25">
      <c r="A4" s="4" t="s">
        <v>27</v>
      </c>
      <c r="B4" s="4" t="s">
        <v>7</v>
      </c>
      <c r="C4" s="4">
        <f>'Future Year Scaling'!H23*10^6*'Unit Conversions'!A26/'Annual Survey of Industries'!L31</f>
        <v>0.73168699793571823</v>
      </c>
      <c r="E4" s="446" t="s">
        <v>565</v>
      </c>
      <c r="F4" s="447">
        <f ca="1">'Future Year Scaling'!H25*10^6*'Unit Conversions'!A26/SUM('Min. of Petr. &amp; NG'!B196,'Min. of Petr. &amp; NG'!E196,'Min. of Petr. &amp; NG'!F196)</f>
        <v>15.850860513834936</v>
      </c>
      <c r="G4" s="447"/>
    </row>
    <row r="5" spans="1:7" x14ac:dyDescent="0.25">
      <c r="A5" s="4" t="s">
        <v>6</v>
      </c>
      <c r="B5" s="4" t="s">
        <v>7</v>
      </c>
      <c r="C5" s="4">
        <v>1</v>
      </c>
      <c r="E5" s="446" t="s">
        <v>565</v>
      </c>
      <c r="F5" s="446">
        <v>1</v>
      </c>
      <c r="G5" s="447"/>
    </row>
    <row r="6" spans="1:7" x14ac:dyDescent="0.25">
      <c r="A6" s="4" t="s">
        <v>530</v>
      </c>
      <c r="B6" s="4" t="s">
        <v>7</v>
      </c>
      <c r="C6" s="4">
        <v>1</v>
      </c>
      <c r="E6" s="446" t="s">
        <v>565</v>
      </c>
      <c r="F6" s="446">
        <v>1</v>
      </c>
      <c r="G6" s="447"/>
    </row>
    <row r="7" spans="1:7" x14ac:dyDescent="0.25">
      <c r="A7" s="4" t="s">
        <v>531</v>
      </c>
      <c r="B7" s="4" t="s">
        <v>7</v>
      </c>
      <c r="C7" s="4">
        <v>1</v>
      </c>
      <c r="E7" s="446" t="s">
        <v>565</v>
      </c>
      <c r="F7" s="446">
        <v>1</v>
      </c>
      <c r="G7" s="447"/>
    </row>
    <row r="8" spans="1:7" x14ac:dyDescent="0.25">
      <c r="A8" s="4" t="s">
        <v>11</v>
      </c>
      <c r="B8" s="4" t="s">
        <v>7</v>
      </c>
      <c r="C8" s="80">
        <f>-'Future Year Scaling'!G107*10^6*'Unit Conversions'!A26/'Annual Survey of Industries'!L35</f>
        <v>235.00161339989802</v>
      </c>
      <c r="E8" s="446" t="s">
        <v>565</v>
      </c>
      <c r="F8" s="447">
        <f ca="1">-'Future Year Scaling'!G108*10^6*'Unit Conversions'!A26/SUM('Min. of Petr. &amp; NG'!B200,'Min. of Petr. &amp; NG'!E200,'Min. of Petr. &amp; NG'!F200)</f>
        <v>5.5116840043189637</v>
      </c>
      <c r="G8" s="447"/>
    </row>
    <row r="9" spans="1:7" x14ac:dyDescent="0.25">
      <c r="A9" s="4" t="s">
        <v>532</v>
      </c>
      <c r="B9" s="4" t="s">
        <v>7</v>
      </c>
      <c r="C9" s="4">
        <f>(-SUM('Future Year Scaling'!G63,'Future Year Scaling'!G107)*10^6*'Unit Conversions'!A26-SUMPRODUCT(C2:C8,'Annual Survey of Industries'!L29:L35))/'Annual Survey of Industries'!L36</f>
        <v>1.7726673608804788</v>
      </c>
      <c r="E9" s="446" t="s">
        <v>565</v>
      </c>
      <c r="F9" s="447" t="e">
        <f ca="1">(-SUM('Future Year Scaling'!G108,'Future Year Scaling'!H65)*10^6*'Unit Conversions'!A26-SUMPRODUCT(F2:F8,'Min. of Petr. &amp; NG'!H194:H200))/SUM('Min. of Petr. &amp; NG'!H194:H201)</f>
        <v>#DIV/0!</v>
      </c>
      <c r="G9" s="447"/>
    </row>
    <row r="10" spans="1:7" x14ac:dyDescent="0.25">
      <c r="A10" s="4" t="s">
        <v>528</v>
      </c>
      <c r="B10" s="4" t="s">
        <v>51</v>
      </c>
      <c r="C10" s="4">
        <f>TREND('Future Year Scaling'!G6:H6,'Future Year Scaling'!G2:H2,'Start Year Fuel Use Adjustments'!C1)*10^6*'Unit Conversions'!A26/'Annual Survey of Industries'!M29</f>
        <v>2.2845196325067358</v>
      </c>
    </row>
    <row r="11" spans="1:7" x14ac:dyDescent="0.25">
      <c r="A11" s="4" t="s">
        <v>529</v>
      </c>
      <c r="B11" s="4" t="s">
        <v>51</v>
      </c>
      <c r="C11" s="4">
        <v>1</v>
      </c>
      <c r="G11" s="116"/>
    </row>
    <row r="12" spans="1:7" x14ac:dyDescent="0.25">
      <c r="A12" s="4" t="s">
        <v>27</v>
      </c>
      <c r="B12" s="4" t="s">
        <v>51</v>
      </c>
      <c r="C12" s="4">
        <f>TREND('Future Year Scaling'!G24:H24,'Future Year Scaling'!G2:H2,'Start Year Fuel Use Adjustments'!C1)*10^6*'Unit Conversions'!A26/'Annual Survey of Industries'!M31</f>
        <v>6.5217742743525768</v>
      </c>
    </row>
    <row r="13" spans="1:7" x14ac:dyDescent="0.25">
      <c r="A13" s="4" t="s">
        <v>6</v>
      </c>
      <c r="B13" s="4" t="s">
        <v>51</v>
      </c>
      <c r="C13" s="4">
        <v>1</v>
      </c>
    </row>
    <row r="14" spans="1:7" x14ac:dyDescent="0.25">
      <c r="A14" s="4" t="s">
        <v>530</v>
      </c>
      <c r="B14" s="4" t="s">
        <v>51</v>
      </c>
      <c r="C14" s="4">
        <v>1</v>
      </c>
    </row>
    <row r="15" spans="1:7" x14ac:dyDescent="0.25">
      <c r="A15" s="4" t="s">
        <v>531</v>
      </c>
      <c r="B15" s="4" t="s">
        <v>51</v>
      </c>
      <c r="C15" s="4">
        <v>1</v>
      </c>
    </row>
    <row r="16" spans="1:7" x14ac:dyDescent="0.25">
      <c r="A16" s="4" t="s">
        <v>11</v>
      </c>
      <c r="B16" s="4" t="s">
        <v>51</v>
      </c>
      <c r="C16" s="4">
        <v>0</v>
      </c>
    </row>
    <row r="17" spans="1:3" x14ac:dyDescent="0.25">
      <c r="A17" s="4" t="s">
        <v>532</v>
      </c>
      <c r="B17" s="4" t="s">
        <v>51</v>
      </c>
      <c r="C17" s="4">
        <f>((-TREND('Future Year Scaling'!F64:G64,'Future Year Scaling'!F61:G61,'Start Year Fuel Use Adjustments'!C1)*10^6*'Unit Conversions'!A26)-SUMPRODUCT(C10:C16,'Annual Survey of Industries'!M29:M35))/'Annual Survey of Industries'!M36</f>
        <v>1.4535424672388544</v>
      </c>
    </row>
    <row r="18" spans="1:3" x14ac:dyDescent="0.25">
      <c r="A18" s="4" t="s">
        <v>528</v>
      </c>
      <c r="B18" s="4" t="s">
        <v>171</v>
      </c>
      <c r="C18" s="4">
        <v>1</v>
      </c>
    </row>
    <row r="19" spans="1:3" x14ac:dyDescent="0.25">
      <c r="A19" s="4" t="s">
        <v>529</v>
      </c>
      <c r="B19" s="4" t="s">
        <v>171</v>
      </c>
      <c r="C19" s="4">
        <f>-'Future Year Scaling'!$G$66*10^6*'Unit Conversions'!$A$26/SUM('Min. of Petr. &amp; NG'!C194:C201)*'Min. of Petr. &amp; NG'!B217</f>
        <v>0.41630769401273793</v>
      </c>
    </row>
    <row r="20" spans="1:3" x14ac:dyDescent="0.25">
      <c r="A20" s="4" t="s">
        <v>27</v>
      </c>
      <c r="B20" s="4" t="s">
        <v>171</v>
      </c>
      <c r="C20" s="4">
        <f>-'Future Year Scaling'!$G$66*10^6*'Unit Conversions'!$A$26/SUM('Min. of Petr. &amp; NG'!C194:C201)*'Min. of Petr. &amp; NG'!B218</f>
        <v>5.5297783983729309E-2</v>
      </c>
    </row>
    <row r="21" spans="1:3" x14ac:dyDescent="0.25">
      <c r="A21" s="4" t="s">
        <v>6</v>
      </c>
      <c r="B21" s="4" t="s">
        <v>171</v>
      </c>
      <c r="C21" s="4">
        <f>-'Future Year Scaling'!$G$66*10^6*'Unit Conversions'!$A$26/SUM('Min. of Petr. &amp; NG'!C194:C201)*'Min. of Petr. &amp; NG'!B219</f>
        <v>0.90390229994044347</v>
      </c>
    </row>
    <row r="22" spans="1:3" x14ac:dyDescent="0.25">
      <c r="A22" s="4" t="s">
        <v>530</v>
      </c>
      <c r="B22" s="4" t="s">
        <v>171</v>
      </c>
      <c r="C22" s="4">
        <v>1</v>
      </c>
    </row>
    <row r="23" spans="1:3" x14ac:dyDescent="0.25">
      <c r="A23" s="4" t="s">
        <v>531</v>
      </c>
      <c r="B23" s="4" t="s">
        <v>171</v>
      </c>
      <c r="C23" s="4">
        <v>1</v>
      </c>
    </row>
    <row r="24" spans="1:3" x14ac:dyDescent="0.25">
      <c r="A24" s="4" t="s">
        <v>11</v>
      </c>
      <c r="B24" s="4" t="s">
        <v>171</v>
      </c>
      <c r="C24" s="4">
        <v>1</v>
      </c>
    </row>
    <row r="25" spans="1:3" x14ac:dyDescent="0.25">
      <c r="A25" s="4" t="s">
        <v>532</v>
      </c>
      <c r="B25" s="4" t="s">
        <v>171</v>
      </c>
      <c r="C25" s="4">
        <f>(-'Future Year Scaling'!$G$66*10^6*'Unit Conversions'!$A$26-SUMPRODUCT(C18:C24,'Min. of Petr. &amp; NG'!C194:C200))/'Min. of Petr. &amp; NG'!C201</f>
        <v>6.8912154066902875</v>
      </c>
    </row>
    <row r="26" spans="1:3" x14ac:dyDescent="0.25">
      <c r="A26" s="4" t="s">
        <v>528</v>
      </c>
      <c r="B26" s="4" t="s">
        <v>172</v>
      </c>
      <c r="C26" s="4">
        <v>1</v>
      </c>
    </row>
    <row r="27" spans="1:3" x14ac:dyDescent="0.25">
      <c r="A27" s="4" t="s">
        <v>529</v>
      </c>
      <c r="B27" s="4" t="s">
        <v>172</v>
      </c>
      <c r="C27" s="4">
        <v>1</v>
      </c>
    </row>
    <row r="28" spans="1:3" x14ac:dyDescent="0.25">
      <c r="A28" s="4" t="s">
        <v>27</v>
      </c>
      <c r="B28" s="4" t="s">
        <v>172</v>
      </c>
      <c r="C28" s="4">
        <v>1</v>
      </c>
    </row>
    <row r="29" spans="1:3" x14ac:dyDescent="0.25">
      <c r="A29" s="4" t="s">
        <v>6</v>
      </c>
      <c r="B29" s="4" t="s">
        <v>172</v>
      </c>
      <c r="C29" s="4">
        <v>1</v>
      </c>
    </row>
    <row r="30" spans="1:3" x14ac:dyDescent="0.25">
      <c r="A30" s="4" t="s">
        <v>530</v>
      </c>
      <c r="B30" s="4" t="s">
        <v>172</v>
      </c>
      <c r="C30" s="4">
        <v>1</v>
      </c>
    </row>
    <row r="31" spans="1:3" x14ac:dyDescent="0.25">
      <c r="A31" s="4" t="s">
        <v>531</v>
      </c>
      <c r="B31" s="4" t="s">
        <v>172</v>
      </c>
      <c r="C31" s="4">
        <v>1</v>
      </c>
    </row>
    <row r="32" spans="1:3" x14ac:dyDescent="0.25">
      <c r="A32" s="4" t="s">
        <v>11</v>
      </c>
      <c r="B32" s="4" t="s">
        <v>172</v>
      </c>
      <c r="C32" s="4">
        <v>1</v>
      </c>
    </row>
    <row r="33" spans="1:7" x14ac:dyDescent="0.25">
      <c r="A33" s="4" t="s">
        <v>532</v>
      </c>
      <c r="B33" s="4" t="s">
        <v>172</v>
      </c>
      <c r="C33" s="4">
        <v>1</v>
      </c>
    </row>
    <row r="34" spans="1:7" x14ac:dyDescent="0.25">
      <c r="A34" s="4" t="s">
        <v>528</v>
      </c>
      <c r="B34" s="4" t="s">
        <v>173</v>
      </c>
      <c r="C34" s="445">
        <f ca="1">('Future Year Scaling'!H7*10^6*'Unit Conversions'!A26/SUM('Min. of Petr. &amp; NG'!B194,'Min. of Petr. &amp; NG'!E194,'Min. of Petr. &amp; NG'!F194))*('Min. of Petr. &amp; NG'!B194/SUM('Min. of Petr. &amp; NG'!B194,'Min. of Petr. &amp; NG'!E194,'Min. of Petr. &amp; NG'!F194))</f>
        <v>0.14456580364013502</v>
      </c>
      <c r="G34" s="116"/>
    </row>
    <row r="35" spans="1:7" x14ac:dyDescent="0.25">
      <c r="A35" s="4" t="s">
        <v>529</v>
      </c>
      <c r="B35" s="4" t="s">
        <v>173</v>
      </c>
      <c r="C35" s="419">
        <v>1</v>
      </c>
      <c r="G35" s="116"/>
    </row>
    <row r="36" spans="1:7" x14ac:dyDescent="0.25">
      <c r="A36" s="4" t="s">
        <v>27</v>
      </c>
      <c r="B36" s="4" t="s">
        <v>173</v>
      </c>
      <c r="C36" s="420">
        <f ca="1">'Future Year Scaling'!H25*10^6*'Unit Conversions'!A26/SUM('Min. of Petr. &amp; NG'!B196,'Min. of Petr. &amp; NG'!E196,'Min. of Petr. &amp; NG'!F196)*('Min. of Petr. &amp; NG'!B196/SUM('Min. of Petr. &amp; NG'!B196,'Min. of Petr. &amp; NG'!E196,'Min. of Petr. &amp; NG'!F196))</f>
        <v>2.1356232276792855</v>
      </c>
      <c r="G36" s="116"/>
    </row>
    <row r="37" spans="1:7" x14ac:dyDescent="0.25">
      <c r="A37" s="4" t="s">
        <v>6</v>
      </c>
      <c r="B37" s="4" t="s">
        <v>173</v>
      </c>
      <c r="C37" s="419">
        <v>1</v>
      </c>
      <c r="G37" s="116"/>
    </row>
    <row r="38" spans="1:7" x14ac:dyDescent="0.25">
      <c r="A38" s="4" t="s">
        <v>530</v>
      </c>
      <c r="B38" s="4" t="s">
        <v>173</v>
      </c>
      <c r="C38" s="419">
        <v>1</v>
      </c>
      <c r="G38" s="116"/>
    </row>
    <row r="39" spans="1:7" x14ac:dyDescent="0.25">
      <c r="A39" s="4" t="s">
        <v>531</v>
      </c>
      <c r="B39" s="4" t="s">
        <v>173</v>
      </c>
      <c r="C39" s="419">
        <v>1</v>
      </c>
      <c r="G39" s="116"/>
    </row>
    <row r="40" spans="1:7" x14ac:dyDescent="0.25">
      <c r="A40" s="4" t="s">
        <v>11</v>
      </c>
      <c r="B40" s="4" t="s">
        <v>173</v>
      </c>
      <c r="C40" s="420">
        <f ca="1">-'Future Year Scaling'!G108*10^6*'Unit Conversions'!A26/SUM('Min. of Petr. &amp; NG'!B200,'Min. of Petr. &amp; NG'!E200,'Min. of Petr. &amp; NG'!F200)*('Min. of Petr. &amp; NG'!B200/SUM('Min. of Petr. &amp; NG'!B200,'Min. of Petr. &amp; NG'!E200,'Min. of Petr. &amp; NG'!F200))</f>
        <v>1.6240767809100571</v>
      </c>
      <c r="G40" s="116"/>
    </row>
    <row r="41" spans="1:7" x14ac:dyDescent="0.25">
      <c r="A41" s="4" t="s">
        <v>532</v>
      </c>
      <c r="B41" s="4" t="s">
        <v>173</v>
      </c>
      <c r="C41" s="421">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4.8174959066008792E-2</v>
      </c>
      <c r="G41" s="116"/>
    </row>
    <row r="42" spans="1:7" x14ac:dyDescent="0.25">
      <c r="A42" s="4" t="s">
        <v>528</v>
      </c>
      <c r="B42" s="4" t="s">
        <v>174</v>
      </c>
      <c r="C42" s="4">
        <v>1</v>
      </c>
    </row>
    <row r="43" spans="1:7" x14ac:dyDescent="0.25">
      <c r="A43" s="4" t="s">
        <v>529</v>
      </c>
      <c r="B43" s="4" t="s">
        <v>174</v>
      </c>
      <c r="C43" s="4">
        <v>1</v>
      </c>
      <c r="G43" s="116"/>
    </row>
    <row r="44" spans="1:7" x14ac:dyDescent="0.25">
      <c r="A44" s="4" t="s">
        <v>27</v>
      </c>
      <c r="B44" s="4" t="s">
        <v>174</v>
      </c>
      <c r="C44" s="4">
        <v>1</v>
      </c>
    </row>
    <row r="45" spans="1:7" x14ac:dyDescent="0.25">
      <c r="A45" s="4" t="s">
        <v>6</v>
      </c>
      <c r="B45" s="4" t="s">
        <v>174</v>
      </c>
      <c r="C45" s="4">
        <v>1</v>
      </c>
    </row>
    <row r="46" spans="1:7" x14ac:dyDescent="0.25">
      <c r="A46" s="4" t="s">
        <v>530</v>
      </c>
      <c r="B46" s="4" t="s">
        <v>174</v>
      </c>
      <c r="C46" s="4">
        <v>1</v>
      </c>
    </row>
    <row r="47" spans="1:7" x14ac:dyDescent="0.25">
      <c r="A47" s="4" t="s">
        <v>531</v>
      </c>
      <c r="B47" s="4" t="s">
        <v>174</v>
      </c>
      <c r="C47" s="4">
        <v>1</v>
      </c>
    </row>
    <row r="48" spans="1:7" x14ac:dyDescent="0.25">
      <c r="A48" s="4" t="s">
        <v>11</v>
      </c>
      <c r="B48" s="4" t="s">
        <v>174</v>
      </c>
      <c r="C48" s="4">
        <v>1</v>
      </c>
    </row>
    <row r="49" spans="1:3" x14ac:dyDescent="0.25">
      <c r="A49" s="4" t="s">
        <v>532</v>
      </c>
      <c r="B49" s="4" t="s">
        <v>174</v>
      </c>
      <c r="C49" s="4">
        <v>1</v>
      </c>
    </row>
    <row r="50" spans="1:3" x14ac:dyDescent="0.25">
      <c r="A50" s="4" t="s">
        <v>528</v>
      </c>
      <c r="B50" t="s">
        <v>534</v>
      </c>
      <c r="C50" s="4">
        <v>1</v>
      </c>
    </row>
    <row r="51" spans="1:3" x14ac:dyDescent="0.25">
      <c r="A51" s="4" t="s">
        <v>529</v>
      </c>
      <c r="B51" s="4" t="s">
        <v>534</v>
      </c>
      <c r="C51">
        <v>1</v>
      </c>
    </row>
    <row r="52" spans="1:3" x14ac:dyDescent="0.25">
      <c r="A52" s="4" t="s">
        <v>27</v>
      </c>
      <c r="B52" s="4" t="s">
        <v>534</v>
      </c>
      <c r="C52" s="4">
        <v>1</v>
      </c>
    </row>
    <row r="53" spans="1:3" x14ac:dyDescent="0.25">
      <c r="A53" s="4" t="s">
        <v>6</v>
      </c>
      <c r="B53" s="4" t="s">
        <v>534</v>
      </c>
      <c r="C53" s="4">
        <v>1</v>
      </c>
    </row>
    <row r="54" spans="1:3" x14ac:dyDescent="0.25">
      <c r="A54" s="4" t="s">
        <v>530</v>
      </c>
      <c r="B54" s="4" t="s">
        <v>534</v>
      </c>
      <c r="C54" s="4">
        <v>1</v>
      </c>
    </row>
    <row r="55" spans="1:3" x14ac:dyDescent="0.25">
      <c r="A55" s="4" t="s">
        <v>531</v>
      </c>
      <c r="B55" s="4" t="s">
        <v>534</v>
      </c>
      <c r="C55" s="4">
        <v>1</v>
      </c>
    </row>
    <row r="56" spans="1:3" x14ac:dyDescent="0.25">
      <c r="A56" s="4" t="s">
        <v>11</v>
      </c>
      <c r="B56" s="4" t="s">
        <v>534</v>
      </c>
      <c r="C56" s="4">
        <v>1</v>
      </c>
    </row>
    <row r="57" spans="1:3" x14ac:dyDescent="0.25">
      <c r="A57" s="4" t="s">
        <v>532</v>
      </c>
      <c r="B57" s="4" t="s">
        <v>534</v>
      </c>
      <c r="C57" s="4">
        <v>1</v>
      </c>
    </row>
    <row r="58" spans="1:3" x14ac:dyDescent="0.25">
      <c r="A58" s="4" t="s">
        <v>528</v>
      </c>
      <c r="B58" t="s">
        <v>535</v>
      </c>
      <c r="C58" s="422">
        <v>1</v>
      </c>
    </row>
    <row r="59" spans="1:3" x14ac:dyDescent="0.25">
      <c r="A59" s="4" t="s">
        <v>529</v>
      </c>
      <c r="B59" s="4" t="s">
        <v>535</v>
      </c>
      <c r="C59" s="419">
        <v>1</v>
      </c>
    </row>
    <row r="60" spans="1:3" x14ac:dyDescent="0.25">
      <c r="A60" s="4" t="s">
        <v>27</v>
      </c>
      <c r="B60" s="4" t="s">
        <v>535</v>
      </c>
      <c r="C60" s="419">
        <v>1</v>
      </c>
    </row>
    <row r="61" spans="1:3" x14ac:dyDescent="0.25">
      <c r="A61" s="4" t="s">
        <v>6</v>
      </c>
      <c r="B61" s="4" t="s">
        <v>535</v>
      </c>
      <c r="C61" s="419">
        <v>1</v>
      </c>
    </row>
    <row r="62" spans="1:3" x14ac:dyDescent="0.25">
      <c r="A62" s="4" t="s">
        <v>530</v>
      </c>
      <c r="B62" s="4" t="s">
        <v>535</v>
      </c>
      <c r="C62" s="419">
        <v>1</v>
      </c>
    </row>
    <row r="63" spans="1:3" x14ac:dyDescent="0.25">
      <c r="A63" s="4" t="s">
        <v>531</v>
      </c>
      <c r="B63" s="4" t="s">
        <v>535</v>
      </c>
      <c r="C63" s="419">
        <v>1</v>
      </c>
    </row>
    <row r="64" spans="1:3" x14ac:dyDescent="0.25">
      <c r="A64" s="4" t="s">
        <v>11</v>
      </c>
      <c r="B64" s="4" t="s">
        <v>535</v>
      </c>
      <c r="C64" s="426">
        <f ca="1">-'Future Year Scaling'!G108*10^6*'Unit Conversions'!A26/SUM('Min. of Petr. &amp; NG'!B200,'Min. of Petr. &amp; NG'!E200,'Min. of Petr. &amp; NG'!F200)*('Min. of Petr. &amp; NG'!E200/SUM('Min. of Petr. &amp; NG'!B200,'Min. of Petr. &amp; NG'!E200,'Min. of Petr. &amp; NG'!F200))</f>
        <v>1.8037586726873507</v>
      </c>
    </row>
    <row r="65" spans="1:3" x14ac:dyDescent="0.25">
      <c r="A65" s="4" t="s">
        <v>532</v>
      </c>
      <c r="B65" s="4" t="s">
        <v>535</v>
      </c>
      <c r="C65"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1.4655017944400201E-2</v>
      </c>
    </row>
    <row r="66" spans="1:3" x14ac:dyDescent="0.25">
      <c r="A66" s="4" t="s">
        <v>528</v>
      </c>
      <c r="B66" t="s">
        <v>536</v>
      </c>
      <c r="C66" s="428">
        <f ca="1">'Future Year Scaling'!H7*10^6*'Unit Conversions'!A26/SUM('Min. of Petr. &amp; NG'!B194,'Min. of Petr. &amp; NG'!E194,'Min. of Petr. &amp; NG'!F194)*('Min. of Petr. &amp; NG'!B194/SUM('Min. of Petr. &amp; NG'!F194,'Min. of Petr. &amp; NG'!E194,'Min. of Petr. &amp; NG'!F194))</f>
        <v>1.7146819057279765</v>
      </c>
    </row>
    <row r="67" spans="1:3" x14ac:dyDescent="0.25">
      <c r="A67" s="4" t="s">
        <v>529</v>
      </c>
      <c r="B67" s="4" t="s">
        <v>536</v>
      </c>
      <c r="C67" s="419">
        <v>1</v>
      </c>
    </row>
    <row r="68" spans="1:3" x14ac:dyDescent="0.25">
      <c r="A68" s="4" t="s">
        <v>27</v>
      </c>
      <c r="B68" s="4" t="s">
        <v>536</v>
      </c>
      <c r="C68" s="426">
        <f ca="1">'Future Year Scaling'!H25*10^6*'Unit Conversions'!A26/SUM('Min. of Petr. &amp; NG'!B196,'Min. of Petr. &amp; NG'!E196,'Min. of Petr. &amp; NG'!F196)*('Min. of Petr. &amp; NG'!F196/SUM('Min. of Petr. &amp; NG'!B196,'Min. of Petr. &amp; NG'!E196,'Min. of Petr. &amp; NG'!F196))</f>
        <v>13.71523728615565</v>
      </c>
    </row>
    <row r="69" spans="1:3" x14ac:dyDescent="0.25">
      <c r="A69" s="4" t="s">
        <v>6</v>
      </c>
      <c r="B69" s="4" t="s">
        <v>536</v>
      </c>
      <c r="C69" s="419">
        <v>1</v>
      </c>
    </row>
    <row r="70" spans="1:3" x14ac:dyDescent="0.25">
      <c r="A70" s="4" t="s">
        <v>530</v>
      </c>
      <c r="B70" s="4" t="s">
        <v>536</v>
      </c>
      <c r="C70" s="419">
        <v>1</v>
      </c>
    </row>
    <row r="71" spans="1:3" x14ac:dyDescent="0.25">
      <c r="A71" s="4" t="s">
        <v>531</v>
      </c>
      <c r="B71" s="4" t="s">
        <v>536</v>
      </c>
      <c r="C71" s="419">
        <v>1</v>
      </c>
    </row>
    <row r="72" spans="1:3" x14ac:dyDescent="0.25">
      <c r="A72" s="4" t="s">
        <v>11</v>
      </c>
      <c r="B72" s="4" t="s">
        <v>536</v>
      </c>
      <c r="C72" s="426">
        <f ca="1">-'Future Year Scaling'!G108*10^6*'Unit Conversions'!A26/SUM('Min. of Petr. &amp; NG'!B200,'Min. of Petr. &amp; NG'!E200,'Min. of Petr. &amp; NG'!F200)*('Min. of Petr. &amp; NG'!F200/SUM('Min. of Petr. &amp; NG'!B200,'Min. of Petr. &amp; NG'!E200,'Min. of Petr. &amp; NG'!F200))</f>
        <v>2.0838485507215552</v>
      </c>
    </row>
    <row r="73" spans="1:3" x14ac:dyDescent="0.25">
      <c r="A73" s="4" t="s">
        <v>532</v>
      </c>
      <c r="B73" s="4" t="s">
        <v>536</v>
      </c>
      <c r="C73"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0.30091188926431228</v>
      </c>
    </row>
    <row r="74" spans="1:3" x14ac:dyDescent="0.25">
      <c r="A74" s="4" t="s">
        <v>528</v>
      </c>
      <c r="B74" t="s">
        <v>537</v>
      </c>
      <c r="C74" s="4">
        <v>1</v>
      </c>
    </row>
    <row r="75" spans="1:3" x14ac:dyDescent="0.25">
      <c r="A75" s="4" t="s">
        <v>529</v>
      </c>
      <c r="B75" s="4" t="s">
        <v>537</v>
      </c>
      <c r="C75" s="4">
        <v>1</v>
      </c>
    </row>
    <row r="76" spans="1:3" x14ac:dyDescent="0.25">
      <c r="A76" s="4" t="s">
        <v>27</v>
      </c>
      <c r="B76" s="4" t="s">
        <v>537</v>
      </c>
      <c r="C76" s="4">
        <v>1</v>
      </c>
    </row>
    <row r="77" spans="1:3" x14ac:dyDescent="0.25">
      <c r="A77" s="4" t="s">
        <v>6</v>
      </c>
      <c r="B77" s="4" t="s">
        <v>537</v>
      </c>
      <c r="C77" s="4">
        <v>1</v>
      </c>
    </row>
    <row r="78" spans="1:3" x14ac:dyDescent="0.25">
      <c r="A78" s="4" t="s">
        <v>530</v>
      </c>
      <c r="B78" s="4" t="s">
        <v>537</v>
      </c>
      <c r="C78" s="4">
        <v>1</v>
      </c>
    </row>
    <row r="79" spans="1:3" x14ac:dyDescent="0.25">
      <c r="A79" s="4" t="s">
        <v>531</v>
      </c>
      <c r="B79" s="4" t="s">
        <v>537</v>
      </c>
      <c r="C79" s="4">
        <v>1</v>
      </c>
    </row>
    <row r="80" spans="1:3" x14ac:dyDescent="0.25">
      <c r="A80" s="4" t="s">
        <v>11</v>
      </c>
      <c r="B80" s="4" t="s">
        <v>537</v>
      </c>
      <c r="C80" s="4">
        <v>1</v>
      </c>
    </row>
    <row r="81" spans="1:3" x14ac:dyDescent="0.25">
      <c r="A81" s="4" t="s">
        <v>532</v>
      </c>
      <c r="B81" s="4" t="s">
        <v>537</v>
      </c>
      <c r="C81" s="4">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abSelected="1" workbookViewId="0">
      <selection activeCell="I10" sqref="I10:AM17"/>
    </sheetView>
  </sheetViews>
  <sheetFormatPr defaultRowHeight="15" x14ac:dyDescent="0.25"/>
  <cols>
    <col min="1" max="1" width="44.140625" customWidth="1"/>
    <col min="2" max="2" width="19.5703125" customWidth="1"/>
    <col min="3" max="5" width="12" hidden="1"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528</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529</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530</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531</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532</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528</v>
      </c>
      <c r="B10" t="s">
        <v>51</v>
      </c>
      <c r="D10" s="4"/>
      <c r="E10" s="4"/>
      <c r="F10" s="4"/>
      <c r="G10" s="4"/>
      <c r="H10" s="4">
        <f>(Coal!$B$8*'Unit Conversions'!$B$34*1000000-'Aggregate Calcs'!H15)*('Future Year Scaling'!J123/SUM('Future Year Scaling'!J$123,'Future Year Scaling'!J$125,'Future Year Scaling'!J$126,'Future Year Scaling'!J$130))</f>
        <v>970303872534760.13</v>
      </c>
      <c r="I10" s="4">
        <f>$H10*('Future Year Scaling'!K123/'Future Year Scaling'!$J123)</f>
        <v>1008674429808881.1</v>
      </c>
      <c r="J10" s="4">
        <f>$H10*('Future Year Scaling'!L123/'Future Year Scaling'!$J123)</f>
        <v>1047044987083002</v>
      </c>
      <c r="K10" s="4">
        <f>$H10*('Future Year Scaling'!M123/'Future Year Scaling'!$J123)</f>
        <v>1085415544357122.8</v>
      </c>
      <c r="L10" s="4">
        <f>$H10*('Future Year Scaling'!N123/'Future Year Scaling'!$J123)</f>
        <v>1136141474482882.8</v>
      </c>
      <c r="M10" s="4">
        <f>$H10*('Future Year Scaling'!O123/'Future Year Scaling'!$J123)</f>
        <v>1186867404608642.5</v>
      </c>
      <c r="N10" s="4">
        <f>$H10*('Future Year Scaling'!P123/'Future Year Scaling'!$J123)</f>
        <v>1237593334734402.3</v>
      </c>
      <c r="O10" s="4">
        <f>$H10*('Future Year Scaling'!Q123/'Future Year Scaling'!$J123)</f>
        <v>1288319264860162</v>
      </c>
      <c r="P10" s="4">
        <f>$H10*('Future Year Scaling'!R123/'Future Year Scaling'!$J123)</f>
        <v>1339045194985922</v>
      </c>
      <c r="Q10" s="4">
        <f>$H10*('Future Year Scaling'!S123/'Future Year Scaling'!$J123)</f>
        <v>1405433533451455.3</v>
      </c>
      <c r="R10" s="4">
        <f>$H10*('Future Year Scaling'!T123/'Future Year Scaling'!$J123)</f>
        <v>1471821871916988.8</v>
      </c>
      <c r="S10" s="4">
        <f>$H10*('Future Year Scaling'!U123/'Future Year Scaling'!$J123)</f>
        <v>1538210210382522.3</v>
      </c>
      <c r="T10" s="4">
        <f>$H10*('Future Year Scaling'!V123/'Future Year Scaling'!$J123)</f>
        <v>1604598548848055.8</v>
      </c>
      <c r="U10" s="4">
        <f>$H10*('Future Year Scaling'!W123/'Future Year Scaling'!$J123)</f>
        <v>1670986887313589</v>
      </c>
      <c r="V10" s="4">
        <f>$H10*('Future Year Scaling'!X123/'Future Year Scaling'!$J123)</f>
        <v>1749304770877725.8</v>
      </c>
      <c r="W10" s="4">
        <f>$H10*('Future Year Scaling'!Y123/'Future Year Scaling'!$J123)</f>
        <v>1827622654441862.5</v>
      </c>
      <c r="X10" s="4">
        <f>$H10*('Future Year Scaling'!Z123/'Future Year Scaling'!$J123)</f>
        <v>1905940538005999.3</v>
      </c>
      <c r="Y10" s="4">
        <f>$H10*('Future Year Scaling'!AA123/'Future Year Scaling'!$J123)</f>
        <v>1984258421570136</v>
      </c>
      <c r="Z10" s="4">
        <f>$H10*('Future Year Scaling'!AB123/'Future Year Scaling'!$J123)</f>
        <v>2062576305134272.8</v>
      </c>
      <c r="AA10" s="4">
        <f>$H10*('Future Year Scaling'!AC123/'Future Year Scaling'!$J123)</f>
        <v>2137003985074252</v>
      </c>
      <c r="AB10" s="4">
        <f>$H10*('Future Year Scaling'!AD123/'Future Year Scaling'!$J123)</f>
        <v>2211431665014231.8</v>
      </c>
      <c r="AC10" s="4">
        <f>$H10*('Future Year Scaling'!AE123/'Future Year Scaling'!$J123)</f>
        <v>2285859344954211.5</v>
      </c>
      <c r="AD10" s="4">
        <f>$H10*('Future Year Scaling'!AF123/'Future Year Scaling'!$J123)</f>
        <v>2360287024894191.5</v>
      </c>
      <c r="AE10" s="4">
        <f>$H10*('Future Year Scaling'!AG123/'Future Year Scaling'!$J123)</f>
        <v>2434714704834170.5</v>
      </c>
      <c r="AF10" s="4">
        <f>$H10*('Future Year Scaling'!AH123/'Future Year Scaling'!$J123)</f>
        <v>2502093912038383.5</v>
      </c>
      <c r="AG10" s="4">
        <f>$H10*('Future Year Scaling'!AI123/'Future Year Scaling'!$J123)</f>
        <v>2569473119242596.5</v>
      </c>
      <c r="AH10" s="4">
        <f>$H10*('Future Year Scaling'!AJ123/'Future Year Scaling'!$J123)</f>
        <v>2636852326446809.5</v>
      </c>
      <c r="AI10" s="4">
        <f>$H10*('Future Year Scaling'!AK123/'Future Year Scaling'!$J123)</f>
        <v>2704231533651022</v>
      </c>
      <c r="AJ10" s="4">
        <f>$H10*('Future Year Scaling'!AL123/'Future Year Scaling'!$J123)</f>
        <v>2771610740855235.5</v>
      </c>
      <c r="AK10" s="4">
        <f>$H10*('Future Year Scaling'!AM123/'Future Year Scaling'!$J123)</f>
        <v>2838989948059448.5</v>
      </c>
      <c r="AL10" s="4">
        <f>$H10*('Future Year Scaling'!AN123/'Future Year Scaling'!$J123)</f>
        <v>2906369155263661</v>
      </c>
      <c r="AM10" s="4">
        <f>$H10*('Future Year Scaling'!AO123/'Future Year Scaling'!$J123)</f>
        <v>2973748362467874.5</v>
      </c>
    </row>
    <row r="11" spans="1:39" x14ac:dyDescent="0.25">
      <c r="A11" s="4" t="s">
        <v>529</v>
      </c>
      <c r="B11" s="4" t="s">
        <v>51</v>
      </c>
      <c r="D11" s="4"/>
      <c r="E11" s="4"/>
      <c r="F11" s="4"/>
      <c r="G11" s="4"/>
      <c r="H11" s="4">
        <f>Coal!B13*1000000*'Unit Conversions'!$B$34</f>
        <v>0</v>
      </c>
      <c r="I11" s="4">
        <f>$H11*('Future Year Scaling'!K124/'Future Year Scaling'!$J124)</f>
        <v>0</v>
      </c>
      <c r="J11" s="4">
        <f>$H11*('Future Year Scaling'!L124/'Future Year Scaling'!$J124)</f>
        <v>0</v>
      </c>
      <c r="K11" s="4">
        <f>$H11*('Future Year Scaling'!M124/'Future Year Scaling'!$J124)</f>
        <v>0</v>
      </c>
      <c r="L11" s="4">
        <f>$H11*('Future Year Scaling'!N124/'Future Year Scaling'!$J124)</f>
        <v>0</v>
      </c>
      <c r="M11" s="4">
        <f>$H11*('Future Year Scaling'!O124/'Future Year Scaling'!$J124)</f>
        <v>0</v>
      </c>
      <c r="N11" s="4">
        <f>$H11*('Future Year Scaling'!P124/'Future Year Scaling'!$J124)</f>
        <v>0</v>
      </c>
      <c r="O11" s="4">
        <f>$H11*('Future Year Scaling'!Q124/'Future Year Scaling'!$J124)</f>
        <v>0</v>
      </c>
      <c r="P11" s="4">
        <f>$H11*('Future Year Scaling'!R124/'Future Year Scaling'!$J124)</f>
        <v>0</v>
      </c>
      <c r="Q11" s="4">
        <f>$H11*('Future Year Scaling'!S124/'Future Year Scaling'!$J124)</f>
        <v>0</v>
      </c>
      <c r="R11" s="4">
        <f>$H11*('Future Year Scaling'!T124/'Future Year Scaling'!$J124)</f>
        <v>0</v>
      </c>
      <c r="S11" s="4">
        <f>$H11*('Future Year Scaling'!U124/'Future Year Scaling'!$J124)</f>
        <v>0</v>
      </c>
      <c r="T11" s="4">
        <f>$H11*('Future Year Scaling'!V124/'Future Year Scaling'!$J124)</f>
        <v>0</v>
      </c>
      <c r="U11" s="4">
        <f>$H11*('Future Year Scaling'!W124/'Future Year Scaling'!$J124)</f>
        <v>0</v>
      </c>
      <c r="V11" s="4">
        <f>$H11*('Future Year Scaling'!X124/'Future Year Scaling'!$J124)</f>
        <v>0</v>
      </c>
      <c r="W11" s="4">
        <f>$H11*('Future Year Scaling'!Y124/'Future Year Scaling'!$J124)</f>
        <v>0</v>
      </c>
      <c r="X11" s="4">
        <f>$H11*('Future Year Scaling'!Z124/'Future Year Scaling'!$J124)</f>
        <v>0</v>
      </c>
      <c r="Y11" s="4">
        <f>$H11*('Future Year Scaling'!AA124/'Future Year Scaling'!$J124)</f>
        <v>0</v>
      </c>
      <c r="Z11" s="4">
        <f>$H11*('Future Year Scaling'!AB124/'Future Year Scaling'!$J124)</f>
        <v>0</v>
      </c>
      <c r="AA11" s="4">
        <f>$H11*('Future Year Scaling'!AC124/'Future Year Scaling'!$J124)</f>
        <v>0</v>
      </c>
      <c r="AB11" s="4">
        <f>$H11*('Future Year Scaling'!AD124/'Future Year Scaling'!$J124)</f>
        <v>0</v>
      </c>
      <c r="AC11" s="4">
        <f>$H11*('Future Year Scaling'!AE124/'Future Year Scaling'!$J124)</f>
        <v>0</v>
      </c>
      <c r="AD11" s="4">
        <f>$H11*('Future Year Scaling'!AF124/'Future Year Scaling'!$J124)</f>
        <v>0</v>
      </c>
      <c r="AE11" s="4">
        <f>$H11*('Future Year Scaling'!AG124/'Future Year Scaling'!$J124)</f>
        <v>0</v>
      </c>
      <c r="AF11" s="4">
        <f>$H11*('Future Year Scaling'!AH124/'Future Year Scaling'!$J124)</f>
        <v>0</v>
      </c>
      <c r="AG11" s="4">
        <f>$H11*('Future Year Scaling'!AI124/'Future Year Scaling'!$J124)</f>
        <v>0</v>
      </c>
      <c r="AH11" s="4">
        <f>$H11*('Future Year Scaling'!AJ124/'Future Year Scaling'!$J124)</f>
        <v>0</v>
      </c>
      <c r="AI11" s="4">
        <f>$H11*('Future Year Scaling'!AK124/'Future Year Scaling'!$J124)</f>
        <v>0</v>
      </c>
      <c r="AJ11" s="4">
        <f>$H11*('Future Year Scaling'!AL124/'Future Year Scaling'!$J124)</f>
        <v>0</v>
      </c>
      <c r="AK11" s="4">
        <f>$H11*('Future Year Scaling'!AM124/'Future Year Scaling'!$J124)</f>
        <v>0</v>
      </c>
      <c r="AL11" s="4">
        <f>$H11*('Future Year Scaling'!AN124/'Future Year Scaling'!$J124)</f>
        <v>0</v>
      </c>
      <c r="AM11" s="4">
        <f>$H11*('Future Year Scaling'!AO124/'Future Year Scaling'!$J124)</f>
        <v>0</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$H12*('Future Year Scaling'!K125/'Future Year Scaling'!$J125)</f>
        <v>2629464447701694</v>
      </c>
      <c r="J12" s="4">
        <f>$H12*('Future Year Scaling'!L125/'Future Year Scaling'!$J125)</f>
        <v>2773858607382460</v>
      </c>
      <c r="K12" s="4">
        <f>$H12*('Future Year Scaling'!M125/'Future Year Scaling'!$J125)</f>
        <v>2918252767063226</v>
      </c>
      <c r="L12" s="4">
        <f>$H12*('Future Year Scaling'!N125/'Future Year Scaling'!$J125)</f>
        <v>3099161143345209</v>
      </c>
      <c r="M12" s="4">
        <f>$H12*('Future Year Scaling'!O125/'Future Year Scaling'!$J125)</f>
        <v>3280069519627192.5</v>
      </c>
      <c r="N12" s="4">
        <f>$H12*('Future Year Scaling'!P125/'Future Year Scaling'!$J125)</f>
        <v>3460977895909176</v>
      </c>
      <c r="O12" s="4">
        <f>$H12*('Future Year Scaling'!Q125/'Future Year Scaling'!$J125)</f>
        <v>3641886272191159.5</v>
      </c>
      <c r="P12" s="4">
        <f>$H12*('Future Year Scaling'!R125/'Future Year Scaling'!$J125)</f>
        <v>3822794648473142.5</v>
      </c>
      <c r="Q12" s="4">
        <f>$H12*('Future Year Scaling'!S125/'Future Year Scaling'!$J125)</f>
        <v>4053662806047045.5</v>
      </c>
      <c r="R12" s="4">
        <f>$H12*('Future Year Scaling'!T125/'Future Year Scaling'!$J125)</f>
        <v>4284530963620948</v>
      </c>
      <c r="S12" s="4">
        <f>$H12*('Future Year Scaling'!U125/'Future Year Scaling'!$J125)</f>
        <v>4515399121194852</v>
      </c>
      <c r="T12" s="4">
        <f>$H12*('Future Year Scaling'!V125/'Future Year Scaling'!$J125)</f>
        <v>4746267278768754</v>
      </c>
      <c r="U12" s="4">
        <f>$H12*('Future Year Scaling'!W125/'Future Year Scaling'!$J125)</f>
        <v>4977135436342657</v>
      </c>
      <c r="V12" s="4">
        <f>$H12*('Future Year Scaling'!X125/'Future Year Scaling'!$J125)</f>
        <v>5188692071387031</v>
      </c>
      <c r="W12" s="4">
        <f>$H12*('Future Year Scaling'!Y125/'Future Year Scaling'!$J125)</f>
        <v>5400248706431407</v>
      </c>
      <c r="X12" s="4">
        <f>$H12*('Future Year Scaling'!Z125/'Future Year Scaling'!$J125)</f>
        <v>5611805341475782</v>
      </c>
      <c r="Y12" s="4">
        <f>$H12*('Future Year Scaling'!AA125/'Future Year Scaling'!$J125)</f>
        <v>5823361976520157</v>
      </c>
      <c r="Z12" s="4">
        <f>$H12*('Future Year Scaling'!AB125/'Future Year Scaling'!$J125)</f>
        <v>6034918611564531</v>
      </c>
      <c r="AA12" s="4">
        <f>$H12*('Future Year Scaling'!AC125/'Future Year Scaling'!$J125)</f>
        <v>6203387806605368</v>
      </c>
      <c r="AB12" s="4">
        <f>$H12*('Future Year Scaling'!AD125/'Future Year Scaling'!$J125)</f>
        <v>6371857001646206</v>
      </c>
      <c r="AC12" s="4">
        <f>$H12*('Future Year Scaling'!AE125/'Future Year Scaling'!$J125)</f>
        <v>6540326196687044</v>
      </c>
      <c r="AD12" s="4">
        <f>$H12*('Future Year Scaling'!AF125/'Future Year Scaling'!$J125)</f>
        <v>6708795391727881</v>
      </c>
      <c r="AE12" s="4">
        <f>$H12*('Future Year Scaling'!AG125/'Future Year Scaling'!$J125)</f>
        <v>6877264586768719</v>
      </c>
      <c r="AF12" s="4">
        <f>$H12*('Future Year Scaling'!AH125/'Future Year Scaling'!$J125)</f>
        <v>6988306683228271</v>
      </c>
      <c r="AG12" s="4">
        <f>$H12*('Future Year Scaling'!AI125/'Future Year Scaling'!$J125)</f>
        <v>7099348779687824</v>
      </c>
      <c r="AH12" s="4">
        <f>$H12*('Future Year Scaling'!AJ125/'Future Year Scaling'!$J125)</f>
        <v>7210390876147376</v>
      </c>
      <c r="AI12" s="4">
        <f>$H12*('Future Year Scaling'!AK125/'Future Year Scaling'!$J125)</f>
        <v>7321432972606929</v>
      </c>
      <c r="AJ12" s="4">
        <f>$H12*('Future Year Scaling'!AL125/'Future Year Scaling'!$J125)</f>
        <v>7432475069066481</v>
      </c>
      <c r="AK12" s="4">
        <f>$H12*('Future Year Scaling'!AM125/'Future Year Scaling'!$J125)</f>
        <v>7543517165526033</v>
      </c>
      <c r="AL12" s="4">
        <f>$H12*('Future Year Scaling'!AN125/'Future Year Scaling'!$J125)</f>
        <v>7654559261985587</v>
      </c>
      <c r="AM12" s="4">
        <f>$H12*('Future Year Scaling'!AO125/'Future Year Scaling'!$J125)</f>
        <v>7765601358445139</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$H13*('Future Year Scaling'!K126/'Future Year Scaling'!$J126)</f>
        <v>352687675232330.06</v>
      </c>
      <c r="J13" s="4">
        <f>$H13*('Future Year Scaling'!L126/'Future Year Scaling'!$J126)</f>
        <v>355748522505802.44</v>
      </c>
      <c r="K13" s="4">
        <f>$H13*('Future Year Scaling'!M126/'Future Year Scaling'!$J126)</f>
        <v>358809369779274.88</v>
      </c>
      <c r="L13" s="4">
        <f>$H13*('Future Year Scaling'!N126/'Future Year Scaling'!$J126)</f>
        <v>361186285384066.88</v>
      </c>
      <c r="M13" s="4">
        <f>$H13*('Future Year Scaling'!O126/'Future Year Scaling'!$J126)</f>
        <v>363563200988858.88</v>
      </c>
      <c r="N13" s="4">
        <f>$H13*('Future Year Scaling'!P126/'Future Year Scaling'!$J126)</f>
        <v>365940116593650.88</v>
      </c>
      <c r="O13" s="4">
        <f>$H13*('Future Year Scaling'!Q126/'Future Year Scaling'!$J126)</f>
        <v>368317032198442.88</v>
      </c>
      <c r="P13" s="4">
        <f>$H13*('Future Year Scaling'!R126/'Future Year Scaling'!$J126)</f>
        <v>370693947803234.88</v>
      </c>
      <c r="Q13" s="4">
        <f>$H13*('Future Year Scaling'!S126/'Future Year Scaling'!$J126)</f>
        <v>371838065850339.5</v>
      </c>
      <c r="R13" s="4">
        <f>$H13*('Future Year Scaling'!T126/'Future Year Scaling'!$J126)</f>
        <v>372982183897444.19</v>
      </c>
      <c r="S13" s="4">
        <f>$H13*('Future Year Scaling'!U126/'Future Year Scaling'!$J126)</f>
        <v>374126301944548.88</v>
      </c>
      <c r="T13" s="4">
        <f>$H13*('Future Year Scaling'!V126/'Future Year Scaling'!$J126)</f>
        <v>375270419991653.44</v>
      </c>
      <c r="U13" s="4">
        <f>$H13*('Future Year Scaling'!W126/'Future Year Scaling'!$J126)</f>
        <v>376414538038758.06</v>
      </c>
      <c r="V13" s="4">
        <f>$H13*('Future Year Scaling'!X126/'Future Year Scaling'!$J126)</f>
        <v>377079881792507.88</v>
      </c>
      <c r="W13" s="4">
        <f>$H13*('Future Year Scaling'!Y126/'Future Year Scaling'!$J126)</f>
        <v>377745225546257.56</v>
      </c>
      <c r="X13" s="4">
        <f>$H13*('Future Year Scaling'!Z126/'Future Year Scaling'!$J126)</f>
        <v>378410569300007.38</v>
      </c>
      <c r="Y13" s="4">
        <f>$H13*('Future Year Scaling'!AA126/'Future Year Scaling'!$J126)</f>
        <v>379075913053757</v>
      </c>
      <c r="Z13" s="4">
        <f>$H13*('Future Year Scaling'!AB126/'Future Year Scaling'!$J126)</f>
        <v>379741256807506.81</v>
      </c>
      <c r="AA13" s="4">
        <f>$H13*('Future Year Scaling'!AC126/'Future Year Scaling'!$J126)</f>
        <v>379898446922135.13</v>
      </c>
      <c r="AB13" s="4">
        <f>$H13*('Future Year Scaling'!AD126/'Future Year Scaling'!$J126)</f>
        <v>380055637036763.5</v>
      </c>
      <c r="AC13" s="4">
        <f>$H13*('Future Year Scaling'!AE126/'Future Year Scaling'!$J126)</f>
        <v>380212827151391.75</v>
      </c>
      <c r="AD13" s="4">
        <f>$H13*('Future Year Scaling'!AF126/'Future Year Scaling'!$J126)</f>
        <v>380370017266020.13</v>
      </c>
      <c r="AE13" s="4">
        <f>$H13*('Future Year Scaling'!AG126/'Future Year Scaling'!$J126)</f>
        <v>380527207380648.44</v>
      </c>
      <c r="AF13" s="4">
        <f>$H13*('Future Year Scaling'!AH126/'Future Year Scaling'!$J126)</f>
        <v>379744810586970.81</v>
      </c>
      <c r="AG13" s="4">
        <f>$H13*('Future Year Scaling'!AI126/'Future Year Scaling'!$J126)</f>
        <v>378962413793293.25</v>
      </c>
      <c r="AH13" s="4">
        <f>$H13*('Future Year Scaling'!AJ126/'Future Year Scaling'!$J126)</f>
        <v>378180016999615.56</v>
      </c>
      <c r="AI13" s="4">
        <f>$H13*('Future Year Scaling'!AK126/'Future Year Scaling'!$J126)</f>
        <v>377397620205937.94</v>
      </c>
      <c r="AJ13" s="4">
        <f>$H13*('Future Year Scaling'!AL126/'Future Year Scaling'!$J126)</f>
        <v>376615223412260.25</v>
      </c>
      <c r="AK13" s="4">
        <f>$H13*('Future Year Scaling'!AM126/'Future Year Scaling'!$J126)</f>
        <v>375832826618582.69</v>
      </c>
      <c r="AL13" s="4">
        <f>$H13*('Future Year Scaling'!AN126/'Future Year Scaling'!$J126)</f>
        <v>375050429824905.06</v>
      </c>
      <c r="AM13" s="4">
        <f>$H13*('Future Year Scaling'!AO126/'Future Year Scaling'!$J126)</f>
        <v>374268033031227.38</v>
      </c>
    </row>
    <row r="14" spans="1:39" x14ac:dyDescent="0.25">
      <c r="A14" s="4" t="s">
        <v>530</v>
      </c>
      <c r="B14" s="4" t="s">
        <v>51</v>
      </c>
      <c r="D14" s="4"/>
      <c r="E14" s="4"/>
      <c r="F14" s="4"/>
      <c r="G14" s="4"/>
      <c r="H14" s="4">
        <f>Coal!B16*1000000*'Unit Conversions'!$B$34</f>
        <v>0</v>
      </c>
      <c r="I14" s="4">
        <f>$H14*('Future Year Scaling'!K127/'Future Year Scaling'!$J127)</f>
        <v>0</v>
      </c>
      <c r="J14" s="4">
        <f>$H14*('Future Year Scaling'!L127/'Future Year Scaling'!$J127)</f>
        <v>0</v>
      </c>
      <c r="K14" s="4">
        <f>$H14*('Future Year Scaling'!M127/'Future Year Scaling'!$J127)</f>
        <v>0</v>
      </c>
      <c r="L14" s="4">
        <f>$H14*('Future Year Scaling'!N127/'Future Year Scaling'!$J127)</f>
        <v>0</v>
      </c>
      <c r="M14" s="4">
        <f>$H14*('Future Year Scaling'!O127/'Future Year Scaling'!$J127)</f>
        <v>0</v>
      </c>
      <c r="N14" s="4">
        <f>$H14*('Future Year Scaling'!P127/'Future Year Scaling'!$J127)</f>
        <v>0</v>
      </c>
      <c r="O14" s="4">
        <f>$H14*('Future Year Scaling'!Q127/'Future Year Scaling'!$J127)</f>
        <v>0</v>
      </c>
      <c r="P14" s="4">
        <f>$H14*('Future Year Scaling'!R127/'Future Year Scaling'!$J127)</f>
        <v>0</v>
      </c>
      <c r="Q14" s="4">
        <f>$H14*('Future Year Scaling'!S127/'Future Year Scaling'!$J127)</f>
        <v>0</v>
      </c>
      <c r="R14" s="4">
        <f>$H14*('Future Year Scaling'!T127/'Future Year Scaling'!$J127)</f>
        <v>0</v>
      </c>
      <c r="S14" s="4">
        <f>$H14*('Future Year Scaling'!U127/'Future Year Scaling'!$J127)</f>
        <v>0</v>
      </c>
      <c r="T14" s="4">
        <f>$H14*('Future Year Scaling'!V127/'Future Year Scaling'!$J127)</f>
        <v>0</v>
      </c>
      <c r="U14" s="4">
        <f>$H14*('Future Year Scaling'!W127/'Future Year Scaling'!$J127)</f>
        <v>0</v>
      </c>
      <c r="V14" s="4">
        <f>$H14*('Future Year Scaling'!X127/'Future Year Scaling'!$J127)</f>
        <v>0</v>
      </c>
      <c r="W14" s="4">
        <f>$H14*('Future Year Scaling'!Y127/'Future Year Scaling'!$J127)</f>
        <v>0</v>
      </c>
      <c r="X14" s="4">
        <f>$H14*('Future Year Scaling'!Z127/'Future Year Scaling'!$J127)</f>
        <v>0</v>
      </c>
      <c r="Y14" s="4">
        <f>$H14*('Future Year Scaling'!AA127/'Future Year Scaling'!$J127)</f>
        <v>0</v>
      </c>
      <c r="Z14" s="4">
        <f>$H14*('Future Year Scaling'!AB127/'Future Year Scaling'!$J127)</f>
        <v>0</v>
      </c>
      <c r="AA14" s="4">
        <f>$H14*('Future Year Scaling'!AC127/'Future Year Scaling'!$J127)</f>
        <v>0</v>
      </c>
      <c r="AB14" s="4">
        <f>$H14*('Future Year Scaling'!AD127/'Future Year Scaling'!$J127)</f>
        <v>0</v>
      </c>
      <c r="AC14" s="4">
        <f>$H14*('Future Year Scaling'!AE127/'Future Year Scaling'!$J127)</f>
        <v>0</v>
      </c>
      <c r="AD14" s="4">
        <f>$H14*('Future Year Scaling'!AF127/'Future Year Scaling'!$J127)</f>
        <v>0</v>
      </c>
      <c r="AE14" s="4">
        <f>$H14*('Future Year Scaling'!AG127/'Future Year Scaling'!$J127)</f>
        <v>0</v>
      </c>
      <c r="AF14" s="4">
        <f>$H14*('Future Year Scaling'!AH127/'Future Year Scaling'!$J127)</f>
        <v>0</v>
      </c>
      <c r="AG14" s="4">
        <f>$H14*('Future Year Scaling'!AI127/'Future Year Scaling'!$J127)</f>
        <v>0</v>
      </c>
      <c r="AH14" s="4">
        <f>$H14*('Future Year Scaling'!AJ127/'Future Year Scaling'!$J127)</f>
        <v>0</v>
      </c>
      <c r="AI14" s="4">
        <f>$H14*('Future Year Scaling'!AK127/'Future Year Scaling'!$J127)</f>
        <v>0</v>
      </c>
      <c r="AJ14" s="4">
        <f>$H14*('Future Year Scaling'!AL127/'Future Year Scaling'!$J127)</f>
        <v>0</v>
      </c>
      <c r="AK14" s="4">
        <f>$H14*('Future Year Scaling'!AM127/'Future Year Scaling'!$J127)</f>
        <v>0</v>
      </c>
      <c r="AL14" s="4">
        <f>$H14*('Future Year Scaling'!AN127/'Future Year Scaling'!$J127)</f>
        <v>0</v>
      </c>
      <c r="AM14" s="4">
        <f>$H14*('Future Year Scaling'!AO127/'Future Year Scaling'!$J127)</f>
        <v>0</v>
      </c>
    </row>
    <row r="15" spans="1:39" x14ac:dyDescent="0.25">
      <c r="A15" s="4" t="s">
        <v>531</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25">
      <c r="A16" s="4" t="s">
        <v>11</v>
      </c>
      <c r="B16" s="4" t="s">
        <v>51</v>
      </c>
      <c r="D16" s="4"/>
      <c r="E16" s="4"/>
      <c r="F16" s="4"/>
      <c r="G16" s="4"/>
      <c r="H16" s="4">
        <f>Coal!B18*1000000*'Unit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25">
      <c r="A17" s="4" t="s">
        <v>532</v>
      </c>
      <c r="B17" s="4" t="s">
        <v>51</v>
      </c>
      <c r="D17" s="4"/>
      <c r="E17" s="4"/>
      <c r="F17" s="4"/>
      <c r="G17" s="4"/>
      <c r="H17" s="4">
        <f>(Coal!$B$8*'Unit Conversions'!$B$34*1000000-'Aggregate Calcs'!H22)*('Future Year Scaling'!J130/SUM('Future Year Scaling'!J$123,'Future Year Scaling'!J$125,'Future Year Scaling'!J$126,'Future Year Scaling'!J$130))</f>
        <v>811229902247309.75</v>
      </c>
      <c r="I17" s="4">
        <f>$H17*('Future Year Scaling'!K130/'Future Year Scaling'!$J130)</f>
        <v>825680672279766</v>
      </c>
      <c r="J17" s="4">
        <f>$H17*('Future Year Scaling'!L130/'Future Year Scaling'!$J130)</f>
        <v>840131442312222</v>
      </c>
      <c r="K17" s="4">
        <f>$H17*('Future Year Scaling'!M130/'Future Year Scaling'!$J130)</f>
        <v>854582212344678.13</v>
      </c>
      <c r="L17" s="4">
        <f>$H17*('Future Year Scaling'!N130/'Future Year Scaling'!$J130)</f>
        <v>872106249174169.5</v>
      </c>
      <c r="M17" s="4">
        <f>$H17*('Future Year Scaling'!O130/'Future Year Scaling'!$J130)</f>
        <v>889630286003660.75</v>
      </c>
      <c r="N17" s="4">
        <f>$H17*('Future Year Scaling'!P130/'Future Year Scaling'!$J130)</f>
        <v>907154322833152.13</v>
      </c>
      <c r="O17" s="4">
        <f>$H17*('Future Year Scaling'!Q130/'Future Year Scaling'!$J130)</f>
        <v>924678359662643.5</v>
      </c>
      <c r="P17" s="4">
        <f>$H17*('Future Year Scaling'!R130/'Future Year Scaling'!$J130)</f>
        <v>942202396492134.75</v>
      </c>
      <c r="Q17" s="4">
        <f>$H17*('Future Year Scaling'!S130/'Future Year Scaling'!$J130)</f>
        <v>960880092559198</v>
      </c>
      <c r="R17" s="4">
        <f>$H17*('Future Year Scaling'!T130/'Future Year Scaling'!$J130)</f>
        <v>979557788626261</v>
      </c>
      <c r="S17" s="4">
        <f>$H17*('Future Year Scaling'!U130/'Future Year Scaling'!$J130)</f>
        <v>998235484693324</v>
      </c>
      <c r="T17" s="4">
        <f>$H17*('Future Year Scaling'!V130/'Future Year Scaling'!$J130)</f>
        <v>1016913180760387.1</v>
      </c>
      <c r="U17" s="4">
        <f>$H17*('Future Year Scaling'!W130/'Future Year Scaling'!$J130)</f>
        <v>1035590876827450.3</v>
      </c>
      <c r="V17" s="4">
        <f>$H17*('Future Year Scaling'!X130/'Future Year Scaling'!$J130)</f>
        <v>1060422426234749.9</v>
      </c>
      <c r="W17" s="4">
        <f>$H17*('Future Year Scaling'!Y130/'Future Year Scaling'!$J130)</f>
        <v>1085253975642049.5</v>
      </c>
      <c r="X17" s="4">
        <f>$H17*('Future Year Scaling'!Z130/'Future Year Scaling'!$J130)</f>
        <v>1110085525049349.5</v>
      </c>
      <c r="Y17" s="4">
        <f>$H17*('Future Year Scaling'!AA130/'Future Year Scaling'!$J130)</f>
        <v>1134917074456649.3</v>
      </c>
      <c r="Z17" s="4">
        <f>$H17*('Future Year Scaling'!AB130/'Future Year Scaling'!$J130)</f>
        <v>1159748623863948.8</v>
      </c>
      <c r="AA17" s="4">
        <f>$H17*('Future Year Scaling'!AC130/'Future Year Scaling'!$J130)</f>
        <v>1195492539829699.3</v>
      </c>
      <c r="AB17" s="4">
        <f>$H17*('Future Year Scaling'!AD130/'Future Year Scaling'!$J130)</f>
        <v>1231236455795449.5</v>
      </c>
      <c r="AC17" s="4">
        <f>$H17*('Future Year Scaling'!AE130/'Future Year Scaling'!$J130)</f>
        <v>1266980371761199.8</v>
      </c>
      <c r="AD17" s="4">
        <f>$H17*('Future Year Scaling'!AF130/'Future Year Scaling'!$J130)</f>
        <v>1302724287726950.3</v>
      </c>
      <c r="AE17" s="4">
        <f>$H17*('Future Year Scaling'!AG130/'Future Year Scaling'!$J130)</f>
        <v>1338468203692700.5</v>
      </c>
      <c r="AF17" s="4">
        <f>$H17*('Future Year Scaling'!AH130/'Future Year Scaling'!$J130)</f>
        <v>1366602896119196</v>
      </c>
      <c r="AG17" s="4">
        <f>$H17*('Future Year Scaling'!AI130/'Future Year Scaling'!$J130)</f>
        <v>1394737588545691.3</v>
      </c>
      <c r="AH17" s="4">
        <f>$H17*('Future Year Scaling'!AJ130/'Future Year Scaling'!$J130)</f>
        <v>1422872280972186.8</v>
      </c>
      <c r="AI17" s="4">
        <f>$H17*('Future Year Scaling'!AK130/'Future Year Scaling'!$J130)</f>
        <v>1451006973398682</v>
      </c>
      <c r="AJ17" s="4">
        <f>$H17*('Future Year Scaling'!AL130/'Future Year Scaling'!$J130)</f>
        <v>1479141665825177.5</v>
      </c>
      <c r="AK17" s="4">
        <f>$H17*('Future Year Scaling'!AM130/'Future Year Scaling'!$J130)</f>
        <v>1507276358251673</v>
      </c>
      <c r="AL17" s="4">
        <f>$H17*('Future Year Scaling'!AN130/'Future Year Scaling'!$J130)</f>
        <v>1535411050678168.3</v>
      </c>
      <c r="AM17" s="4">
        <f>$H17*('Future Year Scaling'!AO130/'Future Year Scaling'!$J130)</f>
        <v>1563545743104663.8</v>
      </c>
    </row>
    <row r="18" spans="1:39" x14ac:dyDescent="0.25">
      <c r="A18" s="4" t="s">
        <v>528</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529</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530</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531</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532</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528</v>
      </c>
      <c r="B26" s="4" t="s">
        <v>172</v>
      </c>
      <c r="C26" s="4">
        <f>0*'Start Year Fuel Use Adjustments'!C26</f>
        <v>0</v>
      </c>
      <c r="D26" s="4">
        <f t="shared" ref="D26:E31" si="0">C26</f>
        <v>0</v>
      </c>
      <c r="E26">
        <f t="shared" si="0"/>
        <v>0</v>
      </c>
      <c r="F26" s="4">
        <f t="shared" ref="F26:AM31" si="1">E26</f>
        <v>0</v>
      </c>
      <c r="G26" s="4">
        <f t="shared" si="1"/>
        <v>0</v>
      </c>
      <c r="H26" s="4">
        <f t="shared" si="1"/>
        <v>0</v>
      </c>
      <c r="I26" s="4">
        <f t="shared" si="1"/>
        <v>0</v>
      </c>
      <c r="J26" s="4">
        <f t="shared" si="1"/>
        <v>0</v>
      </c>
      <c r="K26" s="4">
        <f t="shared" si="1"/>
        <v>0</v>
      </c>
      <c r="L26" s="4">
        <f t="shared" si="1"/>
        <v>0</v>
      </c>
      <c r="M26" s="4">
        <f t="shared" si="1"/>
        <v>0</v>
      </c>
      <c r="N26" s="4">
        <f t="shared" si="1"/>
        <v>0</v>
      </c>
      <c r="O26" s="4">
        <f t="shared" si="1"/>
        <v>0</v>
      </c>
      <c r="P26" s="4">
        <f t="shared" si="1"/>
        <v>0</v>
      </c>
      <c r="Q26" s="4">
        <f t="shared" si="1"/>
        <v>0</v>
      </c>
      <c r="R26" s="4">
        <f t="shared" si="1"/>
        <v>0</v>
      </c>
      <c r="S26" s="4">
        <f t="shared" si="1"/>
        <v>0</v>
      </c>
      <c r="T26" s="4">
        <f t="shared" si="1"/>
        <v>0</v>
      </c>
      <c r="U26" s="4">
        <f t="shared" si="1"/>
        <v>0</v>
      </c>
      <c r="V26" s="4">
        <f t="shared" si="1"/>
        <v>0</v>
      </c>
      <c r="W26" s="4">
        <f t="shared" si="1"/>
        <v>0</v>
      </c>
      <c r="X26" s="4">
        <f t="shared" si="1"/>
        <v>0</v>
      </c>
      <c r="Y26" s="4">
        <f t="shared" si="1"/>
        <v>0</v>
      </c>
      <c r="Z26" s="4">
        <f t="shared" si="1"/>
        <v>0</v>
      </c>
      <c r="AA26" s="4">
        <f t="shared" si="1"/>
        <v>0</v>
      </c>
      <c r="AB26" s="4">
        <f t="shared" si="1"/>
        <v>0</v>
      </c>
      <c r="AC26" s="4">
        <f t="shared" si="1"/>
        <v>0</v>
      </c>
      <c r="AD26" s="4">
        <f t="shared" si="1"/>
        <v>0</v>
      </c>
      <c r="AE26" s="4">
        <f t="shared" si="1"/>
        <v>0</v>
      </c>
      <c r="AF26" s="4">
        <f t="shared" si="1"/>
        <v>0</v>
      </c>
      <c r="AG26" s="4">
        <f t="shared" si="1"/>
        <v>0</v>
      </c>
      <c r="AH26" s="4">
        <f t="shared" si="1"/>
        <v>0</v>
      </c>
      <c r="AI26" s="4">
        <f t="shared" si="1"/>
        <v>0</v>
      </c>
      <c r="AJ26" s="4">
        <f t="shared" si="1"/>
        <v>0</v>
      </c>
      <c r="AK26" s="4">
        <f t="shared" si="1"/>
        <v>0</v>
      </c>
      <c r="AL26" s="4">
        <f t="shared" si="1"/>
        <v>0</v>
      </c>
      <c r="AM26" s="4">
        <f t="shared" si="1"/>
        <v>0</v>
      </c>
    </row>
    <row r="27" spans="1:39" x14ac:dyDescent="0.25">
      <c r="A27" s="4" t="s">
        <v>529</v>
      </c>
      <c r="B27" s="4" t="s">
        <v>172</v>
      </c>
      <c r="C27" s="4">
        <f>0*'Start Year Fuel Use Adjustments'!C27</f>
        <v>0</v>
      </c>
      <c r="D27" s="4">
        <f t="shared" si="0"/>
        <v>0</v>
      </c>
      <c r="E27" s="4">
        <f t="shared" si="0"/>
        <v>0</v>
      </c>
      <c r="F27" s="4">
        <f t="shared" ref="F27:T27" si="2">E27</f>
        <v>0</v>
      </c>
      <c r="G27" s="4">
        <f t="shared" si="2"/>
        <v>0</v>
      </c>
      <c r="H27" s="4">
        <f t="shared" si="2"/>
        <v>0</v>
      </c>
      <c r="I27" s="4">
        <f t="shared" si="2"/>
        <v>0</v>
      </c>
      <c r="J27" s="4">
        <f t="shared" si="2"/>
        <v>0</v>
      </c>
      <c r="K27" s="4">
        <f t="shared" si="2"/>
        <v>0</v>
      </c>
      <c r="L27" s="4">
        <f t="shared" si="2"/>
        <v>0</v>
      </c>
      <c r="M27" s="4">
        <f t="shared" si="2"/>
        <v>0</v>
      </c>
      <c r="N27" s="4">
        <f t="shared" si="2"/>
        <v>0</v>
      </c>
      <c r="O27" s="4">
        <f t="shared" si="2"/>
        <v>0</v>
      </c>
      <c r="P27" s="4">
        <f t="shared" si="2"/>
        <v>0</v>
      </c>
      <c r="Q27" s="4">
        <f t="shared" si="2"/>
        <v>0</v>
      </c>
      <c r="R27" s="4">
        <f t="shared" si="2"/>
        <v>0</v>
      </c>
      <c r="S27" s="4">
        <f t="shared" si="2"/>
        <v>0</v>
      </c>
      <c r="T27" s="4">
        <f t="shared" si="2"/>
        <v>0</v>
      </c>
      <c r="U27" s="4">
        <f t="shared" si="1"/>
        <v>0</v>
      </c>
      <c r="V27" s="4">
        <f t="shared" si="1"/>
        <v>0</v>
      </c>
      <c r="W27" s="4">
        <f t="shared" si="1"/>
        <v>0</v>
      </c>
      <c r="X27" s="4">
        <f t="shared" si="1"/>
        <v>0</v>
      </c>
      <c r="Y27" s="4">
        <f t="shared" si="1"/>
        <v>0</v>
      </c>
      <c r="Z27" s="4">
        <f t="shared" si="1"/>
        <v>0</v>
      </c>
      <c r="AA27" s="4">
        <f t="shared" si="1"/>
        <v>0</v>
      </c>
      <c r="AB27" s="4">
        <f t="shared" si="1"/>
        <v>0</v>
      </c>
      <c r="AC27" s="4">
        <f t="shared" si="1"/>
        <v>0</v>
      </c>
      <c r="AD27" s="4">
        <f t="shared" si="1"/>
        <v>0</v>
      </c>
      <c r="AE27" s="4">
        <f t="shared" si="1"/>
        <v>0</v>
      </c>
      <c r="AF27" s="4">
        <f t="shared" si="1"/>
        <v>0</v>
      </c>
      <c r="AG27" s="4">
        <f t="shared" si="1"/>
        <v>0</v>
      </c>
      <c r="AH27" s="4">
        <f t="shared" si="1"/>
        <v>0</v>
      </c>
      <c r="AI27" s="4">
        <f t="shared" si="1"/>
        <v>0</v>
      </c>
      <c r="AJ27" s="4">
        <f t="shared" si="1"/>
        <v>0</v>
      </c>
      <c r="AK27" s="4">
        <f t="shared" si="1"/>
        <v>0</v>
      </c>
      <c r="AL27" s="4">
        <f t="shared" si="1"/>
        <v>0</v>
      </c>
      <c r="AM27" s="4">
        <f t="shared" si="1"/>
        <v>0</v>
      </c>
    </row>
    <row r="28" spans="1:39" x14ac:dyDescent="0.25">
      <c r="A28" s="4" t="s">
        <v>27</v>
      </c>
      <c r="B28" s="4" t="s">
        <v>172</v>
      </c>
      <c r="C28" s="4">
        <f>0*'Start Year Fuel Use Adjustments'!C28</f>
        <v>0</v>
      </c>
      <c r="D28" s="4">
        <f t="shared" si="0"/>
        <v>0</v>
      </c>
      <c r="E28" s="4">
        <f t="shared" si="0"/>
        <v>0</v>
      </c>
      <c r="F28" s="4">
        <f t="shared" si="1"/>
        <v>0</v>
      </c>
      <c r="G28" s="4">
        <f t="shared" si="1"/>
        <v>0</v>
      </c>
      <c r="H28" s="4">
        <f t="shared" si="1"/>
        <v>0</v>
      </c>
      <c r="I28" s="4">
        <f t="shared" si="1"/>
        <v>0</v>
      </c>
      <c r="J28" s="4">
        <f t="shared" si="1"/>
        <v>0</v>
      </c>
      <c r="K28" s="4">
        <f t="shared" si="1"/>
        <v>0</v>
      </c>
      <c r="L28" s="4">
        <f t="shared" si="1"/>
        <v>0</v>
      </c>
      <c r="M28" s="4">
        <f t="shared" si="1"/>
        <v>0</v>
      </c>
      <c r="N28" s="4">
        <f t="shared" si="1"/>
        <v>0</v>
      </c>
      <c r="O28" s="4">
        <f t="shared" si="1"/>
        <v>0</v>
      </c>
      <c r="P28" s="4">
        <f t="shared" si="1"/>
        <v>0</v>
      </c>
      <c r="Q28" s="4">
        <f t="shared" si="1"/>
        <v>0</v>
      </c>
      <c r="R28" s="4">
        <f t="shared" si="1"/>
        <v>0</v>
      </c>
      <c r="S28" s="4">
        <f t="shared" si="1"/>
        <v>0</v>
      </c>
      <c r="T28" s="4">
        <f t="shared" si="1"/>
        <v>0</v>
      </c>
      <c r="U28" s="4">
        <f t="shared" si="1"/>
        <v>0</v>
      </c>
      <c r="V28" s="4">
        <f t="shared" si="1"/>
        <v>0</v>
      </c>
      <c r="W28" s="4">
        <f t="shared" si="1"/>
        <v>0</v>
      </c>
      <c r="X28" s="4">
        <f t="shared" si="1"/>
        <v>0</v>
      </c>
      <c r="Y28" s="4">
        <f t="shared" si="1"/>
        <v>0</v>
      </c>
      <c r="Z28" s="4">
        <f t="shared" si="1"/>
        <v>0</v>
      </c>
      <c r="AA28" s="4">
        <f t="shared" si="1"/>
        <v>0</v>
      </c>
      <c r="AB28" s="4">
        <f t="shared" si="1"/>
        <v>0</v>
      </c>
      <c r="AC28" s="4">
        <f t="shared" si="1"/>
        <v>0</v>
      </c>
      <c r="AD28" s="4">
        <f t="shared" si="1"/>
        <v>0</v>
      </c>
      <c r="AE28" s="4">
        <f t="shared" si="1"/>
        <v>0</v>
      </c>
      <c r="AF28" s="4">
        <f t="shared" si="1"/>
        <v>0</v>
      </c>
      <c r="AG28" s="4">
        <f t="shared" si="1"/>
        <v>0</v>
      </c>
      <c r="AH28" s="4">
        <f t="shared" si="1"/>
        <v>0</v>
      </c>
      <c r="AI28" s="4">
        <f t="shared" si="1"/>
        <v>0</v>
      </c>
      <c r="AJ28" s="4">
        <f t="shared" si="1"/>
        <v>0</v>
      </c>
      <c r="AK28" s="4">
        <f t="shared" si="1"/>
        <v>0</v>
      </c>
      <c r="AL28" s="4">
        <f t="shared" si="1"/>
        <v>0</v>
      </c>
      <c r="AM28" s="4">
        <f t="shared" si="1"/>
        <v>0</v>
      </c>
    </row>
    <row r="29" spans="1:39" x14ac:dyDescent="0.25">
      <c r="A29" s="4" t="s">
        <v>6</v>
      </c>
      <c r="B29" s="4" t="s">
        <v>172</v>
      </c>
      <c r="C29" s="4">
        <f>0*'Start Year Fuel Use Adjustments'!C29</f>
        <v>0</v>
      </c>
      <c r="D29" s="4">
        <f t="shared" si="0"/>
        <v>0</v>
      </c>
      <c r="E29" s="4">
        <f t="shared" si="0"/>
        <v>0</v>
      </c>
      <c r="F29" s="4">
        <f t="shared" si="1"/>
        <v>0</v>
      </c>
      <c r="G29" s="4">
        <f t="shared" si="1"/>
        <v>0</v>
      </c>
      <c r="H29" s="4">
        <f t="shared" si="1"/>
        <v>0</v>
      </c>
      <c r="I29" s="4">
        <f t="shared" si="1"/>
        <v>0</v>
      </c>
      <c r="J29" s="4">
        <f t="shared" si="1"/>
        <v>0</v>
      </c>
      <c r="K29" s="4">
        <f t="shared" si="1"/>
        <v>0</v>
      </c>
      <c r="L29" s="4">
        <f t="shared" si="1"/>
        <v>0</v>
      </c>
      <c r="M29" s="4">
        <f t="shared" si="1"/>
        <v>0</v>
      </c>
      <c r="N29" s="4">
        <f t="shared" si="1"/>
        <v>0</v>
      </c>
      <c r="O29" s="4">
        <f t="shared" si="1"/>
        <v>0</v>
      </c>
      <c r="P29" s="4">
        <f t="shared" si="1"/>
        <v>0</v>
      </c>
      <c r="Q29" s="4">
        <f t="shared" si="1"/>
        <v>0</v>
      </c>
      <c r="R29" s="4">
        <f t="shared" si="1"/>
        <v>0</v>
      </c>
      <c r="S29" s="4">
        <f t="shared" si="1"/>
        <v>0</v>
      </c>
      <c r="T29" s="4">
        <f t="shared" si="1"/>
        <v>0</v>
      </c>
      <c r="U29" s="4">
        <f t="shared" si="1"/>
        <v>0</v>
      </c>
      <c r="V29" s="4">
        <f t="shared" si="1"/>
        <v>0</v>
      </c>
      <c r="W29" s="4">
        <f t="shared" si="1"/>
        <v>0</v>
      </c>
      <c r="X29" s="4">
        <f t="shared" si="1"/>
        <v>0</v>
      </c>
      <c r="Y29" s="4">
        <f t="shared" si="1"/>
        <v>0</v>
      </c>
      <c r="Z29" s="4">
        <f t="shared" si="1"/>
        <v>0</v>
      </c>
      <c r="AA29" s="4">
        <f t="shared" si="1"/>
        <v>0</v>
      </c>
      <c r="AB29" s="4">
        <f t="shared" si="1"/>
        <v>0</v>
      </c>
      <c r="AC29" s="4">
        <f t="shared" si="1"/>
        <v>0</v>
      </c>
      <c r="AD29" s="4">
        <f t="shared" si="1"/>
        <v>0</v>
      </c>
      <c r="AE29" s="4">
        <f t="shared" si="1"/>
        <v>0</v>
      </c>
      <c r="AF29" s="4">
        <f t="shared" si="1"/>
        <v>0</v>
      </c>
      <c r="AG29" s="4">
        <f t="shared" si="1"/>
        <v>0</v>
      </c>
      <c r="AH29" s="4">
        <f t="shared" si="1"/>
        <v>0</v>
      </c>
      <c r="AI29" s="4">
        <f t="shared" si="1"/>
        <v>0</v>
      </c>
      <c r="AJ29" s="4">
        <f t="shared" si="1"/>
        <v>0</v>
      </c>
      <c r="AK29" s="4">
        <f t="shared" si="1"/>
        <v>0</v>
      </c>
      <c r="AL29" s="4">
        <f t="shared" si="1"/>
        <v>0</v>
      </c>
      <c r="AM29" s="4">
        <f t="shared" si="1"/>
        <v>0</v>
      </c>
    </row>
    <row r="30" spans="1:39" x14ac:dyDescent="0.25">
      <c r="A30" s="4" t="s">
        <v>530</v>
      </c>
      <c r="B30" s="4" t="s">
        <v>172</v>
      </c>
      <c r="C30" s="4">
        <f>0*'Start Year Fuel Use Adjustments'!C30</f>
        <v>0</v>
      </c>
      <c r="D30" s="4">
        <f t="shared" si="0"/>
        <v>0</v>
      </c>
      <c r="E30" s="4">
        <f t="shared" si="0"/>
        <v>0</v>
      </c>
      <c r="F30" s="4">
        <f t="shared" si="1"/>
        <v>0</v>
      </c>
      <c r="G30" s="4">
        <f t="shared" si="1"/>
        <v>0</v>
      </c>
      <c r="H30" s="4">
        <f t="shared" si="1"/>
        <v>0</v>
      </c>
      <c r="I30" s="4">
        <f t="shared" si="1"/>
        <v>0</v>
      </c>
      <c r="J30" s="4">
        <f t="shared" si="1"/>
        <v>0</v>
      </c>
      <c r="K30" s="4">
        <f t="shared" si="1"/>
        <v>0</v>
      </c>
      <c r="L30" s="4">
        <f t="shared" si="1"/>
        <v>0</v>
      </c>
      <c r="M30" s="4">
        <f t="shared" si="1"/>
        <v>0</v>
      </c>
      <c r="N30" s="4">
        <f t="shared" si="1"/>
        <v>0</v>
      </c>
      <c r="O30" s="4">
        <f t="shared" si="1"/>
        <v>0</v>
      </c>
      <c r="P30" s="4">
        <f t="shared" si="1"/>
        <v>0</v>
      </c>
      <c r="Q30" s="4">
        <f t="shared" si="1"/>
        <v>0</v>
      </c>
      <c r="R30" s="4">
        <f t="shared" si="1"/>
        <v>0</v>
      </c>
      <c r="S30" s="4">
        <f t="shared" si="1"/>
        <v>0</v>
      </c>
      <c r="T30" s="4">
        <f t="shared" si="1"/>
        <v>0</v>
      </c>
      <c r="U30" s="4">
        <f t="shared" si="1"/>
        <v>0</v>
      </c>
      <c r="V30" s="4">
        <f t="shared" si="1"/>
        <v>0</v>
      </c>
      <c r="W30" s="4">
        <f t="shared" si="1"/>
        <v>0</v>
      </c>
      <c r="X30" s="4">
        <f t="shared" si="1"/>
        <v>0</v>
      </c>
      <c r="Y30" s="4">
        <f t="shared" si="1"/>
        <v>0</v>
      </c>
      <c r="Z30" s="4">
        <f t="shared" si="1"/>
        <v>0</v>
      </c>
      <c r="AA30" s="4">
        <f t="shared" si="1"/>
        <v>0</v>
      </c>
      <c r="AB30" s="4">
        <f t="shared" si="1"/>
        <v>0</v>
      </c>
      <c r="AC30" s="4">
        <f t="shared" si="1"/>
        <v>0</v>
      </c>
      <c r="AD30" s="4">
        <f t="shared" si="1"/>
        <v>0</v>
      </c>
      <c r="AE30" s="4">
        <f t="shared" si="1"/>
        <v>0</v>
      </c>
      <c r="AF30" s="4">
        <f t="shared" si="1"/>
        <v>0</v>
      </c>
      <c r="AG30" s="4">
        <f t="shared" si="1"/>
        <v>0</v>
      </c>
      <c r="AH30" s="4">
        <f t="shared" si="1"/>
        <v>0</v>
      </c>
      <c r="AI30" s="4">
        <f t="shared" si="1"/>
        <v>0</v>
      </c>
      <c r="AJ30" s="4">
        <f t="shared" si="1"/>
        <v>0</v>
      </c>
      <c r="AK30" s="4">
        <f t="shared" si="1"/>
        <v>0</v>
      </c>
      <c r="AL30" s="4">
        <f t="shared" si="1"/>
        <v>0</v>
      </c>
      <c r="AM30" s="4">
        <f t="shared" si="1"/>
        <v>0</v>
      </c>
    </row>
    <row r="31" spans="1:39" x14ac:dyDescent="0.25">
      <c r="A31" s="4" t="s">
        <v>531</v>
      </c>
      <c r="B31" s="4" t="s">
        <v>172</v>
      </c>
      <c r="C31" s="4">
        <f>0*'Start Year Fuel Use Adjustments'!C31</f>
        <v>0</v>
      </c>
      <c r="D31" s="4">
        <f t="shared" si="0"/>
        <v>0</v>
      </c>
      <c r="E31" s="4">
        <f t="shared" si="0"/>
        <v>0</v>
      </c>
      <c r="F31" s="4">
        <f t="shared" si="1"/>
        <v>0</v>
      </c>
      <c r="G31" s="4">
        <f t="shared" si="1"/>
        <v>0</v>
      </c>
      <c r="H31" s="4">
        <f t="shared" si="1"/>
        <v>0</v>
      </c>
      <c r="I31" s="4">
        <f t="shared" si="1"/>
        <v>0</v>
      </c>
      <c r="J31" s="4">
        <f t="shared" si="1"/>
        <v>0</v>
      </c>
      <c r="K31" s="4">
        <f t="shared" si="1"/>
        <v>0</v>
      </c>
      <c r="L31" s="4">
        <f t="shared" si="1"/>
        <v>0</v>
      </c>
      <c r="M31" s="4">
        <f t="shared" si="1"/>
        <v>0</v>
      </c>
      <c r="N31" s="4">
        <f t="shared" si="1"/>
        <v>0</v>
      </c>
      <c r="O31" s="4">
        <f t="shared" si="1"/>
        <v>0</v>
      </c>
      <c r="P31" s="4">
        <f t="shared" si="1"/>
        <v>0</v>
      </c>
      <c r="Q31" s="4">
        <f t="shared" si="1"/>
        <v>0</v>
      </c>
      <c r="R31" s="4">
        <f t="shared" si="1"/>
        <v>0</v>
      </c>
      <c r="S31" s="4">
        <f t="shared" si="1"/>
        <v>0</v>
      </c>
      <c r="T31" s="4">
        <f t="shared" si="1"/>
        <v>0</v>
      </c>
      <c r="U31" s="4">
        <f t="shared" si="1"/>
        <v>0</v>
      </c>
      <c r="V31" s="4">
        <f t="shared" si="1"/>
        <v>0</v>
      </c>
      <c r="W31" s="4">
        <f t="shared" si="1"/>
        <v>0</v>
      </c>
      <c r="X31" s="4">
        <f t="shared" si="1"/>
        <v>0</v>
      </c>
      <c r="Y31" s="4">
        <f t="shared" si="1"/>
        <v>0</v>
      </c>
      <c r="Z31" s="4">
        <f t="shared" si="1"/>
        <v>0</v>
      </c>
      <c r="AA31" s="4">
        <f t="shared" si="1"/>
        <v>0</v>
      </c>
      <c r="AB31" s="4">
        <f t="shared" si="1"/>
        <v>0</v>
      </c>
      <c r="AC31" s="4">
        <f t="shared" si="1"/>
        <v>0</v>
      </c>
      <c r="AD31" s="4">
        <f t="shared" si="1"/>
        <v>0</v>
      </c>
      <c r="AE31" s="4">
        <f t="shared" si="1"/>
        <v>0</v>
      </c>
      <c r="AF31" s="4">
        <f t="shared" si="1"/>
        <v>0</v>
      </c>
      <c r="AG31" s="4">
        <f t="shared" si="1"/>
        <v>0</v>
      </c>
      <c r="AH31" s="4">
        <f t="shared" si="1"/>
        <v>0</v>
      </c>
      <c r="AI31" s="4">
        <f t="shared" si="1"/>
        <v>0</v>
      </c>
      <c r="AJ31" s="4">
        <f t="shared" si="1"/>
        <v>0</v>
      </c>
      <c r="AK31" s="4">
        <f t="shared" si="1"/>
        <v>0</v>
      </c>
      <c r="AL31" s="4">
        <f t="shared" si="1"/>
        <v>0</v>
      </c>
      <c r="AM31" s="4">
        <f t="shared" si="1"/>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532</v>
      </c>
      <c r="B33" s="4" t="s">
        <v>172</v>
      </c>
      <c r="C33" s="4">
        <f>0*'Start Year Fuel Use Adjustments'!C33</f>
        <v>0</v>
      </c>
      <c r="D33" s="4">
        <f t="shared" ref="D33:E33" si="3">C33</f>
        <v>0</v>
      </c>
      <c r="E33" s="4">
        <f t="shared" si="3"/>
        <v>0</v>
      </c>
      <c r="F33" s="4">
        <f t="shared" ref="F33" si="4">E33</f>
        <v>0</v>
      </c>
      <c r="G33" s="4">
        <f t="shared" ref="G33" si="5">F33</f>
        <v>0</v>
      </c>
      <c r="H33" s="4">
        <f t="shared" ref="H33" si="6">G33</f>
        <v>0</v>
      </c>
      <c r="I33" s="4">
        <f t="shared" ref="I33" si="7">H33</f>
        <v>0</v>
      </c>
      <c r="J33" s="4">
        <f t="shared" ref="J33" si="8">I33</f>
        <v>0</v>
      </c>
      <c r="K33" s="4">
        <f t="shared" ref="K33" si="9">J33</f>
        <v>0</v>
      </c>
      <c r="L33" s="4">
        <f t="shared" ref="L33" si="10">K33</f>
        <v>0</v>
      </c>
      <c r="M33" s="4">
        <f t="shared" ref="M33" si="11">L33</f>
        <v>0</v>
      </c>
      <c r="N33" s="4">
        <f t="shared" ref="N33" si="12">M33</f>
        <v>0</v>
      </c>
      <c r="O33" s="4">
        <f t="shared" ref="O33" si="13">N33</f>
        <v>0</v>
      </c>
      <c r="P33" s="4">
        <f t="shared" ref="P33" si="14">O33</f>
        <v>0</v>
      </c>
      <c r="Q33" s="4">
        <f t="shared" ref="Q33" si="15">P33</f>
        <v>0</v>
      </c>
      <c r="R33" s="4">
        <f t="shared" ref="R33" si="16">Q33</f>
        <v>0</v>
      </c>
      <c r="S33" s="4">
        <f t="shared" ref="S33" si="17">R33</f>
        <v>0</v>
      </c>
      <c r="T33" s="4">
        <f t="shared" ref="T33" si="18">S33</f>
        <v>0</v>
      </c>
      <c r="U33" s="4">
        <f t="shared" ref="U33" si="19">T33</f>
        <v>0</v>
      </c>
      <c r="V33" s="4">
        <f t="shared" ref="V33" si="20">U33</f>
        <v>0</v>
      </c>
      <c r="W33" s="4">
        <f t="shared" ref="W33" si="21">V33</f>
        <v>0</v>
      </c>
      <c r="X33" s="4">
        <f t="shared" ref="X33" si="22">W33</f>
        <v>0</v>
      </c>
      <c r="Y33" s="4">
        <f t="shared" ref="Y33" si="23">X33</f>
        <v>0</v>
      </c>
      <c r="Z33" s="4">
        <f t="shared" ref="Z33" si="24">Y33</f>
        <v>0</v>
      </c>
      <c r="AA33" s="4">
        <f t="shared" ref="AA33" si="25">Z33</f>
        <v>0</v>
      </c>
      <c r="AB33" s="4">
        <f t="shared" ref="AB33" si="26">AA33</f>
        <v>0</v>
      </c>
      <c r="AC33" s="4">
        <f t="shared" ref="AC33" si="27">AB33</f>
        <v>0</v>
      </c>
      <c r="AD33" s="4">
        <f t="shared" ref="AD33" si="28">AC33</f>
        <v>0</v>
      </c>
      <c r="AE33" s="4">
        <f t="shared" ref="AE33" si="29">AD33</f>
        <v>0</v>
      </c>
      <c r="AF33" s="4">
        <f t="shared" ref="AF33" si="30">AE33</f>
        <v>0</v>
      </c>
      <c r="AG33" s="4">
        <f t="shared" ref="AG33" si="31">AF33</f>
        <v>0</v>
      </c>
      <c r="AH33" s="4">
        <f t="shared" ref="AH33" si="32">AG33</f>
        <v>0</v>
      </c>
      <c r="AI33" s="4">
        <f t="shared" ref="AI33" si="33">AH33</f>
        <v>0</v>
      </c>
      <c r="AJ33" s="4">
        <f t="shared" ref="AJ33" si="34">AI33</f>
        <v>0</v>
      </c>
      <c r="AK33" s="4">
        <f t="shared" ref="AK33" si="35">AJ33</f>
        <v>0</v>
      </c>
      <c r="AL33" s="4">
        <f t="shared" ref="AL33" si="36">AK33</f>
        <v>0</v>
      </c>
      <c r="AM33" s="4">
        <f t="shared" ref="AM33" si="37">AL33</f>
        <v>0</v>
      </c>
    </row>
    <row r="34" spans="1:39" x14ac:dyDescent="0.25">
      <c r="A34" s="4" t="s">
        <v>528</v>
      </c>
      <c r="B34" s="4" t="s">
        <v>173</v>
      </c>
      <c r="C34" s="79"/>
      <c r="D34" s="79"/>
      <c r="F34" s="116"/>
      <c r="G34" s="116">
        <f ca="1">'Min. of Petr. &amp; NG'!B194</f>
        <v>260665845018575.34</v>
      </c>
      <c r="H34" s="116">
        <f ca="1">$G34*('Future Year Scaling'!J222/'Future Year Scaling'!$I222)</f>
        <v>271398258563524.22</v>
      </c>
      <c r="I34" s="116">
        <f ca="1">$G34*('Future Year Scaling'!K222/'Future Year Scaling'!$I222)</f>
        <v>282130672108473.06</v>
      </c>
      <c r="J34" s="116">
        <f ca="1">$G34*('Future Year Scaling'!L222/'Future Year Scaling'!$I222)</f>
        <v>292863085653421.88</v>
      </c>
      <c r="K34" s="116">
        <f ca="1">$G34*('Future Year Scaling'!M222/'Future Year Scaling'!$I222)</f>
        <v>303595499198370.75</v>
      </c>
      <c r="L34" s="116">
        <f ca="1">$G34*('Future Year Scaling'!N222/'Future Year Scaling'!$I222)</f>
        <v>317783764843629.25</v>
      </c>
      <c r="M34" s="116">
        <f ca="1">$G34*('Future Year Scaling'!O222/'Future Year Scaling'!$I222)</f>
        <v>331972030488887.69</v>
      </c>
      <c r="N34" s="116">
        <f ca="1">$G34*('Future Year Scaling'!P222/'Future Year Scaling'!$I222)</f>
        <v>346160296134146.25</v>
      </c>
      <c r="O34" s="116">
        <f ca="1">$G34*('Future Year Scaling'!Q222/'Future Year Scaling'!$I222)</f>
        <v>360348561779404.75</v>
      </c>
      <c r="P34" s="116">
        <f ca="1">$G34*('Future Year Scaling'!R222/'Future Year Scaling'!$I222)</f>
        <v>374536827424663.25</v>
      </c>
      <c r="Q34" s="116">
        <f ca="1">$G34*('Future Year Scaling'!S222/'Future Year Scaling'!$I222)</f>
        <v>393105937533853.38</v>
      </c>
      <c r="R34" s="116">
        <f ca="1">$G34*('Future Year Scaling'!T222/'Future Year Scaling'!$I222)</f>
        <v>411675047643043.69</v>
      </c>
      <c r="S34" s="116">
        <f ca="1">$G34*('Future Year Scaling'!U222/'Future Year Scaling'!$I222)</f>
        <v>430244157752233.88</v>
      </c>
      <c r="T34" s="116">
        <f ca="1">$G34*('Future Year Scaling'!V222/'Future Year Scaling'!$I222)</f>
        <v>448813267861424.06</v>
      </c>
      <c r="U34" s="116">
        <f ca="1">$G34*('Future Year Scaling'!W222/'Future Year Scaling'!$I222)</f>
        <v>467382377970614.31</v>
      </c>
      <c r="V34" s="116">
        <f ca="1">$G34*('Future Year Scaling'!X222/'Future Year Scaling'!$I222)</f>
        <v>489288234285668.88</v>
      </c>
      <c r="W34" s="116">
        <f ca="1">$G34*('Future Year Scaling'!Y222/'Future Year Scaling'!$I222)</f>
        <v>511194090600723.56</v>
      </c>
      <c r="X34" s="116">
        <f ca="1">$G34*('Future Year Scaling'!Z222/'Future Year Scaling'!$I222)</f>
        <v>533099946915778.13</v>
      </c>
      <c r="Y34" s="116">
        <f ca="1">$G34*('Future Year Scaling'!AA222/'Future Year Scaling'!$I222)</f>
        <v>555005803230832.81</v>
      </c>
      <c r="Z34" s="116">
        <f ca="1">$G34*('Future Year Scaling'!AB222/'Future Year Scaling'!$I222)</f>
        <v>576911659545887.5</v>
      </c>
      <c r="AA34" s="116">
        <f ca="1">$G34*('Future Year Scaling'!AC222/'Future Year Scaling'!$I222)</f>
        <v>597729408806091.75</v>
      </c>
      <c r="AB34" s="116">
        <f ca="1">$G34*('Future Year Scaling'!AD222/'Future Year Scaling'!$I222)</f>
        <v>618547158066295.88</v>
      </c>
      <c r="AC34" s="116">
        <f ca="1">$G34*('Future Year Scaling'!AE222/'Future Year Scaling'!$I222)</f>
        <v>639364907326500.13</v>
      </c>
      <c r="AD34" s="116">
        <f ca="1">$G34*('Future Year Scaling'!AF222/'Future Year Scaling'!$I222)</f>
        <v>660182656586704.5</v>
      </c>
      <c r="AE34" s="116">
        <f ca="1">$G34*('Future Year Scaling'!AG222/'Future Year Scaling'!$I222)</f>
        <v>681000405846908.63</v>
      </c>
      <c r="AF34" s="116">
        <f ca="1">$G34*('Future Year Scaling'!AH222/'Future Year Scaling'!$I222)</f>
        <v>699846666298125.38</v>
      </c>
      <c r="AG34" s="116">
        <f ca="1">$G34*('Future Year Scaling'!AI222/'Future Year Scaling'!$I222)</f>
        <v>718692926749341.88</v>
      </c>
      <c r="AH34" s="116">
        <f ca="1">$G34*('Future Year Scaling'!AJ222/'Future Year Scaling'!$I222)</f>
        <v>737539187200558.75</v>
      </c>
      <c r="AI34" s="116">
        <f ca="1">$G34*('Future Year Scaling'!AK222/'Future Year Scaling'!$I222)</f>
        <v>756385447651775.5</v>
      </c>
      <c r="AJ34" s="116">
        <f ca="1">$G34*('Future Year Scaling'!AL222/'Future Year Scaling'!$I222)</f>
        <v>775231708102992.13</v>
      </c>
      <c r="AK34" s="116">
        <f ca="1">$G34*('Future Year Scaling'!AM222/'Future Year Scaling'!$I222)</f>
        <v>794077968554208.88</v>
      </c>
      <c r="AL34" s="116">
        <f ca="1">$G34*('Future Year Scaling'!AN222/'Future Year Scaling'!$I222)</f>
        <v>812924229005425.5</v>
      </c>
      <c r="AM34" s="116">
        <f ca="1">$G34*('Future Year Scaling'!AO222/'Future Year Scaling'!$I222)</f>
        <v>831770489456642.38</v>
      </c>
    </row>
    <row r="35" spans="1:39" x14ac:dyDescent="0.25">
      <c r="A35" s="4" t="s">
        <v>529</v>
      </c>
      <c r="B35" s="4" t="s">
        <v>173</v>
      </c>
      <c r="C35" s="79"/>
      <c r="D35" s="79"/>
      <c r="F35" s="116"/>
      <c r="G35" s="116">
        <f ca="1">'Min. of Petr. &amp; NG'!B195</f>
        <v>0</v>
      </c>
      <c r="H35" s="116">
        <f ca="1">$G35*('Future Year Scaling'!J223/'Future Year Scaling'!$I223)</f>
        <v>0</v>
      </c>
      <c r="I35" s="116">
        <f ca="1">$G35*('Future Year Scaling'!K223/'Future Year Scaling'!$I223)</f>
        <v>0</v>
      </c>
      <c r="J35" s="116">
        <f ca="1">$G35*('Future Year Scaling'!L223/'Future Year Scaling'!$I223)</f>
        <v>0</v>
      </c>
      <c r="K35" s="116">
        <f ca="1">$G35*('Future Year Scaling'!M223/'Future Year Scaling'!$I223)</f>
        <v>0</v>
      </c>
      <c r="L35" s="116">
        <f ca="1">$G35*('Future Year Scaling'!N223/'Future Year Scaling'!$I223)</f>
        <v>0</v>
      </c>
      <c r="M35" s="116">
        <f ca="1">$G35*('Future Year Scaling'!O223/'Future Year Scaling'!$I223)</f>
        <v>0</v>
      </c>
      <c r="N35" s="116">
        <f ca="1">$G35*('Future Year Scaling'!P223/'Future Year Scaling'!$I223)</f>
        <v>0</v>
      </c>
      <c r="O35" s="116">
        <f ca="1">$G35*('Future Year Scaling'!Q223/'Future Year Scaling'!$I223)</f>
        <v>0</v>
      </c>
      <c r="P35" s="116">
        <f ca="1">$G35*('Future Year Scaling'!R223/'Future Year Scaling'!$I223)</f>
        <v>0</v>
      </c>
      <c r="Q35" s="116">
        <f ca="1">$G35*('Future Year Scaling'!S223/'Future Year Scaling'!$I223)</f>
        <v>0</v>
      </c>
      <c r="R35" s="116">
        <f ca="1">$G35*('Future Year Scaling'!T223/'Future Year Scaling'!$I223)</f>
        <v>0</v>
      </c>
      <c r="S35" s="116">
        <f ca="1">$G35*('Future Year Scaling'!U223/'Future Year Scaling'!$I223)</f>
        <v>0</v>
      </c>
      <c r="T35" s="116">
        <f ca="1">$G35*('Future Year Scaling'!V223/'Future Year Scaling'!$I223)</f>
        <v>0</v>
      </c>
      <c r="U35" s="116">
        <f ca="1">$G35*('Future Year Scaling'!W223/'Future Year Scaling'!$I223)</f>
        <v>0</v>
      </c>
      <c r="V35" s="116">
        <f ca="1">$G35*('Future Year Scaling'!X223/'Future Year Scaling'!$I223)</f>
        <v>0</v>
      </c>
      <c r="W35" s="116">
        <f ca="1">$G35*('Future Year Scaling'!Y223/'Future Year Scaling'!$I223)</f>
        <v>0</v>
      </c>
      <c r="X35" s="116">
        <f ca="1">$G35*('Future Year Scaling'!Z223/'Future Year Scaling'!$I223)</f>
        <v>0</v>
      </c>
      <c r="Y35" s="116">
        <f ca="1">$G35*('Future Year Scaling'!AA223/'Future Year Scaling'!$I223)</f>
        <v>0</v>
      </c>
      <c r="Z35" s="116">
        <f ca="1">$G35*('Future Year Scaling'!AB223/'Future Year Scaling'!$I223)</f>
        <v>0</v>
      </c>
      <c r="AA35" s="116">
        <f ca="1">$G35*('Future Year Scaling'!AC223/'Future Year Scaling'!$I223)</f>
        <v>0</v>
      </c>
      <c r="AB35" s="116">
        <f ca="1">$G35*('Future Year Scaling'!AD223/'Future Year Scaling'!$I223)</f>
        <v>0</v>
      </c>
      <c r="AC35" s="116">
        <f ca="1">$G35*('Future Year Scaling'!AE223/'Future Year Scaling'!$I223)</f>
        <v>0</v>
      </c>
      <c r="AD35" s="116">
        <f ca="1">$G35*('Future Year Scaling'!AF223/'Future Year Scaling'!$I223)</f>
        <v>0</v>
      </c>
      <c r="AE35" s="116">
        <f ca="1">$G35*('Future Year Scaling'!AG223/'Future Year Scaling'!$I223)</f>
        <v>0</v>
      </c>
      <c r="AF35" s="116">
        <f ca="1">$G35*('Future Year Scaling'!AH223/'Future Year Scaling'!$I223)</f>
        <v>0</v>
      </c>
      <c r="AG35" s="116">
        <f ca="1">$G35*('Future Year Scaling'!AI223/'Future Year Scaling'!$I223)</f>
        <v>0</v>
      </c>
      <c r="AH35" s="116">
        <f ca="1">$G35*('Future Year Scaling'!AJ223/'Future Year Scaling'!$I223)</f>
        <v>0</v>
      </c>
      <c r="AI35" s="116">
        <f ca="1">$G35*('Future Year Scaling'!AK223/'Future Year Scaling'!$I223)</f>
        <v>0</v>
      </c>
      <c r="AJ35" s="116">
        <f ca="1">$G35*('Future Year Scaling'!AL223/'Future Year Scaling'!$I223)</f>
        <v>0</v>
      </c>
      <c r="AK35" s="116">
        <f ca="1">$G35*('Future Year Scaling'!AM223/'Future Year Scaling'!$I223)</f>
        <v>0</v>
      </c>
      <c r="AL35" s="116">
        <f ca="1">$G35*('Future Year Scaling'!AN223/'Future Year Scaling'!$I223)</f>
        <v>0</v>
      </c>
      <c r="AM35" s="116">
        <f ca="1">$G35*('Future Year Scaling'!AO223/'Future Year Scaling'!$I223)</f>
        <v>0</v>
      </c>
    </row>
    <row r="36" spans="1:39" x14ac:dyDescent="0.25">
      <c r="A36" s="4" t="s">
        <v>27</v>
      </c>
      <c r="B36" s="4" t="s">
        <v>173</v>
      </c>
      <c r="C36" s="79"/>
      <c r="D36" s="79"/>
      <c r="F36" s="116"/>
      <c r="G36" s="116">
        <f ca="1">'Min. of Petr. &amp; NG'!B196</f>
        <v>1374308831742.4001</v>
      </c>
      <c r="H36" s="116">
        <f ca="1">$G36*('Future Year Scaling'!J224/'Future Year Scaling'!$I224)</f>
        <v>1459088680820.4614</v>
      </c>
      <c r="I36" s="116">
        <f ca="1">$G36*('Future Year Scaling'!K224/'Future Year Scaling'!$I224)</f>
        <v>1543868529898.5222</v>
      </c>
      <c r="J36" s="116">
        <f ca="1">$G36*('Future Year Scaling'!L224/'Future Year Scaling'!$I224)</f>
        <v>1628648378976.5833</v>
      </c>
      <c r="K36" s="116">
        <f ca="1">$G36*('Future Year Scaling'!M224/'Future Year Scaling'!$I224)</f>
        <v>1713428228054.6445</v>
      </c>
      <c r="L36" s="116">
        <f ca="1">$G36*('Future Year Scaling'!N224/'Future Year Scaling'!$I224)</f>
        <v>1819647100563.4241</v>
      </c>
      <c r="M36" s="116">
        <f ca="1">$G36*('Future Year Scaling'!O224/'Future Year Scaling'!$I224)</f>
        <v>1925865973072.2034</v>
      </c>
      <c r="N36" s="116">
        <f ca="1">$G36*('Future Year Scaling'!P224/'Future Year Scaling'!$I224)</f>
        <v>2032084845580.9829</v>
      </c>
      <c r="O36" s="116">
        <f ca="1">$G36*('Future Year Scaling'!Q224/'Future Year Scaling'!$I224)</f>
        <v>2138303718089.7622</v>
      </c>
      <c r="P36" s="116">
        <f ca="1">$G36*('Future Year Scaling'!R224/'Future Year Scaling'!$I224)</f>
        <v>2244522590598.5415</v>
      </c>
      <c r="Q36" s="116">
        <f ca="1">$G36*('Future Year Scaling'!S224/'Future Year Scaling'!$I224)</f>
        <v>2380074939802.4043</v>
      </c>
      <c r="R36" s="116">
        <f ca="1">$G36*('Future Year Scaling'!T224/'Future Year Scaling'!$I224)</f>
        <v>2515627289006.2671</v>
      </c>
      <c r="S36" s="116">
        <f ca="1">$G36*('Future Year Scaling'!U224/'Future Year Scaling'!$I224)</f>
        <v>2651179638210.1299</v>
      </c>
      <c r="T36" s="116">
        <f ca="1">$G36*('Future Year Scaling'!V224/'Future Year Scaling'!$I224)</f>
        <v>2786731987413.9922</v>
      </c>
      <c r="U36" s="116">
        <f ca="1">$G36*('Future Year Scaling'!W224/'Future Year Scaling'!$I224)</f>
        <v>2922284336617.8555</v>
      </c>
      <c r="V36" s="116">
        <f ca="1">$G36*('Future Year Scaling'!X224/'Future Year Scaling'!$I224)</f>
        <v>3046498083421.5889</v>
      </c>
      <c r="W36" s="116">
        <f ca="1">$G36*('Future Year Scaling'!Y224/'Future Year Scaling'!$I224)</f>
        <v>3170711830225.3223</v>
      </c>
      <c r="X36" s="116">
        <f ca="1">$G36*('Future Year Scaling'!Z224/'Future Year Scaling'!$I224)</f>
        <v>3294925577029.0552</v>
      </c>
      <c r="Y36" s="116">
        <f ca="1">$G36*('Future Year Scaling'!AA224/'Future Year Scaling'!$I224)</f>
        <v>3419139323832.7886</v>
      </c>
      <c r="Z36" s="116">
        <f ca="1">$G36*('Future Year Scaling'!AB224/'Future Year Scaling'!$I224)</f>
        <v>3543353070636.522</v>
      </c>
      <c r="AA36" s="116">
        <f ca="1">$G36*('Future Year Scaling'!AC224/'Future Year Scaling'!$I224)</f>
        <v>3642268379686.7065</v>
      </c>
      <c r="AB36" s="116">
        <f ca="1">$G36*('Future Year Scaling'!AD224/'Future Year Scaling'!$I224)</f>
        <v>3741183688736.8911</v>
      </c>
      <c r="AC36" s="116">
        <f ca="1">$G36*('Future Year Scaling'!AE224/'Future Year Scaling'!$I224)</f>
        <v>3840098997787.0747</v>
      </c>
      <c r="AD36" s="116">
        <f ca="1">$G36*('Future Year Scaling'!AF224/'Future Year Scaling'!$I224)</f>
        <v>3939014306837.2593</v>
      </c>
      <c r="AE36" s="116">
        <f ca="1">$G36*('Future Year Scaling'!AG224/'Future Year Scaling'!$I224)</f>
        <v>4037929615887.4434</v>
      </c>
      <c r="AF36" s="116">
        <f ca="1">$G36*('Future Year Scaling'!AH224/'Future Year Scaling'!$I224)</f>
        <v>4103127074011.5498</v>
      </c>
      <c r="AG36" s="116">
        <f ca="1">$G36*('Future Year Scaling'!AI224/'Future Year Scaling'!$I224)</f>
        <v>4168324532135.6572</v>
      </c>
      <c r="AH36" s="116">
        <f ca="1">$G36*('Future Year Scaling'!AJ224/'Future Year Scaling'!$I224)</f>
        <v>4233521990259.7646</v>
      </c>
      <c r="AI36" s="116">
        <f ca="1">$G36*('Future Year Scaling'!AK224/'Future Year Scaling'!$I224)</f>
        <v>4298719448383.8721</v>
      </c>
      <c r="AJ36" s="116">
        <f ca="1">$G36*('Future Year Scaling'!AL224/'Future Year Scaling'!$I224)</f>
        <v>4363916906507.978</v>
      </c>
      <c r="AK36" s="116">
        <f ca="1">$G36*('Future Year Scaling'!AM224/'Future Year Scaling'!$I224)</f>
        <v>4429114364632.0859</v>
      </c>
      <c r="AL36" s="116">
        <f ca="1">$G36*('Future Year Scaling'!AN224/'Future Year Scaling'!$I224)</f>
        <v>4494311822756.1924</v>
      </c>
      <c r="AM36" s="116">
        <f ca="1">$G36*('Future Year Scaling'!AO224/'Future Year Scaling'!$I224)</f>
        <v>4559509280880.2988</v>
      </c>
    </row>
    <row r="37" spans="1:39" x14ac:dyDescent="0.25">
      <c r="A37" s="4" t="s">
        <v>6</v>
      </c>
      <c r="B37" s="4" t="s">
        <v>173</v>
      </c>
      <c r="C37" s="79"/>
      <c r="D37" s="79"/>
      <c r="F37" s="116"/>
      <c r="G37" s="116">
        <f ca="1">'Min. of Petr. &amp; NG'!B197</f>
        <v>6086888102786.4004</v>
      </c>
      <c r="H37" s="116">
        <f ca="1">$G37*('Future Year Scaling'!J225/'Future Year Scaling'!$I225)</f>
        <v>6142950973691.7041</v>
      </c>
      <c r="I37" s="116">
        <f ca="1">$G37*('Future Year Scaling'!K225/'Future Year Scaling'!$I225)</f>
        <v>6199013844597.0059</v>
      </c>
      <c r="J37" s="116">
        <f ca="1">$G37*('Future Year Scaling'!L225/'Future Year Scaling'!$I225)</f>
        <v>6255076715502.3096</v>
      </c>
      <c r="K37" s="116">
        <f ca="1">$G37*('Future Year Scaling'!M225/'Future Year Scaling'!$I225)</f>
        <v>6311139586407.6123</v>
      </c>
      <c r="L37" s="116">
        <f ca="1">$G37*('Future Year Scaling'!N225/'Future Year Scaling'!$I225)</f>
        <v>6353162506711.2598</v>
      </c>
      <c r="M37" s="116">
        <f ca="1">$G37*('Future Year Scaling'!O225/'Future Year Scaling'!$I225)</f>
        <v>6395185427014.9053</v>
      </c>
      <c r="N37" s="116">
        <f ca="1">$G37*('Future Year Scaling'!P225/'Future Year Scaling'!$I225)</f>
        <v>6437208347318.5537</v>
      </c>
      <c r="O37" s="116">
        <f ca="1">$G37*('Future Year Scaling'!Q225/'Future Year Scaling'!$I225)</f>
        <v>6479231267622.2012</v>
      </c>
      <c r="P37" s="116">
        <f ca="1">$G37*('Future Year Scaling'!R225/'Future Year Scaling'!$I225)</f>
        <v>6521254187925.8467</v>
      </c>
      <c r="Q37" s="116">
        <f ca="1">$G37*('Future Year Scaling'!S225/'Future Year Scaling'!$I225)</f>
        <v>6539932673307.5928</v>
      </c>
      <c r="R37" s="116">
        <f ca="1">$G37*('Future Year Scaling'!T225/'Future Year Scaling'!$I225)</f>
        <v>6558611158689.3369</v>
      </c>
      <c r="S37" s="116">
        <f ca="1">$G37*('Future Year Scaling'!U225/'Future Year Scaling'!$I225)</f>
        <v>6577289644071.083</v>
      </c>
      <c r="T37" s="116">
        <f ca="1">$G37*('Future Year Scaling'!V225/'Future Year Scaling'!$I225)</f>
        <v>6595968129452.8291</v>
      </c>
      <c r="U37" s="116">
        <f ca="1">$G37*('Future Year Scaling'!W225/'Future Year Scaling'!$I225)</f>
        <v>6614646614834.5732</v>
      </c>
      <c r="V37" s="116">
        <f ca="1">$G37*('Future Year Scaling'!X225/'Future Year Scaling'!$I225)</f>
        <v>6624600366022.416</v>
      </c>
      <c r="W37" s="116">
        <f ca="1">$G37*('Future Year Scaling'!Y225/'Future Year Scaling'!$I225)</f>
        <v>6634554117210.2607</v>
      </c>
      <c r="X37" s="116">
        <f ca="1">$G37*('Future Year Scaling'!Z225/'Future Year Scaling'!$I225)</f>
        <v>6644507868398.1025</v>
      </c>
      <c r="Y37" s="116">
        <f ca="1">$G37*('Future Year Scaling'!AA225/'Future Year Scaling'!$I225)</f>
        <v>6654461619585.9473</v>
      </c>
      <c r="Z37" s="116">
        <f ca="1">$G37*('Future Year Scaling'!AB225/'Future Year Scaling'!$I225)</f>
        <v>6664415370773.7891</v>
      </c>
      <c r="AA37" s="116">
        <f ca="1">$G37*('Future Year Scaling'!AC225/'Future Year Scaling'!$I225)</f>
        <v>6665107791288.2959</v>
      </c>
      <c r="AB37" s="116">
        <f ca="1">$G37*('Future Year Scaling'!AD225/'Future Year Scaling'!$I225)</f>
        <v>6665800211802.8027</v>
      </c>
      <c r="AC37" s="116">
        <f ca="1">$G37*('Future Year Scaling'!AE225/'Future Year Scaling'!$I225)</f>
        <v>6666492632317.3086</v>
      </c>
      <c r="AD37" s="116">
        <f ca="1">$G37*('Future Year Scaling'!AF225/'Future Year Scaling'!$I225)</f>
        <v>6667185052831.8154</v>
      </c>
      <c r="AE37" s="116">
        <f ca="1">$G37*('Future Year Scaling'!AG225/'Future Year Scaling'!$I225)</f>
        <v>6667877473346.3203</v>
      </c>
      <c r="AF37" s="116">
        <f ca="1">$G37*('Future Year Scaling'!AH225/'Future Year Scaling'!$I225)</f>
        <v>6651554473052.7012</v>
      </c>
      <c r="AG37" s="116">
        <f ca="1">$G37*('Future Year Scaling'!AI225/'Future Year Scaling'!$I225)</f>
        <v>6635231472759.0791</v>
      </c>
      <c r="AH37" s="116">
        <f ca="1">$G37*('Future Year Scaling'!AJ225/'Future Year Scaling'!$I225)</f>
        <v>6618908472465.459</v>
      </c>
      <c r="AI37" s="116">
        <f ca="1">$G37*('Future Year Scaling'!AK225/'Future Year Scaling'!$I225)</f>
        <v>6602585472171.8379</v>
      </c>
      <c r="AJ37" s="116">
        <f ca="1">$G37*('Future Year Scaling'!AL225/'Future Year Scaling'!$I225)</f>
        <v>6586262471878.2158</v>
      </c>
      <c r="AK37" s="116">
        <f ca="1">$G37*('Future Year Scaling'!AM225/'Future Year Scaling'!$I225)</f>
        <v>6569939471584.5947</v>
      </c>
      <c r="AL37" s="116">
        <f ca="1">$G37*('Future Year Scaling'!AN225/'Future Year Scaling'!$I225)</f>
        <v>6553616471290.9727</v>
      </c>
      <c r="AM37" s="116">
        <f ca="1">$G37*('Future Year Scaling'!AO225/'Future Year Scaling'!$I225)</f>
        <v>6537293470997.3535</v>
      </c>
    </row>
    <row r="38" spans="1:39" x14ac:dyDescent="0.25">
      <c r="A38" s="4" t="s">
        <v>530</v>
      </c>
      <c r="B38" s="4" t="s">
        <v>173</v>
      </c>
      <c r="C38" s="79"/>
      <c r="D38" s="79"/>
      <c r="F38" s="116"/>
      <c r="G38" s="116">
        <f ca="1">'Min. of Petr. &amp; NG'!B198</f>
        <v>81885813922072.172</v>
      </c>
      <c r="H38" s="116">
        <f ca="1">$G38*('Future Year Scaling'!J226/'Future Year Scaling'!$I226)</f>
        <v>83757489668862.375</v>
      </c>
      <c r="I38" s="116">
        <f ca="1">$G38*('Future Year Scaling'!K226/'Future Year Scaling'!$I226)</f>
        <v>85629165415652.609</v>
      </c>
      <c r="J38" s="116">
        <f ca="1">$G38*('Future Year Scaling'!L226/'Future Year Scaling'!$I226)</f>
        <v>87500841162442.828</v>
      </c>
      <c r="K38" s="116">
        <f ca="1">$G38*('Future Year Scaling'!M226/'Future Year Scaling'!$I226)</f>
        <v>89372516909233.031</v>
      </c>
      <c r="L38" s="116">
        <f ca="1">$G38*('Future Year Scaling'!N226/'Future Year Scaling'!$I226)</f>
        <v>90238166942123.516</v>
      </c>
      <c r="M38" s="116">
        <f ca="1">$G38*('Future Year Scaling'!O226/'Future Year Scaling'!$I226)</f>
        <v>91103816975013.984</v>
      </c>
      <c r="N38" s="116">
        <f ca="1">$G38*('Future Year Scaling'!P226/'Future Year Scaling'!$I226)</f>
        <v>91969467007904.469</v>
      </c>
      <c r="O38" s="116">
        <f ca="1">$G38*('Future Year Scaling'!Q226/'Future Year Scaling'!$I226)</f>
        <v>92835117040794.969</v>
      </c>
      <c r="P38" s="116">
        <f ca="1">$G38*('Future Year Scaling'!R226/'Future Year Scaling'!$I226)</f>
        <v>93700767073685.422</v>
      </c>
      <c r="Q38" s="116">
        <f ca="1">$G38*('Future Year Scaling'!S226/'Future Year Scaling'!$I226)</f>
        <v>93560391392676.156</v>
      </c>
      <c r="R38" s="116">
        <f ca="1">$G38*('Future Year Scaling'!T226/'Future Year Scaling'!$I226)</f>
        <v>93420015711666.906</v>
      </c>
      <c r="S38" s="116">
        <f ca="1">$G38*('Future Year Scaling'!U226/'Future Year Scaling'!$I226)</f>
        <v>93279640030657.625</v>
      </c>
      <c r="T38" s="116">
        <f ca="1">$G38*('Future Year Scaling'!V226/'Future Year Scaling'!$I226)</f>
        <v>93139264349648.359</v>
      </c>
      <c r="U38" s="116">
        <f ca="1">$G38*('Future Year Scaling'!W226/'Future Year Scaling'!$I226)</f>
        <v>92998888668639.109</v>
      </c>
      <c r="V38" s="116">
        <f ca="1">$G38*('Future Year Scaling'!X226/'Future Year Scaling'!$I226)</f>
        <v>92881908934464.703</v>
      </c>
      <c r="W38" s="116">
        <f ca="1">$G38*('Future Year Scaling'!Y226/'Future Year Scaling'!$I226)</f>
        <v>92764929200290.328</v>
      </c>
      <c r="X38" s="116">
        <f ca="1">$G38*('Future Year Scaling'!Z226/'Future Year Scaling'!$I226)</f>
        <v>92647949466115.922</v>
      </c>
      <c r="Y38" s="116">
        <f ca="1">$G38*('Future Year Scaling'!AA226/'Future Year Scaling'!$I226)</f>
        <v>92530969731941.547</v>
      </c>
      <c r="Z38" s="116">
        <f ca="1">$G38*('Future Year Scaling'!AB226/'Future Year Scaling'!$I226)</f>
        <v>92413989997767.172</v>
      </c>
      <c r="AA38" s="116">
        <f ca="1">$G38*('Future Year Scaling'!AC226/'Future Year Scaling'!$I226)</f>
        <v>89208745281388.906</v>
      </c>
      <c r="AB38" s="116">
        <f ca="1">$G38*('Future Year Scaling'!AD226/'Future Year Scaling'!$I226)</f>
        <v>86003500565010.641</v>
      </c>
      <c r="AC38" s="116">
        <f ca="1">$G38*('Future Year Scaling'!AE226/'Future Year Scaling'!$I226)</f>
        <v>82798255848632.406</v>
      </c>
      <c r="AD38" s="116">
        <f ca="1">$G38*('Future Year Scaling'!AF226/'Future Year Scaling'!$I226)</f>
        <v>79593011132254.141</v>
      </c>
      <c r="AE38" s="116">
        <f ca="1">$G38*('Future Year Scaling'!AG226/'Future Year Scaling'!$I226)</f>
        <v>76387766415875.891</v>
      </c>
      <c r="AF38" s="116">
        <f ca="1">$G38*('Future Year Scaling'!AH226/'Future Year Scaling'!$I226)</f>
        <v>73744024423534.688</v>
      </c>
      <c r="AG38" s="116">
        <f ca="1">$G38*('Future Year Scaling'!AI226/'Future Year Scaling'!$I226)</f>
        <v>71100282431193.5</v>
      </c>
      <c r="AH38" s="116">
        <f ca="1">$G38*('Future Year Scaling'!AJ226/'Future Year Scaling'!$I226)</f>
        <v>68456540438852.32</v>
      </c>
      <c r="AI38" s="116">
        <f ca="1">$G38*('Future Year Scaling'!AK226/'Future Year Scaling'!$I226)</f>
        <v>65812798446511.141</v>
      </c>
      <c r="AJ38" s="116">
        <f ca="1">$G38*('Future Year Scaling'!AL226/'Future Year Scaling'!$I226)</f>
        <v>63169056454169.945</v>
      </c>
      <c r="AK38" s="116">
        <f ca="1">$G38*('Future Year Scaling'!AM226/'Future Year Scaling'!$I226)</f>
        <v>60525314461828.75</v>
      </c>
      <c r="AL38" s="116">
        <f ca="1">$G38*('Future Year Scaling'!AN226/'Future Year Scaling'!$I226)</f>
        <v>57881572469487.57</v>
      </c>
      <c r="AM38" s="116">
        <f ca="1">$G38*('Future Year Scaling'!AO226/'Future Year Scaling'!$I226)</f>
        <v>55237830477146.375</v>
      </c>
    </row>
    <row r="39" spans="1:39" x14ac:dyDescent="0.25">
      <c r="A39" s="4" t="s">
        <v>531</v>
      </c>
      <c r="B39" s="4" t="s">
        <v>173</v>
      </c>
      <c r="C39" s="79"/>
      <c r="D39" s="79"/>
      <c r="F39" s="116"/>
      <c r="G39" s="116">
        <f ca="1">'Min. of Petr. &amp; NG'!B199</f>
        <v>0</v>
      </c>
      <c r="H39" s="116">
        <f ca="1">$G39*('Future Year Scaling'!J227/'Future Year Scaling'!$I227)</f>
        <v>0</v>
      </c>
      <c r="I39" s="116">
        <f ca="1">$G39*('Future Year Scaling'!K227/'Future Year Scaling'!$I227)</f>
        <v>0</v>
      </c>
      <c r="J39" s="116">
        <f ca="1">$G39*('Future Year Scaling'!L227/'Future Year Scaling'!$I227)</f>
        <v>0</v>
      </c>
      <c r="K39" s="116">
        <f ca="1">$G39*('Future Year Scaling'!M227/'Future Year Scaling'!$I227)</f>
        <v>0</v>
      </c>
      <c r="L39" s="116">
        <f ca="1">$G39*('Future Year Scaling'!N227/'Future Year Scaling'!$I227)</f>
        <v>0</v>
      </c>
      <c r="M39" s="116">
        <f ca="1">$G39*('Future Year Scaling'!O227/'Future Year Scaling'!$I227)</f>
        <v>0</v>
      </c>
      <c r="N39" s="116">
        <f ca="1">$G39*('Future Year Scaling'!P227/'Future Year Scaling'!$I227)</f>
        <v>0</v>
      </c>
      <c r="O39" s="116">
        <f ca="1">$G39*('Future Year Scaling'!Q227/'Future Year Scaling'!$I227)</f>
        <v>0</v>
      </c>
      <c r="P39" s="116">
        <f ca="1">$G39*('Future Year Scaling'!R227/'Future Year Scaling'!$I227)</f>
        <v>0</v>
      </c>
      <c r="Q39" s="116">
        <f ca="1">$G39*('Future Year Scaling'!S227/'Future Year Scaling'!$I227)</f>
        <v>0</v>
      </c>
      <c r="R39" s="116">
        <f ca="1">$G39*('Future Year Scaling'!T227/'Future Year Scaling'!$I227)</f>
        <v>0</v>
      </c>
      <c r="S39" s="116">
        <f ca="1">$G39*('Future Year Scaling'!U227/'Future Year Scaling'!$I227)</f>
        <v>0</v>
      </c>
      <c r="T39" s="116">
        <f ca="1">$G39*('Future Year Scaling'!V227/'Future Year Scaling'!$I227)</f>
        <v>0</v>
      </c>
      <c r="U39" s="116">
        <f ca="1">$G39*('Future Year Scaling'!W227/'Future Year Scaling'!$I227)</f>
        <v>0</v>
      </c>
      <c r="V39" s="116">
        <f ca="1">$G39*('Future Year Scaling'!X227/'Future Year Scaling'!$I227)</f>
        <v>0</v>
      </c>
      <c r="W39" s="116">
        <f ca="1">$G39*('Future Year Scaling'!Y227/'Future Year Scaling'!$I227)</f>
        <v>0</v>
      </c>
      <c r="X39" s="116">
        <f ca="1">$G39*('Future Year Scaling'!Z227/'Future Year Scaling'!$I227)</f>
        <v>0</v>
      </c>
      <c r="Y39" s="116">
        <f ca="1">$G39*('Future Year Scaling'!AA227/'Future Year Scaling'!$I227)</f>
        <v>0</v>
      </c>
      <c r="Z39" s="116">
        <f ca="1">$G39*('Future Year Scaling'!AB227/'Future Year Scaling'!$I227)</f>
        <v>0</v>
      </c>
      <c r="AA39" s="116">
        <f ca="1">$G39*('Future Year Scaling'!AC227/'Future Year Scaling'!$I227)</f>
        <v>0</v>
      </c>
      <c r="AB39" s="116">
        <f ca="1">$G39*('Future Year Scaling'!AD227/'Future Year Scaling'!$I227)</f>
        <v>0</v>
      </c>
      <c r="AC39" s="116">
        <f ca="1">$G39*('Future Year Scaling'!AE227/'Future Year Scaling'!$I227)</f>
        <v>0</v>
      </c>
      <c r="AD39" s="116">
        <f ca="1">$G39*('Future Year Scaling'!AF227/'Future Year Scaling'!$I227)</f>
        <v>0</v>
      </c>
      <c r="AE39" s="116">
        <f ca="1">$G39*('Future Year Scaling'!AG227/'Future Year Scaling'!$I227)</f>
        <v>0</v>
      </c>
      <c r="AF39" s="116">
        <f ca="1">$G39*('Future Year Scaling'!AH227/'Future Year Scaling'!$I227)</f>
        <v>0</v>
      </c>
      <c r="AG39" s="116">
        <f ca="1">$G39*('Future Year Scaling'!AI227/'Future Year Scaling'!$I227)</f>
        <v>0</v>
      </c>
      <c r="AH39" s="116">
        <f ca="1">$G39*('Future Year Scaling'!AJ227/'Future Year Scaling'!$I227)</f>
        <v>0</v>
      </c>
      <c r="AI39" s="116">
        <f ca="1">$G39*('Future Year Scaling'!AK227/'Future Year Scaling'!$I227)</f>
        <v>0</v>
      </c>
      <c r="AJ39" s="116">
        <f ca="1">$G39*('Future Year Scaling'!AL227/'Future Year Scaling'!$I227)</f>
        <v>0</v>
      </c>
      <c r="AK39" s="116">
        <f ca="1">$G39*('Future Year Scaling'!AM227/'Future Year Scaling'!$I227)</f>
        <v>0</v>
      </c>
      <c r="AL39" s="116">
        <f ca="1">$G39*('Future Year Scaling'!AN227/'Future Year Scaling'!$I227)</f>
        <v>0</v>
      </c>
      <c r="AM39" s="116">
        <f ca="1">$G39*('Future Year Scaling'!AO227/'Future Year Scaling'!$I227)</f>
        <v>0</v>
      </c>
    </row>
    <row r="40" spans="1:39" x14ac:dyDescent="0.25">
      <c r="A40" s="4" t="s">
        <v>11</v>
      </c>
      <c r="B40" s="4" t="s">
        <v>173</v>
      </c>
      <c r="C40" s="79"/>
      <c r="D40" s="79"/>
      <c r="F40" s="116"/>
      <c r="G40" s="116">
        <f ca="1">'Min. of Petr. &amp; NG'!B200</f>
        <v>24279583013853.445</v>
      </c>
      <c r="H40" s="116">
        <f ca="1">$G40*('Future Year Scaling'!J228/'Future Year Scaling'!$I228)</f>
        <v>25674981623609.734</v>
      </c>
      <c r="I40" s="116">
        <f ca="1">$G40*('Future Year Scaling'!K228/'Future Year Scaling'!$I228)</f>
        <v>27070380233366.012</v>
      </c>
      <c r="J40" s="116">
        <f ca="1">$G40*('Future Year Scaling'!L228/'Future Year Scaling'!$I228)</f>
        <v>28465778843122.301</v>
      </c>
      <c r="K40" s="116">
        <f ca="1">$G40*('Future Year Scaling'!M228/'Future Year Scaling'!$I228)</f>
        <v>29861177452878.59</v>
      </c>
      <c r="L40" s="116">
        <f ca="1">$G40*('Future Year Scaling'!N228/'Future Year Scaling'!$I228)</f>
        <v>31486388277989.16</v>
      </c>
      <c r="M40" s="116">
        <f ca="1">$G40*('Future Year Scaling'!O228/'Future Year Scaling'!$I228)</f>
        <v>33111599103099.738</v>
      </c>
      <c r="N40" s="116">
        <f ca="1">$G40*('Future Year Scaling'!P228/'Future Year Scaling'!$I228)</f>
        <v>34736809928210.316</v>
      </c>
      <c r="O40" s="116">
        <f ca="1">$G40*('Future Year Scaling'!Q228/'Future Year Scaling'!$I228)</f>
        <v>36362020753320.898</v>
      </c>
      <c r="P40" s="116">
        <f ca="1">$G40*('Future Year Scaling'!R228/'Future Year Scaling'!$I228)</f>
        <v>37987231578431.469</v>
      </c>
      <c r="Q40" s="116">
        <f ca="1">$G40*('Future Year Scaling'!S228/'Future Year Scaling'!$I228)</f>
        <v>39259768850600.656</v>
      </c>
      <c r="R40" s="116">
        <f ca="1">$G40*('Future Year Scaling'!T228/'Future Year Scaling'!$I228)</f>
        <v>40532306122769.852</v>
      </c>
      <c r="S40" s="116">
        <f ca="1">$G40*('Future Year Scaling'!U228/'Future Year Scaling'!$I228)</f>
        <v>41804843394939.039</v>
      </c>
      <c r="T40" s="116">
        <f ca="1">$G40*('Future Year Scaling'!V228/'Future Year Scaling'!$I228)</f>
        <v>43077380667108.234</v>
      </c>
      <c r="U40" s="116">
        <f ca="1">$G40*('Future Year Scaling'!W228/'Future Year Scaling'!$I228)</f>
        <v>44349917939277.43</v>
      </c>
      <c r="V40" s="116">
        <f ca="1">$G40*('Future Year Scaling'!X228/'Future Year Scaling'!$I228)</f>
        <v>44479523751650.82</v>
      </c>
      <c r="W40" s="116">
        <f ca="1">$G40*('Future Year Scaling'!Y228/'Future Year Scaling'!$I228)</f>
        <v>44609129564024.203</v>
      </c>
      <c r="X40" s="116">
        <f ca="1">$G40*('Future Year Scaling'!Z228/'Future Year Scaling'!$I228)</f>
        <v>44738735376397.602</v>
      </c>
      <c r="Y40" s="116">
        <f ca="1">$G40*('Future Year Scaling'!AA228/'Future Year Scaling'!$I228)</f>
        <v>44868341188770.992</v>
      </c>
      <c r="Z40" s="116">
        <f ca="1">$G40*('Future Year Scaling'!AB228/'Future Year Scaling'!$I228)</f>
        <v>44997947001144.391</v>
      </c>
      <c r="AA40" s="116">
        <f ca="1">$G40*('Future Year Scaling'!AC228/'Future Year Scaling'!$I228)</f>
        <v>45123078934791.32</v>
      </c>
      <c r="AB40" s="116">
        <f ca="1">$G40*('Future Year Scaling'!AD228/'Future Year Scaling'!$I228)</f>
        <v>45248210868438.258</v>
      </c>
      <c r="AC40" s="116">
        <f ca="1">$G40*('Future Year Scaling'!AE228/'Future Year Scaling'!$I228)</f>
        <v>45373342802085.188</v>
      </c>
      <c r="AD40" s="116">
        <f ca="1">$G40*('Future Year Scaling'!AF228/'Future Year Scaling'!$I228)</f>
        <v>45498474735732.117</v>
      </c>
      <c r="AE40" s="116">
        <f ca="1">$G40*('Future Year Scaling'!AG228/'Future Year Scaling'!$I228)</f>
        <v>45623606669379.055</v>
      </c>
      <c r="AF40" s="116">
        <f ca="1">$G40*('Future Year Scaling'!AH228/'Future Year Scaling'!$I228)</f>
        <v>45616298493836.344</v>
      </c>
      <c r="AG40" s="116">
        <f ca="1">$G40*('Future Year Scaling'!AI228/'Future Year Scaling'!$I228)</f>
        <v>45608990318293.617</v>
      </c>
      <c r="AH40" s="116">
        <f ca="1">$G40*('Future Year Scaling'!AJ228/'Future Year Scaling'!$I228)</f>
        <v>45601682142750.898</v>
      </c>
      <c r="AI40" s="116">
        <f ca="1">$G40*('Future Year Scaling'!AK228/'Future Year Scaling'!$I228)</f>
        <v>45594373967208.188</v>
      </c>
      <c r="AJ40" s="116">
        <f ca="1">$G40*('Future Year Scaling'!AL228/'Future Year Scaling'!$I228)</f>
        <v>45587065791665.469</v>
      </c>
      <c r="AK40" s="116">
        <f ca="1">$G40*('Future Year Scaling'!AM228/'Future Year Scaling'!$I228)</f>
        <v>45579757616122.742</v>
      </c>
      <c r="AL40" s="116">
        <f ca="1">$G40*('Future Year Scaling'!AN228/'Future Year Scaling'!$I228)</f>
        <v>45572449440580.031</v>
      </c>
      <c r="AM40" s="116">
        <f ca="1">$G40*('Future Year Scaling'!AO228/'Future Year Scaling'!$I228)</f>
        <v>45565141265037.313</v>
      </c>
    </row>
    <row r="41" spans="1:39" x14ac:dyDescent="0.25">
      <c r="A41" s="4" t="s">
        <v>532</v>
      </c>
      <c r="B41" s="4" t="s">
        <v>173</v>
      </c>
      <c r="C41" s="79"/>
      <c r="D41" s="79"/>
      <c r="F41" s="116"/>
      <c r="G41" s="116">
        <f ca="1">'Min. of Petr. &amp; NG'!B201</f>
        <v>571567066800328.13</v>
      </c>
      <c r="H41" s="116">
        <f ca="1">$G41*('Future Year Scaling'!J229/'Future Year Scaling'!$I229)</f>
        <v>580629170137008</v>
      </c>
      <c r="I41" s="116">
        <f ca="1">$G41*('Future Year Scaling'!K229/'Future Year Scaling'!$I229)</f>
        <v>589691273473687.88</v>
      </c>
      <c r="J41" s="116">
        <f ca="1">$G41*('Future Year Scaling'!L229/'Future Year Scaling'!$I229)</f>
        <v>598753376810367.75</v>
      </c>
      <c r="K41" s="116">
        <f ca="1">$G41*('Future Year Scaling'!M229/'Future Year Scaling'!$I229)</f>
        <v>607815480147047.5</v>
      </c>
      <c r="L41" s="116">
        <f ca="1">$G41*('Future Year Scaling'!N229/'Future Year Scaling'!$I229)</f>
        <v>618814944498640.88</v>
      </c>
      <c r="M41" s="116">
        <f ca="1">$G41*('Future Year Scaling'!O229/'Future Year Scaling'!$I229)</f>
        <v>629814408850234.13</v>
      </c>
      <c r="N41" s="116">
        <f ca="1">$G41*('Future Year Scaling'!P229/'Future Year Scaling'!$I229)</f>
        <v>640813873201827.25</v>
      </c>
      <c r="O41" s="116">
        <f ca="1">$G41*('Future Year Scaling'!Q229/'Future Year Scaling'!$I229)</f>
        <v>651813337553420.75</v>
      </c>
      <c r="P41" s="116">
        <f ca="1">$G41*('Future Year Scaling'!R229/'Future Year Scaling'!$I229)</f>
        <v>662812801905014</v>
      </c>
      <c r="Q41" s="116">
        <f ca="1">$G41*('Future Year Scaling'!S229/'Future Year Scaling'!$I229)</f>
        <v>674342507312744</v>
      </c>
      <c r="R41" s="116">
        <f ca="1">$G41*('Future Year Scaling'!T229/'Future Year Scaling'!$I229)</f>
        <v>685872212720474</v>
      </c>
      <c r="S41" s="116">
        <f ca="1">$G41*('Future Year Scaling'!U229/'Future Year Scaling'!$I229)</f>
        <v>697401918128204</v>
      </c>
      <c r="T41" s="116">
        <f ca="1">$G41*('Future Year Scaling'!V229/'Future Year Scaling'!$I229)</f>
        <v>708931623535934</v>
      </c>
      <c r="U41" s="116">
        <f ca="1">$G41*('Future Year Scaling'!W229/'Future Year Scaling'!$I229)</f>
        <v>720461328943663.88</v>
      </c>
      <c r="V41" s="116">
        <f ca="1">$G41*('Future Year Scaling'!X229/'Future Year Scaling'!$I229)</f>
        <v>735934161860833.13</v>
      </c>
      <c r="W41" s="116">
        <f ca="1">$G41*('Future Year Scaling'!Y229/'Future Year Scaling'!$I229)</f>
        <v>751406994778002</v>
      </c>
      <c r="X41" s="116">
        <f ca="1">$G41*('Future Year Scaling'!Z229/'Future Year Scaling'!$I229)</f>
        <v>766879827695171.25</v>
      </c>
      <c r="Y41" s="116">
        <f ca="1">$G41*('Future Year Scaling'!AA229/'Future Year Scaling'!$I229)</f>
        <v>782352660612340.25</v>
      </c>
      <c r="Z41" s="116">
        <f ca="1">$G41*('Future Year Scaling'!AB229/'Future Year Scaling'!$I229)</f>
        <v>797825493529509.25</v>
      </c>
      <c r="AA41" s="116">
        <f ca="1">$G41*('Future Year Scaling'!AC229/'Future Year Scaling'!$I229)</f>
        <v>820334531933754.75</v>
      </c>
      <c r="AB41" s="116">
        <f ca="1">$G41*('Future Year Scaling'!AD229/'Future Year Scaling'!$I229)</f>
        <v>842843570338000</v>
      </c>
      <c r="AC41" s="116">
        <f ca="1">$G41*('Future Year Scaling'!AE229/'Future Year Scaling'!$I229)</f>
        <v>865352608742245.5</v>
      </c>
      <c r="AD41" s="116">
        <f ca="1">$G41*('Future Year Scaling'!AF229/'Future Year Scaling'!$I229)</f>
        <v>887861647146490.88</v>
      </c>
      <c r="AE41" s="116">
        <f ca="1">$G41*('Future Year Scaling'!AG229/'Future Year Scaling'!$I229)</f>
        <v>910370685550736.38</v>
      </c>
      <c r="AF41" s="116">
        <f ca="1">$G41*('Future Year Scaling'!AH229/'Future Year Scaling'!$I229)</f>
        <v>927207840781244.38</v>
      </c>
      <c r="AG41" s="116">
        <f ca="1">$G41*('Future Year Scaling'!AI229/'Future Year Scaling'!$I229)</f>
        <v>944044996011752.5</v>
      </c>
      <c r="AH41" s="116">
        <f ca="1">$G41*('Future Year Scaling'!AJ229/'Future Year Scaling'!$I229)</f>
        <v>960882151242260.75</v>
      </c>
      <c r="AI41" s="116">
        <f ca="1">$G41*('Future Year Scaling'!AK229/'Future Year Scaling'!$I229)</f>
        <v>977719306472768.75</v>
      </c>
      <c r="AJ41" s="116">
        <f ca="1">$G41*('Future Year Scaling'!AL229/'Future Year Scaling'!$I229)</f>
        <v>994556461703276.88</v>
      </c>
      <c r="AK41" s="116">
        <f ca="1">$G41*('Future Year Scaling'!AM229/'Future Year Scaling'!$I229)</f>
        <v>1011393616933784.9</v>
      </c>
      <c r="AL41" s="116">
        <f ca="1">$G41*('Future Year Scaling'!AN229/'Future Year Scaling'!$I229)</f>
        <v>1028230772164293.1</v>
      </c>
      <c r="AM41" s="116">
        <f ca="1">$G41*('Future Year Scaling'!AO229/'Future Year Scaling'!$I229)</f>
        <v>1045067927394801.4</v>
      </c>
    </row>
    <row r="42" spans="1:39" x14ac:dyDescent="0.25">
      <c r="A42" s="4" t="s">
        <v>528</v>
      </c>
      <c r="B42" s="4" t="s">
        <v>174</v>
      </c>
      <c r="C42" s="79"/>
      <c r="D42" s="79"/>
      <c r="F42" s="4">
        <f>0*('Start Year Fuel Use Adjustments'!C42)</f>
        <v>0</v>
      </c>
      <c r="G42" s="4">
        <f>F42</f>
        <v>0</v>
      </c>
      <c r="H42" s="4">
        <f t="shared" ref="H42:AM49" si="38">G42</f>
        <v>0</v>
      </c>
      <c r="I42" s="4">
        <f t="shared" si="38"/>
        <v>0</v>
      </c>
      <c r="J42" s="4">
        <f t="shared" si="38"/>
        <v>0</v>
      </c>
      <c r="K42" s="4">
        <f t="shared" si="38"/>
        <v>0</v>
      </c>
      <c r="L42" s="4">
        <f t="shared" si="38"/>
        <v>0</v>
      </c>
      <c r="M42" s="4">
        <f t="shared" si="38"/>
        <v>0</v>
      </c>
      <c r="N42" s="4">
        <f t="shared" si="38"/>
        <v>0</v>
      </c>
      <c r="O42" s="4">
        <f t="shared" si="38"/>
        <v>0</v>
      </c>
      <c r="P42" s="4">
        <f t="shared" si="38"/>
        <v>0</v>
      </c>
      <c r="Q42" s="4">
        <f t="shared" si="38"/>
        <v>0</v>
      </c>
      <c r="R42" s="4">
        <f t="shared" si="38"/>
        <v>0</v>
      </c>
      <c r="S42" s="4">
        <f t="shared" si="38"/>
        <v>0</v>
      </c>
      <c r="T42" s="4">
        <f t="shared" si="38"/>
        <v>0</v>
      </c>
      <c r="U42" s="4">
        <f t="shared" si="38"/>
        <v>0</v>
      </c>
      <c r="V42" s="4">
        <f t="shared" si="38"/>
        <v>0</v>
      </c>
      <c r="W42" s="4">
        <f t="shared" si="38"/>
        <v>0</v>
      </c>
      <c r="X42" s="4">
        <f t="shared" si="38"/>
        <v>0</v>
      </c>
      <c r="Y42" s="4">
        <f t="shared" si="38"/>
        <v>0</v>
      </c>
      <c r="Z42" s="4">
        <f t="shared" si="38"/>
        <v>0</v>
      </c>
      <c r="AA42" s="4">
        <f t="shared" si="38"/>
        <v>0</v>
      </c>
      <c r="AB42" s="4">
        <f t="shared" si="38"/>
        <v>0</v>
      </c>
      <c r="AC42" s="4">
        <f t="shared" si="38"/>
        <v>0</v>
      </c>
      <c r="AD42" s="4">
        <f t="shared" si="38"/>
        <v>0</v>
      </c>
      <c r="AE42" s="4">
        <f t="shared" si="38"/>
        <v>0</v>
      </c>
      <c r="AF42" s="4">
        <f t="shared" si="38"/>
        <v>0</v>
      </c>
      <c r="AG42" s="4">
        <f t="shared" si="38"/>
        <v>0</v>
      </c>
      <c r="AH42" s="4">
        <f t="shared" si="38"/>
        <v>0</v>
      </c>
      <c r="AI42" s="4">
        <f t="shared" si="38"/>
        <v>0</v>
      </c>
      <c r="AJ42" s="4">
        <f t="shared" si="38"/>
        <v>0</v>
      </c>
      <c r="AK42" s="4">
        <f t="shared" si="38"/>
        <v>0</v>
      </c>
      <c r="AL42" s="4">
        <f t="shared" si="38"/>
        <v>0</v>
      </c>
      <c r="AM42" s="4">
        <f t="shared" si="38"/>
        <v>0</v>
      </c>
    </row>
    <row r="43" spans="1:39" x14ac:dyDescent="0.25">
      <c r="A43" s="4" t="s">
        <v>529</v>
      </c>
      <c r="B43" s="4" t="s">
        <v>174</v>
      </c>
      <c r="C43" s="79"/>
      <c r="D43" s="79"/>
      <c r="F43" s="4">
        <f>0*('Start Year Fuel Use Adjustments'!C43)</f>
        <v>0</v>
      </c>
      <c r="G43" s="4">
        <f t="shared" ref="G43:G50" si="39">F43</f>
        <v>0</v>
      </c>
      <c r="H43" s="4">
        <f t="shared" si="38"/>
        <v>0</v>
      </c>
      <c r="I43" s="4">
        <f t="shared" si="38"/>
        <v>0</v>
      </c>
      <c r="J43" s="4">
        <f t="shared" si="38"/>
        <v>0</v>
      </c>
      <c r="K43" s="4">
        <f t="shared" si="38"/>
        <v>0</v>
      </c>
      <c r="L43" s="4">
        <f t="shared" si="38"/>
        <v>0</v>
      </c>
      <c r="M43" s="4">
        <f t="shared" si="38"/>
        <v>0</v>
      </c>
      <c r="N43" s="4">
        <f t="shared" si="38"/>
        <v>0</v>
      </c>
      <c r="O43" s="4">
        <f t="shared" si="38"/>
        <v>0</v>
      </c>
      <c r="P43" s="4">
        <f t="shared" si="38"/>
        <v>0</v>
      </c>
      <c r="Q43" s="4">
        <f t="shared" si="38"/>
        <v>0</v>
      </c>
      <c r="R43" s="4">
        <f t="shared" si="38"/>
        <v>0</v>
      </c>
      <c r="S43" s="4">
        <f t="shared" si="38"/>
        <v>0</v>
      </c>
      <c r="T43" s="4">
        <f t="shared" si="38"/>
        <v>0</v>
      </c>
      <c r="U43" s="4">
        <f t="shared" si="38"/>
        <v>0</v>
      </c>
      <c r="V43" s="4">
        <f t="shared" si="38"/>
        <v>0</v>
      </c>
      <c r="W43" s="4">
        <f t="shared" si="38"/>
        <v>0</v>
      </c>
      <c r="X43" s="4">
        <f t="shared" si="38"/>
        <v>0</v>
      </c>
      <c r="Y43" s="4">
        <f t="shared" si="38"/>
        <v>0</v>
      </c>
      <c r="Z43" s="4">
        <f t="shared" si="38"/>
        <v>0</v>
      </c>
      <c r="AA43" s="4">
        <f t="shared" si="38"/>
        <v>0</v>
      </c>
      <c r="AB43" s="4">
        <f t="shared" si="38"/>
        <v>0</v>
      </c>
      <c r="AC43" s="4">
        <f t="shared" si="38"/>
        <v>0</v>
      </c>
      <c r="AD43" s="4">
        <f t="shared" si="38"/>
        <v>0</v>
      </c>
      <c r="AE43" s="4">
        <f t="shared" si="38"/>
        <v>0</v>
      </c>
      <c r="AF43" s="4">
        <f t="shared" si="38"/>
        <v>0</v>
      </c>
      <c r="AG43" s="4">
        <f t="shared" si="38"/>
        <v>0</v>
      </c>
      <c r="AH43" s="4">
        <f t="shared" si="38"/>
        <v>0</v>
      </c>
      <c r="AI43" s="4">
        <f t="shared" si="38"/>
        <v>0</v>
      </c>
      <c r="AJ43" s="4">
        <f t="shared" si="38"/>
        <v>0</v>
      </c>
      <c r="AK43" s="4">
        <f t="shared" si="38"/>
        <v>0</v>
      </c>
      <c r="AL43" s="4">
        <f t="shared" si="38"/>
        <v>0</v>
      </c>
      <c r="AM43" s="4">
        <f t="shared" si="38"/>
        <v>0</v>
      </c>
    </row>
    <row r="44" spans="1:39" x14ac:dyDescent="0.25">
      <c r="A44" s="4" t="s">
        <v>27</v>
      </c>
      <c r="B44" s="4" t="s">
        <v>174</v>
      </c>
      <c r="C44" s="79"/>
      <c r="D44" s="79"/>
      <c r="F44" s="4">
        <f>0*('Start Year Fuel Use Adjustments'!C44)</f>
        <v>0</v>
      </c>
      <c r="G44" s="4">
        <f t="shared" si="39"/>
        <v>0</v>
      </c>
      <c r="H44" s="4">
        <f t="shared" si="38"/>
        <v>0</v>
      </c>
      <c r="I44" s="4">
        <f t="shared" si="38"/>
        <v>0</v>
      </c>
      <c r="J44" s="4">
        <f t="shared" si="38"/>
        <v>0</v>
      </c>
      <c r="K44" s="4">
        <f t="shared" si="38"/>
        <v>0</v>
      </c>
      <c r="L44" s="4">
        <f t="shared" si="38"/>
        <v>0</v>
      </c>
      <c r="M44" s="4">
        <f t="shared" si="38"/>
        <v>0</v>
      </c>
      <c r="N44" s="4">
        <f t="shared" si="38"/>
        <v>0</v>
      </c>
      <c r="O44" s="4">
        <f t="shared" si="38"/>
        <v>0</v>
      </c>
      <c r="P44" s="4">
        <f t="shared" si="38"/>
        <v>0</v>
      </c>
      <c r="Q44" s="4">
        <f t="shared" si="38"/>
        <v>0</v>
      </c>
      <c r="R44" s="4">
        <f t="shared" si="38"/>
        <v>0</v>
      </c>
      <c r="S44" s="4">
        <f t="shared" si="38"/>
        <v>0</v>
      </c>
      <c r="T44" s="4">
        <f t="shared" si="38"/>
        <v>0</v>
      </c>
      <c r="U44" s="4">
        <f t="shared" si="38"/>
        <v>0</v>
      </c>
      <c r="V44" s="4">
        <f t="shared" si="38"/>
        <v>0</v>
      </c>
      <c r="W44" s="4">
        <f t="shared" si="38"/>
        <v>0</v>
      </c>
      <c r="X44" s="4">
        <f t="shared" si="38"/>
        <v>0</v>
      </c>
      <c r="Y44" s="4">
        <f t="shared" si="38"/>
        <v>0</v>
      </c>
      <c r="Z44" s="4">
        <f t="shared" si="38"/>
        <v>0</v>
      </c>
      <c r="AA44" s="4">
        <f t="shared" si="38"/>
        <v>0</v>
      </c>
      <c r="AB44" s="4">
        <f t="shared" si="38"/>
        <v>0</v>
      </c>
      <c r="AC44" s="4">
        <f t="shared" si="38"/>
        <v>0</v>
      </c>
      <c r="AD44" s="4">
        <f t="shared" si="38"/>
        <v>0</v>
      </c>
      <c r="AE44" s="4">
        <f t="shared" si="38"/>
        <v>0</v>
      </c>
      <c r="AF44" s="4">
        <f t="shared" si="38"/>
        <v>0</v>
      </c>
      <c r="AG44" s="4">
        <f t="shared" si="38"/>
        <v>0</v>
      </c>
      <c r="AH44" s="4">
        <f t="shared" si="38"/>
        <v>0</v>
      </c>
      <c r="AI44" s="4">
        <f t="shared" si="38"/>
        <v>0</v>
      </c>
      <c r="AJ44" s="4">
        <f t="shared" si="38"/>
        <v>0</v>
      </c>
      <c r="AK44" s="4">
        <f t="shared" si="38"/>
        <v>0</v>
      </c>
      <c r="AL44" s="4">
        <f t="shared" si="38"/>
        <v>0</v>
      </c>
      <c r="AM44" s="4">
        <f t="shared" si="38"/>
        <v>0</v>
      </c>
    </row>
    <row r="45" spans="1:39" x14ac:dyDescent="0.25">
      <c r="A45" s="4" t="s">
        <v>6</v>
      </c>
      <c r="B45" s="4" t="s">
        <v>174</v>
      </c>
      <c r="C45" s="79"/>
      <c r="D45" s="79"/>
      <c r="F45" s="4">
        <f>0*('Start Year Fuel Use Adjustments'!C45)</f>
        <v>0</v>
      </c>
      <c r="G45" s="4">
        <f t="shared" si="39"/>
        <v>0</v>
      </c>
      <c r="H45" s="4">
        <f t="shared" si="38"/>
        <v>0</v>
      </c>
      <c r="I45" s="4">
        <f t="shared" si="38"/>
        <v>0</v>
      </c>
      <c r="J45" s="4">
        <f t="shared" si="38"/>
        <v>0</v>
      </c>
      <c r="K45" s="4">
        <f t="shared" si="38"/>
        <v>0</v>
      </c>
      <c r="L45" s="4">
        <f t="shared" si="38"/>
        <v>0</v>
      </c>
      <c r="M45" s="4">
        <f t="shared" si="38"/>
        <v>0</v>
      </c>
      <c r="N45" s="4">
        <f t="shared" si="38"/>
        <v>0</v>
      </c>
      <c r="O45" s="4">
        <f t="shared" si="38"/>
        <v>0</v>
      </c>
      <c r="P45" s="4">
        <f t="shared" si="38"/>
        <v>0</v>
      </c>
      <c r="Q45" s="4">
        <f t="shared" si="38"/>
        <v>0</v>
      </c>
      <c r="R45" s="4">
        <f t="shared" si="38"/>
        <v>0</v>
      </c>
      <c r="S45" s="4">
        <f t="shared" si="38"/>
        <v>0</v>
      </c>
      <c r="T45" s="4">
        <f t="shared" si="38"/>
        <v>0</v>
      </c>
      <c r="U45" s="4">
        <f t="shared" si="38"/>
        <v>0</v>
      </c>
      <c r="V45" s="4">
        <f t="shared" si="38"/>
        <v>0</v>
      </c>
      <c r="W45" s="4">
        <f t="shared" si="38"/>
        <v>0</v>
      </c>
      <c r="X45" s="4">
        <f t="shared" si="38"/>
        <v>0</v>
      </c>
      <c r="Y45" s="4">
        <f t="shared" si="38"/>
        <v>0</v>
      </c>
      <c r="Z45" s="4">
        <f t="shared" si="38"/>
        <v>0</v>
      </c>
      <c r="AA45" s="4">
        <f t="shared" si="38"/>
        <v>0</v>
      </c>
      <c r="AB45" s="4">
        <f t="shared" si="38"/>
        <v>0</v>
      </c>
      <c r="AC45" s="4">
        <f t="shared" si="38"/>
        <v>0</v>
      </c>
      <c r="AD45" s="4">
        <f t="shared" si="38"/>
        <v>0</v>
      </c>
      <c r="AE45" s="4">
        <f t="shared" si="38"/>
        <v>0</v>
      </c>
      <c r="AF45" s="4">
        <f t="shared" si="38"/>
        <v>0</v>
      </c>
      <c r="AG45" s="4">
        <f t="shared" si="38"/>
        <v>0</v>
      </c>
      <c r="AH45" s="4">
        <f t="shared" si="38"/>
        <v>0</v>
      </c>
      <c r="AI45" s="4">
        <f t="shared" si="38"/>
        <v>0</v>
      </c>
      <c r="AJ45" s="4">
        <f t="shared" si="38"/>
        <v>0</v>
      </c>
      <c r="AK45" s="4">
        <f t="shared" si="38"/>
        <v>0</v>
      </c>
      <c r="AL45" s="4">
        <f t="shared" si="38"/>
        <v>0</v>
      </c>
      <c r="AM45" s="4">
        <f t="shared" si="38"/>
        <v>0</v>
      </c>
    </row>
    <row r="46" spans="1:39" x14ac:dyDescent="0.25">
      <c r="A46" s="4" t="s">
        <v>530</v>
      </c>
      <c r="B46" s="4" t="s">
        <v>174</v>
      </c>
      <c r="C46" s="79"/>
      <c r="D46" s="79"/>
      <c r="F46" s="4">
        <f>0*('Start Year Fuel Use Adjustments'!C46)</f>
        <v>0</v>
      </c>
      <c r="G46" s="4">
        <f t="shared" si="39"/>
        <v>0</v>
      </c>
      <c r="H46" s="4">
        <f t="shared" si="38"/>
        <v>0</v>
      </c>
      <c r="I46" s="4">
        <f t="shared" si="38"/>
        <v>0</v>
      </c>
      <c r="J46" s="4">
        <f t="shared" si="38"/>
        <v>0</v>
      </c>
      <c r="K46" s="4">
        <f t="shared" si="38"/>
        <v>0</v>
      </c>
      <c r="L46" s="4">
        <f t="shared" si="38"/>
        <v>0</v>
      </c>
      <c r="M46" s="4">
        <f t="shared" si="38"/>
        <v>0</v>
      </c>
      <c r="N46" s="4">
        <f t="shared" si="38"/>
        <v>0</v>
      </c>
      <c r="O46" s="4">
        <f t="shared" si="38"/>
        <v>0</v>
      </c>
      <c r="P46" s="4">
        <f t="shared" si="38"/>
        <v>0</v>
      </c>
      <c r="Q46" s="4">
        <f t="shared" si="38"/>
        <v>0</v>
      </c>
      <c r="R46" s="4">
        <f t="shared" si="38"/>
        <v>0</v>
      </c>
      <c r="S46" s="4">
        <f t="shared" si="38"/>
        <v>0</v>
      </c>
      <c r="T46" s="4">
        <f t="shared" si="38"/>
        <v>0</v>
      </c>
      <c r="U46" s="4">
        <f t="shared" si="38"/>
        <v>0</v>
      </c>
      <c r="V46" s="4">
        <f t="shared" si="38"/>
        <v>0</v>
      </c>
      <c r="W46" s="4">
        <f t="shared" si="38"/>
        <v>0</v>
      </c>
      <c r="X46" s="4">
        <f t="shared" si="38"/>
        <v>0</v>
      </c>
      <c r="Y46" s="4">
        <f t="shared" si="38"/>
        <v>0</v>
      </c>
      <c r="Z46" s="4">
        <f t="shared" si="38"/>
        <v>0</v>
      </c>
      <c r="AA46" s="4">
        <f t="shared" si="38"/>
        <v>0</v>
      </c>
      <c r="AB46" s="4">
        <f t="shared" si="38"/>
        <v>0</v>
      </c>
      <c r="AC46" s="4">
        <f t="shared" si="38"/>
        <v>0</v>
      </c>
      <c r="AD46" s="4">
        <f t="shared" si="38"/>
        <v>0</v>
      </c>
      <c r="AE46" s="4">
        <f t="shared" si="38"/>
        <v>0</v>
      </c>
      <c r="AF46" s="4">
        <f t="shared" si="38"/>
        <v>0</v>
      </c>
      <c r="AG46" s="4">
        <f t="shared" si="38"/>
        <v>0</v>
      </c>
      <c r="AH46" s="4">
        <f t="shared" si="38"/>
        <v>0</v>
      </c>
      <c r="AI46" s="4">
        <f t="shared" si="38"/>
        <v>0</v>
      </c>
      <c r="AJ46" s="4">
        <f t="shared" si="38"/>
        <v>0</v>
      </c>
      <c r="AK46" s="4">
        <f t="shared" si="38"/>
        <v>0</v>
      </c>
      <c r="AL46" s="4">
        <f t="shared" si="38"/>
        <v>0</v>
      </c>
      <c r="AM46" s="4">
        <f t="shared" si="38"/>
        <v>0</v>
      </c>
    </row>
    <row r="47" spans="1:39" x14ac:dyDescent="0.25">
      <c r="A47" s="4" t="s">
        <v>531</v>
      </c>
      <c r="B47" s="4" t="s">
        <v>174</v>
      </c>
      <c r="C47" s="79"/>
      <c r="D47" s="79"/>
      <c r="F47" s="4">
        <f>0*('Start Year Fuel Use Adjustments'!C47)</f>
        <v>0</v>
      </c>
      <c r="G47" s="4">
        <f t="shared" si="39"/>
        <v>0</v>
      </c>
      <c r="H47" s="4">
        <f t="shared" si="38"/>
        <v>0</v>
      </c>
      <c r="I47" s="4">
        <f t="shared" si="38"/>
        <v>0</v>
      </c>
      <c r="J47" s="4">
        <f t="shared" si="38"/>
        <v>0</v>
      </c>
      <c r="K47" s="4">
        <f t="shared" si="38"/>
        <v>0</v>
      </c>
      <c r="L47" s="4">
        <f t="shared" si="38"/>
        <v>0</v>
      </c>
      <c r="M47" s="4">
        <f t="shared" si="38"/>
        <v>0</v>
      </c>
      <c r="N47" s="4">
        <f t="shared" si="38"/>
        <v>0</v>
      </c>
      <c r="O47" s="4">
        <f t="shared" si="38"/>
        <v>0</v>
      </c>
      <c r="P47" s="4">
        <f t="shared" si="38"/>
        <v>0</v>
      </c>
      <c r="Q47" s="4">
        <f t="shared" si="38"/>
        <v>0</v>
      </c>
      <c r="R47" s="4">
        <f t="shared" si="38"/>
        <v>0</v>
      </c>
      <c r="S47" s="4">
        <f t="shared" si="38"/>
        <v>0</v>
      </c>
      <c r="T47" s="4">
        <f t="shared" si="38"/>
        <v>0</v>
      </c>
      <c r="U47" s="4">
        <f t="shared" si="38"/>
        <v>0</v>
      </c>
      <c r="V47" s="4">
        <f t="shared" si="38"/>
        <v>0</v>
      </c>
      <c r="W47" s="4">
        <f t="shared" si="38"/>
        <v>0</v>
      </c>
      <c r="X47" s="4">
        <f t="shared" si="38"/>
        <v>0</v>
      </c>
      <c r="Y47" s="4">
        <f t="shared" si="38"/>
        <v>0</v>
      </c>
      <c r="Z47" s="4">
        <f t="shared" si="38"/>
        <v>0</v>
      </c>
      <c r="AA47" s="4">
        <f t="shared" si="38"/>
        <v>0</v>
      </c>
      <c r="AB47" s="4">
        <f t="shared" si="38"/>
        <v>0</v>
      </c>
      <c r="AC47" s="4">
        <f t="shared" si="38"/>
        <v>0</v>
      </c>
      <c r="AD47" s="4">
        <f t="shared" si="38"/>
        <v>0</v>
      </c>
      <c r="AE47" s="4">
        <f t="shared" si="38"/>
        <v>0</v>
      </c>
      <c r="AF47" s="4">
        <f t="shared" si="38"/>
        <v>0</v>
      </c>
      <c r="AG47" s="4">
        <f t="shared" si="38"/>
        <v>0</v>
      </c>
      <c r="AH47" s="4">
        <f t="shared" si="38"/>
        <v>0</v>
      </c>
      <c r="AI47" s="4">
        <f t="shared" si="38"/>
        <v>0</v>
      </c>
      <c r="AJ47" s="4">
        <f t="shared" si="38"/>
        <v>0</v>
      </c>
      <c r="AK47" s="4">
        <f t="shared" si="38"/>
        <v>0</v>
      </c>
      <c r="AL47" s="4">
        <f t="shared" si="38"/>
        <v>0</v>
      </c>
      <c r="AM47" s="4">
        <f t="shared" si="38"/>
        <v>0</v>
      </c>
    </row>
    <row r="48" spans="1:39" x14ac:dyDescent="0.25">
      <c r="A48" s="4" t="s">
        <v>11</v>
      </c>
      <c r="B48" s="4" t="s">
        <v>174</v>
      </c>
      <c r="C48" s="79"/>
      <c r="D48" s="79"/>
      <c r="F48" s="4">
        <f>0*('Start Year Fuel Use Adjustments'!C48)</f>
        <v>0</v>
      </c>
      <c r="G48" s="4">
        <f t="shared" si="39"/>
        <v>0</v>
      </c>
      <c r="H48" s="4">
        <f t="shared" si="38"/>
        <v>0</v>
      </c>
      <c r="I48" s="4">
        <f t="shared" si="38"/>
        <v>0</v>
      </c>
      <c r="J48" s="4">
        <f t="shared" si="38"/>
        <v>0</v>
      </c>
      <c r="K48" s="4">
        <f t="shared" si="38"/>
        <v>0</v>
      </c>
      <c r="L48" s="4">
        <f t="shared" si="38"/>
        <v>0</v>
      </c>
      <c r="M48" s="4">
        <f t="shared" si="38"/>
        <v>0</v>
      </c>
      <c r="N48" s="4">
        <f t="shared" si="38"/>
        <v>0</v>
      </c>
      <c r="O48" s="4">
        <f t="shared" si="38"/>
        <v>0</v>
      </c>
      <c r="P48" s="4">
        <f t="shared" si="38"/>
        <v>0</v>
      </c>
      <c r="Q48" s="4">
        <f t="shared" si="38"/>
        <v>0</v>
      </c>
      <c r="R48" s="4">
        <f t="shared" si="38"/>
        <v>0</v>
      </c>
      <c r="S48" s="4">
        <f t="shared" si="38"/>
        <v>0</v>
      </c>
      <c r="T48" s="4">
        <f t="shared" si="38"/>
        <v>0</v>
      </c>
      <c r="U48" s="4">
        <f t="shared" si="38"/>
        <v>0</v>
      </c>
      <c r="V48" s="4">
        <f t="shared" si="38"/>
        <v>0</v>
      </c>
      <c r="W48" s="4">
        <f t="shared" si="38"/>
        <v>0</v>
      </c>
      <c r="X48" s="4">
        <f t="shared" si="38"/>
        <v>0</v>
      </c>
      <c r="Y48" s="4">
        <f t="shared" si="38"/>
        <v>0</v>
      </c>
      <c r="Z48" s="4">
        <f t="shared" si="38"/>
        <v>0</v>
      </c>
      <c r="AA48" s="4">
        <f t="shared" si="38"/>
        <v>0</v>
      </c>
      <c r="AB48" s="4">
        <f t="shared" si="38"/>
        <v>0</v>
      </c>
      <c r="AC48" s="4">
        <f t="shared" si="38"/>
        <v>0</v>
      </c>
      <c r="AD48" s="4">
        <f t="shared" si="38"/>
        <v>0</v>
      </c>
      <c r="AE48" s="4">
        <f t="shared" si="38"/>
        <v>0</v>
      </c>
      <c r="AF48" s="4">
        <f t="shared" si="38"/>
        <v>0</v>
      </c>
      <c r="AG48" s="4">
        <f t="shared" si="38"/>
        <v>0</v>
      </c>
      <c r="AH48" s="4">
        <f t="shared" si="38"/>
        <v>0</v>
      </c>
      <c r="AI48" s="4">
        <f t="shared" si="38"/>
        <v>0</v>
      </c>
      <c r="AJ48" s="4">
        <f t="shared" si="38"/>
        <v>0</v>
      </c>
      <c r="AK48" s="4">
        <f t="shared" si="38"/>
        <v>0</v>
      </c>
      <c r="AL48" s="4">
        <f t="shared" si="38"/>
        <v>0</v>
      </c>
      <c r="AM48" s="4">
        <f t="shared" si="38"/>
        <v>0</v>
      </c>
    </row>
    <row r="49" spans="1:39" x14ac:dyDescent="0.25">
      <c r="A49" s="4" t="s">
        <v>532</v>
      </c>
      <c r="B49" s="4" t="s">
        <v>174</v>
      </c>
      <c r="C49" s="79"/>
      <c r="D49" s="79"/>
      <c r="F49" s="4">
        <f>0*('Start Year Fuel Use Adjustments'!C49)</f>
        <v>0</v>
      </c>
      <c r="G49" s="4">
        <f t="shared" si="39"/>
        <v>0</v>
      </c>
      <c r="H49" s="4">
        <f t="shared" si="38"/>
        <v>0</v>
      </c>
      <c r="I49" s="4">
        <f t="shared" si="38"/>
        <v>0</v>
      </c>
      <c r="J49" s="4">
        <f t="shared" si="38"/>
        <v>0</v>
      </c>
      <c r="K49" s="4">
        <f t="shared" si="38"/>
        <v>0</v>
      </c>
      <c r="L49" s="4">
        <f t="shared" si="38"/>
        <v>0</v>
      </c>
      <c r="M49" s="4">
        <f t="shared" si="38"/>
        <v>0</v>
      </c>
      <c r="N49" s="4">
        <f t="shared" si="38"/>
        <v>0</v>
      </c>
      <c r="O49" s="4">
        <f t="shared" si="38"/>
        <v>0</v>
      </c>
      <c r="P49" s="4">
        <f t="shared" si="38"/>
        <v>0</v>
      </c>
      <c r="Q49" s="4">
        <f t="shared" si="38"/>
        <v>0</v>
      </c>
      <c r="R49" s="4">
        <f t="shared" si="38"/>
        <v>0</v>
      </c>
      <c r="S49" s="4">
        <f t="shared" si="38"/>
        <v>0</v>
      </c>
      <c r="T49" s="4">
        <f t="shared" si="38"/>
        <v>0</v>
      </c>
      <c r="U49" s="4">
        <f t="shared" si="38"/>
        <v>0</v>
      </c>
      <c r="V49" s="4">
        <f t="shared" si="38"/>
        <v>0</v>
      </c>
      <c r="W49" s="4">
        <f t="shared" si="38"/>
        <v>0</v>
      </c>
      <c r="X49" s="4">
        <f t="shared" si="38"/>
        <v>0</v>
      </c>
      <c r="Y49" s="4">
        <f t="shared" si="38"/>
        <v>0</v>
      </c>
      <c r="Z49" s="4">
        <f t="shared" si="38"/>
        <v>0</v>
      </c>
      <c r="AA49" s="4">
        <f t="shared" si="38"/>
        <v>0</v>
      </c>
      <c r="AB49" s="4">
        <f t="shared" si="38"/>
        <v>0</v>
      </c>
      <c r="AC49" s="4">
        <f t="shared" si="38"/>
        <v>0</v>
      </c>
      <c r="AD49" s="4">
        <f t="shared" si="38"/>
        <v>0</v>
      </c>
      <c r="AE49" s="4">
        <f t="shared" si="38"/>
        <v>0</v>
      </c>
      <c r="AF49" s="4">
        <f t="shared" si="38"/>
        <v>0</v>
      </c>
      <c r="AG49" s="4">
        <f t="shared" si="38"/>
        <v>0</v>
      </c>
      <c r="AH49" s="4">
        <f t="shared" si="38"/>
        <v>0</v>
      </c>
      <c r="AI49" s="4">
        <f t="shared" si="38"/>
        <v>0</v>
      </c>
      <c r="AJ49" s="4">
        <f t="shared" si="38"/>
        <v>0</v>
      </c>
      <c r="AK49" s="4">
        <f t="shared" si="38"/>
        <v>0</v>
      </c>
      <c r="AL49" s="4">
        <f t="shared" si="38"/>
        <v>0</v>
      </c>
      <c r="AM49" s="4">
        <f t="shared" ref="AM49:AM50" si="40">AL49</f>
        <v>0</v>
      </c>
    </row>
    <row r="50" spans="1:39" x14ac:dyDescent="0.25">
      <c r="A50" s="4" t="s">
        <v>528</v>
      </c>
      <c r="B50" t="s">
        <v>534</v>
      </c>
      <c r="C50" s="79"/>
      <c r="D50" s="79"/>
      <c r="F50">
        <f>('Min. of Petr. &amp; NG'!D194)*('Start Year Fuel Use Adjustments'!C50)</f>
        <v>0</v>
      </c>
      <c r="G50" s="4">
        <f t="shared" si="39"/>
        <v>0</v>
      </c>
      <c r="H50" s="4">
        <f t="shared" ref="H50" si="41">G50</f>
        <v>0</v>
      </c>
      <c r="I50" s="4">
        <f t="shared" ref="I50" si="42">H50</f>
        <v>0</v>
      </c>
      <c r="J50" s="4">
        <f t="shared" ref="J50" si="43">I50</f>
        <v>0</v>
      </c>
      <c r="K50" s="4">
        <f t="shared" ref="K50" si="44">J50</f>
        <v>0</v>
      </c>
      <c r="L50" s="4">
        <f t="shared" ref="L50" si="45">K50</f>
        <v>0</v>
      </c>
      <c r="M50" s="4">
        <f t="shared" ref="M50" si="46">L50</f>
        <v>0</v>
      </c>
      <c r="N50" s="4">
        <f t="shared" ref="N50" si="47">M50</f>
        <v>0</v>
      </c>
      <c r="O50" s="4">
        <f t="shared" ref="O50" si="48">N50</f>
        <v>0</v>
      </c>
      <c r="P50" s="4">
        <f t="shared" ref="P50" si="49">O50</f>
        <v>0</v>
      </c>
      <c r="Q50" s="4">
        <f t="shared" ref="Q50" si="50">P50</f>
        <v>0</v>
      </c>
      <c r="R50" s="4">
        <f t="shared" ref="R50" si="51">Q50</f>
        <v>0</v>
      </c>
      <c r="S50" s="4">
        <f t="shared" ref="S50" si="52">R50</f>
        <v>0</v>
      </c>
      <c r="T50" s="4">
        <f t="shared" ref="T50" si="53">S50</f>
        <v>0</v>
      </c>
      <c r="U50" s="4">
        <f t="shared" ref="U50" si="54">T50</f>
        <v>0</v>
      </c>
      <c r="V50" s="4">
        <f t="shared" ref="V50" si="55">U50</f>
        <v>0</v>
      </c>
      <c r="W50" s="4">
        <f t="shared" ref="W50" si="56">V50</f>
        <v>0</v>
      </c>
      <c r="X50" s="4">
        <f t="shared" ref="X50" si="57">W50</f>
        <v>0</v>
      </c>
      <c r="Y50" s="4">
        <f t="shared" ref="Y50" si="58">X50</f>
        <v>0</v>
      </c>
      <c r="Z50" s="4">
        <f t="shared" ref="Z50" si="59">Y50</f>
        <v>0</v>
      </c>
      <c r="AA50" s="4">
        <f t="shared" ref="AA50" si="60">Z50</f>
        <v>0</v>
      </c>
      <c r="AB50" s="4">
        <f t="shared" ref="AB50" si="61">AA50</f>
        <v>0</v>
      </c>
      <c r="AC50" s="4">
        <f t="shared" ref="AC50" si="62">AB50</f>
        <v>0</v>
      </c>
      <c r="AD50" s="4">
        <f t="shared" ref="AD50" si="63">AC50</f>
        <v>0</v>
      </c>
      <c r="AE50" s="4">
        <f t="shared" ref="AE50" si="64">AD50</f>
        <v>0</v>
      </c>
      <c r="AF50" s="4">
        <f t="shared" ref="AF50" si="65">AE50</f>
        <v>0</v>
      </c>
      <c r="AG50" s="4">
        <f t="shared" ref="AG50" si="66">AF50</f>
        <v>0</v>
      </c>
      <c r="AH50" s="4">
        <f t="shared" ref="AH50" si="67">AG50</f>
        <v>0</v>
      </c>
      <c r="AI50" s="4">
        <f t="shared" ref="AI50" si="68">AH50</f>
        <v>0</v>
      </c>
      <c r="AJ50" s="4">
        <f t="shared" ref="AJ50" si="69">AI50</f>
        <v>0</v>
      </c>
      <c r="AK50" s="4">
        <f t="shared" ref="AK50" si="70">AJ50</f>
        <v>0</v>
      </c>
      <c r="AL50" s="4">
        <f t="shared" ref="AL50" si="71">AK50</f>
        <v>0</v>
      </c>
      <c r="AM50" s="4">
        <f t="shared" si="40"/>
        <v>0</v>
      </c>
    </row>
    <row r="51" spans="1:39" x14ac:dyDescent="0.25">
      <c r="A51" s="4" t="s">
        <v>529</v>
      </c>
      <c r="B51" s="4" t="s">
        <v>534</v>
      </c>
      <c r="C51" s="79"/>
      <c r="D51" s="79"/>
      <c r="F51" s="4">
        <f>('Min. of Petr. &amp; NG'!D195)*('Start Year Fuel Use Adjustments'!C51)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534</v>
      </c>
      <c r="C52" s="79"/>
      <c r="D52" s="79"/>
      <c r="F52" s="4">
        <f>('Min. of Petr. &amp; NG'!D196)*('Start Year Fuel Use Adjustments'!C52)</f>
        <v>0</v>
      </c>
      <c r="G52" s="4">
        <f>F52</f>
        <v>0</v>
      </c>
      <c r="H52" s="4">
        <f t="shared" ref="H52:AM57" si="72">G52</f>
        <v>0</v>
      </c>
      <c r="I52" s="4">
        <f t="shared" si="72"/>
        <v>0</v>
      </c>
      <c r="J52" s="4">
        <f t="shared" si="72"/>
        <v>0</v>
      </c>
      <c r="K52" s="4">
        <f t="shared" si="72"/>
        <v>0</v>
      </c>
      <c r="L52" s="4">
        <f t="shared" si="72"/>
        <v>0</v>
      </c>
      <c r="M52" s="4">
        <f t="shared" si="72"/>
        <v>0</v>
      </c>
      <c r="N52" s="4">
        <f t="shared" si="72"/>
        <v>0</v>
      </c>
      <c r="O52" s="4">
        <f t="shared" si="72"/>
        <v>0</v>
      </c>
      <c r="P52" s="4">
        <f t="shared" si="72"/>
        <v>0</v>
      </c>
      <c r="Q52" s="4">
        <f t="shared" si="72"/>
        <v>0</v>
      </c>
      <c r="R52" s="4">
        <f t="shared" si="72"/>
        <v>0</v>
      </c>
      <c r="S52" s="4">
        <f t="shared" si="72"/>
        <v>0</v>
      </c>
      <c r="T52" s="4">
        <f t="shared" si="72"/>
        <v>0</v>
      </c>
      <c r="U52" s="4">
        <f t="shared" si="72"/>
        <v>0</v>
      </c>
      <c r="V52" s="4">
        <f t="shared" si="72"/>
        <v>0</v>
      </c>
      <c r="W52" s="4">
        <f t="shared" si="72"/>
        <v>0</v>
      </c>
      <c r="X52" s="4">
        <f t="shared" si="72"/>
        <v>0</v>
      </c>
      <c r="Y52" s="4">
        <f t="shared" si="72"/>
        <v>0</v>
      </c>
      <c r="Z52" s="4">
        <f t="shared" si="72"/>
        <v>0</v>
      </c>
      <c r="AA52" s="4">
        <f t="shared" si="72"/>
        <v>0</v>
      </c>
      <c r="AB52" s="4">
        <f t="shared" si="72"/>
        <v>0</v>
      </c>
      <c r="AC52" s="4">
        <f t="shared" si="72"/>
        <v>0</v>
      </c>
      <c r="AD52" s="4">
        <f t="shared" si="72"/>
        <v>0</v>
      </c>
      <c r="AE52" s="4">
        <f t="shared" si="72"/>
        <v>0</v>
      </c>
      <c r="AF52" s="4">
        <f t="shared" si="72"/>
        <v>0</v>
      </c>
      <c r="AG52" s="4">
        <f t="shared" si="72"/>
        <v>0</v>
      </c>
      <c r="AH52" s="4">
        <f t="shared" si="72"/>
        <v>0</v>
      </c>
      <c r="AI52" s="4">
        <f t="shared" si="72"/>
        <v>0</v>
      </c>
      <c r="AJ52" s="4">
        <f t="shared" si="72"/>
        <v>0</v>
      </c>
      <c r="AK52" s="4">
        <f t="shared" si="72"/>
        <v>0</v>
      </c>
      <c r="AL52" s="4">
        <f t="shared" si="72"/>
        <v>0</v>
      </c>
      <c r="AM52" s="4">
        <f t="shared" si="72"/>
        <v>0</v>
      </c>
    </row>
    <row r="53" spans="1:39" x14ac:dyDescent="0.25">
      <c r="A53" s="4" t="s">
        <v>6</v>
      </c>
      <c r="B53" s="4" t="s">
        <v>534</v>
      </c>
      <c r="C53" s="79"/>
      <c r="D53" s="79"/>
      <c r="F53" s="4">
        <f>('Min. of Petr. &amp; NG'!D197)*('Start Year Fuel Use Adjustments'!C53)</f>
        <v>0</v>
      </c>
      <c r="G53" s="4">
        <f t="shared" ref="G53:G57" si="73">F53</f>
        <v>0</v>
      </c>
      <c r="H53" s="4">
        <f t="shared" si="72"/>
        <v>0</v>
      </c>
      <c r="I53" s="4">
        <f t="shared" si="72"/>
        <v>0</v>
      </c>
      <c r="J53" s="4">
        <f t="shared" si="72"/>
        <v>0</v>
      </c>
      <c r="K53" s="4">
        <f t="shared" si="72"/>
        <v>0</v>
      </c>
      <c r="L53" s="4">
        <f t="shared" si="72"/>
        <v>0</v>
      </c>
      <c r="M53" s="4">
        <f t="shared" si="72"/>
        <v>0</v>
      </c>
      <c r="N53" s="4">
        <f t="shared" si="72"/>
        <v>0</v>
      </c>
      <c r="O53" s="4">
        <f t="shared" si="72"/>
        <v>0</v>
      </c>
      <c r="P53" s="4">
        <f t="shared" si="72"/>
        <v>0</v>
      </c>
      <c r="Q53" s="4">
        <f t="shared" si="72"/>
        <v>0</v>
      </c>
      <c r="R53" s="4">
        <f t="shared" si="72"/>
        <v>0</v>
      </c>
      <c r="S53" s="4">
        <f t="shared" si="72"/>
        <v>0</v>
      </c>
      <c r="T53" s="4">
        <f t="shared" si="72"/>
        <v>0</v>
      </c>
      <c r="U53" s="4">
        <f t="shared" si="72"/>
        <v>0</v>
      </c>
      <c r="V53" s="4">
        <f t="shared" si="72"/>
        <v>0</v>
      </c>
      <c r="W53" s="4">
        <f t="shared" si="72"/>
        <v>0</v>
      </c>
      <c r="X53" s="4">
        <f t="shared" si="72"/>
        <v>0</v>
      </c>
      <c r="Y53" s="4">
        <f t="shared" si="72"/>
        <v>0</v>
      </c>
      <c r="Z53" s="4">
        <f t="shared" si="72"/>
        <v>0</v>
      </c>
      <c r="AA53" s="4">
        <f t="shared" si="72"/>
        <v>0</v>
      </c>
      <c r="AB53" s="4">
        <f t="shared" si="72"/>
        <v>0</v>
      </c>
      <c r="AC53" s="4">
        <f t="shared" si="72"/>
        <v>0</v>
      </c>
      <c r="AD53" s="4">
        <f t="shared" si="72"/>
        <v>0</v>
      </c>
      <c r="AE53" s="4">
        <f t="shared" si="72"/>
        <v>0</v>
      </c>
      <c r="AF53" s="4">
        <f t="shared" si="72"/>
        <v>0</v>
      </c>
      <c r="AG53" s="4">
        <f t="shared" si="72"/>
        <v>0</v>
      </c>
      <c r="AH53" s="4">
        <f t="shared" si="72"/>
        <v>0</v>
      </c>
      <c r="AI53" s="4">
        <f t="shared" si="72"/>
        <v>0</v>
      </c>
      <c r="AJ53" s="4">
        <f t="shared" si="72"/>
        <v>0</v>
      </c>
      <c r="AK53" s="4">
        <f t="shared" si="72"/>
        <v>0</v>
      </c>
      <c r="AL53" s="4">
        <f t="shared" si="72"/>
        <v>0</v>
      </c>
      <c r="AM53" s="4">
        <f t="shared" si="72"/>
        <v>0</v>
      </c>
    </row>
    <row r="54" spans="1:39" x14ac:dyDescent="0.25">
      <c r="A54" s="4" t="s">
        <v>530</v>
      </c>
      <c r="B54" s="4" t="s">
        <v>534</v>
      </c>
      <c r="C54" s="79"/>
      <c r="D54" s="79"/>
      <c r="F54" s="4">
        <f>('Min. of Petr. &amp; NG'!D198)*('Start Year Fuel Use Adjustments'!C54)</f>
        <v>0</v>
      </c>
      <c r="G54" s="4">
        <f t="shared" si="73"/>
        <v>0</v>
      </c>
      <c r="H54" s="4">
        <f t="shared" si="72"/>
        <v>0</v>
      </c>
      <c r="I54" s="4">
        <f t="shared" si="72"/>
        <v>0</v>
      </c>
      <c r="J54" s="4">
        <f t="shared" si="72"/>
        <v>0</v>
      </c>
      <c r="K54" s="4">
        <f t="shared" si="72"/>
        <v>0</v>
      </c>
      <c r="L54" s="4">
        <f t="shared" si="72"/>
        <v>0</v>
      </c>
      <c r="M54" s="4">
        <f t="shared" si="72"/>
        <v>0</v>
      </c>
      <c r="N54" s="4">
        <f t="shared" si="72"/>
        <v>0</v>
      </c>
      <c r="O54" s="4">
        <f t="shared" si="72"/>
        <v>0</v>
      </c>
      <c r="P54" s="4">
        <f t="shared" si="72"/>
        <v>0</v>
      </c>
      <c r="Q54" s="4">
        <f t="shared" si="72"/>
        <v>0</v>
      </c>
      <c r="R54" s="4">
        <f t="shared" si="72"/>
        <v>0</v>
      </c>
      <c r="S54" s="4">
        <f t="shared" si="72"/>
        <v>0</v>
      </c>
      <c r="T54" s="4">
        <f t="shared" si="72"/>
        <v>0</v>
      </c>
      <c r="U54" s="4">
        <f t="shared" si="72"/>
        <v>0</v>
      </c>
      <c r="V54" s="4">
        <f t="shared" si="72"/>
        <v>0</v>
      </c>
      <c r="W54" s="4">
        <f t="shared" si="72"/>
        <v>0</v>
      </c>
      <c r="X54" s="4">
        <f t="shared" si="72"/>
        <v>0</v>
      </c>
      <c r="Y54" s="4">
        <f t="shared" si="72"/>
        <v>0</v>
      </c>
      <c r="Z54" s="4">
        <f t="shared" si="72"/>
        <v>0</v>
      </c>
      <c r="AA54" s="4">
        <f t="shared" si="72"/>
        <v>0</v>
      </c>
      <c r="AB54" s="4">
        <f t="shared" si="72"/>
        <v>0</v>
      </c>
      <c r="AC54" s="4">
        <f t="shared" si="72"/>
        <v>0</v>
      </c>
      <c r="AD54" s="4">
        <f t="shared" si="72"/>
        <v>0</v>
      </c>
      <c r="AE54" s="4">
        <f t="shared" si="72"/>
        <v>0</v>
      </c>
      <c r="AF54" s="4">
        <f t="shared" si="72"/>
        <v>0</v>
      </c>
      <c r="AG54" s="4">
        <f t="shared" si="72"/>
        <v>0</v>
      </c>
      <c r="AH54" s="4">
        <f t="shared" si="72"/>
        <v>0</v>
      </c>
      <c r="AI54" s="4">
        <f t="shared" si="72"/>
        <v>0</v>
      </c>
      <c r="AJ54" s="4">
        <f t="shared" si="72"/>
        <v>0</v>
      </c>
      <c r="AK54" s="4">
        <f t="shared" si="72"/>
        <v>0</v>
      </c>
      <c r="AL54" s="4">
        <f t="shared" si="72"/>
        <v>0</v>
      </c>
      <c r="AM54" s="4">
        <f t="shared" si="72"/>
        <v>0</v>
      </c>
    </row>
    <row r="55" spans="1:39" x14ac:dyDescent="0.25">
      <c r="A55" s="4" t="s">
        <v>531</v>
      </c>
      <c r="B55" s="4" t="s">
        <v>534</v>
      </c>
      <c r="C55" s="79"/>
      <c r="D55" s="79"/>
      <c r="F55" s="4">
        <f>('Min. of Petr. &amp; NG'!D199)*('Start Year Fuel Use Adjustments'!C55)</f>
        <v>0</v>
      </c>
      <c r="G55" s="4">
        <f t="shared" si="73"/>
        <v>0</v>
      </c>
      <c r="H55" s="4">
        <f t="shared" si="72"/>
        <v>0</v>
      </c>
      <c r="I55" s="4">
        <f t="shared" si="72"/>
        <v>0</v>
      </c>
      <c r="J55" s="4">
        <f t="shared" si="72"/>
        <v>0</v>
      </c>
      <c r="K55" s="4">
        <f t="shared" si="72"/>
        <v>0</v>
      </c>
      <c r="L55" s="4">
        <f t="shared" si="72"/>
        <v>0</v>
      </c>
      <c r="M55" s="4">
        <f t="shared" si="72"/>
        <v>0</v>
      </c>
      <c r="N55" s="4">
        <f t="shared" si="72"/>
        <v>0</v>
      </c>
      <c r="O55" s="4">
        <f t="shared" si="72"/>
        <v>0</v>
      </c>
      <c r="P55" s="4">
        <f t="shared" si="72"/>
        <v>0</v>
      </c>
      <c r="Q55" s="4">
        <f t="shared" si="72"/>
        <v>0</v>
      </c>
      <c r="R55" s="4">
        <f t="shared" si="72"/>
        <v>0</v>
      </c>
      <c r="S55" s="4">
        <f t="shared" si="72"/>
        <v>0</v>
      </c>
      <c r="T55" s="4">
        <f t="shared" si="72"/>
        <v>0</v>
      </c>
      <c r="U55" s="4">
        <f t="shared" si="72"/>
        <v>0</v>
      </c>
      <c r="V55" s="4">
        <f t="shared" si="72"/>
        <v>0</v>
      </c>
      <c r="W55" s="4">
        <f t="shared" si="72"/>
        <v>0</v>
      </c>
      <c r="X55" s="4">
        <f t="shared" si="72"/>
        <v>0</v>
      </c>
      <c r="Y55" s="4">
        <f t="shared" si="72"/>
        <v>0</v>
      </c>
      <c r="Z55" s="4">
        <f t="shared" si="72"/>
        <v>0</v>
      </c>
      <c r="AA55" s="4">
        <f t="shared" si="72"/>
        <v>0</v>
      </c>
      <c r="AB55" s="4">
        <f t="shared" si="72"/>
        <v>0</v>
      </c>
      <c r="AC55" s="4">
        <f t="shared" si="72"/>
        <v>0</v>
      </c>
      <c r="AD55" s="4">
        <f t="shared" si="72"/>
        <v>0</v>
      </c>
      <c r="AE55" s="4">
        <f t="shared" si="72"/>
        <v>0</v>
      </c>
      <c r="AF55" s="4">
        <f t="shared" si="72"/>
        <v>0</v>
      </c>
      <c r="AG55" s="4">
        <f t="shared" si="72"/>
        <v>0</v>
      </c>
      <c r="AH55" s="4">
        <f t="shared" si="72"/>
        <v>0</v>
      </c>
      <c r="AI55" s="4">
        <f t="shared" si="72"/>
        <v>0</v>
      </c>
      <c r="AJ55" s="4">
        <f t="shared" si="72"/>
        <v>0</v>
      </c>
      <c r="AK55" s="4">
        <f t="shared" si="72"/>
        <v>0</v>
      </c>
      <c r="AL55" s="4">
        <f t="shared" si="72"/>
        <v>0</v>
      </c>
      <c r="AM55" s="4">
        <f t="shared" si="72"/>
        <v>0</v>
      </c>
    </row>
    <row r="56" spans="1:39" x14ac:dyDescent="0.25">
      <c r="A56" s="4" t="s">
        <v>11</v>
      </c>
      <c r="B56" s="4" t="s">
        <v>534</v>
      </c>
      <c r="C56" s="79"/>
      <c r="D56" s="79"/>
      <c r="F56" s="4">
        <f>('Min. of Petr. &amp; NG'!D200)*('Start Year Fuel Use Adjustments'!C56)</f>
        <v>0</v>
      </c>
      <c r="G56" s="4">
        <f t="shared" si="73"/>
        <v>0</v>
      </c>
      <c r="H56" s="4">
        <f t="shared" si="72"/>
        <v>0</v>
      </c>
      <c r="I56" s="4">
        <f t="shared" si="72"/>
        <v>0</v>
      </c>
      <c r="J56" s="4">
        <f t="shared" si="72"/>
        <v>0</v>
      </c>
      <c r="K56" s="4">
        <f t="shared" si="72"/>
        <v>0</v>
      </c>
      <c r="L56" s="4">
        <f t="shared" si="72"/>
        <v>0</v>
      </c>
      <c r="M56" s="4">
        <f t="shared" si="72"/>
        <v>0</v>
      </c>
      <c r="N56" s="4">
        <f t="shared" si="72"/>
        <v>0</v>
      </c>
      <c r="O56" s="4">
        <f t="shared" si="72"/>
        <v>0</v>
      </c>
      <c r="P56" s="4">
        <f t="shared" si="72"/>
        <v>0</v>
      </c>
      <c r="Q56" s="4">
        <f t="shared" si="72"/>
        <v>0</v>
      </c>
      <c r="R56" s="4">
        <f t="shared" si="72"/>
        <v>0</v>
      </c>
      <c r="S56" s="4">
        <f t="shared" si="72"/>
        <v>0</v>
      </c>
      <c r="T56" s="4">
        <f t="shared" si="72"/>
        <v>0</v>
      </c>
      <c r="U56" s="4">
        <f t="shared" si="72"/>
        <v>0</v>
      </c>
      <c r="V56" s="4">
        <f t="shared" si="72"/>
        <v>0</v>
      </c>
      <c r="W56" s="4">
        <f t="shared" si="72"/>
        <v>0</v>
      </c>
      <c r="X56" s="4">
        <f t="shared" si="72"/>
        <v>0</v>
      </c>
      <c r="Y56" s="4">
        <f t="shared" si="72"/>
        <v>0</v>
      </c>
      <c r="Z56" s="4">
        <f t="shared" si="72"/>
        <v>0</v>
      </c>
      <c r="AA56" s="4">
        <f t="shared" si="72"/>
        <v>0</v>
      </c>
      <c r="AB56" s="4">
        <f t="shared" si="72"/>
        <v>0</v>
      </c>
      <c r="AC56" s="4">
        <f t="shared" si="72"/>
        <v>0</v>
      </c>
      <c r="AD56" s="4">
        <f t="shared" si="72"/>
        <v>0</v>
      </c>
      <c r="AE56" s="4">
        <f t="shared" si="72"/>
        <v>0</v>
      </c>
      <c r="AF56" s="4">
        <f t="shared" si="72"/>
        <v>0</v>
      </c>
      <c r="AG56" s="4">
        <f t="shared" si="72"/>
        <v>0</v>
      </c>
      <c r="AH56" s="4">
        <f t="shared" si="72"/>
        <v>0</v>
      </c>
      <c r="AI56" s="4">
        <f t="shared" si="72"/>
        <v>0</v>
      </c>
      <c r="AJ56" s="4">
        <f t="shared" si="72"/>
        <v>0</v>
      </c>
      <c r="AK56" s="4">
        <f t="shared" si="72"/>
        <v>0</v>
      </c>
      <c r="AL56" s="4">
        <f t="shared" si="72"/>
        <v>0</v>
      </c>
      <c r="AM56" s="4">
        <f t="shared" si="72"/>
        <v>0</v>
      </c>
    </row>
    <row r="57" spans="1:39" x14ac:dyDescent="0.25">
      <c r="A57" s="4" t="s">
        <v>532</v>
      </c>
      <c r="B57" s="4" t="s">
        <v>534</v>
      </c>
      <c r="C57" s="79"/>
      <c r="D57" s="79"/>
      <c r="F57" s="4">
        <f>('Min. of Petr. &amp; NG'!D201)*('Start Year Fuel Use Adjustments'!C57)</f>
        <v>0</v>
      </c>
      <c r="G57" s="4">
        <f t="shared" si="73"/>
        <v>0</v>
      </c>
      <c r="H57" s="4">
        <f t="shared" si="72"/>
        <v>0</v>
      </c>
      <c r="I57" s="4">
        <f t="shared" si="72"/>
        <v>0</v>
      </c>
      <c r="J57" s="4">
        <f t="shared" si="72"/>
        <v>0</v>
      </c>
      <c r="K57" s="4">
        <f t="shared" si="72"/>
        <v>0</v>
      </c>
      <c r="L57" s="4">
        <f t="shared" si="72"/>
        <v>0</v>
      </c>
      <c r="M57" s="4">
        <f t="shared" si="72"/>
        <v>0</v>
      </c>
      <c r="N57" s="4">
        <f t="shared" si="72"/>
        <v>0</v>
      </c>
      <c r="O57" s="4">
        <f t="shared" si="72"/>
        <v>0</v>
      </c>
      <c r="P57" s="4">
        <f t="shared" si="72"/>
        <v>0</v>
      </c>
      <c r="Q57" s="4">
        <f t="shared" si="72"/>
        <v>0</v>
      </c>
      <c r="R57" s="4">
        <f t="shared" si="72"/>
        <v>0</v>
      </c>
      <c r="S57" s="4">
        <f t="shared" si="72"/>
        <v>0</v>
      </c>
      <c r="T57" s="4">
        <f t="shared" si="72"/>
        <v>0</v>
      </c>
      <c r="U57" s="4">
        <f t="shared" si="72"/>
        <v>0</v>
      </c>
      <c r="V57" s="4">
        <f t="shared" si="72"/>
        <v>0</v>
      </c>
      <c r="W57" s="4">
        <f t="shared" si="72"/>
        <v>0</v>
      </c>
      <c r="X57" s="4">
        <f t="shared" si="72"/>
        <v>0</v>
      </c>
      <c r="Y57" s="4">
        <f t="shared" si="72"/>
        <v>0</v>
      </c>
      <c r="Z57" s="4">
        <f t="shared" si="72"/>
        <v>0</v>
      </c>
      <c r="AA57" s="4">
        <f t="shared" si="72"/>
        <v>0</v>
      </c>
      <c r="AB57" s="4">
        <f t="shared" si="72"/>
        <v>0</v>
      </c>
      <c r="AC57" s="4">
        <f t="shared" si="72"/>
        <v>0</v>
      </c>
      <c r="AD57" s="4">
        <f t="shared" si="72"/>
        <v>0</v>
      </c>
      <c r="AE57" s="4">
        <f t="shared" si="72"/>
        <v>0</v>
      </c>
      <c r="AF57" s="4">
        <f t="shared" si="72"/>
        <v>0</v>
      </c>
      <c r="AG57" s="4">
        <f t="shared" si="72"/>
        <v>0</v>
      </c>
      <c r="AH57" s="4">
        <f t="shared" si="72"/>
        <v>0</v>
      </c>
      <c r="AI57" s="4">
        <f t="shared" si="72"/>
        <v>0</v>
      </c>
      <c r="AJ57" s="4">
        <f t="shared" si="72"/>
        <v>0</v>
      </c>
      <c r="AK57" s="4">
        <f t="shared" si="72"/>
        <v>0</v>
      </c>
      <c r="AL57" s="4">
        <f t="shared" si="72"/>
        <v>0</v>
      </c>
      <c r="AM57" s="4">
        <f t="shared" si="72"/>
        <v>0</v>
      </c>
    </row>
    <row r="58" spans="1:39" x14ac:dyDescent="0.25">
      <c r="A58" s="4" t="s">
        <v>528</v>
      </c>
      <c r="B58" t="s">
        <v>535</v>
      </c>
      <c r="C58" s="79"/>
      <c r="D58" s="79"/>
      <c r="F58" s="116"/>
      <c r="G58" s="116">
        <f ca="1">'Min. of Petr. &amp; NG'!E194</f>
        <v>0</v>
      </c>
      <c r="H58" s="116">
        <f ca="1">$G58*('Future Year Scaling'!J238/'Future Year Scaling'!$I238)</f>
        <v>0</v>
      </c>
      <c r="I58" s="116">
        <f ca="1">$G58*('Future Year Scaling'!K238/'Future Year Scaling'!$I238)</f>
        <v>0</v>
      </c>
      <c r="J58" s="116">
        <f ca="1">$G58*('Future Year Scaling'!L238/'Future Year Scaling'!$I238)</f>
        <v>0</v>
      </c>
      <c r="K58" s="116">
        <f ca="1">$G58*('Future Year Scaling'!M238/'Future Year Scaling'!$I238)</f>
        <v>0</v>
      </c>
      <c r="L58" s="116">
        <f ca="1">$G58*('Future Year Scaling'!N238/'Future Year Scaling'!$I238)</f>
        <v>0</v>
      </c>
      <c r="M58" s="116">
        <f ca="1">$G58*('Future Year Scaling'!O238/'Future Year Scaling'!$I238)</f>
        <v>0</v>
      </c>
      <c r="N58" s="116">
        <f ca="1">$G58*('Future Year Scaling'!P238/'Future Year Scaling'!$I238)</f>
        <v>0</v>
      </c>
      <c r="O58" s="116">
        <f ca="1">$G58*('Future Year Scaling'!Q238/'Future Year Scaling'!$I238)</f>
        <v>0</v>
      </c>
      <c r="P58" s="116">
        <f ca="1">$G58*('Future Year Scaling'!R238/'Future Year Scaling'!$I238)</f>
        <v>0</v>
      </c>
      <c r="Q58" s="116">
        <f ca="1">$G58*('Future Year Scaling'!S238/'Future Year Scaling'!$I238)</f>
        <v>0</v>
      </c>
      <c r="R58" s="116">
        <f ca="1">$G58*('Future Year Scaling'!T238/'Future Year Scaling'!$I238)</f>
        <v>0</v>
      </c>
      <c r="S58" s="116">
        <f ca="1">$G58*('Future Year Scaling'!U238/'Future Year Scaling'!$I238)</f>
        <v>0</v>
      </c>
      <c r="T58" s="116">
        <f ca="1">$G58*('Future Year Scaling'!V238/'Future Year Scaling'!$I238)</f>
        <v>0</v>
      </c>
      <c r="U58" s="116">
        <f ca="1">$G58*('Future Year Scaling'!W238/'Future Year Scaling'!$I238)</f>
        <v>0</v>
      </c>
      <c r="V58" s="116">
        <f ca="1">$G58*('Future Year Scaling'!X238/'Future Year Scaling'!$I238)</f>
        <v>0</v>
      </c>
      <c r="W58" s="116">
        <f ca="1">$G58*('Future Year Scaling'!Y238/'Future Year Scaling'!$I238)</f>
        <v>0</v>
      </c>
      <c r="X58" s="116">
        <f ca="1">$G58*('Future Year Scaling'!Z238/'Future Year Scaling'!$I238)</f>
        <v>0</v>
      </c>
      <c r="Y58" s="116">
        <f ca="1">$G58*('Future Year Scaling'!AA238/'Future Year Scaling'!$I238)</f>
        <v>0</v>
      </c>
      <c r="Z58" s="116">
        <f ca="1">$G58*('Future Year Scaling'!AB238/'Future Year Scaling'!$I238)</f>
        <v>0</v>
      </c>
      <c r="AA58" s="116">
        <f ca="1">$G58*('Future Year Scaling'!AC238/'Future Year Scaling'!$I238)</f>
        <v>0</v>
      </c>
      <c r="AB58" s="116">
        <f ca="1">$G58*('Future Year Scaling'!AD238/'Future Year Scaling'!$I238)</f>
        <v>0</v>
      </c>
      <c r="AC58" s="116">
        <f ca="1">$G58*('Future Year Scaling'!AE238/'Future Year Scaling'!$I238)</f>
        <v>0</v>
      </c>
      <c r="AD58" s="116">
        <f ca="1">$G58*('Future Year Scaling'!AF238/'Future Year Scaling'!$I238)</f>
        <v>0</v>
      </c>
      <c r="AE58" s="116">
        <f ca="1">$G58*('Future Year Scaling'!AG238/'Future Year Scaling'!$I238)</f>
        <v>0</v>
      </c>
      <c r="AF58" s="116">
        <f ca="1">$G58*('Future Year Scaling'!AH238/'Future Year Scaling'!$I238)</f>
        <v>0</v>
      </c>
      <c r="AG58" s="116">
        <f ca="1">$G58*('Future Year Scaling'!AI238/'Future Year Scaling'!$I238)</f>
        <v>0</v>
      </c>
      <c r="AH58" s="116">
        <f ca="1">$G58*('Future Year Scaling'!AJ238/'Future Year Scaling'!$I238)</f>
        <v>0</v>
      </c>
      <c r="AI58" s="116">
        <f ca="1">$G58*('Future Year Scaling'!AK238/'Future Year Scaling'!$I238)</f>
        <v>0</v>
      </c>
      <c r="AJ58" s="116">
        <f ca="1">$G58*('Future Year Scaling'!AL238/'Future Year Scaling'!$I238)</f>
        <v>0</v>
      </c>
      <c r="AK58" s="116">
        <f ca="1">$G58*('Future Year Scaling'!AM238/'Future Year Scaling'!$I238)</f>
        <v>0</v>
      </c>
      <c r="AL58" s="116">
        <f ca="1">$G58*('Future Year Scaling'!AN238/'Future Year Scaling'!$I238)</f>
        <v>0</v>
      </c>
      <c r="AM58" s="116">
        <f ca="1">$G58*('Future Year Scaling'!AO238/'Future Year Scaling'!$I238)</f>
        <v>0</v>
      </c>
    </row>
    <row r="59" spans="1:39" x14ac:dyDescent="0.25">
      <c r="A59" s="4" t="s">
        <v>529</v>
      </c>
      <c r="B59" s="4" t="s">
        <v>535</v>
      </c>
      <c r="C59" s="79"/>
      <c r="D59" s="79"/>
      <c r="F59" s="116"/>
      <c r="G59" s="116">
        <f ca="1">'Min. of Petr. &amp; NG'!E195</f>
        <v>0</v>
      </c>
      <c r="H59" s="116">
        <f ca="1">$G59*('Future Year Scaling'!J239/'Future Year Scaling'!$I239)</f>
        <v>0</v>
      </c>
      <c r="I59" s="116">
        <f ca="1">$G59*('Future Year Scaling'!K239/'Future Year Scaling'!$I239)</f>
        <v>0</v>
      </c>
      <c r="J59" s="116">
        <f ca="1">$G59*('Future Year Scaling'!L239/'Future Year Scaling'!$I239)</f>
        <v>0</v>
      </c>
      <c r="K59" s="116">
        <f ca="1">$G59*('Future Year Scaling'!M239/'Future Year Scaling'!$I239)</f>
        <v>0</v>
      </c>
      <c r="L59" s="116">
        <f ca="1">$G59*('Future Year Scaling'!N239/'Future Year Scaling'!$I239)</f>
        <v>0</v>
      </c>
      <c r="M59" s="116">
        <f ca="1">$G59*('Future Year Scaling'!O239/'Future Year Scaling'!$I239)</f>
        <v>0</v>
      </c>
      <c r="N59" s="116">
        <f ca="1">$G59*('Future Year Scaling'!P239/'Future Year Scaling'!$I239)</f>
        <v>0</v>
      </c>
      <c r="O59" s="116">
        <f ca="1">$G59*('Future Year Scaling'!Q239/'Future Year Scaling'!$I239)</f>
        <v>0</v>
      </c>
      <c r="P59" s="116">
        <f ca="1">$G59*('Future Year Scaling'!R239/'Future Year Scaling'!$I239)</f>
        <v>0</v>
      </c>
      <c r="Q59" s="116">
        <f ca="1">$G59*('Future Year Scaling'!S239/'Future Year Scaling'!$I239)</f>
        <v>0</v>
      </c>
      <c r="R59" s="116">
        <f ca="1">$G59*('Future Year Scaling'!T239/'Future Year Scaling'!$I239)</f>
        <v>0</v>
      </c>
      <c r="S59" s="116">
        <f ca="1">$G59*('Future Year Scaling'!U239/'Future Year Scaling'!$I239)</f>
        <v>0</v>
      </c>
      <c r="T59" s="116">
        <f ca="1">$G59*('Future Year Scaling'!V239/'Future Year Scaling'!$I239)</f>
        <v>0</v>
      </c>
      <c r="U59" s="116">
        <f ca="1">$G59*('Future Year Scaling'!W239/'Future Year Scaling'!$I239)</f>
        <v>0</v>
      </c>
      <c r="V59" s="116">
        <f ca="1">$G59*('Future Year Scaling'!X239/'Future Year Scaling'!$I239)</f>
        <v>0</v>
      </c>
      <c r="W59" s="116">
        <f ca="1">$G59*('Future Year Scaling'!Y239/'Future Year Scaling'!$I239)</f>
        <v>0</v>
      </c>
      <c r="X59" s="116">
        <f ca="1">$G59*('Future Year Scaling'!Z239/'Future Year Scaling'!$I239)</f>
        <v>0</v>
      </c>
      <c r="Y59" s="116">
        <f ca="1">$G59*('Future Year Scaling'!AA239/'Future Year Scaling'!$I239)</f>
        <v>0</v>
      </c>
      <c r="Z59" s="116">
        <f ca="1">$G59*('Future Year Scaling'!AB239/'Future Year Scaling'!$I239)</f>
        <v>0</v>
      </c>
      <c r="AA59" s="116">
        <f ca="1">$G59*('Future Year Scaling'!AC239/'Future Year Scaling'!$I239)</f>
        <v>0</v>
      </c>
      <c r="AB59" s="116">
        <f ca="1">$G59*('Future Year Scaling'!AD239/'Future Year Scaling'!$I239)</f>
        <v>0</v>
      </c>
      <c r="AC59" s="116">
        <f ca="1">$G59*('Future Year Scaling'!AE239/'Future Year Scaling'!$I239)</f>
        <v>0</v>
      </c>
      <c r="AD59" s="116">
        <f ca="1">$G59*('Future Year Scaling'!AF239/'Future Year Scaling'!$I239)</f>
        <v>0</v>
      </c>
      <c r="AE59" s="116">
        <f ca="1">$G59*('Future Year Scaling'!AG239/'Future Year Scaling'!$I239)</f>
        <v>0</v>
      </c>
      <c r="AF59" s="116">
        <f ca="1">$G59*('Future Year Scaling'!AH239/'Future Year Scaling'!$I239)</f>
        <v>0</v>
      </c>
      <c r="AG59" s="116">
        <f ca="1">$G59*('Future Year Scaling'!AI239/'Future Year Scaling'!$I239)</f>
        <v>0</v>
      </c>
      <c r="AH59" s="116">
        <f ca="1">$G59*('Future Year Scaling'!AJ239/'Future Year Scaling'!$I239)</f>
        <v>0</v>
      </c>
      <c r="AI59" s="116">
        <f ca="1">$G59*('Future Year Scaling'!AK239/'Future Year Scaling'!$I239)</f>
        <v>0</v>
      </c>
      <c r="AJ59" s="116">
        <f ca="1">$G59*('Future Year Scaling'!AL239/'Future Year Scaling'!$I239)</f>
        <v>0</v>
      </c>
      <c r="AK59" s="116">
        <f ca="1">$G59*('Future Year Scaling'!AM239/'Future Year Scaling'!$I239)</f>
        <v>0</v>
      </c>
      <c r="AL59" s="116">
        <f ca="1">$G59*('Future Year Scaling'!AN239/'Future Year Scaling'!$I239)</f>
        <v>0</v>
      </c>
      <c r="AM59" s="116">
        <f ca="1">$G59*('Future Year Scaling'!AO239/'Future Year Scaling'!$I239)</f>
        <v>0</v>
      </c>
    </row>
    <row r="60" spans="1:39" x14ac:dyDescent="0.25">
      <c r="A60" s="4" t="s">
        <v>27</v>
      </c>
      <c r="B60" s="4" t="s">
        <v>535</v>
      </c>
      <c r="C60" s="79"/>
      <c r="D60" s="79"/>
      <c r="F60" s="116"/>
      <c r="G60" s="116">
        <f>'Min. of Petr. &amp; NG'!E196</f>
        <v>0</v>
      </c>
      <c r="H60" s="116">
        <f>$G60*('Future Year Scaling'!J240/'Future Year Scaling'!$I240)</f>
        <v>0</v>
      </c>
      <c r="I60" s="116">
        <f>$G60*('Future Year Scaling'!K240/'Future Year Scaling'!$I240)</f>
        <v>0</v>
      </c>
      <c r="J60" s="116">
        <f>$G60*('Future Year Scaling'!L240/'Future Year Scaling'!$I240)</f>
        <v>0</v>
      </c>
      <c r="K60" s="116">
        <f>$G60*('Future Year Scaling'!M240/'Future Year Scaling'!$I240)</f>
        <v>0</v>
      </c>
      <c r="L60" s="116">
        <f>$G60*('Future Year Scaling'!N240/'Future Year Scaling'!$I240)</f>
        <v>0</v>
      </c>
      <c r="M60" s="116">
        <f>$G60*('Future Year Scaling'!O240/'Future Year Scaling'!$I240)</f>
        <v>0</v>
      </c>
      <c r="N60" s="116">
        <f>$G60*('Future Year Scaling'!P240/'Future Year Scaling'!$I240)</f>
        <v>0</v>
      </c>
      <c r="O60" s="116">
        <f>$G60*('Future Year Scaling'!Q240/'Future Year Scaling'!$I240)</f>
        <v>0</v>
      </c>
      <c r="P60" s="116">
        <f>$G60*('Future Year Scaling'!R240/'Future Year Scaling'!$I240)</f>
        <v>0</v>
      </c>
      <c r="Q60" s="116">
        <f>$G60*('Future Year Scaling'!S240/'Future Year Scaling'!$I240)</f>
        <v>0</v>
      </c>
      <c r="R60" s="116">
        <f>$G60*('Future Year Scaling'!T240/'Future Year Scaling'!$I240)</f>
        <v>0</v>
      </c>
      <c r="S60" s="116">
        <f>$G60*('Future Year Scaling'!U240/'Future Year Scaling'!$I240)</f>
        <v>0</v>
      </c>
      <c r="T60" s="116">
        <f>$G60*('Future Year Scaling'!V240/'Future Year Scaling'!$I240)</f>
        <v>0</v>
      </c>
      <c r="U60" s="116">
        <f>$G60*('Future Year Scaling'!W240/'Future Year Scaling'!$I240)</f>
        <v>0</v>
      </c>
      <c r="V60" s="116">
        <f>$G60*('Future Year Scaling'!X240/'Future Year Scaling'!$I240)</f>
        <v>0</v>
      </c>
      <c r="W60" s="116">
        <f>$G60*('Future Year Scaling'!Y240/'Future Year Scaling'!$I240)</f>
        <v>0</v>
      </c>
      <c r="X60" s="116">
        <f>$G60*('Future Year Scaling'!Z240/'Future Year Scaling'!$I240)</f>
        <v>0</v>
      </c>
      <c r="Y60" s="116">
        <f>$G60*('Future Year Scaling'!AA240/'Future Year Scaling'!$I240)</f>
        <v>0</v>
      </c>
      <c r="Z60" s="116">
        <f>$G60*('Future Year Scaling'!AB240/'Future Year Scaling'!$I240)</f>
        <v>0</v>
      </c>
      <c r="AA60" s="116">
        <f>$G60*('Future Year Scaling'!AC240/'Future Year Scaling'!$I240)</f>
        <v>0</v>
      </c>
      <c r="AB60" s="116">
        <f>$G60*('Future Year Scaling'!AD240/'Future Year Scaling'!$I240)</f>
        <v>0</v>
      </c>
      <c r="AC60" s="116">
        <f>$G60*('Future Year Scaling'!AE240/'Future Year Scaling'!$I240)</f>
        <v>0</v>
      </c>
      <c r="AD60" s="116">
        <f>$G60*('Future Year Scaling'!AF240/'Future Year Scaling'!$I240)</f>
        <v>0</v>
      </c>
      <c r="AE60" s="116">
        <f>$G60*('Future Year Scaling'!AG240/'Future Year Scaling'!$I240)</f>
        <v>0</v>
      </c>
      <c r="AF60" s="116">
        <f>$G60*('Future Year Scaling'!AH240/'Future Year Scaling'!$I240)</f>
        <v>0</v>
      </c>
      <c r="AG60" s="116">
        <f>$G60*('Future Year Scaling'!AI240/'Future Year Scaling'!$I240)</f>
        <v>0</v>
      </c>
      <c r="AH60" s="116">
        <f>$G60*('Future Year Scaling'!AJ240/'Future Year Scaling'!$I240)</f>
        <v>0</v>
      </c>
      <c r="AI60" s="116">
        <f>$G60*('Future Year Scaling'!AK240/'Future Year Scaling'!$I240)</f>
        <v>0</v>
      </c>
      <c r="AJ60" s="116">
        <f>$G60*('Future Year Scaling'!AL240/'Future Year Scaling'!$I240)</f>
        <v>0</v>
      </c>
      <c r="AK60" s="116">
        <f>$G60*('Future Year Scaling'!AM240/'Future Year Scaling'!$I240)</f>
        <v>0</v>
      </c>
      <c r="AL60" s="116">
        <f>$G60*('Future Year Scaling'!AN240/'Future Year Scaling'!$I240)</f>
        <v>0</v>
      </c>
      <c r="AM60" s="116">
        <f>$G60*('Future Year Scaling'!AO240/'Future Year Scaling'!$I240)</f>
        <v>0</v>
      </c>
    </row>
    <row r="61" spans="1:39" x14ac:dyDescent="0.25">
      <c r="A61" s="4" t="s">
        <v>6</v>
      </c>
      <c r="B61" s="4" t="s">
        <v>535</v>
      </c>
      <c r="C61" s="79"/>
      <c r="D61" s="79"/>
      <c r="F61" s="116"/>
      <c r="G61" s="116">
        <f ca="1">'Min. of Petr. &amp; NG'!E197</f>
        <v>1983271456158.7202</v>
      </c>
      <c r="H61" s="116">
        <f ca="1">$G61*('Future Year Scaling'!J241/'Future Year Scaling'!$I241)</f>
        <v>2001538243676.2861</v>
      </c>
      <c r="I61" s="116">
        <f ca="1">$G61*('Future Year Scaling'!K241/'Future Year Scaling'!$I241)</f>
        <v>2019805031193.8518</v>
      </c>
      <c r="J61" s="116">
        <f ca="1">$G61*('Future Year Scaling'!L241/'Future Year Scaling'!$I241)</f>
        <v>2038071818711.4177</v>
      </c>
      <c r="K61" s="116">
        <f ca="1">$G61*('Future Year Scaling'!M241/'Future Year Scaling'!$I241)</f>
        <v>2056338606228.9836</v>
      </c>
      <c r="L61" s="116">
        <f ca="1">$G61*('Future Year Scaling'!N241/'Future Year Scaling'!$I241)</f>
        <v>2070030801146.2031</v>
      </c>
      <c r="M61" s="116">
        <f ca="1">$G61*('Future Year Scaling'!O241/'Future Year Scaling'!$I241)</f>
        <v>2083722996063.4224</v>
      </c>
      <c r="N61" s="116">
        <f ca="1">$G61*('Future Year Scaling'!P241/'Future Year Scaling'!$I241)</f>
        <v>2097415190980.6423</v>
      </c>
      <c r="O61" s="116">
        <f ca="1">$G61*('Future Year Scaling'!Q241/'Future Year Scaling'!$I241)</f>
        <v>2111107385897.8618</v>
      </c>
      <c r="P61" s="116">
        <f ca="1">$G61*('Future Year Scaling'!R241/'Future Year Scaling'!$I241)</f>
        <v>2124799580815.0808</v>
      </c>
      <c r="Q61" s="116">
        <f ca="1">$G61*('Future Year Scaling'!S241/'Future Year Scaling'!$I241)</f>
        <v>2130885532499.4788</v>
      </c>
      <c r="R61" s="116">
        <f ca="1">$G61*('Future Year Scaling'!T241/'Future Year Scaling'!$I241)</f>
        <v>2136971484183.8762</v>
      </c>
      <c r="S61" s="116">
        <f ca="1">$G61*('Future Year Scaling'!U241/'Future Year Scaling'!$I241)</f>
        <v>2143057435868.2742</v>
      </c>
      <c r="T61" s="116">
        <f ca="1">$G61*('Future Year Scaling'!V241/'Future Year Scaling'!$I241)</f>
        <v>2149143387552.6721</v>
      </c>
      <c r="U61" s="116">
        <f ca="1">$G61*('Future Year Scaling'!W241/'Future Year Scaling'!$I241)</f>
        <v>2155229339237.0696</v>
      </c>
      <c r="V61" s="116">
        <f ca="1">$G61*('Future Year Scaling'!X241/'Future Year Scaling'!$I241)</f>
        <v>2158472538434.9514</v>
      </c>
      <c r="W61" s="116">
        <f ca="1">$G61*('Future Year Scaling'!Y241/'Future Year Scaling'!$I241)</f>
        <v>2161715737632.834</v>
      </c>
      <c r="X61" s="116">
        <f ca="1">$G61*('Future Year Scaling'!Z241/'Future Year Scaling'!$I241)</f>
        <v>2164958936830.7158</v>
      </c>
      <c r="Y61" s="116">
        <f ca="1">$G61*('Future Year Scaling'!AA241/'Future Year Scaling'!$I241)</f>
        <v>2168202136028.5984</v>
      </c>
      <c r="Z61" s="116">
        <f ca="1">$G61*('Future Year Scaling'!AB241/'Future Year Scaling'!$I241)</f>
        <v>2171445335226.4802</v>
      </c>
      <c r="AA61" s="116">
        <f ca="1">$G61*('Future Year Scaling'!AC241/'Future Year Scaling'!$I241)</f>
        <v>2171670944407.8699</v>
      </c>
      <c r="AB61" s="116">
        <f ca="1">$G61*('Future Year Scaling'!AD241/'Future Year Scaling'!$I241)</f>
        <v>2171896553589.2595</v>
      </c>
      <c r="AC61" s="116">
        <f ca="1">$G61*('Future Year Scaling'!AE241/'Future Year Scaling'!$I241)</f>
        <v>2172122162770.6489</v>
      </c>
      <c r="AD61" s="116">
        <f ca="1">$G61*('Future Year Scaling'!AF241/'Future Year Scaling'!$I241)</f>
        <v>2172347771952.0386</v>
      </c>
      <c r="AE61" s="116">
        <f ca="1">$G61*('Future Year Scaling'!AG241/'Future Year Scaling'!$I241)</f>
        <v>2172573381133.4277</v>
      </c>
      <c r="AF61" s="116">
        <f ca="1">$G61*('Future Year Scaling'!AH241/'Future Year Scaling'!$I241)</f>
        <v>2167254909688.8179</v>
      </c>
      <c r="AG61" s="116">
        <f ca="1">$G61*('Future Year Scaling'!AI241/'Future Year Scaling'!$I241)</f>
        <v>2161936438244.207</v>
      </c>
      <c r="AH61" s="116">
        <f ca="1">$G61*('Future Year Scaling'!AJ241/'Future Year Scaling'!$I241)</f>
        <v>2156617966799.5964</v>
      </c>
      <c r="AI61" s="116">
        <f ca="1">$G61*('Future Year Scaling'!AK241/'Future Year Scaling'!$I241)</f>
        <v>2151299495354.9861</v>
      </c>
      <c r="AJ61" s="116">
        <f ca="1">$G61*('Future Year Scaling'!AL241/'Future Year Scaling'!$I241)</f>
        <v>2145981023910.3752</v>
      </c>
      <c r="AK61" s="116">
        <f ca="1">$G61*('Future Year Scaling'!AM241/'Future Year Scaling'!$I241)</f>
        <v>2140662552465.7649</v>
      </c>
      <c r="AL61" s="116">
        <f ca="1">$G61*('Future Year Scaling'!AN241/'Future Year Scaling'!$I241)</f>
        <v>2135344081021.1541</v>
      </c>
      <c r="AM61" s="116">
        <f ca="1">$G61*('Future Year Scaling'!AO241/'Future Year Scaling'!$I241)</f>
        <v>2130025609576.5439</v>
      </c>
    </row>
    <row r="62" spans="1:39" x14ac:dyDescent="0.25">
      <c r="A62" s="4" t="s">
        <v>530</v>
      </c>
      <c r="B62" s="4" t="s">
        <v>535</v>
      </c>
      <c r="C62" s="79"/>
      <c r="D62" s="79"/>
      <c r="F62" s="116"/>
      <c r="G62" s="116">
        <f ca="1">'Min. of Petr. &amp; NG'!E198</f>
        <v>16124842667082.242</v>
      </c>
      <c r="H62" s="116">
        <f ca="1">$G62*('Future Year Scaling'!J242/'Future Year Scaling'!$I242)</f>
        <v>16493410499472.691</v>
      </c>
      <c r="I62" s="116">
        <f ca="1">$G62*('Future Year Scaling'!K242/'Future Year Scaling'!$I242)</f>
        <v>16861978331863.143</v>
      </c>
      <c r="J62" s="116">
        <f ca="1">$G62*('Future Year Scaling'!L242/'Future Year Scaling'!$I242)</f>
        <v>17230546164253.596</v>
      </c>
      <c r="K62" s="116">
        <f ca="1">$G62*('Future Year Scaling'!M242/'Future Year Scaling'!$I242)</f>
        <v>17599113996644.043</v>
      </c>
      <c r="L62" s="116">
        <f ca="1">$G62*('Future Year Scaling'!N242/'Future Year Scaling'!$I242)</f>
        <v>17769576619124.629</v>
      </c>
      <c r="M62" s="116">
        <f ca="1">$G62*('Future Year Scaling'!O242/'Future Year Scaling'!$I242)</f>
        <v>17940039241605.211</v>
      </c>
      <c r="N62" s="116">
        <f ca="1">$G62*('Future Year Scaling'!P242/'Future Year Scaling'!$I242)</f>
        <v>18110501864085.797</v>
      </c>
      <c r="O62" s="116">
        <f ca="1">$G62*('Future Year Scaling'!Q242/'Future Year Scaling'!$I242)</f>
        <v>18280964486566.383</v>
      </c>
      <c r="P62" s="116">
        <f ca="1">$G62*('Future Year Scaling'!R242/'Future Year Scaling'!$I242)</f>
        <v>18451427109046.965</v>
      </c>
      <c r="Q62" s="116">
        <f ca="1">$G62*('Future Year Scaling'!S242/'Future Year Scaling'!$I242)</f>
        <v>18423784521617.68</v>
      </c>
      <c r="R62" s="116">
        <f ca="1">$G62*('Future Year Scaling'!T242/'Future Year Scaling'!$I242)</f>
        <v>18396141934188.398</v>
      </c>
      <c r="S62" s="116">
        <f ca="1">$G62*('Future Year Scaling'!U242/'Future Year Scaling'!$I242)</f>
        <v>18368499346759.113</v>
      </c>
      <c r="T62" s="116">
        <f ca="1">$G62*('Future Year Scaling'!V242/'Future Year Scaling'!$I242)</f>
        <v>18340856759329.828</v>
      </c>
      <c r="U62" s="116">
        <f ca="1">$G62*('Future Year Scaling'!W242/'Future Year Scaling'!$I242)</f>
        <v>18313214171900.547</v>
      </c>
      <c r="V62" s="116">
        <f ca="1">$G62*('Future Year Scaling'!X242/'Future Year Scaling'!$I242)</f>
        <v>18290178682376.141</v>
      </c>
      <c r="W62" s="116">
        <f ca="1">$G62*('Future Year Scaling'!Y242/'Future Year Scaling'!$I242)</f>
        <v>18267143192851.738</v>
      </c>
      <c r="X62" s="116">
        <f ca="1">$G62*('Future Year Scaling'!Z242/'Future Year Scaling'!$I242)</f>
        <v>18244107703327.332</v>
      </c>
      <c r="Y62" s="116">
        <f ca="1">$G62*('Future Year Scaling'!AA242/'Future Year Scaling'!$I242)</f>
        <v>18221072213802.934</v>
      </c>
      <c r="Z62" s="116">
        <f ca="1">$G62*('Future Year Scaling'!AB242/'Future Year Scaling'!$I242)</f>
        <v>18198036724278.531</v>
      </c>
      <c r="AA62" s="116">
        <f ca="1">$G62*('Future Year Scaling'!AC242/'Future Year Scaling'!$I242)</f>
        <v>17566864311309.883</v>
      </c>
      <c r="AB62" s="116">
        <f ca="1">$G62*('Future Year Scaling'!AD242/'Future Year Scaling'!$I242)</f>
        <v>16935691898341.23</v>
      </c>
      <c r="AC62" s="116">
        <f ca="1">$G62*('Future Year Scaling'!AE242/'Future Year Scaling'!$I242)</f>
        <v>16304519485372.586</v>
      </c>
      <c r="AD62" s="116">
        <f ca="1">$G62*('Future Year Scaling'!AF242/'Future Year Scaling'!$I242)</f>
        <v>15673347072403.938</v>
      </c>
      <c r="AE62" s="116">
        <f ca="1">$G62*('Future Year Scaling'!AG242/'Future Year Scaling'!$I242)</f>
        <v>15042174659435.289</v>
      </c>
      <c r="AF62" s="116">
        <f ca="1">$G62*('Future Year Scaling'!AH242/'Future Year Scaling'!$I242)</f>
        <v>14521572596183.775</v>
      </c>
      <c r="AG62" s="116">
        <f ca="1">$G62*('Future Year Scaling'!AI242/'Future Year Scaling'!$I242)</f>
        <v>14000970532932.262</v>
      </c>
      <c r="AH62" s="116">
        <f ca="1">$G62*('Future Year Scaling'!AJ242/'Future Year Scaling'!$I242)</f>
        <v>13480368469680.752</v>
      </c>
      <c r="AI62" s="116">
        <f ca="1">$G62*('Future Year Scaling'!AK242/'Future Year Scaling'!$I242)</f>
        <v>12959766406429.24</v>
      </c>
      <c r="AJ62" s="116">
        <f ca="1">$G62*('Future Year Scaling'!AL242/'Future Year Scaling'!$I242)</f>
        <v>12439164343177.727</v>
      </c>
      <c r="AK62" s="116">
        <f ca="1">$G62*('Future Year Scaling'!AM242/'Future Year Scaling'!$I242)</f>
        <v>11918562279926.213</v>
      </c>
      <c r="AL62" s="116">
        <f ca="1">$G62*('Future Year Scaling'!AN242/'Future Year Scaling'!$I242)</f>
        <v>11397960216674.701</v>
      </c>
      <c r="AM62" s="116">
        <f ca="1">$G62*('Future Year Scaling'!AO242/'Future Year Scaling'!$I242)</f>
        <v>10877358153423.188</v>
      </c>
    </row>
    <row r="63" spans="1:39" x14ac:dyDescent="0.25">
      <c r="A63" s="4" t="s">
        <v>531</v>
      </c>
      <c r="B63" s="4" t="s">
        <v>535</v>
      </c>
      <c r="C63" s="79"/>
      <c r="D63" s="79"/>
      <c r="F63" s="116"/>
      <c r="G63" s="116">
        <f ca="1">'Min. of Petr. &amp; NG'!E199</f>
        <v>0</v>
      </c>
      <c r="H63" s="116">
        <f ca="1">$G63*('Future Year Scaling'!J243/'Future Year Scaling'!$I243)</f>
        <v>0</v>
      </c>
      <c r="I63" s="116">
        <f ca="1">$G63*('Future Year Scaling'!K243/'Future Year Scaling'!$I243)</f>
        <v>0</v>
      </c>
      <c r="J63" s="116">
        <f ca="1">$G63*('Future Year Scaling'!L243/'Future Year Scaling'!$I243)</f>
        <v>0</v>
      </c>
      <c r="K63" s="116">
        <f ca="1">$G63*('Future Year Scaling'!M243/'Future Year Scaling'!$I243)</f>
        <v>0</v>
      </c>
      <c r="L63" s="116">
        <f ca="1">$G63*('Future Year Scaling'!N243/'Future Year Scaling'!$I243)</f>
        <v>0</v>
      </c>
      <c r="M63" s="116">
        <f ca="1">$G63*('Future Year Scaling'!O243/'Future Year Scaling'!$I243)</f>
        <v>0</v>
      </c>
      <c r="N63" s="116">
        <f ca="1">$G63*('Future Year Scaling'!P243/'Future Year Scaling'!$I243)</f>
        <v>0</v>
      </c>
      <c r="O63" s="116">
        <f ca="1">$G63*('Future Year Scaling'!Q243/'Future Year Scaling'!$I243)</f>
        <v>0</v>
      </c>
      <c r="P63" s="116">
        <f ca="1">$G63*('Future Year Scaling'!R243/'Future Year Scaling'!$I243)</f>
        <v>0</v>
      </c>
      <c r="Q63" s="116">
        <f ca="1">$G63*('Future Year Scaling'!S243/'Future Year Scaling'!$I243)</f>
        <v>0</v>
      </c>
      <c r="R63" s="116">
        <f ca="1">$G63*('Future Year Scaling'!T243/'Future Year Scaling'!$I243)</f>
        <v>0</v>
      </c>
      <c r="S63" s="116">
        <f ca="1">$G63*('Future Year Scaling'!U243/'Future Year Scaling'!$I243)</f>
        <v>0</v>
      </c>
      <c r="T63" s="116">
        <f ca="1">$G63*('Future Year Scaling'!V243/'Future Year Scaling'!$I243)</f>
        <v>0</v>
      </c>
      <c r="U63" s="116">
        <f ca="1">$G63*('Future Year Scaling'!W243/'Future Year Scaling'!$I243)</f>
        <v>0</v>
      </c>
      <c r="V63" s="116">
        <f ca="1">$G63*('Future Year Scaling'!X243/'Future Year Scaling'!$I243)</f>
        <v>0</v>
      </c>
      <c r="W63" s="116">
        <f ca="1">$G63*('Future Year Scaling'!Y243/'Future Year Scaling'!$I243)</f>
        <v>0</v>
      </c>
      <c r="X63" s="116">
        <f ca="1">$G63*('Future Year Scaling'!Z243/'Future Year Scaling'!$I243)</f>
        <v>0</v>
      </c>
      <c r="Y63" s="116">
        <f ca="1">$G63*('Future Year Scaling'!AA243/'Future Year Scaling'!$I243)</f>
        <v>0</v>
      </c>
      <c r="Z63" s="116">
        <f ca="1">$G63*('Future Year Scaling'!AB243/'Future Year Scaling'!$I243)</f>
        <v>0</v>
      </c>
      <c r="AA63" s="116">
        <f ca="1">$G63*('Future Year Scaling'!AC243/'Future Year Scaling'!$I243)</f>
        <v>0</v>
      </c>
      <c r="AB63" s="116">
        <f ca="1">$G63*('Future Year Scaling'!AD243/'Future Year Scaling'!$I243)</f>
        <v>0</v>
      </c>
      <c r="AC63" s="116">
        <f ca="1">$G63*('Future Year Scaling'!AE243/'Future Year Scaling'!$I243)</f>
        <v>0</v>
      </c>
      <c r="AD63" s="116">
        <f ca="1">$G63*('Future Year Scaling'!AF243/'Future Year Scaling'!$I243)</f>
        <v>0</v>
      </c>
      <c r="AE63" s="116">
        <f ca="1">$G63*('Future Year Scaling'!AG243/'Future Year Scaling'!$I243)</f>
        <v>0</v>
      </c>
      <c r="AF63" s="116">
        <f ca="1">$G63*('Future Year Scaling'!AH243/'Future Year Scaling'!$I243)</f>
        <v>0</v>
      </c>
      <c r="AG63" s="116">
        <f ca="1">$G63*('Future Year Scaling'!AI243/'Future Year Scaling'!$I243)</f>
        <v>0</v>
      </c>
      <c r="AH63" s="116">
        <f ca="1">$G63*('Future Year Scaling'!AJ243/'Future Year Scaling'!$I243)</f>
        <v>0</v>
      </c>
      <c r="AI63" s="116">
        <f ca="1">$G63*('Future Year Scaling'!AK243/'Future Year Scaling'!$I243)</f>
        <v>0</v>
      </c>
      <c r="AJ63" s="116">
        <f ca="1">$G63*('Future Year Scaling'!AL243/'Future Year Scaling'!$I243)</f>
        <v>0</v>
      </c>
      <c r="AK63" s="116">
        <f ca="1">$G63*('Future Year Scaling'!AM243/'Future Year Scaling'!$I243)</f>
        <v>0</v>
      </c>
      <c r="AL63" s="116">
        <f ca="1">$G63*('Future Year Scaling'!AN243/'Future Year Scaling'!$I243)</f>
        <v>0</v>
      </c>
      <c r="AM63" s="116">
        <f ca="1">$G63*('Future Year Scaling'!AO243/'Future Year Scaling'!$I243)</f>
        <v>0</v>
      </c>
    </row>
    <row r="64" spans="1:39" x14ac:dyDescent="0.25">
      <c r="A64" s="4" t="s">
        <v>11</v>
      </c>
      <c r="B64" s="4" t="s">
        <v>535</v>
      </c>
      <c r="C64" s="79"/>
      <c r="D64" s="79"/>
      <c r="F64" s="116"/>
      <c r="G64" s="116">
        <f ca="1">'Min. of Petr. &amp; NG'!E200</f>
        <v>26965786929070.082</v>
      </c>
      <c r="H64" s="116">
        <f ca="1">$G64*('Future Year Scaling'!J244/'Future Year Scaling'!$I244)</f>
        <v>28515567317404.547</v>
      </c>
      <c r="I64" s="116">
        <f ca="1">$G64*('Future Year Scaling'!K244/'Future Year Scaling'!$I244)</f>
        <v>30065347705739.004</v>
      </c>
      <c r="J64" s="116">
        <f ca="1">$G64*('Future Year Scaling'!L244/'Future Year Scaling'!$I244)</f>
        <v>31615128094073.469</v>
      </c>
      <c r="K64" s="116">
        <f ca="1">$G64*('Future Year Scaling'!M244/'Future Year Scaling'!$I244)</f>
        <v>33164908482407.938</v>
      </c>
      <c r="L64" s="116">
        <f ca="1">$G64*('Future Year Scaling'!N244/'Future Year Scaling'!$I244)</f>
        <v>34969926665782.176</v>
      </c>
      <c r="M64" s="116">
        <f ca="1">$G64*('Future Year Scaling'!O244/'Future Year Scaling'!$I244)</f>
        <v>36774944849156.422</v>
      </c>
      <c r="N64" s="116">
        <f ca="1">$G64*('Future Year Scaling'!P244/'Future Year Scaling'!$I244)</f>
        <v>38579963032530.672</v>
      </c>
      <c r="O64" s="116">
        <f ca="1">$G64*('Future Year Scaling'!Q244/'Future Year Scaling'!$I244)</f>
        <v>40384981215904.93</v>
      </c>
      <c r="P64" s="116">
        <f ca="1">$G64*('Future Year Scaling'!R244/'Future Year Scaling'!$I244)</f>
        <v>42189999399279.164</v>
      </c>
      <c r="Q64" s="116">
        <f ca="1">$G64*('Future Year Scaling'!S244/'Future Year Scaling'!$I244)</f>
        <v>43603325522756.445</v>
      </c>
      <c r="R64" s="116">
        <f ca="1">$G64*('Future Year Scaling'!T244/'Future Year Scaling'!$I244)</f>
        <v>45016651646233.742</v>
      </c>
      <c r="S64" s="116">
        <f ca="1">$G64*('Future Year Scaling'!U244/'Future Year Scaling'!$I244)</f>
        <v>46429977769711.031</v>
      </c>
      <c r="T64" s="116">
        <f ca="1">$G64*('Future Year Scaling'!V244/'Future Year Scaling'!$I244)</f>
        <v>47843303893188.32</v>
      </c>
      <c r="U64" s="116">
        <f ca="1">$G64*('Future Year Scaling'!W244/'Future Year Scaling'!$I244)</f>
        <v>49256630016665.602</v>
      </c>
      <c r="V64" s="116">
        <f ca="1">$G64*('Future Year Scaling'!X244/'Future Year Scaling'!$I244)</f>
        <v>49400574940235.172</v>
      </c>
      <c r="W64" s="116">
        <f ca="1">$G64*('Future Year Scaling'!Y244/'Future Year Scaling'!$I244)</f>
        <v>49544519863804.719</v>
      </c>
      <c r="X64" s="116">
        <f ca="1">$G64*('Future Year Scaling'!Z244/'Future Year Scaling'!$I244)</f>
        <v>49688464787374.281</v>
      </c>
      <c r="Y64" s="116">
        <f ca="1">$G64*('Future Year Scaling'!AA244/'Future Year Scaling'!$I244)</f>
        <v>49832409710943.844</v>
      </c>
      <c r="Z64" s="116">
        <f ca="1">$G64*('Future Year Scaling'!AB244/'Future Year Scaling'!$I244)</f>
        <v>49976354634513.414</v>
      </c>
      <c r="AA64" s="116">
        <f ca="1">$G64*('Future Year Scaling'!AC244/'Future Year Scaling'!$I244)</f>
        <v>50115330705841.344</v>
      </c>
      <c r="AB64" s="116">
        <f ca="1">$G64*('Future Year Scaling'!AD244/'Future Year Scaling'!$I244)</f>
        <v>50254306777169.273</v>
      </c>
      <c r="AC64" s="116">
        <f ca="1">$G64*('Future Year Scaling'!AE244/'Future Year Scaling'!$I244)</f>
        <v>50393282848497.203</v>
      </c>
      <c r="AD64" s="116">
        <f ca="1">$G64*('Future Year Scaling'!AF244/'Future Year Scaling'!$I244)</f>
        <v>50532258919825.133</v>
      </c>
      <c r="AE64" s="116">
        <f ca="1">$G64*('Future Year Scaling'!AG244/'Future Year Scaling'!$I244)</f>
        <v>50671234991153.07</v>
      </c>
      <c r="AF64" s="116">
        <f ca="1">$G64*('Future Year Scaling'!AH244/'Future Year Scaling'!$I244)</f>
        <v>50663118265902.367</v>
      </c>
      <c r="AG64" s="116">
        <f ca="1">$G64*('Future Year Scaling'!AI244/'Future Year Scaling'!$I244)</f>
        <v>50655001540651.648</v>
      </c>
      <c r="AH64" s="116">
        <f ca="1">$G64*('Future Year Scaling'!AJ244/'Future Year Scaling'!$I244)</f>
        <v>50646884815400.945</v>
      </c>
      <c r="AI64" s="116">
        <f ca="1">$G64*('Future Year Scaling'!AK244/'Future Year Scaling'!$I244)</f>
        <v>50638768090150.242</v>
      </c>
      <c r="AJ64" s="116">
        <f ca="1">$G64*('Future Year Scaling'!AL244/'Future Year Scaling'!$I244)</f>
        <v>50630651364899.539</v>
      </c>
      <c r="AK64" s="116">
        <f ca="1">$G64*('Future Year Scaling'!AM244/'Future Year Scaling'!$I244)</f>
        <v>50622534639648.828</v>
      </c>
      <c r="AL64" s="116">
        <f ca="1">$G64*('Future Year Scaling'!AN244/'Future Year Scaling'!$I244)</f>
        <v>50614417914398.125</v>
      </c>
      <c r="AM64" s="116">
        <f ca="1">$G64*('Future Year Scaling'!AO244/'Future Year Scaling'!$I244)</f>
        <v>50606301189147.422</v>
      </c>
    </row>
    <row r="65" spans="1:39" x14ac:dyDescent="0.25">
      <c r="A65" s="4" t="s">
        <v>532</v>
      </c>
      <c r="B65" s="4" t="s">
        <v>535</v>
      </c>
      <c r="C65" s="79"/>
      <c r="D65" s="79"/>
      <c r="F65" s="116"/>
      <c r="G65" s="116">
        <f ca="1">'Min. of Petr. &amp; NG'!E201</f>
        <v>173873019983470.06</v>
      </c>
      <c r="H65" s="116">
        <f ca="1">$G65*('Future Year Scaling'!J245/'Future Year Scaling'!$I245)</f>
        <v>176629748574169.75</v>
      </c>
      <c r="I65" s="116">
        <f ca="1">$G65*('Future Year Scaling'!K245/'Future Year Scaling'!$I245)</f>
        <v>179386477164869.38</v>
      </c>
      <c r="J65" s="116">
        <f ca="1">$G65*('Future Year Scaling'!L245/'Future Year Scaling'!$I245)</f>
        <v>182143205755569.06</v>
      </c>
      <c r="K65" s="116">
        <f ca="1">$G65*('Future Year Scaling'!M245/'Future Year Scaling'!$I245)</f>
        <v>184899934346268.69</v>
      </c>
      <c r="L65" s="116">
        <f ca="1">$G65*('Future Year Scaling'!N245/'Future Year Scaling'!$I245)</f>
        <v>188246016015596.53</v>
      </c>
      <c r="M65" s="116">
        <f ca="1">$G65*('Future Year Scaling'!O245/'Future Year Scaling'!$I245)</f>
        <v>191592097684924.31</v>
      </c>
      <c r="N65" s="116">
        <f ca="1">$G65*('Future Year Scaling'!P245/'Future Year Scaling'!$I245)</f>
        <v>194938179354252.13</v>
      </c>
      <c r="O65" s="116">
        <f ca="1">$G65*('Future Year Scaling'!Q245/'Future Year Scaling'!$I245)</f>
        <v>198284261023580</v>
      </c>
      <c r="P65" s="116">
        <f ca="1">$G65*('Future Year Scaling'!R245/'Future Year Scaling'!$I245)</f>
        <v>201630342692907.81</v>
      </c>
      <c r="Q65" s="116">
        <f ca="1">$G65*('Future Year Scaling'!S245/'Future Year Scaling'!$I245)</f>
        <v>205137725842157.84</v>
      </c>
      <c r="R65" s="116">
        <f ca="1">$G65*('Future Year Scaling'!T245/'Future Year Scaling'!$I245)</f>
        <v>208645108991407.94</v>
      </c>
      <c r="S65" s="116">
        <f ca="1">$G65*('Future Year Scaling'!U245/'Future Year Scaling'!$I245)</f>
        <v>212152492140658</v>
      </c>
      <c r="T65" s="116">
        <f ca="1">$G65*('Future Year Scaling'!V245/'Future Year Scaling'!$I245)</f>
        <v>215659875289908.06</v>
      </c>
      <c r="U65" s="116">
        <f ca="1">$G65*('Future Year Scaling'!W245/'Future Year Scaling'!$I245)</f>
        <v>219167258439158.13</v>
      </c>
      <c r="V65" s="116">
        <f ca="1">$G65*('Future Year Scaling'!X245/'Future Year Scaling'!$I245)</f>
        <v>223874156970013.63</v>
      </c>
      <c r="W65" s="116">
        <f ca="1">$G65*('Future Year Scaling'!Y245/'Future Year Scaling'!$I245)</f>
        <v>228581055500869.03</v>
      </c>
      <c r="X65" s="116">
        <f ca="1">$G65*('Future Year Scaling'!Z245/'Future Year Scaling'!$I245)</f>
        <v>233287954031724.53</v>
      </c>
      <c r="Y65" s="116">
        <f ca="1">$G65*('Future Year Scaling'!AA245/'Future Year Scaling'!$I245)</f>
        <v>237994852562580</v>
      </c>
      <c r="Z65" s="116">
        <f ca="1">$G65*('Future Year Scaling'!AB245/'Future Year Scaling'!$I245)</f>
        <v>242701751093435.47</v>
      </c>
      <c r="AA65" s="116">
        <f ca="1">$G65*('Future Year Scaling'!AC245/'Future Year Scaling'!$I245)</f>
        <v>249549091872146.38</v>
      </c>
      <c r="AB65" s="116">
        <f ca="1">$G65*('Future Year Scaling'!AD245/'Future Year Scaling'!$I245)</f>
        <v>256396432650857.19</v>
      </c>
      <c r="AC65" s="116">
        <f ca="1">$G65*('Future Year Scaling'!AE245/'Future Year Scaling'!$I245)</f>
        <v>263243773429568.13</v>
      </c>
      <c r="AD65" s="116">
        <f ca="1">$G65*('Future Year Scaling'!AF245/'Future Year Scaling'!$I245)</f>
        <v>270091114208278.97</v>
      </c>
      <c r="AE65" s="116">
        <f ca="1">$G65*('Future Year Scaling'!AG245/'Future Year Scaling'!$I245)</f>
        <v>276938454986989.91</v>
      </c>
      <c r="AF65" s="116">
        <f ca="1">$G65*('Future Year Scaling'!AH245/'Future Year Scaling'!$I245)</f>
        <v>282060385899222.88</v>
      </c>
      <c r="AG65" s="116">
        <f ca="1">$G65*('Future Year Scaling'!AI245/'Future Year Scaling'!$I245)</f>
        <v>287182316811455.81</v>
      </c>
      <c r="AH65" s="116">
        <f ca="1">$G65*('Future Year Scaling'!AJ245/'Future Year Scaling'!$I245)</f>
        <v>292304247723688.81</v>
      </c>
      <c r="AI65" s="116">
        <f ca="1">$G65*('Future Year Scaling'!AK245/'Future Year Scaling'!$I245)</f>
        <v>297426178635921.75</v>
      </c>
      <c r="AJ65" s="116">
        <f ca="1">$G65*('Future Year Scaling'!AL245/'Future Year Scaling'!$I245)</f>
        <v>302548109548154.75</v>
      </c>
      <c r="AK65" s="116">
        <f ca="1">$G65*('Future Year Scaling'!AM245/'Future Year Scaling'!$I245)</f>
        <v>307670040460387.63</v>
      </c>
      <c r="AL65" s="116">
        <f ca="1">$G65*('Future Year Scaling'!AN245/'Future Year Scaling'!$I245)</f>
        <v>312791971372620.63</v>
      </c>
      <c r="AM65" s="116">
        <f ca="1">$G65*('Future Year Scaling'!AO245/'Future Year Scaling'!$I245)</f>
        <v>317913902284853.63</v>
      </c>
    </row>
    <row r="66" spans="1:39" x14ac:dyDescent="0.25">
      <c r="A66" s="4" t="s">
        <v>528</v>
      </c>
      <c r="B66" t="s">
        <v>536</v>
      </c>
      <c r="C66" s="79"/>
      <c r="D66" s="79"/>
      <c r="F66" s="116"/>
      <c r="G66" s="116">
        <f ca="1">'Min. of Petr. &amp; NG'!F194</f>
        <v>11472050116013.762</v>
      </c>
      <c r="H66" s="116">
        <f ca="1">$G66*('Future Year Scaling'!J246/'Future Year Scaling'!$I246)</f>
        <v>11944389658789.934</v>
      </c>
      <c r="I66" s="116">
        <f ca="1">$G66*('Future Year Scaling'!K246/'Future Year Scaling'!$I246)</f>
        <v>12416729201566.105</v>
      </c>
      <c r="J66" s="116">
        <f ca="1">$G66*('Future Year Scaling'!L246/'Future Year Scaling'!$I246)</f>
        <v>12889068744342.273</v>
      </c>
      <c r="K66" s="116">
        <f ca="1">$G66*('Future Year Scaling'!M246/'Future Year Scaling'!$I246)</f>
        <v>13361408287118.445</v>
      </c>
      <c r="L66" s="116">
        <f ca="1">$G66*('Future Year Scaling'!N246/'Future Year Scaling'!$I246)</f>
        <v>13985841820135.105</v>
      </c>
      <c r="M66" s="116">
        <f ca="1">$G66*('Future Year Scaling'!O246/'Future Year Scaling'!$I246)</f>
        <v>14610275353151.762</v>
      </c>
      <c r="N66" s="116">
        <f ca="1">$G66*('Future Year Scaling'!P246/'Future Year Scaling'!$I246)</f>
        <v>15234708886168.424</v>
      </c>
      <c r="O66" s="116">
        <f ca="1">$G66*('Future Year Scaling'!Q246/'Future Year Scaling'!$I246)</f>
        <v>15859142419185.08</v>
      </c>
      <c r="P66" s="116">
        <f ca="1">$G66*('Future Year Scaling'!R246/'Future Year Scaling'!$I246)</f>
        <v>16483575952201.74</v>
      </c>
      <c r="Q66" s="116">
        <f ca="1">$G66*('Future Year Scaling'!S246/'Future Year Scaling'!$I246)</f>
        <v>17300812908455.932</v>
      </c>
      <c r="R66" s="116">
        <f ca="1">$G66*('Future Year Scaling'!T246/'Future Year Scaling'!$I246)</f>
        <v>18118049864710.129</v>
      </c>
      <c r="S66" s="116">
        <f ca="1">$G66*('Future Year Scaling'!U246/'Future Year Scaling'!$I246)</f>
        <v>18935286820964.32</v>
      </c>
      <c r="T66" s="116">
        <f ca="1">$G66*('Future Year Scaling'!V246/'Future Year Scaling'!$I246)</f>
        <v>19752523777218.512</v>
      </c>
      <c r="U66" s="116">
        <f ca="1">$G66*('Future Year Scaling'!W246/'Future Year Scaling'!$I246)</f>
        <v>20569760733472.707</v>
      </c>
      <c r="V66" s="116">
        <f ca="1">$G66*('Future Year Scaling'!X246/'Future Year Scaling'!$I246)</f>
        <v>21533849762714.703</v>
      </c>
      <c r="W66" s="116">
        <f ca="1">$G66*('Future Year Scaling'!Y246/'Future Year Scaling'!$I246)</f>
        <v>22497938791956.703</v>
      </c>
      <c r="X66" s="116">
        <f ca="1">$G66*('Future Year Scaling'!Z246/'Future Year Scaling'!$I246)</f>
        <v>23462027821198.699</v>
      </c>
      <c r="Y66" s="116">
        <f ca="1">$G66*('Future Year Scaling'!AA246/'Future Year Scaling'!$I246)</f>
        <v>24426116850440.699</v>
      </c>
      <c r="Z66" s="116">
        <f ca="1">$G66*('Future Year Scaling'!AB246/'Future Year Scaling'!$I246)</f>
        <v>25390205879682.699</v>
      </c>
      <c r="AA66" s="116">
        <f ca="1">$G66*('Future Year Scaling'!AC246/'Future Year Scaling'!$I246)</f>
        <v>26306406706832.309</v>
      </c>
      <c r="AB66" s="116">
        <f ca="1">$G66*('Future Year Scaling'!AD246/'Future Year Scaling'!$I246)</f>
        <v>27222607533981.918</v>
      </c>
      <c r="AC66" s="116">
        <f ca="1">$G66*('Future Year Scaling'!AE246/'Future Year Scaling'!$I246)</f>
        <v>28138808361131.531</v>
      </c>
      <c r="AD66" s="116">
        <f ca="1">$G66*('Future Year Scaling'!AF246/'Future Year Scaling'!$I246)</f>
        <v>29055009188281.148</v>
      </c>
      <c r="AE66" s="116">
        <f ca="1">$G66*('Future Year Scaling'!AG246/'Future Year Scaling'!$I246)</f>
        <v>29971210015430.754</v>
      </c>
      <c r="AF66" s="116">
        <f ca="1">$G66*('Future Year Scaling'!AH246/'Future Year Scaling'!$I246)</f>
        <v>30800644513764.816</v>
      </c>
      <c r="AG66" s="116">
        <f ca="1">$G66*('Future Year Scaling'!AI246/'Future Year Scaling'!$I246)</f>
        <v>31630079012098.875</v>
      </c>
      <c r="AH66" s="116">
        <f ca="1">$G66*('Future Year Scaling'!AJ246/'Future Year Scaling'!$I246)</f>
        <v>32459513510432.941</v>
      </c>
      <c r="AI66" s="116">
        <f ca="1">$G66*('Future Year Scaling'!AK246/'Future Year Scaling'!$I246)</f>
        <v>33288948008767.004</v>
      </c>
      <c r="AJ66" s="116">
        <f ca="1">$G66*('Future Year Scaling'!AL246/'Future Year Scaling'!$I246)</f>
        <v>34118382507101.063</v>
      </c>
      <c r="AK66" s="116">
        <f ca="1">$G66*('Future Year Scaling'!AM246/'Future Year Scaling'!$I246)</f>
        <v>34947817005435.125</v>
      </c>
      <c r="AL66" s="116">
        <f ca="1">$G66*('Future Year Scaling'!AN246/'Future Year Scaling'!$I246)</f>
        <v>35777251503769.18</v>
      </c>
      <c r="AM66" s="116">
        <f ca="1">$G66*('Future Year Scaling'!AO246/'Future Year Scaling'!$I246)</f>
        <v>36606686002103.25</v>
      </c>
    </row>
    <row r="67" spans="1:39" x14ac:dyDescent="0.25">
      <c r="A67" s="4" t="s">
        <v>529</v>
      </c>
      <c r="B67" s="4" t="s">
        <v>536</v>
      </c>
      <c r="C67" s="79"/>
      <c r="D67" s="79"/>
      <c r="F67" s="116"/>
      <c r="G67" s="116">
        <f ca="1">'Min. of Petr. &amp; NG'!F195</f>
        <v>0</v>
      </c>
      <c r="H67" s="116">
        <f ca="1">$G67*('Future Year Scaling'!J247/'Future Year Scaling'!$I247)</f>
        <v>0</v>
      </c>
      <c r="I67" s="116">
        <f ca="1">$G67*('Future Year Scaling'!K247/'Future Year Scaling'!$I247)</f>
        <v>0</v>
      </c>
      <c r="J67" s="116">
        <f ca="1">$G67*('Future Year Scaling'!L247/'Future Year Scaling'!$I247)</f>
        <v>0</v>
      </c>
      <c r="K67" s="116">
        <f ca="1">$G67*('Future Year Scaling'!M247/'Future Year Scaling'!$I247)</f>
        <v>0</v>
      </c>
      <c r="L67" s="116">
        <f ca="1">$G67*('Future Year Scaling'!N247/'Future Year Scaling'!$I247)</f>
        <v>0</v>
      </c>
      <c r="M67" s="116">
        <f ca="1">$G67*('Future Year Scaling'!O247/'Future Year Scaling'!$I247)</f>
        <v>0</v>
      </c>
      <c r="N67" s="116">
        <f ca="1">$G67*('Future Year Scaling'!P247/'Future Year Scaling'!$I247)</f>
        <v>0</v>
      </c>
      <c r="O67" s="116">
        <f ca="1">$G67*('Future Year Scaling'!Q247/'Future Year Scaling'!$I247)</f>
        <v>0</v>
      </c>
      <c r="P67" s="116">
        <f ca="1">$G67*('Future Year Scaling'!R247/'Future Year Scaling'!$I247)</f>
        <v>0</v>
      </c>
      <c r="Q67" s="116">
        <f ca="1">$G67*('Future Year Scaling'!S247/'Future Year Scaling'!$I247)</f>
        <v>0</v>
      </c>
      <c r="R67" s="116">
        <f ca="1">$G67*('Future Year Scaling'!T247/'Future Year Scaling'!$I247)</f>
        <v>0</v>
      </c>
      <c r="S67" s="116">
        <f ca="1">$G67*('Future Year Scaling'!U247/'Future Year Scaling'!$I247)</f>
        <v>0</v>
      </c>
      <c r="T67" s="116">
        <f ca="1">$G67*('Future Year Scaling'!V247/'Future Year Scaling'!$I247)</f>
        <v>0</v>
      </c>
      <c r="U67" s="116">
        <f ca="1">$G67*('Future Year Scaling'!W247/'Future Year Scaling'!$I247)</f>
        <v>0</v>
      </c>
      <c r="V67" s="116">
        <f ca="1">$G67*('Future Year Scaling'!X247/'Future Year Scaling'!$I247)</f>
        <v>0</v>
      </c>
      <c r="W67" s="116">
        <f ca="1">$G67*('Future Year Scaling'!Y247/'Future Year Scaling'!$I247)</f>
        <v>0</v>
      </c>
      <c r="X67" s="116">
        <f ca="1">$G67*('Future Year Scaling'!Z247/'Future Year Scaling'!$I247)</f>
        <v>0</v>
      </c>
      <c r="Y67" s="116">
        <f ca="1">$G67*('Future Year Scaling'!AA247/'Future Year Scaling'!$I247)</f>
        <v>0</v>
      </c>
      <c r="Z67" s="116">
        <f ca="1">$G67*('Future Year Scaling'!AB247/'Future Year Scaling'!$I247)</f>
        <v>0</v>
      </c>
      <c r="AA67" s="116">
        <f ca="1">$G67*('Future Year Scaling'!AC247/'Future Year Scaling'!$I247)</f>
        <v>0</v>
      </c>
      <c r="AB67" s="116">
        <f ca="1">$G67*('Future Year Scaling'!AD247/'Future Year Scaling'!$I247)</f>
        <v>0</v>
      </c>
      <c r="AC67" s="116">
        <f ca="1">$G67*('Future Year Scaling'!AE247/'Future Year Scaling'!$I247)</f>
        <v>0</v>
      </c>
      <c r="AD67" s="116">
        <f ca="1">$G67*('Future Year Scaling'!AF247/'Future Year Scaling'!$I247)</f>
        <v>0</v>
      </c>
      <c r="AE67" s="116">
        <f ca="1">$G67*('Future Year Scaling'!AG247/'Future Year Scaling'!$I247)</f>
        <v>0</v>
      </c>
      <c r="AF67" s="116">
        <f ca="1">$G67*('Future Year Scaling'!AH247/'Future Year Scaling'!$I247)</f>
        <v>0</v>
      </c>
      <c r="AG67" s="116">
        <f ca="1">$G67*('Future Year Scaling'!AI247/'Future Year Scaling'!$I247)</f>
        <v>0</v>
      </c>
      <c r="AH67" s="116">
        <f ca="1">$G67*('Future Year Scaling'!AJ247/'Future Year Scaling'!$I247)</f>
        <v>0</v>
      </c>
      <c r="AI67" s="116">
        <f ca="1">$G67*('Future Year Scaling'!AK247/'Future Year Scaling'!$I247)</f>
        <v>0</v>
      </c>
      <c r="AJ67" s="116">
        <f ca="1">$G67*('Future Year Scaling'!AL247/'Future Year Scaling'!$I247)</f>
        <v>0</v>
      </c>
      <c r="AK67" s="116">
        <f ca="1">$G67*('Future Year Scaling'!AM247/'Future Year Scaling'!$I247)</f>
        <v>0</v>
      </c>
      <c r="AL67" s="116">
        <f ca="1">$G67*('Future Year Scaling'!AN247/'Future Year Scaling'!$I247)</f>
        <v>0</v>
      </c>
      <c r="AM67" s="116">
        <f ca="1">$G67*('Future Year Scaling'!AO247/'Future Year Scaling'!$I247)</f>
        <v>0</v>
      </c>
    </row>
    <row r="68" spans="1:39" x14ac:dyDescent="0.25">
      <c r="A68" s="4" t="s">
        <v>27</v>
      </c>
      <c r="B68" s="4" t="s">
        <v>536</v>
      </c>
      <c r="C68" s="79"/>
      <c r="D68" s="79"/>
      <c r="F68" s="116"/>
      <c r="G68" s="116">
        <f ca="1">'Min. of Petr. &amp; NG'!F196</f>
        <v>8825981796559.2012</v>
      </c>
      <c r="H68" s="116">
        <f ca="1">$G68*('Future Year Scaling'!J248/'Future Year Scaling'!$I248)</f>
        <v>9370448504038.1348</v>
      </c>
      <c r="I68" s="116">
        <f ca="1">$G68*('Future Year Scaling'!K248/'Future Year Scaling'!$I248)</f>
        <v>9914915211517.0664</v>
      </c>
      <c r="J68" s="116">
        <f ca="1">$G68*('Future Year Scaling'!L248/'Future Year Scaling'!$I248)</f>
        <v>10459381918996</v>
      </c>
      <c r="K68" s="116">
        <f ca="1">$G68*('Future Year Scaling'!M248/'Future Year Scaling'!$I248)</f>
        <v>11003848626474.934</v>
      </c>
      <c r="L68" s="116">
        <f ca="1">$G68*('Future Year Scaling'!N248/'Future Year Scaling'!$I248)</f>
        <v>11685999401875.941</v>
      </c>
      <c r="M68" s="116">
        <f ca="1">$G68*('Future Year Scaling'!O248/'Future Year Scaling'!$I248)</f>
        <v>12368150177276.947</v>
      </c>
      <c r="N68" s="116">
        <f ca="1">$G68*('Future Year Scaling'!P248/'Future Year Scaling'!$I248)</f>
        <v>13050300952677.953</v>
      </c>
      <c r="O68" s="116">
        <f ca="1">$G68*('Future Year Scaling'!Q248/'Future Year Scaling'!$I248)</f>
        <v>13732451728078.959</v>
      </c>
      <c r="P68" s="116">
        <f ca="1">$G68*('Future Year Scaling'!R248/'Future Year Scaling'!$I248)</f>
        <v>14414602503479.965</v>
      </c>
      <c r="Q68" s="116">
        <f ca="1">$G68*('Future Year Scaling'!S248/'Future Year Scaling'!$I248)</f>
        <v>15285136504951.314</v>
      </c>
      <c r="R68" s="116">
        <f ca="1">$G68*('Future Year Scaling'!T248/'Future Year Scaling'!$I248)</f>
        <v>16155670506422.666</v>
      </c>
      <c r="S68" s="116">
        <f ca="1">$G68*('Future Year Scaling'!U248/'Future Year Scaling'!$I248)</f>
        <v>17026204507894.018</v>
      </c>
      <c r="T68" s="116">
        <f ca="1">$G68*('Future Year Scaling'!V248/'Future Year Scaling'!$I248)</f>
        <v>17896738509365.363</v>
      </c>
      <c r="U68" s="116">
        <f ca="1">$G68*('Future Year Scaling'!W248/'Future Year Scaling'!$I248)</f>
        <v>18767272510836.719</v>
      </c>
      <c r="V68" s="116">
        <f ca="1">$G68*('Future Year Scaling'!X248/'Future Year Scaling'!$I248)</f>
        <v>19564988601172.996</v>
      </c>
      <c r="W68" s="116">
        <f ca="1">$G68*('Future Year Scaling'!Y248/'Future Year Scaling'!$I248)</f>
        <v>20362704691509.277</v>
      </c>
      <c r="X68" s="116">
        <f ca="1">$G68*('Future Year Scaling'!Z248/'Future Year Scaling'!$I248)</f>
        <v>21160420781845.551</v>
      </c>
      <c r="Y68" s="116">
        <f ca="1">$G68*('Future Year Scaling'!AA248/'Future Year Scaling'!$I248)</f>
        <v>21958136872181.828</v>
      </c>
      <c r="Z68" s="116">
        <f ca="1">$G68*('Future Year Scaling'!AB248/'Future Year Scaling'!$I248)</f>
        <v>22755852962518.105</v>
      </c>
      <c r="AA68" s="116">
        <f ca="1">$G68*('Future Year Scaling'!AC248/'Future Year Scaling'!$I248)</f>
        <v>23391099347401.699</v>
      </c>
      <c r="AB68" s="116">
        <f ca="1">$G68*('Future Year Scaling'!AD248/'Future Year Scaling'!$I248)</f>
        <v>24026345732285.293</v>
      </c>
      <c r="AC68" s="116">
        <f ca="1">$G68*('Future Year Scaling'!AE248/'Future Year Scaling'!$I248)</f>
        <v>24661592117168.883</v>
      </c>
      <c r="AD68" s="116">
        <f ca="1">$G68*('Future Year Scaling'!AF248/'Future Year Scaling'!$I248)</f>
        <v>25296838502052.477</v>
      </c>
      <c r="AE68" s="116">
        <f ca="1">$G68*('Future Year Scaling'!AG248/'Future Year Scaling'!$I248)</f>
        <v>25932084886936.074</v>
      </c>
      <c r="AF68" s="116">
        <f ca="1">$G68*('Future Year Scaling'!AH248/'Future Year Scaling'!$I248)</f>
        <v>26350791050568.695</v>
      </c>
      <c r="AG68" s="116">
        <f ca="1">$G68*('Future Year Scaling'!AI248/'Future Year Scaling'!$I248)</f>
        <v>26769497214201.324</v>
      </c>
      <c r="AH68" s="116">
        <f ca="1">$G68*('Future Year Scaling'!AJ248/'Future Year Scaling'!$I248)</f>
        <v>27188203377833.957</v>
      </c>
      <c r="AI68" s="116">
        <f ca="1">$G68*('Future Year Scaling'!AK248/'Future Year Scaling'!$I248)</f>
        <v>27606909541466.586</v>
      </c>
      <c r="AJ68" s="116">
        <f ca="1">$G68*('Future Year Scaling'!AL248/'Future Year Scaling'!$I248)</f>
        <v>28025615705099.211</v>
      </c>
      <c r="AK68" s="116">
        <f ca="1">$G68*('Future Year Scaling'!AM248/'Future Year Scaling'!$I248)</f>
        <v>28444321868731.84</v>
      </c>
      <c r="AL68" s="116">
        <f ca="1">$G68*('Future Year Scaling'!AN248/'Future Year Scaling'!$I248)</f>
        <v>28863028032364.465</v>
      </c>
      <c r="AM68" s="116">
        <f ca="1">$G68*('Future Year Scaling'!AO248/'Future Year Scaling'!$I248)</f>
        <v>29281734195997.094</v>
      </c>
    </row>
    <row r="69" spans="1:39" x14ac:dyDescent="0.25">
      <c r="A69" s="4" t="s">
        <v>6</v>
      </c>
      <c r="B69" s="4" t="s">
        <v>536</v>
      </c>
      <c r="C69" s="79"/>
      <c r="D69" s="79"/>
      <c r="F69" s="116"/>
      <c r="G69" s="116">
        <f ca="1">'Min. of Petr. &amp; NG'!F197</f>
        <v>494433749487430.5</v>
      </c>
      <c r="H69" s="116">
        <f ca="1">$G69*('Future Year Scaling'!J249/'Future Year Scaling'!$I249)</f>
        <v>498987698073416.44</v>
      </c>
      <c r="I69" s="116">
        <f ca="1">$G69*('Future Year Scaling'!K249/'Future Year Scaling'!$I249)</f>
        <v>503541646659402.31</v>
      </c>
      <c r="J69" s="116">
        <f ca="1">$G69*('Future Year Scaling'!L249/'Future Year Scaling'!$I249)</f>
        <v>508095595245388.31</v>
      </c>
      <c r="K69" s="116">
        <f ca="1">$G69*('Future Year Scaling'!M249/'Future Year Scaling'!$I249)</f>
        <v>512649543831374.25</v>
      </c>
      <c r="L69" s="116">
        <f ca="1">$G69*('Future Year Scaling'!N249/'Future Year Scaling'!$I249)</f>
        <v>516063036851006.44</v>
      </c>
      <c r="M69" s="116">
        <f ca="1">$G69*('Future Year Scaling'!O249/'Future Year Scaling'!$I249)</f>
        <v>519476529870638.56</v>
      </c>
      <c r="N69" s="116">
        <f ca="1">$G69*('Future Year Scaling'!P249/'Future Year Scaling'!$I249)</f>
        <v>522890022890270.88</v>
      </c>
      <c r="O69" s="116">
        <f ca="1">$G69*('Future Year Scaling'!Q249/'Future Year Scaling'!$I249)</f>
        <v>526303515909903.06</v>
      </c>
      <c r="P69" s="116">
        <f ca="1">$G69*('Future Year Scaling'!R249/'Future Year Scaling'!$I249)</f>
        <v>529717008929535.19</v>
      </c>
      <c r="Q69" s="116">
        <f ca="1">$G69*('Future Year Scaling'!S249/'Future Year Scaling'!$I249)</f>
        <v>531234249497472.5</v>
      </c>
      <c r="R69" s="116">
        <f ca="1">$G69*('Future Year Scaling'!T249/'Future Year Scaling'!$I249)</f>
        <v>532751490065409.81</v>
      </c>
      <c r="S69" s="116">
        <f ca="1">$G69*('Future Year Scaling'!U249/'Future Year Scaling'!$I249)</f>
        <v>534268730633347.13</v>
      </c>
      <c r="T69" s="116">
        <f ca="1">$G69*('Future Year Scaling'!V249/'Future Year Scaling'!$I249)</f>
        <v>535785971201284.5</v>
      </c>
      <c r="U69" s="116">
        <f ca="1">$G69*('Future Year Scaling'!W249/'Future Year Scaling'!$I249)</f>
        <v>537303211769221.75</v>
      </c>
      <c r="V69" s="116">
        <f ca="1">$G69*('Future Year Scaling'!X249/'Future Year Scaling'!$I249)</f>
        <v>538111748157301.06</v>
      </c>
      <c r="W69" s="116">
        <f ca="1">$G69*('Future Year Scaling'!Y249/'Future Year Scaling'!$I249)</f>
        <v>538920284545380.56</v>
      </c>
      <c r="X69" s="116">
        <f ca="1">$G69*('Future Year Scaling'!Z249/'Future Year Scaling'!$I249)</f>
        <v>539728820933459.81</v>
      </c>
      <c r="Y69" s="116">
        <f ca="1">$G69*('Future Year Scaling'!AA249/'Future Year Scaling'!$I249)</f>
        <v>540537357321539.31</v>
      </c>
      <c r="Z69" s="116">
        <f ca="1">$G69*('Future Year Scaling'!AB249/'Future Year Scaling'!$I249)</f>
        <v>541345893709618.63</v>
      </c>
      <c r="AA69" s="116">
        <f ca="1">$G69*('Future Year Scaling'!AC249/'Future Year Scaling'!$I249)</f>
        <v>541402138553523.81</v>
      </c>
      <c r="AB69" s="116">
        <f ca="1">$G69*('Future Year Scaling'!AD249/'Future Year Scaling'!$I249)</f>
        <v>541458383397429</v>
      </c>
      <c r="AC69" s="116">
        <f ca="1">$G69*('Future Year Scaling'!AE249/'Future Year Scaling'!$I249)</f>
        <v>541514628241334.13</v>
      </c>
      <c r="AD69" s="116">
        <f ca="1">$G69*('Future Year Scaling'!AF249/'Future Year Scaling'!$I249)</f>
        <v>541570873085239.31</v>
      </c>
      <c r="AE69" s="116">
        <f ca="1">$G69*('Future Year Scaling'!AG249/'Future Year Scaling'!$I249)</f>
        <v>541627117929144.44</v>
      </c>
      <c r="AF69" s="116">
        <f ca="1">$G69*('Future Year Scaling'!AH249/'Future Year Scaling'!$I249)</f>
        <v>540301211800795.5</v>
      </c>
      <c r="AG69" s="116">
        <f ca="1">$G69*('Future Year Scaling'!AI249/'Future Year Scaling'!$I249)</f>
        <v>538975305672446.31</v>
      </c>
      <c r="AH69" s="116">
        <f ca="1">$G69*('Future Year Scaling'!AJ249/'Future Year Scaling'!$I249)</f>
        <v>537649399544097.31</v>
      </c>
      <c r="AI69" s="116">
        <f ca="1">$G69*('Future Year Scaling'!AK249/'Future Year Scaling'!$I249)</f>
        <v>536323493415748.25</v>
      </c>
      <c r="AJ69" s="116">
        <f ca="1">$G69*('Future Year Scaling'!AL249/'Future Year Scaling'!$I249)</f>
        <v>534997587287399.13</v>
      </c>
      <c r="AK69" s="116">
        <f ca="1">$G69*('Future Year Scaling'!AM249/'Future Year Scaling'!$I249)</f>
        <v>533671681159050.06</v>
      </c>
      <c r="AL69" s="116">
        <f ca="1">$G69*('Future Year Scaling'!AN249/'Future Year Scaling'!$I249)</f>
        <v>532345775030700.94</v>
      </c>
      <c r="AM69" s="116">
        <f ca="1">$G69*('Future Year Scaling'!AO249/'Future Year Scaling'!$I249)</f>
        <v>531019868902352</v>
      </c>
    </row>
    <row r="70" spans="1:39" x14ac:dyDescent="0.25">
      <c r="A70" s="4" t="s">
        <v>530</v>
      </c>
      <c r="B70" s="4" t="s">
        <v>536</v>
      </c>
      <c r="C70" s="79"/>
      <c r="D70" s="79"/>
      <c r="F70" s="116"/>
      <c r="G70" s="116">
        <f ca="1">'Min. of Petr. &amp; NG'!F198</f>
        <v>63176030947906.25</v>
      </c>
      <c r="H70" s="116">
        <f ca="1">$G70*('Future Year Scaling'!J250/'Future Year Scaling'!$I250)</f>
        <v>64620054512429.813</v>
      </c>
      <c r="I70" s="116">
        <f ca="1">$G70*('Future Year Scaling'!K250/'Future Year Scaling'!$I250)</f>
        <v>66064078076953.383</v>
      </c>
      <c r="J70" s="116">
        <f ca="1">$G70*('Future Year Scaling'!L250/'Future Year Scaling'!$I250)</f>
        <v>67508101641476.961</v>
      </c>
      <c r="K70" s="116">
        <f ca="1">$G70*('Future Year Scaling'!M250/'Future Year Scaling'!$I250)</f>
        <v>68952125206000.523</v>
      </c>
      <c r="L70" s="116">
        <f ca="1">$G70*('Future Year Scaling'!N250/'Future Year Scaling'!$I250)</f>
        <v>69619986104592.68</v>
      </c>
      <c r="M70" s="116">
        <f ca="1">$G70*('Future Year Scaling'!O250/'Future Year Scaling'!$I250)</f>
        <v>70287847003184.82</v>
      </c>
      <c r="N70" s="116">
        <f ca="1">$G70*('Future Year Scaling'!P250/'Future Year Scaling'!$I250)</f>
        <v>70955707901776.984</v>
      </c>
      <c r="O70" s="116">
        <f ca="1">$G70*('Future Year Scaling'!Q250/'Future Year Scaling'!$I250)</f>
        <v>71623568800369.141</v>
      </c>
      <c r="P70" s="116">
        <f ca="1">$G70*('Future Year Scaling'!R250/'Future Year Scaling'!$I250)</f>
        <v>72291429698961.281</v>
      </c>
      <c r="Q70" s="116">
        <f ca="1">$G70*('Future Year Scaling'!S250/'Future Year Scaling'!$I250)</f>
        <v>72183127931622.016</v>
      </c>
      <c r="R70" s="116">
        <f ca="1">$G70*('Future Year Scaling'!T250/'Future Year Scaling'!$I250)</f>
        <v>72074826164282.75</v>
      </c>
      <c r="S70" s="116">
        <f ca="1">$G70*('Future Year Scaling'!U250/'Future Year Scaling'!$I250)</f>
        <v>71966524396943.484</v>
      </c>
      <c r="T70" s="116">
        <f ca="1">$G70*('Future Year Scaling'!V250/'Future Year Scaling'!$I250)</f>
        <v>71858222629604.203</v>
      </c>
      <c r="U70" s="116">
        <f ca="1">$G70*('Future Year Scaling'!W250/'Future Year Scaling'!$I250)</f>
        <v>71749920862264.953</v>
      </c>
      <c r="V70" s="116">
        <f ca="1">$G70*('Future Year Scaling'!X250/'Future Year Scaling'!$I250)</f>
        <v>71659669389482.219</v>
      </c>
      <c r="W70" s="116">
        <f ca="1">$G70*('Future Year Scaling'!Y250/'Future Year Scaling'!$I250)</f>
        <v>71569417916699.5</v>
      </c>
      <c r="X70" s="116">
        <f ca="1">$G70*('Future Year Scaling'!Z250/'Future Year Scaling'!$I250)</f>
        <v>71479166443916.766</v>
      </c>
      <c r="Y70" s="116">
        <f ca="1">$G70*('Future Year Scaling'!AA250/'Future Year Scaling'!$I250)</f>
        <v>71388914971134.063</v>
      </c>
      <c r="Z70" s="116">
        <f ca="1">$G70*('Future Year Scaling'!AB250/'Future Year Scaling'!$I250)</f>
        <v>71298663498351.344</v>
      </c>
      <c r="AA70" s="116">
        <f ca="1">$G70*('Future Year Scaling'!AC250/'Future Year Scaling'!$I250)</f>
        <v>68825773144104.719</v>
      </c>
      <c r="AB70" s="116">
        <f ca="1">$G70*('Future Year Scaling'!AD250/'Future Year Scaling'!$I250)</f>
        <v>66352882789858.094</v>
      </c>
      <c r="AC70" s="116">
        <f ca="1">$G70*('Future Year Scaling'!AE250/'Future Year Scaling'!$I250)</f>
        <v>63879992435611.492</v>
      </c>
      <c r="AD70" s="116">
        <f ca="1">$G70*('Future Year Scaling'!AF250/'Future Year Scaling'!$I250)</f>
        <v>61407102081364.867</v>
      </c>
      <c r="AE70" s="116">
        <f ca="1">$G70*('Future Year Scaling'!AG250/'Future Year Scaling'!$I250)</f>
        <v>58934211727118.25</v>
      </c>
      <c r="AF70" s="116">
        <f ca="1">$G70*('Future Year Scaling'!AH250/'Future Year Scaling'!$I250)</f>
        <v>56894528442228.703</v>
      </c>
      <c r="AG70" s="116">
        <f ca="1">$G70*('Future Year Scaling'!AI250/'Future Year Scaling'!$I250)</f>
        <v>54854845157339.148</v>
      </c>
      <c r="AH70" s="116">
        <f ca="1">$G70*('Future Year Scaling'!AJ250/'Future Year Scaling'!$I250)</f>
        <v>52815161872449.617</v>
      </c>
      <c r="AI70" s="116">
        <f ca="1">$G70*('Future Year Scaling'!AK250/'Future Year Scaling'!$I250)</f>
        <v>50775478587560.07</v>
      </c>
      <c r="AJ70" s="116">
        <f ca="1">$G70*('Future Year Scaling'!AL250/'Future Year Scaling'!$I250)</f>
        <v>48735795302670.523</v>
      </c>
      <c r="AK70" s="116">
        <f ca="1">$G70*('Future Year Scaling'!AM250/'Future Year Scaling'!$I250)</f>
        <v>46696112017780.977</v>
      </c>
      <c r="AL70" s="116">
        <f ca="1">$G70*('Future Year Scaling'!AN250/'Future Year Scaling'!$I250)</f>
        <v>44656428732891.43</v>
      </c>
      <c r="AM70" s="116">
        <f ca="1">$G70*('Future Year Scaling'!AO250/'Future Year Scaling'!$I250)</f>
        <v>42616745448001.883</v>
      </c>
    </row>
    <row r="71" spans="1:39" x14ac:dyDescent="0.25">
      <c r="A71" s="4" t="s">
        <v>531</v>
      </c>
      <c r="B71" s="4" t="s">
        <v>536</v>
      </c>
      <c r="C71" s="79"/>
      <c r="D71" s="79"/>
      <c r="F71" s="116"/>
      <c r="G71" s="116">
        <f ca="1">'Min. of Petr. &amp; NG'!F199</f>
        <v>0</v>
      </c>
      <c r="H71" s="116">
        <f ca="1">$G71*('Future Year Scaling'!J251/'Future Year Scaling'!$I251)</f>
        <v>0</v>
      </c>
      <c r="I71" s="116">
        <f ca="1">$G71*('Future Year Scaling'!K251/'Future Year Scaling'!$I251)</f>
        <v>0</v>
      </c>
      <c r="J71" s="116">
        <f ca="1">$G71*('Future Year Scaling'!L251/'Future Year Scaling'!$I251)</f>
        <v>0</v>
      </c>
      <c r="K71" s="116">
        <f ca="1">$G71*('Future Year Scaling'!M251/'Future Year Scaling'!$I251)</f>
        <v>0</v>
      </c>
      <c r="L71" s="116">
        <f ca="1">$G71*('Future Year Scaling'!N251/'Future Year Scaling'!$I251)</f>
        <v>0</v>
      </c>
      <c r="M71" s="116">
        <f ca="1">$G71*('Future Year Scaling'!O251/'Future Year Scaling'!$I251)</f>
        <v>0</v>
      </c>
      <c r="N71" s="116">
        <f ca="1">$G71*('Future Year Scaling'!P251/'Future Year Scaling'!$I251)</f>
        <v>0</v>
      </c>
      <c r="O71" s="116">
        <f ca="1">$G71*('Future Year Scaling'!Q251/'Future Year Scaling'!$I251)</f>
        <v>0</v>
      </c>
      <c r="P71" s="116">
        <f ca="1">$G71*('Future Year Scaling'!R251/'Future Year Scaling'!$I251)</f>
        <v>0</v>
      </c>
      <c r="Q71" s="116">
        <f ca="1">$G71*('Future Year Scaling'!S251/'Future Year Scaling'!$I251)</f>
        <v>0</v>
      </c>
      <c r="R71" s="116">
        <f ca="1">$G71*('Future Year Scaling'!T251/'Future Year Scaling'!$I251)</f>
        <v>0</v>
      </c>
      <c r="S71" s="116">
        <f ca="1">$G71*('Future Year Scaling'!U251/'Future Year Scaling'!$I251)</f>
        <v>0</v>
      </c>
      <c r="T71" s="116">
        <f ca="1">$G71*('Future Year Scaling'!V251/'Future Year Scaling'!$I251)</f>
        <v>0</v>
      </c>
      <c r="U71" s="116">
        <f ca="1">$G71*('Future Year Scaling'!W251/'Future Year Scaling'!$I251)</f>
        <v>0</v>
      </c>
      <c r="V71" s="116">
        <f ca="1">$G71*('Future Year Scaling'!X251/'Future Year Scaling'!$I251)</f>
        <v>0</v>
      </c>
      <c r="W71" s="116">
        <f ca="1">$G71*('Future Year Scaling'!Y251/'Future Year Scaling'!$I251)</f>
        <v>0</v>
      </c>
      <c r="X71" s="116">
        <f ca="1">$G71*('Future Year Scaling'!Z251/'Future Year Scaling'!$I251)</f>
        <v>0</v>
      </c>
      <c r="Y71" s="116">
        <f ca="1">$G71*('Future Year Scaling'!AA251/'Future Year Scaling'!$I251)</f>
        <v>0</v>
      </c>
      <c r="Z71" s="116">
        <f ca="1">$G71*('Future Year Scaling'!AB251/'Future Year Scaling'!$I251)</f>
        <v>0</v>
      </c>
      <c r="AA71" s="116">
        <f ca="1">$G71*('Future Year Scaling'!AC251/'Future Year Scaling'!$I251)</f>
        <v>0</v>
      </c>
      <c r="AB71" s="116">
        <f ca="1">$G71*('Future Year Scaling'!AD251/'Future Year Scaling'!$I251)</f>
        <v>0</v>
      </c>
      <c r="AC71" s="116">
        <f ca="1">$G71*('Future Year Scaling'!AE251/'Future Year Scaling'!$I251)</f>
        <v>0</v>
      </c>
      <c r="AD71" s="116">
        <f ca="1">$G71*('Future Year Scaling'!AF251/'Future Year Scaling'!$I251)</f>
        <v>0</v>
      </c>
      <c r="AE71" s="116">
        <f ca="1">$G71*('Future Year Scaling'!AG251/'Future Year Scaling'!$I251)</f>
        <v>0</v>
      </c>
      <c r="AF71" s="116">
        <f ca="1">$G71*('Future Year Scaling'!AH251/'Future Year Scaling'!$I251)</f>
        <v>0</v>
      </c>
      <c r="AG71" s="116">
        <f ca="1">$G71*('Future Year Scaling'!AI251/'Future Year Scaling'!$I251)</f>
        <v>0</v>
      </c>
      <c r="AH71" s="116">
        <f ca="1">$G71*('Future Year Scaling'!AJ251/'Future Year Scaling'!$I251)</f>
        <v>0</v>
      </c>
      <c r="AI71" s="116">
        <f ca="1">$G71*('Future Year Scaling'!AK251/'Future Year Scaling'!$I251)</f>
        <v>0</v>
      </c>
      <c r="AJ71" s="116">
        <f ca="1">$G71*('Future Year Scaling'!AL251/'Future Year Scaling'!$I251)</f>
        <v>0</v>
      </c>
      <c r="AK71" s="116">
        <f ca="1">$G71*('Future Year Scaling'!AM251/'Future Year Scaling'!$I251)</f>
        <v>0</v>
      </c>
      <c r="AL71" s="116">
        <f ca="1">$G71*('Future Year Scaling'!AN251/'Future Year Scaling'!$I251)</f>
        <v>0</v>
      </c>
      <c r="AM71" s="116">
        <f ca="1">$G71*('Future Year Scaling'!AO251/'Future Year Scaling'!$I251)</f>
        <v>0</v>
      </c>
    </row>
    <row r="72" spans="1:39" x14ac:dyDescent="0.25">
      <c r="A72" s="4" t="s">
        <v>11</v>
      </c>
      <c r="B72" s="4" t="s">
        <v>536</v>
      </c>
      <c r="C72" s="79"/>
      <c r="D72" s="79"/>
      <c r="F72" s="116"/>
      <c r="G72" s="116">
        <f ca="1">'Min. of Petr. &amp; NG'!F200</f>
        <v>31153067681437.527</v>
      </c>
      <c r="H72" s="116">
        <f ca="1">$G72*('Future Year Scaling'!J252/'Future Year Scaling'!$I252)</f>
        <v>32943499885628.098</v>
      </c>
      <c r="I72" s="116">
        <f ca="1">$G72*('Future Year Scaling'!K252/'Future Year Scaling'!$I252)</f>
        <v>34733932089818.652</v>
      </c>
      <c r="J72" s="116">
        <f ca="1">$G72*('Future Year Scaling'!L252/'Future Year Scaling'!$I252)</f>
        <v>36524364294009.219</v>
      </c>
      <c r="K72" s="116">
        <f ca="1">$G72*('Future Year Scaling'!M252/'Future Year Scaling'!$I252)</f>
        <v>38314796498199.789</v>
      </c>
      <c r="L72" s="116">
        <f ca="1">$G72*('Future Year Scaling'!N252/'Future Year Scaling'!$I252)</f>
        <v>40400100137985.773</v>
      </c>
      <c r="M72" s="116">
        <f ca="1">$G72*('Future Year Scaling'!O252/'Future Year Scaling'!$I252)</f>
        <v>42485403777771.758</v>
      </c>
      <c r="N72" s="116">
        <f ca="1">$G72*('Future Year Scaling'!P252/'Future Year Scaling'!$I252)</f>
        <v>44570707417557.758</v>
      </c>
      <c r="O72" s="116">
        <f ca="1">$G72*('Future Year Scaling'!Q252/'Future Year Scaling'!$I252)</f>
        <v>46656011057343.75</v>
      </c>
      <c r="P72" s="116">
        <f ca="1">$G72*('Future Year Scaling'!R252/'Future Year Scaling'!$I252)</f>
        <v>48741314697129.734</v>
      </c>
      <c r="Q72" s="116">
        <f ca="1">$G72*('Future Year Scaling'!S252/'Future Year Scaling'!$I252)</f>
        <v>50374103849415.375</v>
      </c>
      <c r="R72" s="116">
        <f ca="1">$G72*('Future Year Scaling'!T252/'Future Year Scaling'!$I252)</f>
        <v>52006893001701.023</v>
      </c>
      <c r="S72" s="116">
        <f ca="1">$G72*('Future Year Scaling'!U252/'Future Year Scaling'!$I252)</f>
        <v>53639682153986.672</v>
      </c>
      <c r="T72" s="116">
        <f ca="1">$G72*('Future Year Scaling'!V252/'Future Year Scaling'!$I252)</f>
        <v>55272471306272.32</v>
      </c>
      <c r="U72" s="116">
        <f ca="1">$G72*('Future Year Scaling'!W252/'Future Year Scaling'!$I252)</f>
        <v>56905260458557.961</v>
      </c>
      <c r="V72" s="116">
        <f ca="1">$G72*('Future Year Scaling'!X252/'Future Year Scaling'!$I252)</f>
        <v>57071557327926.453</v>
      </c>
      <c r="W72" s="116">
        <f ca="1">$G72*('Future Year Scaling'!Y252/'Future Year Scaling'!$I252)</f>
        <v>57237854197294.914</v>
      </c>
      <c r="X72" s="116">
        <f ca="1">$G72*('Future Year Scaling'!Z252/'Future Year Scaling'!$I252)</f>
        <v>57404151066663.406</v>
      </c>
      <c r="Y72" s="116">
        <f ca="1">$G72*('Future Year Scaling'!AA252/'Future Year Scaling'!$I252)</f>
        <v>57570447936031.883</v>
      </c>
      <c r="Z72" s="116">
        <f ca="1">$G72*('Future Year Scaling'!AB252/'Future Year Scaling'!$I252)</f>
        <v>57736744805400.375</v>
      </c>
      <c r="AA72" s="116">
        <f ca="1">$G72*('Future Year Scaling'!AC252/'Future Year Scaling'!$I252)</f>
        <v>57897301253004.43</v>
      </c>
      <c r="AB72" s="116">
        <f ca="1">$G72*('Future Year Scaling'!AD252/'Future Year Scaling'!$I252)</f>
        <v>58057857700608.484</v>
      </c>
      <c r="AC72" s="116">
        <f ca="1">$G72*('Future Year Scaling'!AE252/'Future Year Scaling'!$I252)</f>
        <v>58218414148212.539</v>
      </c>
      <c r="AD72" s="116">
        <f ca="1">$G72*('Future Year Scaling'!AF252/'Future Year Scaling'!$I252)</f>
        <v>58378970595816.586</v>
      </c>
      <c r="AE72" s="116">
        <f ca="1">$G72*('Future Year Scaling'!AG252/'Future Year Scaling'!$I252)</f>
        <v>58539527043420.641</v>
      </c>
      <c r="AF72" s="116">
        <f ca="1">$G72*('Future Year Scaling'!AH252/'Future Year Scaling'!$I252)</f>
        <v>58530149943032.219</v>
      </c>
      <c r="AG72" s="116">
        <f ca="1">$G72*('Future Year Scaling'!AI252/'Future Year Scaling'!$I252)</f>
        <v>58520772842643.781</v>
      </c>
      <c r="AH72" s="116">
        <f ca="1">$G72*('Future Year Scaling'!AJ252/'Future Year Scaling'!$I252)</f>
        <v>58511395742255.352</v>
      </c>
      <c r="AI72" s="116">
        <f ca="1">$G72*('Future Year Scaling'!AK252/'Future Year Scaling'!$I252)</f>
        <v>58502018641866.93</v>
      </c>
      <c r="AJ72" s="116">
        <f ca="1">$G72*('Future Year Scaling'!AL252/'Future Year Scaling'!$I252)</f>
        <v>58492641541478.5</v>
      </c>
      <c r="AK72" s="116">
        <f ca="1">$G72*('Future Year Scaling'!AM252/'Future Year Scaling'!$I252)</f>
        <v>58483264441090.063</v>
      </c>
      <c r="AL72" s="116">
        <f ca="1">$G72*('Future Year Scaling'!AN252/'Future Year Scaling'!$I252)</f>
        <v>58473887340701.633</v>
      </c>
      <c r="AM72" s="116">
        <f ca="1">$G72*('Future Year Scaling'!AO252/'Future Year Scaling'!$I252)</f>
        <v>58464510240313.211</v>
      </c>
    </row>
    <row r="73" spans="1:39" x14ac:dyDescent="0.25">
      <c r="A73" s="4" t="s">
        <v>532</v>
      </c>
      <c r="B73" s="4" t="s">
        <v>536</v>
      </c>
      <c r="C73" s="79"/>
      <c r="D73" s="79"/>
      <c r="F73" s="116"/>
      <c r="G73" s="116">
        <f ca="1">'Min. of Petr. &amp; NG'!F201</f>
        <v>3570139534036501</v>
      </c>
      <c r="H73" s="116">
        <f ca="1">$G73*('Future Year Scaling'!J253/'Future Year Scaling'!$I253)</f>
        <v>3626743518525879</v>
      </c>
      <c r="I73" s="116">
        <f ca="1">$G73*('Future Year Scaling'!K253/'Future Year Scaling'!$I253)</f>
        <v>3683347503015256</v>
      </c>
      <c r="J73" s="116">
        <f ca="1">$G73*('Future Year Scaling'!L253/'Future Year Scaling'!$I253)</f>
        <v>3739951487504634</v>
      </c>
      <c r="K73" s="116">
        <f ca="1">$G73*('Future Year Scaling'!M253/'Future Year Scaling'!$I253)</f>
        <v>3796555471994011.5</v>
      </c>
      <c r="L73" s="116">
        <f ca="1">$G73*('Future Year Scaling'!N253/'Future Year Scaling'!$I253)</f>
        <v>3865260659566631</v>
      </c>
      <c r="M73" s="116">
        <f ca="1">$G73*('Future Year Scaling'!O253/'Future Year Scaling'!$I253)</f>
        <v>3933965847139250</v>
      </c>
      <c r="N73" s="116">
        <f ca="1">$G73*('Future Year Scaling'!P253/'Future Year Scaling'!$I253)</f>
        <v>4002671034711868.5</v>
      </c>
      <c r="O73" s="116">
        <f ca="1">$G73*('Future Year Scaling'!Q253/'Future Year Scaling'!$I253)</f>
        <v>4071376222284489</v>
      </c>
      <c r="P73" s="116">
        <f ca="1">$G73*('Future Year Scaling'!R253/'Future Year Scaling'!$I253)</f>
        <v>4140081409857108</v>
      </c>
      <c r="Q73" s="116">
        <f ca="1">$G73*('Future Year Scaling'!S253/'Future Year Scaling'!$I253)</f>
        <v>4212098605183568</v>
      </c>
      <c r="R73" s="116">
        <f ca="1">$G73*('Future Year Scaling'!T253/'Future Year Scaling'!$I253)</f>
        <v>4284115800510029</v>
      </c>
      <c r="S73" s="116">
        <f ca="1">$G73*('Future Year Scaling'!U253/'Future Year Scaling'!$I253)</f>
        <v>4356132995836489.5</v>
      </c>
      <c r="T73" s="116">
        <f ca="1">$G73*('Future Year Scaling'!V253/'Future Year Scaling'!$I253)</f>
        <v>4428150191162949.5</v>
      </c>
      <c r="U73" s="116">
        <f ca="1">$G73*('Future Year Scaling'!W253/'Future Year Scaling'!$I253)</f>
        <v>4500167386489409.5</v>
      </c>
      <c r="V73" s="116">
        <f ca="1">$G73*('Future Year Scaling'!X253/'Future Year Scaling'!$I253)</f>
        <v>4596814264362142</v>
      </c>
      <c r="W73" s="116">
        <f ca="1">$G73*('Future Year Scaling'!Y253/'Future Year Scaling'!$I253)</f>
        <v>4693461142234872</v>
      </c>
      <c r="X73" s="116">
        <f ca="1">$G73*('Future Year Scaling'!Z253/'Future Year Scaling'!$I253)</f>
        <v>4790108020107604</v>
      </c>
      <c r="Y73" s="116">
        <f ca="1">$G73*('Future Year Scaling'!AA253/'Future Year Scaling'!$I253)</f>
        <v>4886754897980336</v>
      </c>
      <c r="Z73" s="116">
        <f ca="1">$G73*('Future Year Scaling'!AB253/'Future Year Scaling'!$I253)</f>
        <v>4983401775853067</v>
      </c>
      <c r="AA73" s="116">
        <f ca="1">$G73*('Future Year Scaling'!AC253/'Future Year Scaling'!$I253)</f>
        <v>5123998413671977</v>
      </c>
      <c r="AB73" s="116">
        <f ca="1">$G73*('Future Year Scaling'!AD253/'Future Year Scaling'!$I253)</f>
        <v>5264595051490886</v>
      </c>
      <c r="AC73" s="116">
        <f ca="1">$G73*('Future Year Scaling'!AE253/'Future Year Scaling'!$I253)</f>
        <v>5405191689309796</v>
      </c>
      <c r="AD73" s="116">
        <f ca="1">$G73*('Future Year Scaling'!AF253/'Future Year Scaling'!$I253)</f>
        <v>5545788327128706</v>
      </c>
      <c r="AE73" s="116">
        <f ca="1">$G73*('Future Year Scaling'!AG253/'Future Year Scaling'!$I253)</f>
        <v>5686384964947616</v>
      </c>
      <c r="AF73" s="116">
        <f ca="1">$G73*('Future Year Scaling'!AH253/'Future Year Scaling'!$I253)</f>
        <v>5791553714199829</v>
      </c>
      <c r="AG73" s="116">
        <f ca="1">$G73*('Future Year Scaling'!AI253/'Future Year Scaling'!$I253)</f>
        <v>5896722463452042</v>
      </c>
      <c r="AH73" s="116">
        <f ca="1">$G73*('Future Year Scaling'!AJ253/'Future Year Scaling'!$I253)</f>
        <v>6001891212704255</v>
      </c>
      <c r="AI73" s="116">
        <f ca="1">$G73*('Future Year Scaling'!AK253/'Future Year Scaling'!$I253)</f>
        <v>6107059961956467</v>
      </c>
      <c r="AJ73" s="116">
        <f ca="1">$G73*('Future Year Scaling'!AL253/'Future Year Scaling'!$I253)</f>
        <v>6212228711208681</v>
      </c>
      <c r="AK73" s="116">
        <f ca="1">$G73*('Future Year Scaling'!AM253/'Future Year Scaling'!$I253)</f>
        <v>6317397460460892</v>
      </c>
      <c r="AL73" s="116">
        <f ca="1">$G73*('Future Year Scaling'!AN253/'Future Year Scaling'!$I253)</f>
        <v>6422566209713106</v>
      </c>
      <c r="AM73" s="116">
        <f ca="1">$G73*('Future Year Scaling'!AO253/'Future Year Scaling'!$I253)</f>
        <v>6527734958965319</v>
      </c>
    </row>
    <row r="74" spans="1:39" x14ac:dyDescent="0.25">
      <c r="A74" s="4" t="s">
        <v>528</v>
      </c>
      <c r="B74" t="s">
        <v>537</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529</v>
      </c>
      <c r="B75" s="4" t="s">
        <v>537</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537</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537</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530</v>
      </c>
      <c r="B78" s="4" t="s">
        <v>537</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531</v>
      </c>
      <c r="B79" s="4" t="s">
        <v>537</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537</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532</v>
      </c>
      <c r="B81" s="4" t="s">
        <v>537</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46" customFormat="1" x14ac:dyDescent="0.25">
      <c r="C83" s="448"/>
      <c r="D83" s="448"/>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447"/>
      <c r="AK83" s="447"/>
      <c r="AL83" s="447"/>
      <c r="AM83" s="447"/>
    </row>
    <row r="84" spans="1:39" s="446" customFormat="1" x14ac:dyDescent="0.25">
      <c r="C84" s="448"/>
      <c r="D84" s="448"/>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447"/>
      <c r="AK84" s="447"/>
      <c r="AL84" s="447"/>
      <c r="AM84" s="447"/>
    </row>
    <row r="85" spans="1:39" s="446" customFormat="1" x14ac:dyDescent="0.25">
      <c r="C85" s="448"/>
      <c r="D85" s="448"/>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447"/>
      <c r="AK85" s="447"/>
      <c r="AL85" s="447"/>
      <c r="AM85" s="447"/>
    </row>
    <row r="86" spans="1:39" s="446" customFormat="1" x14ac:dyDescent="0.25">
      <c r="C86" s="448"/>
      <c r="D86" s="448"/>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447"/>
      <c r="AK86" s="447"/>
      <c r="AL86" s="447"/>
      <c r="AM86" s="447"/>
    </row>
    <row r="87" spans="1:39" s="446" customFormat="1" x14ac:dyDescent="0.25">
      <c r="C87" s="448"/>
      <c r="D87" s="448"/>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447"/>
      <c r="AK87" s="447"/>
      <c r="AL87" s="447"/>
      <c r="AM87" s="447"/>
    </row>
    <row r="88" spans="1:39" s="446" customFormat="1" x14ac:dyDescent="0.25">
      <c r="C88" s="448"/>
      <c r="D88" s="448"/>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447"/>
      <c r="AK88" s="447"/>
      <c r="AL88" s="447"/>
      <c r="AM88" s="447"/>
    </row>
    <row r="89" spans="1:39" s="446" customFormat="1" x14ac:dyDescent="0.25">
      <c r="C89" s="448"/>
      <c r="D89" s="448"/>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447"/>
      <c r="AK89" s="447"/>
      <c r="AL89" s="447"/>
      <c r="AM89" s="447"/>
    </row>
    <row r="90" spans="1:39" s="446" customFormat="1" x14ac:dyDescent="0.25">
      <c r="C90" s="448"/>
      <c r="D90" s="448"/>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447"/>
      <c r="AK90" s="447"/>
      <c r="AL90" s="447"/>
      <c r="AM90" s="447"/>
    </row>
  </sheetData>
  <autoFilter ref="A1:AM90" xr:uid="{00000000-0001-0000-0900-000000000000}"/>
  <pageMargins left="0.7" right="0.7" top="0.75" bottom="0.75" header="0.3" footer="0.3"/>
  <ignoredErrors>
    <ignoredError sqref="D32:AM3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529</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530</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531</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532</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461"/>
      <c r="C11" s="46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54"/>
      <c r="C12" s="554"/>
      <c r="D12" s="554"/>
      <c r="E12" s="554"/>
      <c r="F12" s="55"/>
      <c r="G12" s="55"/>
      <c r="H12" s="55"/>
      <c r="I12" s="55"/>
      <c r="J12" s="55"/>
      <c r="K12" s="55"/>
      <c r="L12" s="55"/>
      <c r="M12" s="55"/>
      <c r="N12" s="55"/>
      <c r="O12" s="55"/>
      <c r="P12" s="55"/>
      <c r="Q12" s="55"/>
      <c r="R12" s="55"/>
      <c r="S12" s="55"/>
      <c r="T12" s="55"/>
      <c r="U12" s="55"/>
      <c r="V12" s="55"/>
      <c r="W12" s="55"/>
      <c r="X12" s="55"/>
    </row>
    <row r="13" spans="1:33" x14ac:dyDescent="0.25">
      <c r="A13" s="204"/>
      <c r="B13" s="439"/>
      <c r="C13" s="439"/>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6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'Aggregate Calcs'!H10</f>
        <v>970303872534760.13</v>
      </c>
      <c r="C2" s="181">
        <f>'Aggregate Calcs'!I10</f>
        <v>1008674429808881.1</v>
      </c>
      <c r="D2" s="181">
        <f>'Aggregate Calcs'!J10</f>
        <v>1047044987083002</v>
      </c>
      <c r="E2" s="181">
        <f>'Aggregate Calcs'!K10</f>
        <v>1085415544357122.8</v>
      </c>
      <c r="F2" s="181">
        <f>'Aggregate Calcs'!L10</f>
        <v>1136141474482882.8</v>
      </c>
      <c r="G2" s="181">
        <f>'Aggregate Calcs'!M10</f>
        <v>1186867404608642.5</v>
      </c>
      <c r="H2" s="181">
        <f>'Aggregate Calcs'!N10</f>
        <v>1237593334734402.3</v>
      </c>
      <c r="I2" s="181">
        <f>'Aggregate Calcs'!O10</f>
        <v>1288319264860162</v>
      </c>
      <c r="J2" s="181">
        <f>'Aggregate Calcs'!P10</f>
        <v>1339045194985922</v>
      </c>
      <c r="K2" s="181">
        <f>'Aggregate Calcs'!Q10</f>
        <v>1405433533451455.3</v>
      </c>
      <c r="L2" s="181">
        <f>'Aggregate Calcs'!R10</f>
        <v>1471821871916988.8</v>
      </c>
      <c r="M2" s="181">
        <f>'Aggregate Calcs'!S10</f>
        <v>1538210210382522.3</v>
      </c>
      <c r="N2" s="181">
        <f>'Aggregate Calcs'!T10</f>
        <v>1604598548848055.8</v>
      </c>
      <c r="O2" s="181">
        <f>'Aggregate Calcs'!U10</f>
        <v>1670986887313589</v>
      </c>
      <c r="P2" s="181">
        <f>'Aggregate Calcs'!V10</f>
        <v>1749304770877725.8</v>
      </c>
      <c r="Q2" s="181">
        <f>'Aggregate Calcs'!W10</f>
        <v>1827622654441862.5</v>
      </c>
      <c r="R2" s="181">
        <f>'Aggregate Calcs'!X10</f>
        <v>1905940538005999.3</v>
      </c>
      <c r="S2" s="181">
        <f>'Aggregate Calcs'!Y10</f>
        <v>1984258421570136</v>
      </c>
      <c r="T2" s="181">
        <f>'Aggregate Calcs'!Z10</f>
        <v>2062576305134272.8</v>
      </c>
      <c r="U2" s="181">
        <f>'Aggregate Calcs'!AA10</f>
        <v>2137003985074252</v>
      </c>
      <c r="V2" s="181">
        <f>'Aggregate Calcs'!AB10</f>
        <v>2211431665014231.8</v>
      </c>
      <c r="W2" s="181">
        <f>'Aggregate Calcs'!AC10</f>
        <v>2285859344954211.5</v>
      </c>
      <c r="X2" s="181">
        <f>'Aggregate Calcs'!AD10</f>
        <v>2360287024894191.5</v>
      </c>
      <c r="Y2" s="181">
        <f>'Aggregate Calcs'!AE10</f>
        <v>2434714704834170.5</v>
      </c>
      <c r="Z2" s="181">
        <f>'Aggregate Calcs'!AF10</f>
        <v>2502093912038383.5</v>
      </c>
      <c r="AA2" s="181">
        <f>'Aggregate Calcs'!AG10</f>
        <v>2569473119242596.5</v>
      </c>
      <c r="AB2" s="181">
        <f>'Aggregate Calcs'!AH10</f>
        <v>2636852326446809.5</v>
      </c>
      <c r="AC2" s="181">
        <f>'Aggregate Calcs'!AI10</f>
        <v>2704231533651022</v>
      </c>
      <c r="AD2" s="181">
        <f>'Aggregate Calcs'!AJ10</f>
        <v>2771610740855235.5</v>
      </c>
      <c r="AE2" s="181">
        <f>'Aggregate Calcs'!AK10</f>
        <v>2838989948059448.5</v>
      </c>
      <c r="AF2" s="181">
        <f>'Aggregate Calcs'!AL10</f>
        <v>2906369155263661</v>
      </c>
      <c r="AG2" s="181">
        <f>'Aggregate Calcs'!AM10</f>
        <v>2973748362467874.5</v>
      </c>
    </row>
    <row r="3" spans="1:33" x14ac:dyDescent="0.25">
      <c r="A3" s="4" t="s">
        <v>529</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2485070288020928</v>
      </c>
      <c r="C4" s="181">
        <f>'Aggregate Calcs'!I12</f>
        <v>2629464447701694</v>
      </c>
      <c r="D4" s="181">
        <f>'Aggregate Calcs'!J12</f>
        <v>2773858607382460</v>
      </c>
      <c r="E4" s="181">
        <f>'Aggregate Calcs'!K12</f>
        <v>2918252767063226</v>
      </c>
      <c r="F4" s="181">
        <f>'Aggregate Calcs'!L12</f>
        <v>3099161143345209</v>
      </c>
      <c r="G4" s="181">
        <f>'Aggregate Calcs'!M12</f>
        <v>3280069519627192.5</v>
      </c>
      <c r="H4" s="181">
        <f>'Aggregate Calcs'!N12</f>
        <v>3460977895909176</v>
      </c>
      <c r="I4" s="181">
        <f>'Aggregate Calcs'!O12</f>
        <v>3641886272191159.5</v>
      </c>
      <c r="J4" s="181">
        <f>'Aggregate Calcs'!P12</f>
        <v>3822794648473142.5</v>
      </c>
      <c r="K4" s="181">
        <f>'Aggregate Calcs'!Q12</f>
        <v>4053662806047045.5</v>
      </c>
      <c r="L4" s="181">
        <f>'Aggregate Calcs'!R12</f>
        <v>4284530963620948</v>
      </c>
      <c r="M4" s="181">
        <f>'Aggregate Calcs'!S12</f>
        <v>4515399121194852</v>
      </c>
      <c r="N4" s="181">
        <f>'Aggregate Calcs'!T12</f>
        <v>4746267278768754</v>
      </c>
      <c r="O4" s="181">
        <f>'Aggregate Calcs'!U12</f>
        <v>4977135436342657</v>
      </c>
      <c r="P4" s="181">
        <f>'Aggregate Calcs'!V12</f>
        <v>5188692071387031</v>
      </c>
      <c r="Q4" s="181">
        <f>'Aggregate Calcs'!W12</f>
        <v>5400248706431407</v>
      </c>
      <c r="R4" s="181">
        <f>'Aggregate Calcs'!X12</f>
        <v>5611805341475782</v>
      </c>
      <c r="S4" s="181">
        <f>'Aggregate Calcs'!Y12</f>
        <v>5823361976520157</v>
      </c>
      <c r="T4" s="181">
        <f>'Aggregate Calcs'!Z12</f>
        <v>6034918611564531</v>
      </c>
      <c r="U4" s="181">
        <f>'Aggregate Calcs'!AA12</f>
        <v>6203387806605368</v>
      </c>
      <c r="V4" s="181">
        <f>'Aggregate Calcs'!AB12</f>
        <v>6371857001646206</v>
      </c>
      <c r="W4" s="181">
        <f>'Aggregate Calcs'!AC12</f>
        <v>6540326196687044</v>
      </c>
      <c r="X4" s="181">
        <f>'Aggregate Calcs'!AD12</f>
        <v>6708795391727881</v>
      </c>
      <c r="Y4" s="181">
        <f>'Aggregate Calcs'!AE12</f>
        <v>6877264586768719</v>
      </c>
      <c r="Z4" s="181">
        <f>'Aggregate Calcs'!AF12</f>
        <v>6988306683228271</v>
      </c>
      <c r="AA4" s="181">
        <f>'Aggregate Calcs'!AG12</f>
        <v>7099348779687824</v>
      </c>
      <c r="AB4" s="181">
        <f>'Aggregate Calcs'!AH12</f>
        <v>7210390876147376</v>
      </c>
      <c r="AC4" s="181">
        <f>'Aggregate Calcs'!AI12</f>
        <v>7321432972606929</v>
      </c>
      <c r="AD4" s="181">
        <f>'Aggregate Calcs'!AJ12</f>
        <v>7432475069066481</v>
      </c>
      <c r="AE4" s="181">
        <f>'Aggregate Calcs'!AK12</f>
        <v>7543517165526033</v>
      </c>
      <c r="AF4" s="181">
        <f>'Aggregate Calcs'!AL12</f>
        <v>7654559261985587</v>
      </c>
      <c r="AG4" s="181">
        <f>'Aggregate Calcs'!AM12</f>
        <v>7765601358445139</v>
      </c>
    </row>
    <row r="5" spans="1:33" x14ac:dyDescent="0.25">
      <c r="A5" s="4" t="s">
        <v>6</v>
      </c>
      <c r="B5" s="181">
        <f>'Aggregate Calcs'!H13</f>
        <v>349626827958857.56</v>
      </c>
      <c r="C5" s="181">
        <f>'Aggregate Calcs'!I13</f>
        <v>352687675232330.06</v>
      </c>
      <c r="D5" s="181">
        <f>'Aggregate Calcs'!J13</f>
        <v>355748522505802.44</v>
      </c>
      <c r="E5" s="181">
        <f>'Aggregate Calcs'!K13</f>
        <v>358809369779274.88</v>
      </c>
      <c r="F5" s="181">
        <f>'Aggregate Calcs'!L13</f>
        <v>361186285384066.88</v>
      </c>
      <c r="G5" s="181">
        <f>'Aggregate Calcs'!M13</f>
        <v>363563200988858.88</v>
      </c>
      <c r="H5" s="181">
        <f>'Aggregate Calcs'!N13</f>
        <v>365940116593650.88</v>
      </c>
      <c r="I5" s="181">
        <f>'Aggregate Calcs'!O13</f>
        <v>368317032198442.88</v>
      </c>
      <c r="J5" s="181">
        <f>'Aggregate Calcs'!P13</f>
        <v>370693947803234.88</v>
      </c>
      <c r="K5" s="181">
        <f>'Aggregate Calcs'!Q13</f>
        <v>371838065850339.5</v>
      </c>
      <c r="L5" s="181">
        <f>'Aggregate Calcs'!R13</f>
        <v>372982183897444.19</v>
      </c>
      <c r="M5" s="181">
        <f>'Aggregate Calcs'!S13</f>
        <v>374126301944548.88</v>
      </c>
      <c r="N5" s="181">
        <f>'Aggregate Calcs'!T13</f>
        <v>375270419991653.44</v>
      </c>
      <c r="O5" s="181">
        <f>'Aggregate Calcs'!U13</f>
        <v>376414538038758.06</v>
      </c>
      <c r="P5" s="181">
        <f>'Aggregate Calcs'!V13</f>
        <v>377079881792507.88</v>
      </c>
      <c r="Q5" s="181">
        <f>'Aggregate Calcs'!W13</f>
        <v>377745225546257.56</v>
      </c>
      <c r="R5" s="181">
        <f>'Aggregate Calcs'!X13</f>
        <v>378410569300007.38</v>
      </c>
      <c r="S5" s="181">
        <f>'Aggregate Calcs'!Y13</f>
        <v>379075913053757</v>
      </c>
      <c r="T5" s="181">
        <f>'Aggregate Calcs'!Z13</f>
        <v>379741256807506.81</v>
      </c>
      <c r="U5" s="181">
        <f>'Aggregate Calcs'!AA13</f>
        <v>379898446922135.13</v>
      </c>
      <c r="V5" s="181">
        <f>'Aggregate Calcs'!AB13</f>
        <v>380055637036763.5</v>
      </c>
      <c r="W5" s="181">
        <f>'Aggregate Calcs'!AC13</f>
        <v>380212827151391.75</v>
      </c>
      <c r="X5" s="181">
        <f>'Aggregate Calcs'!AD13</f>
        <v>380370017266020.13</v>
      </c>
      <c r="Y5" s="181">
        <f>'Aggregate Calcs'!AE13</f>
        <v>380527207380648.44</v>
      </c>
      <c r="Z5" s="181">
        <f>'Aggregate Calcs'!AF13</f>
        <v>379744810586970.81</v>
      </c>
      <c r="AA5" s="181">
        <f>'Aggregate Calcs'!AG13</f>
        <v>378962413793293.25</v>
      </c>
      <c r="AB5" s="181">
        <f>'Aggregate Calcs'!AH13</f>
        <v>378180016999615.56</v>
      </c>
      <c r="AC5" s="181">
        <f>'Aggregate Calcs'!AI13</f>
        <v>377397620205937.94</v>
      </c>
      <c r="AD5" s="181">
        <f>'Aggregate Calcs'!AJ13</f>
        <v>376615223412260.25</v>
      </c>
      <c r="AE5" s="181">
        <f>'Aggregate Calcs'!AK13</f>
        <v>375832826618582.69</v>
      </c>
      <c r="AF5" s="181">
        <f>'Aggregate Calcs'!AL13</f>
        <v>375050429824905.06</v>
      </c>
      <c r="AG5" s="181">
        <f>'Aggregate Calcs'!AM13</f>
        <v>374268033031227.38</v>
      </c>
    </row>
    <row r="6" spans="1:33" x14ac:dyDescent="0.25">
      <c r="A6" s="4" t="s">
        <v>530</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531</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532</v>
      </c>
      <c r="B9" s="181">
        <f>'Aggregate Calcs'!H17</f>
        <v>811229902247309.75</v>
      </c>
      <c r="C9" s="181">
        <f>'Aggregate Calcs'!I17</f>
        <v>825680672279766</v>
      </c>
      <c r="D9" s="181">
        <f>'Aggregate Calcs'!J17</f>
        <v>840131442312222</v>
      </c>
      <c r="E9" s="181">
        <f>'Aggregate Calcs'!K17</f>
        <v>854582212344678.13</v>
      </c>
      <c r="F9" s="181">
        <f>'Aggregate Calcs'!L17</f>
        <v>872106249174169.5</v>
      </c>
      <c r="G9" s="181">
        <f>'Aggregate Calcs'!M17</f>
        <v>889630286003660.75</v>
      </c>
      <c r="H9" s="181">
        <f>'Aggregate Calcs'!N17</f>
        <v>907154322833152.13</v>
      </c>
      <c r="I9" s="181">
        <f>'Aggregate Calcs'!O17</f>
        <v>924678359662643.5</v>
      </c>
      <c r="J9" s="181">
        <f>'Aggregate Calcs'!P17</f>
        <v>942202396492134.75</v>
      </c>
      <c r="K9" s="181">
        <f>'Aggregate Calcs'!Q17</f>
        <v>960880092559198</v>
      </c>
      <c r="L9" s="181">
        <f>'Aggregate Calcs'!R17</f>
        <v>979557788626261</v>
      </c>
      <c r="M9" s="181">
        <f>'Aggregate Calcs'!S17</f>
        <v>998235484693324</v>
      </c>
      <c r="N9" s="181">
        <f>'Aggregate Calcs'!T17</f>
        <v>1016913180760387.1</v>
      </c>
      <c r="O9" s="181">
        <f>'Aggregate Calcs'!U17</f>
        <v>1035590876827450.3</v>
      </c>
      <c r="P9" s="181">
        <f>'Aggregate Calcs'!V17</f>
        <v>1060422426234749.9</v>
      </c>
      <c r="Q9" s="181">
        <f>'Aggregate Calcs'!W17</f>
        <v>1085253975642049.5</v>
      </c>
      <c r="R9" s="181">
        <f>'Aggregate Calcs'!X17</f>
        <v>1110085525049349.5</v>
      </c>
      <c r="S9" s="181">
        <f>'Aggregate Calcs'!Y17</f>
        <v>1134917074456649.3</v>
      </c>
      <c r="T9" s="181">
        <f>'Aggregate Calcs'!Z17</f>
        <v>1159748623863948.8</v>
      </c>
      <c r="U9" s="181">
        <f>'Aggregate Calcs'!AA17</f>
        <v>1195492539829699.3</v>
      </c>
      <c r="V9" s="181">
        <f>'Aggregate Calcs'!AB17</f>
        <v>1231236455795449.5</v>
      </c>
      <c r="W9" s="181">
        <f>'Aggregate Calcs'!AC17</f>
        <v>1266980371761199.8</v>
      </c>
      <c r="X9" s="181">
        <f>'Aggregate Calcs'!AD17</f>
        <v>1302724287726950.3</v>
      </c>
      <c r="Y9" s="181">
        <f>'Aggregate Calcs'!AE17</f>
        <v>1338468203692700.5</v>
      </c>
      <c r="Z9" s="181">
        <f>'Aggregate Calcs'!AF17</f>
        <v>1366602896119196</v>
      </c>
      <c r="AA9" s="181">
        <f>'Aggregate Calcs'!AG17</f>
        <v>1394737588545691.3</v>
      </c>
      <c r="AB9" s="181">
        <f>'Aggregate Calcs'!AH17</f>
        <v>1422872280972186.8</v>
      </c>
      <c r="AC9" s="181">
        <f>'Aggregate Calcs'!AI17</f>
        <v>1451006973398682</v>
      </c>
      <c r="AD9" s="181">
        <f>'Aggregate Calcs'!AJ17</f>
        <v>1479141665825177.5</v>
      </c>
      <c r="AE9" s="181">
        <f>'Aggregate Calcs'!AK17</f>
        <v>1507276358251673</v>
      </c>
      <c r="AF9" s="181">
        <f>'Aggregate Calcs'!AL17</f>
        <v>1535411050678168.3</v>
      </c>
      <c r="AG9" s="181">
        <f>'Aggregate Calcs'!AM17</f>
        <v>1563545743104663.8</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29">
        <f>'Aggregate Calcs'!H18</f>
        <v>0</v>
      </c>
      <c r="C2" s="429">
        <f>'Aggregate Calcs'!I18</f>
        <v>0</v>
      </c>
      <c r="D2" s="429">
        <f>'Aggregate Calcs'!J18</f>
        <v>0</v>
      </c>
      <c r="E2" s="429">
        <f>'Aggregate Calcs'!K18</f>
        <v>0</v>
      </c>
      <c r="F2" s="429">
        <f>'Aggregate Calcs'!L18</f>
        <v>0</v>
      </c>
      <c r="G2" s="429">
        <f>'Aggregate Calcs'!M18</f>
        <v>0</v>
      </c>
      <c r="H2" s="429">
        <f>'Aggregate Calcs'!N18</f>
        <v>0</v>
      </c>
      <c r="I2" s="429">
        <f>'Aggregate Calcs'!O18</f>
        <v>0</v>
      </c>
      <c r="J2" s="429">
        <f>'Aggregate Calcs'!P18</f>
        <v>0</v>
      </c>
      <c r="K2" s="429">
        <f>'Aggregate Calcs'!Q18</f>
        <v>0</v>
      </c>
      <c r="L2" s="429">
        <f>'Aggregate Calcs'!R18</f>
        <v>0</v>
      </c>
      <c r="M2" s="429">
        <f>'Aggregate Calcs'!S18</f>
        <v>0</v>
      </c>
      <c r="N2" s="429">
        <f>'Aggregate Calcs'!T18</f>
        <v>0</v>
      </c>
      <c r="O2" s="429">
        <f>'Aggregate Calcs'!U18</f>
        <v>0</v>
      </c>
      <c r="P2" s="429">
        <f>'Aggregate Calcs'!V18</f>
        <v>0</v>
      </c>
      <c r="Q2" s="429">
        <f>'Aggregate Calcs'!W18</f>
        <v>0</v>
      </c>
      <c r="R2" s="429">
        <f>'Aggregate Calcs'!X18</f>
        <v>0</v>
      </c>
      <c r="S2" s="429">
        <f>'Aggregate Calcs'!Y18</f>
        <v>0</v>
      </c>
      <c r="T2" s="429">
        <f>'Aggregate Calcs'!Z18</f>
        <v>0</v>
      </c>
      <c r="U2" s="429">
        <f>'Aggregate Calcs'!AA18</f>
        <v>0</v>
      </c>
      <c r="V2" s="429">
        <f>'Aggregate Calcs'!AB18</f>
        <v>0</v>
      </c>
      <c r="W2" s="429">
        <f>'Aggregate Calcs'!AC18</f>
        <v>0</v>
      </c>
      <c r="X2" s="429">
        <f>'Aggregate Calcs'!AD18</f>
        <v>0</v>
      </c>
      <c r="Y2" s="429">
        <f>'Aggregate Calcs'!AE18</f>
        <v>0</v>
      </c>
      <c r="Z2" s="429">
        <f>'Aggregate Calcs'!AF18</f>
        <v>0</v>
      </c>
      <c r="AA2" s="429">
        <f>'Aggregate Calcs'!AG18</f>
        <v>0</v>
      </c>
      <c r="AB2" s="429">
        <f>'Aggregate Calcs'!AH18</f>
        <v>0</v>
      </c>
      <c r="AC2" s="429">
        <f>'Aggregate Calcs'!AI18</f>
        <v>0</v>
      </c>
      <c r="AD2" s="429">
        <f>'Aggregate Calcs'!AJ18</f>
        <v>0</v>
      </c>
      <c r="AE2" s="429">
        <f>'Aggregate Calcs'!AK18</f>
        <v>0</v>
      </c>
      <c r="AF2" s="429">
        <f>'Aggregate Calcs'!AL18</f>
        <v>0</v>
      </c>
      <c r="AG2" s="429">
        <f>'Aggregate Calcs'!AM18</f>
        <v>0</v>
      </c>
    </row>
    <row r="3" spans="1:33" x14ac:dyDescent="0.25">
      <c r="A3" s="4" t="s">
        <v>529</v>
      </c>
      <c r="B3" s="429">
        <f>'Aggregate Calcs'!H19</f>
        <v>310815104879405.5</v>
      </c>
      <c r="C3" s="429">
        <f>'Aggregate Calcs'!I19</f>
        <v>316998209758811</v>
      </c>
      <c r="D3" s="429">
        <f>'Aggregate Calcs'!J19</f>
        <v>323181314638216.5</v>
      </c>
      <c r="E3" s="429">
        <f>'Aggregate Calcs'!K19</f>
        <v>329364419517622.06</v>
      </c>
      <c r="F3" s="429">
        <f>'Aggregate Calcs'!L19</f>
        <v>338607372648547.13</v>
      </c>
      <c r="G3" s="429">
        <f>'Aggregate Calcs'!M19</f>
        <v>347850325779472.31</v>
      </c>
      <c r="H3" s="429">
        <f>'Aggregate Calcs'!N19</f>
        <v>357093278910397.38</v>
      </c>
      <c r="I3" s="429">
        <f>'Aggregate Calcs'!O19</f>
        <v>366336232041322.44</v>
      </c>
      <c r="J3" s="429">
        <f>'Aggregate Calcs'!P19</f>
        <v>375579185172247.63</v>
      </c>
      <c r="K3" s="429">
        <f>'Aggregate Calcs'!Q19</f>
        <v>386206800608320.94</v>
      </c>
      <c r="L3" s="429">
        <f>'Aggregate Calcs'!R19</f>
        <v>396834416044394.31</v>
      </c>
      <c r="M3" s="429">
        <f>'Aggregate Calcs'!S19</f>
        <v>407462031480467.69</v>
      </c>
      <c r="N3" s="429">
        <f>'Aggregate Calcs'!T19</f>
        <v>418089646916541.06</v>
      </c>
      <c r="O3" s="429">
        <f>'Aggregate Calcs'!U19</f>
        <v>428717262352614.31</v>
      </c>
      <c r="P3" s="429">
        <f>'Aggregate Calcs'!V19</f>
        <v>440897334210673</v>
      </c>
      <c r="Q3" s="429">
        <f>'Aggregate Calcs'!W19</f>
        <v>453077406068731.63</v>
      </c>
      <c r="R3" s="429">
        <f>'Aggregate Calcs'!X19</f>
        <v>465257477926790.25</v>
      </c>
      <c r="S3" s="429">
        <f>'Aggregate Calcs'!Y19</f>
        <v>477437549784848.88</v>
      </c>
      <c r="T3" s="429">
        <f>'Aggregate Calcs'!Z19</f>
        <v>489617621642907.5</v>
      </c>
      <c r="U3" s="429">
        <f>'Aggregate Calcs'!AA19</f>
        <v>504675767434916.75</v>
      </c>
      <c r="V3" s="429">
        <f>'Aggregate Calcs'!AB19</f>
        <v>519733913226926</v>
      </c>
      <c r="W3" s="429">
        <f>'Aggregate Calcs'!AC19</f>
        <v>534792059018935.38</v>
      </c>
      <c r="X3" s="429">
        <f>'Aggregate Calcs'!AD19</f>
        <v>549850204810944.63</v>
      </c>
      <c r="Y3" s="429">
        <f>'Aggregate Calcs'!AE19</f>
        <v>564908350602953.88</v>
      </c>
      <c r="Z3" s="429">
        <f>'Aggregate Calcs'!AF19</f>
        <v>583869129198616</v>
      </c>
      <c r="AA3" s="429">
        <f>'Aggregate Calcs'!AG19</f>
        <v>602829907794278.13</v>
      </c>
      <c r="AB3" s="429">
        <f>'Aggregate Calcs'!AH19</f>
        <v>621790686389940.25</v>
      </c>
      <c r="AC3" s="429">
        <f>'Aggregate Calcs'!AI19</f>
        <v>640751464985602.25</v>
      </c>
      <c r="AD3" s="429">
        <f>'Aggregate Calcs'!AJ19</f>
        <v>659712243581264.38</v>
      </c>
      <c r="AE3" s="429">
        <f>'Aggregate Calcs'!AK19</f>
        <v>678673022176926.5</v>
      </c>
      <c r="AF3" s="429">
        <f>'Aggregate Calcs'!AL19</f>
        <v>697633800772588.63</v>
      </c>
      <c r="AG3" s="429">
        <f>'Aggregate Calcs'!AM19</f>
        <v>716594579368250.75</v>
      </c>
    </row>
    <row r="4" spans="1:33" x14ac:dyDescent="0.25">
      <c r="A4" s="4" t="s">
        <v>27</v>
      </c>
      <c r="B4" s="429">
        <f>'Aggregate Calcs'!H20</f>
        <v>42960186980582.313</v>
      </c>
      <c r="C4" s="429">
        <f>'Aggregate Calcs'!I20</f>
        <v>45456373961164.617</v>
      </c>
      <c r="D4" s="429">
        <f>'Aggregate Calcs'!J20</f>
        <v>47952560941746.93</v>
      </c>
      <c r="E4" s="429">
        <f>'Aggregate Calcs'!K20</f>
        <v>50448747922329.234</v>
      </c>
      <c r="F4" s="429">
        <f>'Aggregate Calcs'!L20</f>
        <v>53576167580795.695</v>
      </c>
      <c r="G4" s="429">
        <f>'Aggregate Calcs'!M20</f>
        <v>56703587239262.148</v>
      </c>
      <c r="H4" s="429">
        <f>'Aggregate Calcs'!N20</f>
        <v>59831006897728.602</v>
      </c>
      <c r="I4" s="429">
        <f>'Aggregate Calcs'!O20</f>
        <v>62958426556195.063</v>
      </c>
      <c r="J4" s="429">
        <f>'Aggregate Calcs'!P20</f>
        <v>66085846214661.516</v>
      </c>
      <c r="K4" s="429">
        <f>'Aggregate Calcs'!Q20</f>
        <v>70076936231329.047</v>
      </c>
      <c r="L4" s="429">
        <f>'Aggregate Calcs'!R20</f>
        <v>74068026247996.563</v>
      </c>
      <c r="M4" s="429">
        <f>'Aggregate Calcs'!S20</f>
        <v>78059116264664.094</v>
      </c>
      <c r="N4" s="429">
        <f>'Aggregate Calcs'!T20</f>
        <v>82050206281331.594</v>
      </c>
      <c r="O4" s="429">
        <f>'Aggregate Calcs'!U20</f>
        <v>86041296297999.125</v>
      </c>
      <c r="P4" s="429">
        <f>'Aggregate Calcs'!V20</f>
        <v>89698541987306</v>
      </c>
      <c r="Q4" s="429">
        <f>'Aggregate Calcs'!W20</f>
        <v>93355787676612.891</v>
      </c>
      <c r="R4" s="429">
        <f>'Aggregate Calcs'!X20</f>
        <v>97013033365919.781</v>
      </c>
      <c r="S4" s="429">
        <f>'Aggregate Calcs'!Y20</f>
        <v>100670279055226.66</v>
      </c>
      <c r="T4" s="429">
        <f>'Aggregate Calcs'!Z20</f>
        <v>104327524744533.52</v>
      </c>
      <c r="U4" s="429">
        <f>'Aggregate Calcs'!AA20</f>
        <v>107239904388002.86</v>
      </c>
      <c r="V4" s="429">
        <f>'Aggregate Calcs'!AB20</f>
        <v>110152284031472.17</v>
      </c>
      <c r="W4" s="429">
        <f>'Aggregate Calcs'!AC20</f>
        <v>113064663674941.45</v>
      </c>
      <c r="X4" s="429">
        <f>'Aggregate Calcs'!AD20</f>
        <v>115977043318410.77</v>
      </c>
      <c r="Y4" s="429">
        <f>'Aggregate Calcs'!AE20</f>
        <v>118889422961880.08</v>
      </c>
      <c r="Z4" s="429">
        <f>'Aggregate Calcs'!AF20</f>
        <v>120809042398647.52</v>
      </c>
      <c r="AA4" s="429">
        <f>'Aggregate Calcs'!AG20</f>
        <v>122728661835414.97</v>
      </c>
      <c r="AB4" s="429">
        <f>'Aggregate Calcs'!AH20</f>
        <v>124648281272182.41</v>
      </c>
      <c r="AC4" s="429">
        <f>'Aggregate Calcs'!AI20</f>
        <v>126567900708949.86</v>
      </c>
      <c r="AD4" s="429">
        <f>'Aggregate Calcs'!AJ20</f>
        <v>128487520145717.28</v>
      </c>
      <c r="AE4" s="429">
        <f>'Aggregate Calcs'!AK20</f>
        <v>130407139582484.72</v>
      </c>
      <c r="AF4" s="429">
        <f>'Aggregate Calcs'!AL20</f>
        <v>132326759019252.17</v>
      </c>
      <c r="AG4" s="429">
        <f>'Aggregate Calcs'!AM20</f>
        <v>134246378456019.61</v>
      </c>
    </row>
    <row r="5" spans="1:33" x14ac:dyDescent="0.25">
      <c r="A5" s="4" t="s">
        <v>6</v>
      </c>
      <c r="B5" s="429">
        <f>'Aggregate Calcs'!H21</f>
        <v>661807155879896.63</v>
      </c>
      <c r="C5" s="429">
        <f>'Aggregate Calcs'!I21</f>
        <v>662186311759793.25</v>
      </c>
      <c r="D5" s="429">
        <f>'Aggregate Calcs'!J21</f>
        <v>662565467639690</v>
      </c>
      <c r="E5" s="429">
        <f>'Aggregate Calcs'!K21</f>
        <v>662944623519586.5</v>
      </c>
      <c r="F5" s="429">
        <f>'Aggregate Calcs'!L21</f>
        <v>669627107853604</v>
      </c>
      <c r="G5" s="429">
        <f>'Aggregate Calcs'!M21</f>
        <v>676309592187621.38</v>
      </c>
      <c r="H5" s="429">
        <f>'Aggregate Calcs'!N21</f>
        <v>682992076521638.88</v>
      </c>
      <c r="I5" s="429">
        <f>'Aggregate Calcs'!O21</f>
        <v>689674560855656.25</v>
      </c>
      <c r="J5" s="429">
        <f>'Aggregate Calcs'!P21</f>
        <v>696357045189673.75</v>
      </c>
      <c r="K5" s="429">
        <f>'Aggregate Calcs'!Q21</f>
        <v>707046755941909.25</v>
      </c>
      <c r="L5" s="429">
        <f>'Aggregate Calcs'!R21</f>
        <v>717736466694144.75</v>
      </c>
      <c r="M5" s="429">
        <f>'Aggregate Calcs'!S21</f>
        <v>728426177446380.13</v>
      </c>
      <c r="N5" s="429">
        <f>'Aggregate Calcs'!T21</f>
        <v>739115888198615.63</v>
      </c>
      <c r="O5" s="429">
        <f>'Aggregate Calcs'!U21</f>
        <v>749805598950851.13</v>
      </c>
      <c r="P5" s="429">
        <f>'Aggregate Calcs'!V21</f>
        <v>760560433132437.13</v>
      </c>
      <c r="Q5" s="429">
        <f>'Aggregate Calcs'!W21</f>
        <v>771315267314023.13</v>
      </c>
      <c r="R5" s="429">
        <f>'Aggregate Calcs'!X21</f>
        <v>782070101495609</v>
      </c>
      <c r="S5" s="429">
        <f>'Aggregate Calcs'!Y21</f>
        <v>792824935677195</v>
      </c>
      <c r="T5" s="429">
        <f>'Aggregate Calcs'!Z21</f>
        <v>803579769858781</v>
      </c>
      <c r="U5" s="429">
        <f>'Aggregate Calcs'!AA21</f>
        <v>812115293113805.13</v>
      </c>
      <c r="V5" s="429">
        <f>'Aggregate Calcs'!AB21</f>
        <v>820650816368829.38</v>
      </c>
      <c r="W5" s="429">
        <f>'Aggregate Calcs'!AC21</f>
        <v>829186339623853.5</v>
      </c>
      <c r="X5" s="429">
        <f>'Aggregate Calcs'!AD21</f>
        <v>837721862878877.75</v>
      </c>
      <c r="Y5" s="429">
        <f>'Aggregate Calcs'!AE21</f>
        <v>846257386133901.75</v>
      </c>
      <c r="Z5" s="429">
        <f>'Aggregate Calcs'!AF21</f>
        <v>857363191622262.75</v>
      </c>
      <c r="AA5" s="429">
        <f>'Aggregate Calcs'!AG21</f>
        <v>868468997110623.63</v>
      </c>
      <c r="AB5" s="429">
        <f>'Aggregate Calcs'!AH21</f>
        <v>879574802598984.38</v>
      </c>
      <c r="AC5" s="429">
        <f>'Aggregate Calcs'!AI21</f>
        <v>890680608087345.38</v>
      </c>
      <c r="AD5" s="429">
        <f>'Aggregate Calcs'!AJ21</f>
        <v>901786413575706.25</v>
      </c>
      <c r="AE5" s="429">
        <f>'Aggregate Calcs'!AK21</f>
        <v>912892219064067.13</v>
      </c>
      <c r="AF5" s="429">
        <f>'Aggregate Calcs'!AL21</f>
        <v>923998024552428.13</v>
      </c>
      <c r="AG5" s="429">
        <f>'Aggregate Calcs'!AM21</f>
        <v>935103830040788.88</v>
      </c>
    </row>
    <row r="6" spans="1:33" x14ac:dyDescent="0.25">
      <c r="A6" s="4" t="s">
        <v>530</v>
      </c>
      <c r="B6" s="429">
        <f>'Aggregate Calcs'!H22</f>
        <v>0</v>
      </c>
      <c r="C6" s="429">
        <f>'Aggregate Calcs'!I22</f>
        <v>0</v>
      </c>
      <c r="D6" s="429">
        <f>'Aggregate Calcs'!J22</f>
        <v>0</v>
      </c>
      <c r="E6" s="429">
        <f>'Aggregate Calcs'!K22</f>
        <v>0</v>
      </c>
      <c r="F6" s="429">
        <f>'Aggregate Calcs'!L22</f>
        <v>0</v>
      </c>
      <c r="G6" s="429">
        <f>'Aggregate Calcs'!M22</f>
        <v>0</v>
      </c>
      <c r="H6" s="429">
        <f>'Aggregate Calcs'!N22</f>
        <v>0</v>
      </c>
      <c r="I6" s="429">
        <f>'Aggregate Calcs'!O22</f>
        <v>0</v>
      </c>
      <c r="J6" s="429">
        <f>'Aggregate Calcs'!P22</f>
        <v>0</v>
      </c>
      <c r="K6" s="429">
        <f>'Aggregate Calcs'!Q22</f>
        <v>0</v>
      </c>
      <c r="L6" s="429">
        <f>'Aggregate Calcs'!R22</f>
        <v>0</v>
      </c>
      <c r="M6" s="429">
        <f>'Aggregate Calcs'!S22</f>
        <v>0</v>
      </c>
      <c r="N6" s="429">
        <f>'Aggregate Calcs'!T22</f>
        <v>0</v>
      </c>
      <c r="O6" s="429">
        <f>'Aggregate Calcs'!U22</f>
        <v>0</v>
      </c>
      <c r="P6" s="429">
        <f>'Aggregate Calcs'!V22</f>
        <v>0</v>
      </c>
      <c r="Q6" s="429">
        <f>'Aggregate Calcs'!W22</f>
        <v>0</v>
      </c>
      <c r="R6" s="429">
        <f>'Aggregate Calcs'!X22</f>
        <v>0</v>
      </c>
      <c r="S6" s="429">
        <f>'Aggregate Calcs'!Y22</f>
        <v>0</v>
      </c>
      <c r="T6" s="429">
        <f>'Aggregate Calcs'!Z22</f>
        <v>0</v>
      </c>
      <c r="U6" s="429">
        <f>'Aggregate Calcs'!AA22</f>
        <v>0</v>
      </c>
      <c r="V6" s="429">
        <f>'Aggregate Calcs'!AB22</f>
        <v>0</v>
      </c>
      <c r="W6" s="429">
        <f>'Aggregate Calcs'!AC22</f>
        <v>0</v>
      </c>
      <c r="X6" s="429">
        <f>'Aggregate Calcs'!AD22</f>
        <v>0</v>
      </c>
      <c r="Y6" s="429">
        <f>'Aggregate Calcs'!AE22</f>
        <v>0</v>
      </c>
      <c r="Z6" s="429">
        <f>'Aggregate Calcs'!AF22</f>
        <v>0</v>
      </c>
      <c r="AA6" s="429">
        <f>'Aggregate Calcs'!AG22</f>
        <v>0</v>
      </c>
      <c r="AB6" s="429">
        <f>'Aggregate Calcs'!AH22</f>
        <v>0</v>
      </c>
      <c r="AC6" s="429">
        <f>'Aggregate Calcs'!AI22</f>
        <v>0</v>
      </c>
      <c r="AD6" s="429">
        <f>'Aggregate Calcs'!AJ22</f>
        <v>0</v>
      </c>
      <c r="AE6" s="429">
        <f>'Aggregate Calcs'!AK22</f>
        <v>0</v>
      </c>
      <c r="AF6" s="429">
        <f>'Aggregate Calcs'!AL22</f>
        <v>0</v>
      </c>
      <c r="AG6" s="429">
        <f>'Aggregate Calcs'!AM22</f>
        <v>0</v>
      </c>
    </row>
    <row r="7" spans="1:33" x14ac:dyDescent="0.25">
      <c r="A7" s="4" t="s">
        <v>531</v>
      </c>
      <c r="B7" s="429">
        <f>'Aggregate Calcs'!H23</f>
        <v>0</v>
      </c>
      <c r="C7" s="429">
        <f>'Aggregate Calcs'!I23</f>
        <v>0</v>
      </c>
      <c r="D7" s="429">
        <f>'Aggregate Calcs'!J23</f>
        <v>0</v>
      </c>
      <c r="E7" s="429">
        <f>'Aggregate Calcs'!K23</f>
        <v>0</v>
      </c>
      <c r="F7" s="429">
        <f>'Aggregate Calcs'!L23</f>
        <v>0</v>
      </c>
      <c r="G7" s="429">
        <f>'Aggregate Calcs'!M23</f>
        <v>0</v>
      </c>
      <c r="H7" s="429">
        <f>'Aggregate Calcs'!N23</f>
        <v>0</v>
      </c>
      <c r="I7" s="429">
        <f>'Aggregate Calcs'!O23</f>
        <v>0</v>
      </c>
      <c r="J7" s="429">
        <f>'Aggregate Calcs'!P23</f>
        <v>0</v>
      </c>
      <c r="K7" s="429">
        <f>'Aggregate Calcs'!Q23</f>
        <v>0</v>
      </c>
      <c r="L7" s="429">
        <f>'Aggregate Calcs'!R23</f>
        <v>0</v>
      </c>
      <c r="M7" s="429">
        <f>'Aggregate Calcs'!S23</f>
        <v>0</v>
      </c>
      <c r="N7" s="429">
        <f>'Aggregate Calcs'!T23</f>
        <v>0</v>
      </c>
      <c r="O7" s="429">
        <f>'Aggregate Calcs'!U23</f>
        <v>0</v>
      </c>
      <c r="P7" s="429">
        <f>'Aggregate Calcs'!V23</f>
        <v>0</v>
      </c>
      <c r="Q7" s="429">
        <f>'Aggregate Calcs'!W23</f>
        <v>0</v>
      </c>
      <c r="R7" s="429">
        <f>'Aggregate Calcs'!X23</f>
        <v>0</v>
      </c>
      <c r="S7" s="429">
        <f>'Aggregate Calcs'!Y23</f>
        <v>0</v>
      </c>
      <c r="T7" s="429">
        <f>'Aggregate Calcs'!Z23</f>
        <v>0</v>
      </c>
      <c r="U7" s="429">
        <f>'Aggregate Calcs'!AA23</f>
        <v>0</v>
      </c>
      <c r="V7" s="429">
        <f>'Aggregate Calcs'!AB23</f>
        <v>0</v>
      </c>
      <c r="W7" s="429">
        <f>'Aggregate Calcs'!AC23</f>
        <v>0</v>
      </c>
      <c r="X7" s="429">
        <f>'Aggregate Calcs'!AD23</f>
        <v>0</v>
      </c>
      <c r="Y7" s="429">
        <f>'Aggregate Calcs'!AE23</f>
        <v>0</v>
      </c>
      <c r="Z7" s="429">
        <f>'Aggregate Calcs'!AF23</f>
        <v>0</v>
      </c>
      <c r="AA7" s="429">
        <f>'Aggregate Calcs'!AG23</f>
        <v>0</v>
      </c>
      <c r="AB7" s="429">
        <f>'Aggregate Calcs'!AH23</f>
        <v>0</v>
      </c>
      <c r="AC7" s="429">
        <f>'Aggregate Calcs'!AI23</f>
        <v>0</v>
      </c>
      <c r="AD7" s="429">
        <f>'Aggregate Calcs'!AJ23</f>
        <v>0</v>
      </c>
      <c r="AE7" s="429">
        <f>'Aggregate Calcs'!AK23</f>
        <v>0</v>
      </c>
      <c r="AF7" s="429">
        <f>'Aggregate Calcs'!AL23</f>
        <v>0</v>
      </c>
      <c r="AG7" s="429">
        <f>'Aggregate Calcs'!AM23</f>
        <v>0</v>
      </c>
    </row>
    <row r="8" spans="1:33" x14ac:dyDescent="0.25">
      <c r="A8" s="4" t="s">
        <v>11</v>
      </c>
      <c r="B8" s="429">
        <f>'Aggregate Calcs'!H24</f>
        <v>0</v>
      </c>
      <c r="C8" s="429">
        <f>'Aggregate Calcs'!I24</f>
        <v>0</v>
      </c>
      <c r="D8" s="429">
        <f>'Aggregate Calcs'!J24</f>
        <v>0</v>
      </c>
      <c r="E8" s="429">
        <f>'Aggregate Calcs'!K24</f>
        <v>0</v>
      </c>
      <c r="F8" s="429">
        <f>'Aggregate Calcs'!L24</f>
        <v>0</v>
      </c>
      <c r="G8" s="429">
        <f>'Aggregate Calcs'!M24</f>
        <v>0</v>
      </c>
      <c r="H8" s="429">
        <f>'Aggregate Calcs'!N24</f>
        <v>0</v>
      </c>
      <c r="I8" s="429">
        <f>'Aggregate Calcs'!O24</f>
        <v>0</v>
      </c>
      <c r="J8" s="429">
        <f>'Aggregate Calcs'!P24</f>
        <v>0</v>
      </c>
      <c r="K8" s="429">
        <f>'Aggregate Calcs'!Q24</f>
        <v>0</v>
      </c>
      <c r="L8" s="429">
        <f>'Aggregate Calcs'!R24</f>
        <v>0</v>
      </c>
      <c r="M8" s="429">
        <f>'Aggregate Calcs'!S24</f>
        <v>0</v>
      </c>
      <c r="N8" s="429">
        <f>'Aggregate Calcs'!T24</f>
        <v>0</v>
      </c>
      <c r="O8" s="429">
        <f>'Aggregate Calcs'!U24</f>
        <v>0</v>
      </c>
      <c r="P8" s="429">
        <f>'Aggregate Calcs'!V24</f>
        <v>0</v>
      </c>
      <c r="Q8" s="429">
        <f>'Aggregate Calcs'!W24</f>
        <v>0</v>
      </c>
      <c r="R8" s="429">
        <f>'Aggregate Calcs'!X24</f>
        <v>0</v>
      </c>
      <c r="S8" s="429">
        <f>'Aggregate Calcs'!Y24</f>
        <v>0</v>
      </c>
      <c r="T8" s="429">
        <f>'Aggregate Calcs'!Z24</f>
        <v>0</v>
      </c>
      <c r="U8" s="429">
        <f>'Aggregate Calcs'!AA24</f>
        <v>0</v>
      </c>
      <c r="V8" s="429">
        <f>'Aggregate Calcs'!AB24</f>
        <v>0</v>
      </c>
      <c r="W8" s="429">
        <f>'Aggregate Calcs'!AC24</f>
        <v>0</v>
      </c>
      <c r="X8" s="429">
        <f>'Aggregate Calcs'!AD24</f>
        <v>0</v>
      </c>
      <c r="Y8" s="429">
        <f>'Aggregate Calcs'!AE24</f>
        <v>0</v>
      </c>
      <c r="Z8" s="429">
        <f>'Aggregate Calcs'!AF24</f>
        <v>0</v>
      </c>
      <c r="AA8" s="429">
        <f>'Aggregate Calcs'!AG24</f>
        <v>0</v>
      </c>
      <c r="AB8" s="429">
        <f>'Aggregate Calcs'!AH24</f>
        <v>0</v>
      </c>
      <c r="AC8" s="429">
        <f>'Aggregate Calcs'!AI24</f>
        <v>0</v>
      </c>
      <c r="AD8" s="429">
        <f>'Aggregate Calcs'!AJ24</f>
        <v>0</v>
      </c>
      <c r="AE8" s="429">
        <f>'Aggregate Calcs'!AK24</f>
        <v>0</v>
      </c>
      <c r="AF8" s="429">
        <f>'Aggregate Calcs'!AL24</f>
        <v>0</v>
      </c>
      <c r="AG8" s="429">
        <f>'Aggregate Calcs'!AM24</f>
        <v>0</v>
      </c>
    </row>
    <row r="9" spans="1:33" x14ac:dyDescent="0.25">
      <c r="A9" s="4" t="s">
        <v>532</v>
      </c>
      <c r="B9" s="429">
        <f>'Aggregate Calcs'!H25</f>
        <v>171205758191862.94</v>
      </c>
      <c r="C9" s="429">
        <f>'Aggregate Calcs'!I25</f>
        <v>174255516383725.88</v>
      </c>
      <c r="D9" s="429">
        <f>'Aggregate Calcs'!J25</f>
        <v>177305274575588.81</v>
      </c>
      <c r="E9" s="429">
        <f>'Aggregate Calcs'!K25</f>
        <v>180355032767451.78</v>
      </c>
      <c r="F9" s="429">
        <f>'Aggregate Calcs'!L25</f>
        <v>184053387578663.5</v>
      </c>
      <c r="G9" s="429">
        <f>'Aggregate Calcs'!M25</f>
        <v>187751742389875.28</v>
      </c>
      <c r="H9" s="429">
        <f>'Aggregate Calcs'!N25</f>
        <v>191450097201087.03</v>
      </c>
      <c r="I9" s="429">
        <f>'Aggregate Calcs'!O25</f>
        <v>195148452012298.84</v>
      </c>
      <c r="J9" s="429">
        <f>'Aggregate Calcs'!P25</f>
        <v>198846806823510.59</v>
      </c>
      <c r="K9" s="429">
        <f>'Aggregate Calcs'!Q25</f>
        <v>202788635283704.44</v>
      </c>
      <c r="L9" s="429">
        <f>'Aggregate Calcs'!R25</f>
        <v>206730463743898.25</v>
      </c>
      <c r="M9" s="429">
        <f>'Aggregate Calcs'!S25</f>
        <v>210672292204092.13</v>
      </c>
      <c r="N9" s="429">
        <f>'Aggregate Calcs'!T25</f>
        <v>214614120664285.94</v>
      </c>
      <c r="O9" s="429">
        <f>'Aggregate Calcs'!U25</f>
        <v>218555949124479.78</v>
      </c>
      <c r="P9" s="429">
        <f>'Aggregate Calcs'!V25</f>
        <v>223796515616886.28</v>
      </c>
      <c r="Q9" s="429">
        <f>'Aggregate Calcs'!W25</f>
        <v>229037082109292.75</v>
      </c>
      <c r="R9" s="429">
        <f>'Aggregate Calcs'!X25</f>
        <v>234277648601699.28</v>
      </c>
      <c r="S9" s="429">
        <f>'Aggregate Calcs'!Y25</f>
        <v>239518215094105.78</v>
      </c>
      <c r="T9" s="429">
        <f>'Aggregate Calcs'!Z25</f>
        <v>244758781586512.28</v>
      </c>
      <c r="U9" s="429">
        <f>'Aggregate Calcs'!AA25</f>
        <v>252302345028527.69</v>
      </c>
      <c r="V9" s="429">
        <f>'Aggregate Calcs'!AB25</f>
        <v>259845908470543.03</v>
      </c>
      <c r="W9" s="429">
        <f>'Aggregate Calcs'!AC25</f>
        <v>267389471912558.47</v>
      </c>
      <c r="X9" s="429">
        <f>'Aggregate Calcs'!AD25</f>
        <v>274933035354573.81</v>
      </c>
      <c r="Y9" s="429">
        <f>'Aggregate Calcs'!AE25</f>
        <v>282476598796589.25</v>
      </c>
      <c r="Z9" s="429">
        <f>'Aggregate Calcs'!AF25</f>
        <v>288414276062958.75</v>
      </c>
      <c r="AA9" s="429">
        <f>'Aggregate Calcs'!AG25</f>
        <v>294351953329328.19</v>
      </c>
      <c r="AB9" s="429">
        <f>'Aggregate Calcs'!AH25</f>
        <v>300289630595697.69</v>
      </c>
      <c r="AC9" s="429">
        <f>'Aggregate Calcs'!AI25</f>
        <v>306227307862067.19</v>
      </c>
      <c r="AD9" s="429">
        <f>'Aggregate Calcs'!AJ25</f>
        <v>312164985128436.75</v>
      </c>
      <c r="AE9" s="429">
        <f>'Aggregate Calcs'!AK25</f>
        <v>318102662394806.25</v>
      </c>
      <c r="AF9" s="429">
        <f>'Aggregate Calcs'!AL25</f>
        <v>324040339661175.69</v>
      </c>
      <c r="AG9" s="429">
        <f>'Aggregate Calcs'!AM25</f>
        <v>329978016927545.25</v>
      </c>
    </row>
    <row r="12" spans="1:33" x14ac:dyDescent="0.25">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529</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530</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531</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532</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 ca="1">'Aggregate Calcs'!H34</f>
        <v>271398258563524.22</v>
      </c>
      <c r="C2" s="181">
        <f ca="1">'Aggregate Calcs'!I34</f>
        <v>282130672108473.06</v>
      </c>
      <c r="D2" s="181">
        <f ca="1">'Aggregate Calcs'!J34</f>
        <v>292863085653421.88</v>
      </c>
      <c r="E2" s="181">
        <f ca="1">'Aggregate Calcs'!K34</f>
        <v>303595499198370.75</v>
      </c>
      <c r="F2" s="181">
        <f ca="1">'Aggregate Calcs'!L34</f>
        <v>317783764843629.25</v>
      </c>
      <c r="G2" s="181">
        <f ca="1">'Aggregate Calcs'!M34</f>
        <v>331972030488887.69</v>
      </c>
      <c r="H2" s="181">
        <f ca="1">'Aggregate Calcs'!N34</f>
        <v>346160296134146.25</v>
      </c>
      <c r="I2" s="181">
        <f ca="1">'Aggregate Calcs'!O34</f>
        <v>360348561779404.75</v>
      </c>
      <c r="J2" s="181">
        <f ca="1">'Aggregate Calcs'!P34</f>
        <v>374536827424663.25</v>
      </c>
      <c r="K2" s="181">
        <f ca="1">'Aggregate Calcs'!Q34</f>
        <v>393105937533853.38</v>
      </c>
      <c r="L2" s="181">
        <f ca="1">'Aggregate Calcs'!R34</f>
        <v>411675047643043.69</v>
      </c>
      <c r="M2" s="181">
        <f ca="1">'Aggregate Calcs'!S34</f>
        <v>430244157752233.88</v>
      </c>
      <c r="N2" s="181">
        <f ca="1">'Aggregate Calcs'!T34</f>
        <v>448813267861424.06</v>
      </c>
      <c r="O2" s="181">
        <f ca="1">'Aggregate Calcs'!U34</f>
        <v>467382377970614.31</v>
      </c>
      <c r="P2" s="181">
        <f ca="1">'Aggregate Calcs'!V34</f>
        <v>489288234285668.88</v>
      </c>
      <c r="Q2" s="181">
        <f ca="1">'Aggregate Calcs'!W34</f>
        <v>511194090600723.56</v>
      </c>
      <c r="R2" s="181">
        <f ca="1">'Aggregate Calcs'!X34</f>
        <v>533099946915778.13</v>
      </c>
      <c r="S2" s="181">
        <f ca="1">'Aggregate Calcs'!Y34</f>
        <v>555005803230832.81</v>
      </c>
      <c r="T2" s="181">
        <f ca="1">'Aggregate Calcs'!Z34</f>
        <v>576911659545887.5</v>
      </c>
      <c r="U2" s="181">
        <f ca="1">'Aggregate Calcs'!AA34</f>
        <v>597729408806091.75</v>
      </c>
      <c r="V2" s="181">
        <f ca="1">'Aggregate Calcs'!AB34</f>
        <v>618547158066295.88</v>
      </c>
      <c r="W2" s="181">
        <f ca="1">'Aggregate Calcs'!AC34</f>
        <v>639364907326500.13</v>
      </c>
      <c r="X2" s="181">
        <f ca="1">'Aggregate Calcs'!AD34</f>
        <v>660182656586704.5</v>
      </c>
      <c r="Y2" s="181">
        <f ca="1">'Aggregate Calcs'!AE34</f>
        <v>681000405846908.63</v>
      </c>
      <c r="Z2" s="181">
        <f ca="1">'Aggregate Calcs'!AF34</f>
        <v>699846666298125.38</v>
      </c>
      <c r="AA2" s="181">
        <f ca="1">'Aggregate Calcs'!AG34</f>
        <v>718692926749341.88</v>
      </c>
      <c r="AB2" s="181">
        <f ca="1">'Aggregate Calcs'!AH34</f>
        <v>737539187200558.75</v>
      </c>
      <c r="AC2" s="181">
        <f ca="1">'Aggregate Calcs'!AI34</f>
        <v>756385447651775.5</v>
      </c>
      <c r="AD2" s="181">
        <f ca="1">'Aggregate Calcs'!AJ34</f>
        <v>775231708102992.13</v>
      </c>
      <c r="AE2" s="181">
        <f ca="1">'Aggregate Calcs'!AK34</f>
        <v>794077968554208.88</v>
      </c>
      <c r="AF2" s="181">
        <f ca="1">'Aggregate Calcs'!AL34</f>
        <v>812924229005425.5</v>
      </c>
      <c r="AG2" s="181">
        <f ca="1">'Aggregate Calcs'!AM34</f>
        <v>831770489456642.38</v>
      </c>
    </row>
    <row r="3" spans="1:33" x14ac:dyDescent="0.25">
      <c r="A3" s="4" t="s">
        <v>529</v>
      </c>
      <c r="B3" s="181">
        <f ca="1">'Aggregate Calcs'!H35</f>
        <v>0</v>
      </c>
      <c r="C3" s="181">
        <f ca="1">'Aggregate Calcs'!I35</f>
        <v>0</v>
      </c>
      <c r="D3" s="181">
        <f ca="1">'Aggregate Calcs'!J35</f>
        <v>0</v>
      </c>
      <c r="E3" s="181">
        <f ca="1">'Aggregate Calcs'!K35</f>
        <v>0</v>
      </c>
      <c r="F3" s="181">
        <f ca="1">'Aggregate Calcs'!L35</f>
        <v>0</v>
      </c>
      <c r="G3" s="181">
        <f ca="1">'Aggregate Calcs'!M35</f>
        <v>0</v>
      </c>
      <c r="H3" s="181">
        <f ca="1">'Aggregate Calcs'!N35</f>
        <v>0</v>
      </c>
      <c r="I3" s="181">
        <f ca="1">'Aggregate Calcs'!O35</f>
        <v>0</v>
      </c>
      <c r="J3" s="181">
        <f ca="1">'Aggregate Calcs'!P35</f>
        <v>0</v>
      </c>
      <c r="K3" s="181">
        <f ca="1">'Aggregate Calcs'!Q35</f>
        <v>0</v>
      </c>
      <c r="L3" s="181">
        <f ca="1">'Aggregate Calcs'!R35</f>
        <v>0</v>
      </c>
      <c r="M3" s="181">
        <f ca="1">'Aggregate Calcs'!S35</f>
        <v>0</v>
      </c>
      <c r="N3" s="181">
        <f ca="1">'Aggregate Calcs'!T35</f>
        <v>0</v>
      </c>
      <c r="O3" s="181">
        <f ca="1">'Aggregate Calcs'!U35</f>
        <v>0</v>
      </c>
      <c r="P3" s="181">
        <f ca="1">'Aggregate Calcs'!V35</f>
        <v>0</v>
      </c>
      <c r="Q3" s="181">
        <f ca="1">'Aggregate Calcs'!W35</f>
        <v>0</v>
      </c>
      <c r="R3" s="181">
        <f ca="1">'Aggregate Calcs'!X35</f>
        <v>0</v>
      </c>
      <c r="S3" s="181">
        <f ca="1">'Aggregate Calcs'!Y35</f>
        <v>0</v>
      </c>
      <c r="T3" s="181">
        <f ca="1">'Aggregate Calcs'!Z35</f>
        <v>0</v>
      </c>
      <c r="U3" s="181">
        <f ca="1">'Aggregate Calcs'!AA35</f>
        <v>0</v>
      </c>
      <c r="V3" s="181">
        <f ca="1">'Aggregate Calcs'!AB35</f>
        <v>0</v>
      </c>
      <c r="W3" s="181">
        <f ca="1">'Aggregate Calcs'!AC35</f>
        <v>0</v>
      </c>
      <c r="X3" s="181">
        <f ca="1">'Aggregate Calcs'!AD35</f>
        <v>0</v>
      </c>
      <c r="Y3" s="181">
        <f ca="1">'Aggregate Calcs'!AE35</f>
        <v>0</v>
      </c>
      <c r="Z3" s="181">
        <f ca="1">'Aggregate Calcs'!AF35</f>
        <v>0</v>
      </c>
      <c r="AA3" s="181">
        <f ca="1">'Aggregate Calcs'!AG35</f>
        <v>0</v>
      </c>
      <c r="AB3" s="181">
        <f ca="1">'Aggregate Calcs'!AH35</f>
        <v>0</v>
      </c>
      <c r="AC3" s="181">
        <f ca="1">'Aggregate Calcs'!AI35</f>
        <v>0</v>
      </c>
      <c r="AD3" s="181">
        <f ca="1">'Aggregate Calcs'!AJ35</f>
        <v>0</v>
      </c>
      <c r="AE3" s="181">
        <f ca="1">'Aggregate Calcs'!AK35</f>
        <v>0</v>
      </c>
      <c r="AF3" s="181">
        <f ca="1">'Aggregate Calcs'!AL35</f>
        <v>0</v>
      </c>
      <c r="AG3" s="181">
        <f ca="1">'Aggregate Calcs'!AM35</f>
        <v>0</v>
      </c>
    </row>
    <row r="4" spans="1:33" x14ac:dyDescent="0.25">
      <c r="A4" s="4" t="s">
        <v>27</v>
      </c>
      <c r="B4" s="181">
        <f ca="1">'Aggregate Calcs'!H36</f>
        <v>1459088680820.4614</v>
      </c>
      <c r="C4" s="181">
        <f ca="1">'Aggregate Calcs'!I36</f>
        <v>1543868529898.5222</v>
      </c>
      <c r="D4" s="181">
        <f ca="1">'Aggregate Calcs'!J36</f>
        <v>1628648378976.5833</v>
      </c>
      <c r="E4" s="181">
        <f ca="1">'Aggregate Calcs'!K36</f>
        <v>1713428228054.6445</v>
      </c>
      <c r="F4" s="181">
        <f ca="1">'Aggregate Calcs'!L36</f>
        <v>1819647100563.4241</v>
      </c>
      <c r="G4" s="181">
        <f ca="1">'Aggregate Calcs'!M36</f>
        <v>1925865973072.2034</v>
      </c>
      <c r="H4" s="181">
        <f ca="1">'Aggregate Calcs'!N36</f>
        <v>2032084845580.9829</v>
      </c>
      <c r="I4" s="181">
        <f ca="1">'Aggregate Calcs'!O36</f>
        <v>2138303718089.7622</v>
      </c>
      <c r="J4" s="181">
        <f ca="1">'Aggregate Calcs'!P36</f>
        <v>2244522590598.5415</v>
      </c>
      <c r="K4" s="181">
        <f ca="1">'Aggregate Calcs'!Q36</f>
        <v>2380074939802.4043</v>
      </c>
      <c r="L4" s="181">
        <f ca="1">'Aggregate Calcs'!R36</f>
        <v>2515627289006.2671</v>
      </c>
      <c r="M4" s="181">
        <f ca="1">'Aggregate Calcs'!S36</f>
        <v>2651179638210.1299</v>
      </c>
      <c r="N4" s="181">
        <f ca="1">'Aggregate Calcs'!T36</f>
        <v>2786731987413.9922</v>
      </c>
      <c r="O4" s="181">
        <f ca="1">'Aggregate Calcs'!U36</f>
        <v>2922284336617.8555</v>
      </c>
      <c r="P4" s="181">
        <f ca="1">'Aggregate Calcs'!V36</f>
        <v>3046498083421.5889</v>
      </c>
      <c r="Q4" s="181">
        <f ca="1">'Aggregate Calcs'!W36</f>
        <v>3170711830225.3223</v>
      </c>
      <c r="R4" s="181">
        <f ca="1">'Aggregate Calcs'!X36</f>
        <v>3294925577029.0552</v>
      </c>
      <c r="S4" s="181">
        <f ca="1">'Aggregate Calcs'!Y36</f>
        <v>3419139323832.7886</v>
      </c>
      <c r="T4" s="181">
        <f ca="1">'Aggregate Calcs'!Z36</f>
        <v>3543353070636.522</v>
      </c>
      <c r="U4" s="181">
        <f ca="1">'Aggregate Calcs'!AA36</f>
        <v>3642268379686.7065</v>
      </c>
      <c r="V4" s="181">
        <f ca="1">'Aggregate Calcs'!AB36</f>
        <v>3741183688736.8911</v>
      </c>
      <c r="W4" s="181">
        <f ca="1">'Aggregate Calcs'!AC36</f>
        <v>3840098997787.0747</v>
      </c>
      <c r="X4" s="181">
        <f ca="1">'Aggregate Calcs'!AD36</f>
        <v>3939014306837.2593</v>
      </c>
      <c r="Y4" s="181">
        <f ca="1">'Aggregate Calcs'!AE36</f>
        <v>4037929615887.4434</v>
      </c>
      <c r="Z4" s="181">
        <f ca="1">'Aggregate Calcs'!AF36</f>
        <v>4103127074011.5498</v>
      </c>
      <c r="AA4" s="181">
        <f ca="1">'Aggregate Calcs'!AG36</f>
        <v>4168324532135.6572</v>
      </c>
      <c r="AB4" s="181">
        <f ca="1">'Aggregate Calcs'!AH36</f>
        <v>4233521990259.7646</v>
      </c>
      <c r="AC4" s="181">
        <f ca="1">'Aggregate Calcs'!AI36</f>
        <v>4298719448383.8721</v>
      </c>
      <c r="AD4" s="181">
        <f ca="1">'Aggregate Calcs'!AJ36</f>
        <v>4363916906507.978</v>
      </c>
      <c r="AE4" s="181">
        <f ca="1">'Aggregate Calcs'!AK36</f>
        <v>4429114364632.0859</v>
      </c>
      <c r="AF4" s="181">
        <f ca="1">'Aggregate Calcs'!AL36</f>
        <v>4494311822756.1924</v>
      </c>
      <c r="AG4" s="181">
        <f ca="1">'Aggregate Calcs'!AM36</f>
        <v>4559509280880.2988</v>
      </c>
    </row>
    <row r="5" spans="1:33" x14ac:dyDescent="0.25">
      <c r="A5" s="4" t="s">
        <v>6</v>
      </c>
      <c r="B5" s="181">
        <f ca="1">'Aggregate Calcs'!H37</f>
        <v>6142950973691.7041</v>
      </c>
      <c r="C5" s="181">
        <f ca="1">'Aggregate Calcs'!I37</f>
        <v>6199013844597.0059</v>
      </c>
      <c r="D5" s="181">
        <f ca="1">'Aggregate Calcs'!J37</f>
        <v>6255076715502.3096</v>
      </c>
      <c r="E5" s="181">
        <f ca="1">'Aggregate Calcs'!K37</f>
        <v>6311139586407.6123</v>
      </c>
      <c r="F5" s="181">
        <f ca="1">'Aggregate Calcs'!L37</f>
        <v>6353162506711.2598</v>
      </c>
      <c r="G5" s="181">
        <f ca="1">'Aggregate Calcs'!M37</f>
        <v>6395185427014.9053</v>
      </c>
      <c r="H5" s="181">
        <f ca="1">'Aggregate Calcs'!N37</f>
        <v>6437208347318.5537</v>
      </c>
      <c r="I5" s="181">
        <f ca="1">'Aggregate Calcs'!O37</f>
        <v>6479231267622.2012</v>
      </c>
      <c r="J5" s="181">
        <f ca="1">'Aggregate Calcs'!P37</f>
        <v>6521254187925.8467</v>
      </c>
      <c r="K5" s="181">
        <f ca="1">'Aggregate Calcs'!Q37</f>
        <v>6539932673307.5928</v>
      </c>
      <c r="L5" s="181">
        <f ca="1">'Aggregate Calcs'!R37</f>
        <v>6558611158689.3369</v>
      </c>
      <c r="M5" s="181">
        <f ca="1">'Aggregate Calcs'!S37</f>
        <v>6577289644071.083</v>
      </c>
      <c r="N5" s="181">
        <f ca="1">'Aggregate Calcs'!T37</f>
        <v>6595968129452.8291</v>
      </c>
      <c r="O5" s="181">
        <f ca="1">'Aggregate Calcs'!U37</f>
        <v>6614646614834.5732</v>
      </c>
      <c r="P5" s="181">
        <f ca="1">'Aggregate Calcs'!V37</f>
        <v>6624600366022.416</v>
      </c>
      <c r="Q5" s="181">
        <f ca="1">'Aggregate Calcs'!W37</f>
        <v>6634554117210.2607</v>
      </c>
      <c r="R5" s="181">
        <f ca="1">'Aggregate Calcs'!X37</f>
        <v>6644507868398.1025</v>
      </c>
      <c r="S5" s="181">
        <f ca="1">'Aggregate Calcs'!Y37</f>
        <v>6654461619585.9473</v>
      </c>
      <c r="T5" s="181">
        <f ca="1">'Aggregate Calcs'!Z37</f>
        <v>6664415370773.7891</v>
      </c>
      <c r="U5" s="181">
        <f ca="1">'Aggregate Calcs'!AA37</f>
        <v>6665107791288.2959</v>
      </c>
      <c r="V5" s="181">
        <f ca="1">'Aggregate Calcs'!AB37</f>
        <v>6665800211802.8027</v>
      </c>
      <c r="W5" s="181">
        <f ca="1">'Aggregate Calcs'!AC37</f>
        <v>6666492632317.3086</v>
      </c>
      <c r="X5" s="181">
        <f ca="1">'Aggregate Calcs'!AD37</f>
        <v>6667185052831.8154</v>
      </c>
      <c r="Y5" s="181">
        <f ca="1">'Aggregate Calcs'!AE37</f>
        <v>6667877473346.3203</v>
      </c>
      <c r="Z5" s="181">
        <f ca="1">'Aggregate Calcs'!AF37</f>
        <v>6651554473052.7012</v>
      </c>
      <c r="AA5" s="181">
        <f ca="1">'Aggregate Calcs'!AG37</f>
        <v>6635231472759.0791</v>
      </c>
      <c r="AB5" s="181">
        <f ca="1">'Aggregate Calcs'!AH37</f>
        <v>6618908472465.459</v>
      </c>
      <c r="AC5" s="181">
        <f ca="1">'Aggregate Calcs'!AI37</f>
        <v>6602585472171.8379</v>
      </c>
      <c r="AD5" s="181">
        <f ca="1">'Aggregate Calcs'!AJ37</f>
        <v>6586262471878.2158</v>
      </c>
      <c r="AE5" s="181">
        <f ca="1">'Aggregate Calcs'!AK37</f>
        <v>6569939471584.5947</v>
      </c>
      <c r="AF5" s="181">
        <f ca="1">'Aggregate Calcs'!AL37</f>
        <v>6553616471290.9727</v>
      </c>
      <c r="AG5" s="181">
        <f ca="1">'Aggregate Calcs'!AM37</f>
        <v>6537293470997.3535</v>
      </c>
    </row>
    <row r="6" spans="1:33" x14ac:dyDescent="0.25">
      <c r="A6" s="4" t="s">
        <v>530</v>
      </c>
      <c r="B6" s="181">
        <f ca="1">'Aggregate Calcs'!H38</f>
        <v>83757489668862.375</v>
      </c>
      <c r="C6" s="181">
        <f ca="1">'Aggregate Calcs'!I38</f>
        <v>85629165415652.609</v>
      </c>
      <c r="D6" s="181">
        <f ca="1">'Aggregate Calcs'!J38</f>
        <v>87500841162442.828</v>
      </c>
      <c r="E6" s="181">
        <f ca="1">'Aggregate Calcs'!K38</f>
        <v>89372516909233.031</v>
      </c>
      <c r="F6" s="181">
        <f ca="1">'Aggregate Calcs'!L38</f>
        <v>90238166942123.516</v>
      </c>
      <c r="G6" s="181">
        <f ca="1">'Aggregate Calcs'!M38</f>
        <v>91103816975013.984</v>
      </c>
      <c r="H6" s="181">
        <f ca="1">'Aggregate Calcs'!N38</f>
        <v>91969467007904.469</v>
      </c>
      <c r="I6" s="181">
        <f ca="1">'Aggregate Calcs'!O38</f>
        <v>92835117040794.969</v>
      </c>
      <c r="J6" s="181">
        <f ca="1">'Aggregate Calcs'!P38</f>
        <v>93700767073685.422</v>
      </c>
      <c r="K6" s="181">
        <f ca="1">'Aggregate Calcs'!Q38</f>
        <v>93560391392676.156</v>
      </c>
      <c r="L6" s="181">
        <f ca="1">'Aggregate Calcs'!R38</f>
        <v>93420015711666.906</v>
      </c>
      <c r="M6" s="181">
        <f ca="1">'Aggregate Calcs'!S38</f>
        <v>93279640030657.625</v>
      </c>
      <c r="N6" s="181">
        <f ca="1">'Aggregate Calcs'!T38</f>
        <v>93139264349648.359</v>
      </c>
      <c r="O6" s="181">
        <f ca="1">'Aggregate Calcs'!U38</f>
        <v>92998888668639.109</v>
      </c>
      <c r="P6" s="181">
        <f ca="1">'Aggregate Calcs'!V38</f>
        <v>92881908934464.703</v>
      </c>
      <c r="Q6" s="181">
        <f ca="1">'Aggregate Calcs'!W38</f>
        <v>92764929200290.328</v>
      </c>
      <c r="R6" s="181">
        <f ca="1">'Aggregate Calcs'!X38</f>
        <v>92647949466115.922</v>
      </c>
      <c r="S6" s="181">
        <f ca="1">'Aggregate Calcs'!Y38</f>
        <v>92530969731941.547</v>
      </c>
      <c r="T6" s="181">
        <f ca="1">'Aggregate Calcs'!Z38</f>
        <v>92413989997767.172</v>
      </c>
      <c r="U6" s="181">
        <f ca="1">'Aggregate Calcs'!AA38</f>
        <v>89208745281388.906</v>
      </c>
      <c r="V6" s="181">
        <f ca="1">'Aggregate Calcs'!AB38</f>
        <v>86003500565010.641</v>
      </c>
      <c r="W6" s="181">
        <f ca="1">'Aggregate Calcs'!AC38</f>
        <v>82798255848632.406</v>
      </c>
      <c r="X6" s="181">
        <f ca="1">'Aggregate Calcs'!AD38</f>
        <v>79593011132254.141</v>
      </c>
      <c r="Y6" s="181">
        <f ca="1">'Aggregate Calcs'!AE38</f>
        <v>76387766415875.891</v>
      </c>
      <c r="Z6" s="181">
        <f ca="1">'Aggregate Calcs'!AF38</f>
        <v>73744024423534.688</v>
      </c>
      <c r="AA6" s="181">
        <f ca="1">'Aggregate Calcs'!AG38</f>
        <v>71100282431193.5</v>
      </c>
      <c r="AB6" s="181">
        <f ca="1">'Aggregate Calcs'!AH38</f>
        <v>68456540438852.32</v>
      </c>
      <c r="AC6" s="181">
        <f ca="1">'Aggregate Calcs'!AI38</f>
        <v>65812798446511.141</v>
      </c>
      <c r="AD6" s="181">
        <f ca="1">'Aggregate Calcs'!AJ38</f>
        <v>63169056454169.945</v>
      </c>
      <c r="AE6" s="181">
        <f ca="1">'Aggregate Calcs'!AK38</f>
        <v>60525314461828.75</v>
      </c>
      <c r="AF6" s="181">
        <f ca="1">'Aggregate Calcs'!AL38</f>
        <v>57881572469487.57</v>
      </c>
      <c r="AG6" s="181">
        <f ca="1">'Aggregate Calcs'!AM38</f>
        <v>55237830477146.375</v>
      </c>
    </row>
    <row r="7" spans="1:33" x14ac:dyDescent="0.25">
      <c r="A7" s="4" t="s">
        <v>531</v>
      </c>
      <c r="B7" s="181">
        <f ca="1">'Aggregate Calcs'!H39</f>
        <v>0</v>
      </c>
      <c r="C7" s="181">
        <f ca="1">'Aggregate Calcs'!I39</f>
        <v>0</v>
      </c>
      <c r="D7" s="181">
        <f ca="1">'Aggregate Calcs'!J39</f>
        <v>0</v>
      </c>
      <c r="E7" s="181">
        <f ca="1">'Aggregate Calcs'!K39</f>
        <v>0</v>
      </c>
      <c r="F7" s="181">
        <f ca="1">'Aggregate Calcs'!L39</f>
        <v>0</v>
      </c>
      <c r="G7" s="181">
        <f ca="1">'Aggregate Calcs'!M39</f>
        <v>0</v>
      </c>
      <c r="H7" s="181">
        <f ca="1">'Aggregate Calcs'!N39</f>
        <v>0</v>
      </c>
      <c r="I7" s="181">
        <f ca="1">'Aggregate Calcs'!O39</f>
        <v>0</v>
      </c>
      <c r="J7" s="181">
        <f ca="1">'Aggregate Calcs'!P39</f>
        <v>0</v>
      </c>
      <c r="K7" s="181">
        <f ca="1">'Aggregate Calcs'!Q39</f>
        <v>0</v>
      </c>
      <c r="L7" s="181">
        <f ca="1">'Aggregate Calcs'!R39</f>
        <v>0</v>
      </c>
      <c r="M7" s="181">
        <f ca="1">'Aggregate Calcs'!S39</f>
        <v>0</v>
      </c>
      <c r="N7" s="181">
        <f ca="1">'Aggregate Calcs'!T39</f>
        <v>0</v>
      </c>
      <c r="O7" s="181">
        <f ca="1">'Aggregate Calcs'!U39</f>
        <v>0</v>
      </c>
      <c r="P7" s="181">
        <f ca="1">'Aggregate Calcs'!V39</f>
        <v>0</v>
      </c>
      <c r="Q7" s="181">
        <f ca="1">'Aggregate Calcs'!W39</f>
        <v>0</v>
      </c>
      <c r="R7" s="181">
        <f ca="1">'Aggregate Calcs'!X39</f>
        <v>0</v>
      </c>
      <c r="S7" s="181">
        <f ca="1">'Aggregate Calcs'!Y39</f>
        <v>0</v>
      </c>
      <c r="T7" s="181">
        <f ca="1">'Aggregate Calcs'!Z39</f>
        <v>0</v>
      </c>
      <c r="U7" s="181">
        <f ca="1">'Aggregate Calcs'!AA39</f>
        <v>0</v>
      </c>
      <c r="V7" s="181">
        <f ca="1">'Aggregate Calcs'!AB39</f>
        <v>0</v>
      </c>
      <c r="W7" s="181">
        <f ca="1">'Aggregate Calcs'!AC39</f>
        <v>0</v>
      </c>
      <c r="X7" s="181">
        <f ca="1">'Aggregate Calcs'!AD39</f>
        <v>0</v>
      </c>
      <c r="Y7" s="181">
        <f ca="1">'Aggregate Calcs'!AE39</f>
        <v>0</v>
      </c>
      <c r="Z7" s="181">
        <f ca="1">'Aggregate Calcs'!AF39</f>
        <v>0</v>
      </c>
      <c r="AA7" s="181">
        <f ca="1">'Aggregate Calcs'!AG39</f>
        <v>0</v>
      </c>
      <c r="AB7" s="181">
        <f ca="1">'Aggregate Calcs'!AH39</f>
        <v>0</v>
      </c>
      <c r="AC7" s="181">
        <f ca="1">'Aggregate Calcs'!AI39</f>
        <v>0</v>
      </c>
      <c r="AD7" s="181">
        <f ca="1">'Aggregate Calcs'!AJ39</f>
        <v>0</v>
      </c>
      <c r="AE7" s="181">
        <f ca="1">'Aggregate Calcs'!AK39</f>
        <v>0</v>
      </c>
      <c r="AF7" s="181">
        <f ca="1">'Aggregate Calcs'!AL39</f>
        <v>0</v>
      </c>
      <c r="AG7" s="181">
        <f ca="1">'Aggregate Calcs'!AM39</f>
        <v>0</v>
      </c>
    </row>
    <row r="8" spans="1:33" x14ac:dyDescent="0.25">
      <c r="A8" s="4" t="s">
        <v>11</v>
      </c>
      <c r="B8" s="181">
        <f ca="1">'Aggregate Calcs'!H40</f>
        <v>25674981623609.734</v>
      </c>
      <c r="C8" s="181">
        <f ca="1">'Aggregate Calcs'!I40</f>
        <v>27070380233366.012</v>
      </c>
      <c r="D8" s="181">
        <f ca="1">'Aggregate Calcs'!J40</f>
        <v>28465778843122.301</v>
      </c>
      <c r="E8" s="181">
        <f ca="1">'Aggregate Calcs'!K40</f>
        <v>29861177452878.59</v>
      </c>
      <c r="F8" s="181">
        <f ca="1">'Aggregate Calcs'!L40</f>
        <v>31486388277989.16</v>
      </c>
      <c r="G8" s="181">
        <f ca="1">'Aggregate Calcs'!M40</f>
        <v>33111599103099.738</v>
      </c>
      <c r="H8" s="181">
        <f ca="1">'Aggregate Calcs'!N40</f>
        <v>34736809928210.316</v>
      </c>
      <c r="I8" s="181">
        <f ca="1">'Aggregate Calcs'!O40</f>
        <v>36362020753320.898</v>
      </c>
      <c r="J8" s="181">
        <f ca="1">'Aggregate Calcs'!P40</f>
        <v>37987231578431.469</v>
      </c>
      <c r="K8" s="181">
        <f ca="1">'Aggregate Calcs'!Q40</f>
        <v>39259768850600.656</v>
      </c>
      <c r="L8" s="181">
        <f ca="1">'Aggregate Calcs'!R40</f>
        <v>40532306122769.852</v>
      </c>
      <c r="M8" s="181">
        <f ca="1">'Aggregate Calcs'!S40</f>
        <v>41804843394939.039</v>
      </c>
      <c r="N8" s="181">
        <f ca="1">'Aggregate Calcs'!T40</f>
        <v>43077380667108.234</v>
      </c>
      <c r="O8" s="181">
        <f ca="1">'Aggregate Calcs'!U40</f>
        <v>44349917939277.43</v>
      </c>
      <c r="P8" s="181">
        <f ca="1">'Aggregate Calcs'!V40</f>
        <v>44479523751650.82</v>
      </c>
      <c r="Q8" s="181">
        <f ca="1">'Aggregate Calcs'!W40</f>
        <v>44609129564024.203</v>
      </c>
      <c r="R8" s="181">
        <f ca="1">'Aggregate Calcs'!X40</f>
        <v>44738735376397.602</v>
      </c>
      <c r="S8" s="181">
        <f ca="1">'Aggregate Calcs'!Y40</f>
        <v>44868341188770.992</v>
      </c>
      <c r="T8" s="181">
        <f ca="1">'Aggregate Calcs'!Z40</f>
        <v>44997947001144.391</v>
      </c>
      <c r="U8" s="181">
        <f ca="1">'Aggregate Calcs'!AA40</f>
        <v>45123078934791.32</v>
      </c>
      <c r="V8" s="181">
        <f ca="1">'Aggregate Calcs'!AB40</f>
        <v>45248210868438.258</v>
      </c>
      <c r="W8" s="181">
        <f ca="1">'Aggregate Calcs'!AC40</f>
        <v>45373342802085.188</v>
      </c>
      <c r="X8" s="181">
        <f ca="1">'Aggregate Calcs'!AD40</f>
        <v>45498474735732.117</v>
      </c>
      <c r="Y8" s="181">
        <f ca="1">'Aggregate Calcs'!AE40</f>
        <v>45623606669379.055</v>
      </c>
      <c r="Z8" s="181">
        <f ca="1">'Aggregate Calcs'!AF40</f>
        <v>45616298493836.344</v>
      </c>
      <c r="AA8" s="181">
        <f ca="1">'Aggregate Calcs'!AG40</f>
        <v>45608990318293.617</v>
      </c>
      <c r="AB8" s="181">
        <f ca="1">'Aggregate Calcs'!AH40</f>
        <v>45601682142750.898</v>
      </c>
      <c r="AC8" s="181">
        <f ca="1">'Aggregate Calcs'!AI40</f>
        <v>45594373967208.188</v>
      </c>
      <c r="AD8" s="181">
        <f ca="1">'Aggregate Calcs'!AJ40</f>
        <v>45587065791665.469</v>
      </c>
      <c r="AE8" s="181">
        <f ca="1">'Aggregate Calcs'!AK40</f>
        <v>45579757616122.742</v>
      </c>
      <c r="AF8" s="181">
        <f ca="1">'Aggregate Calcs'!AL40</f>
        <v>45572449440580.031</v>
      </c>
      <c r="AG8" s="181">
        <f ca="1">'Aggregate Calcs'!AM40</f>
        <v>45565141265037.313</v>
      </c>
    </row>
    <row r="9" spans="1:33" x14ac:dyDescent="0.25">
      <c r="A9" s="4" t="s">
        <v>532</v>
      </c>
      <c r="B9" s="181">
        <f ca="1">'Aggregate Calcs'!H41</f>
        <v>580629170137008</v>
      </c>
      <c r="C9" s="181">
        <f ca="1">'Aggregate Calcs'!I41</f>
        <v>589691273473687.88</v>
      </c>
      <c r="D9" s="181">
        <f ca="1">'Aggregate Calcs'!J41</f>
        <v>598753376810367.75</v>
      </c>
      <c r="E9" s="181">
        <f ca="1">'Aggregate Calcs'!K41</f>
        <v>607815480147047.5</v>
      </c>
      <c r="F9" s="181">
        <f ca="1">'Aggregate Calcs'!L41</f>
        <v>618814944498640.88</v>
      </c>
      <c r="G9" s="181">
        <f ca="1">'Aggregate Calcs'!M41</f>
        <v>629814408850234.13</v>
      </c>
      <c r="H9" s="181">
        <f ca="1">'Aggregate Calcs'!N41</f>
        <v>640813873201827.25</v>
      </c>
      <c r="I9" s="181">
        <f ca="1">'Aggregate Calcs'!O41</f>
        <v>651813337553420.75</v>
      </c>
      <c r="J9" s="181">
        <f ca="1">'Aggregate Calcs'!P41</f>
        <v>662812801905014</v>
      </c>
      <c r="K9" s="181">
        <f ca="1">'Aggregate Calcs'!Q41</f>
        <v>674342507312744</v>
      </c>
      <c r="L9" s="181">
        <f ca="1">'Aggregate Calcs'!R41</f>
        <v>685872212720474</v>
      </c>
      <c r="M9" s="181">
        <f ca="1">'Aggregate Calcs'!S41</f>
        <v>697401918128204</v>
      </c>
      <c r="N9" s="181">
        <f ca="1">'Aggregate Calcs'!T41</f>
        <v>708931623535934</v>
      </c>
      <c r="O9" s="181">
        <f ca="1">'Aggregate Calcs'!U41</f>
        <v>720461328943663.88</v>
      </c>
      <c r="P9" s="181">
        <f ca="1">'Aggregate Calcs'!V41</f>
        <v>735934161860833.13</v>
      </c>
      <c r="Q9" s="181">
        <f ca="1">'Aggregate Calcs'!W41</f>
        <v>751406994778002</v>
      </c>
      <c r="R9" s="181">
        <f ca="1">'Aggregate Calcs'!X41</f>
        <v>766879827695171.25</v>
      </c>
      <c r="S9" s="181">
        <f ca="1">'Aggregate Calcs'!Y41</f>
        <v>782352660612340.25</v>
      </c>
      <c r="T9" s="181">
        <f ca="1">'Aggregate Calcs'!Z41</f>
        <v>797825493529509.25</v>
      </c>
      <c r="U9" s="181">
        <f ca="1">'Aggregate Calcs'!AA41</f>
        <v>820334531933754.75</v>
      </c>
      <c r="V9" s="181">
        <f ca="1">'Aggregate Calcs'!AB41</f>
        <v>842843570338000</v>
      </c>
      <c r="W9" s="181">
        <f ca="1">'Aggregate Calcs'!AC41</f>
        <v>865352608742245.5</v>
      </c>
      <c r="X9" s="181">
        <f ca="1">'Aggregate Calcs'!AD41</f>
        <v>887861647146490.88</v>
      </c>
      <c r="Y9" s="181">
        <f ca="1">'Aggregate Calcs'!AE41</f>
        <v>910370685550736.38</v>
      </c>
      <c r="Z9" s="181">
        <f ca="1">'Aggregate Calcs'!AF41</f>
        <v>927207840781244.38</v>
      </c>
      <c r="AA9" s="181">
        <f ca="1">'Aggregate Calcs'!AG41</f>
        <v>944044996011752.5</v>
      </c>
      <c r="AB9" s="181">
        <f ca="1">'Aggregate Calcs'!AH41</f>
        <v>960882151242260.75</v>
      </c>
      <c r="AC9" s="181">
        <f ca="1">'Aggregate Calcs'!AI41</f>
        <v>977719306472768.75</v>
      </c>
      <c r="AD9" s="181">
        <f ca="1">'Aggregate Calcs'!AJ41</f>
        <v>994556461703276.88</v>
      </c>
      <c r="AE9" s="181">
        <f ca="1">'Aggregate Calcs'!AK41</f>
        <v>1011393616933784.9</v>
      </c>
      <c r="AF9" s="181">
        <f ca="1">'Aggregate Calcs'!AL41</f>
        <v>1028230772164293.1</v>
      </c>
      <c r="AG9" s="181">
        <f ca="1">'Aggregate Calcs'!AM41</f>
        <v>1045067927394801.4</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529</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530</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531</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532</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92" t="s">
        <v>136</v>
      </c>
      <c r="B1" s="493"/>
      <c r="C1" s="494"/>
      <c r="F1" s="495" t="s">
        <v>161</v>
      </c>
      <c r="G1" s="496"/>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92" t="s">
        <v>202</v>
      </c>
      <c r="G13" s="493"/>
      <c r="H13" s="494"/>
    </row>
    <row r="14" spans="1:8" x14ac:dyDescent="0.25">
      <c r="A14" s="109" t="s">
        <v>151</v>
      </c>
      <c r="B14" s="110">
        <v>0.74</v>
      </c>
      <c r="C14" s="110">
        <v>5.5</v>
      </c>
      <c r="F14" s="106" t="s">
        <v>203</v>
      </c>
      <c r="G14" s="497" t="s">
        <v>204</v>
      </c>
      <c r="H14" s="498"/>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23">
        <v>3.9656699999999998</v>
      </c>
      <c r="B29" t="s">
        <v>628</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91">
        <f>'Heat content of coal'!B9</f>
        <v>3616.0720537220332</v>
      </c>
      <c r="C32" s="4" t="s">
        <v>625</v>
      </c>
      <c r="F32" s="134"/>
      <c r="G32" s="135"/>
      <c r="H32" s="133" t="s">
        <v>230</v>
      </c>
    </row>
    <row r="33" spans="1:8" x14ac:dyDescent="0.25">
      <c r="A33" s="4"/>
      <c r="B33" s="4">
        <f>B32*A29</f>
        <v>14340.148461283854</v>
      </c>
      <c r="C33" s="4" t="s">
        <v>626</v>
      </c>
      <c r="F33" s="134"/>
      <c r="G33" s="135"/>
      <c r="H33" s="133" t="s">
        <v>231</v>
      </c>
    </row>
    <row r="34" spans="1:8" x14ac:dyDescent="0.25">
      <c r="A34" s="4"/>
      <c r="B34" s="4">
        <f>B33*1000</f>
        <v>14340148.461283853</v>
      </c>
      <c r="C34" s="4" t="s">
        <v>627</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529</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530</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531</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532</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Calcs'!H58</f>
        <v>0</v>
      </c>
      <c r="C2" s="4">
        <f ca="1">'Aggregate Calcs'!I58</f>
        <v>0</v>
      </c>
      <c r="D2" s="4">
        <f ca="1">'Aggregate Calcs'!J58</f>
        <v>0</v>
      </c>
      <c r="E2" s="4">
        <f ca="1">'Aggregate Calcs'!K58</f>
        <v>0</v>
      </c>
      <c r="F2" s="4">
        <f ca="1">'Aggregate Calcs'!L58</f>
        <v>0</v>
      </c>
      <c r="G2" s="4">
        <f ca="1">'Aggregate Calcs'!M58</f>
        <v>0</v>
      </c>
      <c r="H2" s="4">
        <f ca="1">'Aggregate Calcs'!N58</f>
        <v>0</v>
      </c>
      <c r="I2" s="4">
        <f ca="1">'Aggregate Calcs'!O58</f>
        <v>0</v>
      </c>
      <c r="J2" s="4">
        <f ca="1">'Aggregate Calcs'!P58</f>
        <v>0</v>
      </c>
      <c r="K2" s="4">
        <f ca="1">'Aggregate Calcs'!Q58</f>
        <v>0</v>
      </c>
      <c r="L2" s="4">
        <f ca="1">'Aggregate Calcs'!R58</f>
        <v>0</v>
      </c>
      <c r="M2" s="4">
        <f ca="1">'Aggregate Calcs'!S58</f>
        <v>0</v>
      </c>
      <c r="N2" s="4">
        <f ca="1">'Aggregate Calcs'!T58</f>
        <v>0</v>
      </c>
      <c r="O2" s="4">
        <f ca="1">'Aggregate Calcs'!U58</f>
        <v>0</v>
      </c>
      <c r="P2" s="4">
        <f ca="1">'Aggregate Calcs'!V58</f>
        <v>0</v>
      </c>
      <c r="Q2" s="4">
        <f ca="1">'Aggregate Calcs'!W58</f>
        <v>0</v>
      </c>
      <c r="R2" s="4">
        <f ca="1">'Aggregate Calcs'!X58</f>
        <v>0</v>
      </c>
      <c r="S2" s="4">
        <f ca="1">'Aggregate Calcs'!Y58</f>
        <v>0</v>
      </c>
      <c r="T2" s="4">
        <f ca="1">'Aggregate Calcs'!Z58</f>
        <v>0</v>
      </c>
      <c r="U2" s="4">
        <f ca="1">'Aggregate Calcs'!AA58</f>
        <v>0</v>
      </c>
      <c r="V2" s="4">
        <f ca="1">'Aggregate Calcs'!AB58</f>
        <v>0</v>
      </c>
      <c r="W2" s="4">
        <f ca="1">'Aggregate Calcs'!AC58</f>
        <v>0</v>
      </c>
      <c r="X2" s="4">
        <f ca="1">'Aggregate Calcs'!AD58</f>
        <v>0</v>
      </c>
      <c r="Y2" s="4">
        <f ca="1">'Aggregate Calcs'!AE58</f>
        <v>0</v>
      </c>
      <c r="Z2" s="4">
        <f ca="1">'Aggregate Calcs'!AF58</f>
        <v>0</v>
      </c>
      <c r="AA2" s="4">
        <f ca="1">'Aggregate Calcs'!AG58</f>
        <v>0</v>
      </c>
      <c r="AB2" s="4">
        <f ca="1">'Aggregate Calcs'!AH58</f>
        <v>0</v>
      </c>
      <c r="AC2" s="4">
        <f ca="1">'Aggregate Calcs'!AI58</f>
        <v>0</v>
      </c>
      <c r="AD2" s="4">
        <f ca="1">'Aggregate Calcs'!AJ58</f>
        <v>0</v>
      </c>
      <c r="AE2" s="4">
        <f ca="1">'Aggregate Calcs'!AK58</f>
        <v>0</v>
      </c>
      <c r="AF2" s="4">
        <f ca="1">'Aggregate Calcs'!AL58</f>
        <v>0</v>
      </c>
      <c r="AG2" s="4">
        <f ca="1">'Aggregate Calcs'!AM58</f>
        <v>0</v>
      </c>
    </row>
    <row r="3" spans="1:33" x14ac:dyDescent="0.25">
      <c r="A3" s="4" t="s">
        <v>529</v>
      </c>
      <c r="B3" s="4">
        <f ca="1">'Aggregate Calcs'!H59</f>
        <v>0</v>
      </c>
      <c r="C3" s="4">
        <f ca="1">'Aggregate Calcs'!I59</f>
        <v>0</v>
      </c>
      <c r="D3" s="4">
        <f ca="1">'Aggregate Calcs'!J59</f>
        <v>0</v>
      </c>
      <c r="E3" s="4">
        <f ca="1">'Aggregate Calcs'!K59</f>
        <v>0</v>
      </c>
      <c r="F3" s="4">
        <f ca="1">'Aggregate Calcs'!L59</f>
        <v>0</v>
      </c>
      <c r="G3" s="4">
        <f ca="1">'Aggregate Calcs'!M59</f>
        <v>0</v>
      </c>
      <c r="H3" s="4">
        <f ca="1">'Aggregate Calcs'!N59</f>
        <v>0</v>
      </c>
      <c r="I3" s="4">
        <f ca="1">'Aggregate Calcs'!O59</f>
        <v>0</v>
      </c>
      <c r="J3" s="4">
        <f ca="1">'Aggregate Calcs'!P59</f>
        <v>0</v>
      </c>
      <c r="K3" s="4">
        <f ca="1">'Aggregate Calcs'!Q59</f>
        <v>0</v>
      </c>
      <c r="L3" s="4">
        <f ca="1">'Aggregate Calcs'!R59</f>
        <v>0</v>
      </c>
      <c r="M3" s="4">
        <f ca="1">'Aggregate Calcs'!S59</f>
        <v>0</v>
      </c>
      <c r="N3" s="4">
        <f ca="1">'Aggregate Calcs'!T59</f>
        <v>0</v>
      </c>
      <c r="O3" s="4">
        <f ca="1">'Aggregate Calcs'!U59</f>
        <v>0</v>
      </c>
      <c r="P3" s="4">
        <f ca="1">'Aggregate Calcs'!V59</f>
        <v>0</v>
      </c>
      <c r="Q3" s="4">
        <f ca="1">'Aggregate Calcs'!W59</f>
        <v>0</v>
      </c>
      <c r="R3" s="4">
        <f ca="1">'Aggregate Calcs'!X59</f>
        <v>0</v>
      </c>
      <c r="S3" s="4">
        <f ca="1">'Aggregate Calcs'!Y59</f>
        <v>0</v>
      </c>
      <c r="T3" s="4">
        <f ca="1">'Aggregate Calcs'!Z59</f>
        <v>0</v>
      </c>
      <c r="U3" s="4">
        <f ca="1">'Aggregate Calcs'!AA59</f>
        <v>0</v>
      </c>
      <c r="V3" s="4">
        <f ca="1">'Aggregate Calcs'!AB59</f>
        <v>0</v>
      </c>
      <c r="W3" s="4">
        <f ca="1">'Aggregate Calcs'!AC59</f>
        <v>0</v>
      </c>
      <c r="X3" s="4">
        <f ca="1">'Aggregate Calcs'!AD59</f>
        <v>0</v>
      </c>
      <c r="Y3" s="4">
        <f ca="1">'Aggregate Calcs'!AE59</f>
        <v>0</v>
      </c>
      <c r="Z3" s="4">
        <f ca="1">'Aggregate Calcs'!AF59</f>
        <v>0</v>
      </c>
      <c r="AA3" s="4">
        <f ca="1">'Aggregate Calcs'!AG59</f>
        <v>0</v>
      </c>
      <c r="AB3" s="4">
        <f ca="1">'Aggregate Calcs'!AH59</f>
        <v>0</v>
      </c>
      <c r="AC3" s="4">
        <f ca="1">'Aggregate Calcs'!AI59</f>
        <v>0</v>
      </c>
      <c r="AD3" s="4">
        <f ca="1">'Aggregate Calcs'!AJ59</f>
        <v>0</v>
      </c>
      <c r="AE3" s="4">
        <f ca="1">'Aggregate Calcs'!AK59</f>
        <v>0</v>
      </c>
      <c r="AF3" s="4">
        <f ca="1">'Aggregate Calcs'!AL59</f>
        <v>0</v>
      </c>
      <c r="AG3" s="4">
        <f ca="1">'Aggregate Calcs'!AM59</f>
        <v>0</v>
      </c>
    </row>
    <row r="4" spans="1:33" x14ac:dyDescent="0.25">
      <c r="A4" s="4" t="s">
        <v>27</v>
      </c>
      <c r="B4" s="4">
        <f>'Aggregate Calcs'!H60</f>
        <v>0</v>
      </c>
      <c r="C4" s="4">
        <f>'Aggregate Calcs'!I60</f>
        <v>0</v>
      </c>
      <c r="D4" s="4">
        <f>'Aggregate Calcs'!J60</f>
        <v>0</v>
      </c>
      <c r="E4" s="4">
        <f>'Aggregate Calcs'!K60</f>
        <v>0</v>
      </c>
      <c r="F4" s="4">
        <f>'Aggregate Calcs'!L60</f>
        <v>0</v>
      </c>
      <c r="G4" s="4">
        <f>'Aggregate Calcs'!M60</f>
        <v>0</v>
      </c>
      <c r="H4" s="4">
        <f>'Aggregate Calcs'!N60</f>
        <v>0</v>
      </c>
      <c r="I4" s="4">
        <f>'Aggregate Calcs'!O60</f>
        <v>0</v>
      </c>
      <c r="J4" s="4">
        <f>'Aggregate Calcs'!P60</f>
        <v>0</v>
      </c>
      <c r="K4" s="4">
        <f>'Aggregate Calcs'!Q60</f>
        <v>0</v>
      </c>
      <c r="L4" s="4">
        <f>'Aggregate Calcs'!R60</f>
        <v>0</v>
      </c>
      <c r="M4" s="4">
        <f>'Aggregate Calcs'!S60</f>
        <v>0</v>
      </c>
      <c r="N4" s="4">
        <f>'Aggregate Calcs'!T60</f>
        <v>0</v>
      </c>
      <c r="O4" s="4">
        <f>'Aggregate Calcs'!U60</f>
        <v>0</v>
      </c>
      <c r="P4" s="4">
        <f>'Aggregate Calcs'!V60</f>
        <v>0</v>
      </c>
      <c r="Q4" s="4">
        <f>'Aggregate Calcs'!W60</f>
        <v>0</v>
      </c>
      <c r="R4" s="4">
        <f>'Aggregate Calcs'!X60</f>
        <v>0</v>
      </c>
      <c r="S4" s="4">
        <f>'Aggregate Calcs'!Y60</f>
        <v>0</v>
      </c>
      <c r="T4" s="4">
        <f>'Aggregate Calcs'!Z60</f>
        <v>0</v>
      </c>
      <c r="U4" s="4">
        <f>'Aggregate Calcs'!AA60</f>
        <v>0</v>
      </c>
      <c r="V4" s="4">
        <f>'Aggregate Calcs'!AB60</f>
        <v>0</v>
      </c>
      <c r="W4" s="4">
        <f>'Aggregate Calcs'!AC60</f>
        <v>0</v>
      </c>
      <c r="X4" s="4">
        <f>'Aggregate Calcs'!AD60</f>
        <v>0</v>
      </c>
      <c r="Y4" s="4">
        <f>'Aggregate Calcs'!AE60</f>
        <v>0</v>
      </c>
      <c r="Z4" s="4">
        <f>'Aggregate Calcs'!AF60</f>
        <v>0</v>
      </c>
      <c r="AA4" s="4">
        <f>'Aggregate Calcs'!AG60</f>
        <v>0</v>
      </c>
      <c r="AB4" s="4">
        <f>'Aggregate Calcs'!AH60</f>
        <v>0</v>
      </c>
      <c r="AC4" s="4">
        <f>'Aggregate Calcs'!AI60</f>
        <v>0</v>
      </c>
      <c r="AD4" s="4">
        <f>'Aggregate Calcs'!AJ60</f>
        <v>0</v>
      </c>
      <c r="AE4" s="4">
        <f>'Aggregate Calcs'!AK60</f>
        <v>0</v>
      </c>
      <c r="AF4" s="4">
        <f>'Aggregate Calcs'!AL60</f>
        <v>0</v>
      </c>
      <c r="AG4" s="4">
        <f>'Aggregate Calcs'!AM60</f>
        <v>0</v>
      </c>
    </row>
    <row r="5" spans="1:33" x14ac:dyDescent="0.25">
      <c r="A5" s="4" t="s">
        <v>6</v>
      </c>
      <c r="B5" s="4">
        <f ca="1">'Aggregate Calcs'!H61</f>
        <v>2001538243676.2861</v>
      </c>
      <c r="C5" s="4">
        <f ca="1">'Aggregate Calcs'!I61</f>
        <v>2019805031193.8518</v>
      </c>
      <c r="D5" s="4">
        <f ca="1">'Aggregate Calcs'!J61</f>
        <v>2038071818711.4177</v>
      </c>
      <c r="E5" s="4">
        <f ca="1">'Aggregate Calcs'!K61</f>
        <v>2056338606228.9836</v>
      </c>
      <c r="F5" s="4">
        <f ca="1">'Aggregate Calcs'!L61</f>
        <v>2070030801146.2031</v>
      </c>
      <c r="G5" s="4">
        <f ca="1">'Aggregate Calcs'!M61</f>
        <v>2083722996063.4224</v>
      </c>
      <c r="H5" s="4">
        <f ca="1">'Aggregate Calcs'!N61</f>
        <v>2097415190980.6423</v>
      </c>
      <c r="I5" s="4">
        <f ca="1">'Aggregate Calcs'!O61</f>
        <v>2111107385897.8618</v>
      </c>
      <c r="J5" s="4">
        <f ca="1">'Aggregate Calcs'!P61</f>
        <v>2124799580815.0808</v>
      </c>
      <c r="K5" s="4">
        <f ca="1">'Aggregate Calcs'!Q61</f>
        <v>2130885532499.4788</v>
      </c>
      <c r="L5" s="4">
        <f ca="1">'Aggregate Calcs'!R61</f>
        <v>2136971484183.8762</v>
      </c>
      <c r="M5" s="4">
        <f ca="1">'Aggregate Calcs'!S61</f>
        <v>2143057435868.2742</v>
      </c>
      <c r="N5" s="4">
        <f ca="1">'Aggregate Calcs'!T61</f>
        <v>2149143387552.6721</v>
      </c>
      <c r="O5" s="4">
        <f ca="1">'Aggregate Calcs'!U61</f>
        <v>2155229339237.0696</v>
      </c>
      <c r="P5" s="4">
        <f ca="1">'Aggregate Calcs'!V61</f>
        <v>2158472538434.9514</v>
      </c>
      <c r="Q5" s="4">
        <f ca="1">'Aggregate Calcs'!W61</f>
        <v>2161715737632.834</v>
      </c>
      <c r="R5" s="4">
        <f ca="1">'Aggregate Calcs'!X61</f>
        <v>2164958936830.7158</v>
      </c>
      <c r="S5" s="4">
        <f ca="1">'Aggregate Calcs'!Y61</f>
        <v>2168202136028.5984</v>
      </c>
      <c r="T5" s="4">
        <f ca="1">'Aggregate Calcs'!Z61</f>
        <v>2171445335226.4802</v>
      </c>
      <c r="U5" s="4">
        <f ca="1">'Aggregate Calcs'!AA61</f>
        <v>2171670944407.8699</v>
      </c>
      <c r="V5" s="4">
        <f ca="1">'Aggregate Calcs'!AB61</f>
        <v>2171896553589.2595</v>
      </c>
      <c r="W5" s="4">
        <f ca="1">'Aggregate Calcs'!AC61</f>
        <v>2172122162770.6489</v>
      </c>
      <c r="X5" s="4">
        <f ca="1">'Aggregate Calcs'!AD61</f>
        <v>2172347771952.0386</v>
      </c>
      <c r="Y5" s="4">
        <f ca="1">'Aggregate Calcs'!AE61</f>
        <v>2172573381133.4277</v>
      </c>
      <c r="Z5" s="4">
        <f ca="1">'Aggregate Calcs'!AF61</f>
        <v>2167254909688.8179</v>
      </c>
      <c r="AA5" s="4">
        <f ca="1">'Aggregate Calcs'!AG61</f>
        <v>2161936438244.207</v>
      </c>
      <c r="AB5" s="4">
        <f ca="1">'Aggregate Calcs'!AH61</f>
        <v>2156617966799.5964</v>
      </c>
      <c r="AC5" s="4">
        <f ca="1">'Aggregate Calcs'!AI61</f>
        <v>2151299495354.9861</v>
      </c>
      <c r="AD5" s="4">
        <f ca="1">'Aggregate Calcs'!AJ61</f>
        <v>2145981023910.3752</v>
      </c>
      <c r="AE5" s="4">
        <f ca="1">'Aggregate Calcs'!AK61</f>
        <v>2140662552465.7649</v>
      </c>
      <c r="AF5" s="4">
        <f ca="1">'Aggregate Calcs'!AL61</f>
        <v>2135344081021.1541</v>
      </c>
      <c r="AG5" s="4">
        <f ca="1">'Aggregate Calcs'!AM61</f>
        <v>2130025609576.5439</v>
      </c>
    </row>
    <row r="6" spans="1:33" x14ac:dyDescent="0.25">
      <c r="A6" s="4" t="s">
        <v>530</v>
      </c>
      <c r="B6" s="4">
        <f ca="1">'Aggregate Calcs'!H62</f>
        <v>16493410499472.691</v>
      </c>
      <c r="C6" s="4">
        <f ca="1">'Aggregate Calcs'!I62</f>
        <v>16861978331863.143</v>
      </c>
      <c r="D6" s="4">
        <f ca="1">'Aggregate Calcs'!J62</f>
        <v>17230546164253.596</v>
      </c>
      <c r="E6" s="4">
        <f ca="1">'Aggregate Calcs'!K62</f>
        <v>17599113996644.043</v>
      </c>
      <c r="F6" s="4">
        <f ca="1">'Aggregate Calcs'!L62</f>
        <v>17769576619124.629</v>
      </c>
      <c r="G6" s="4">
        <f ca="1">'Aggregate Calcs'!M62</f>
        <v>17940039241605.211</v>
      </c>
      <c r="H6" s="4">
        <f ca="1">'Aggregate Calcs'!N62</f>
        <v>18110501864085.797</v>
      </c>
      <c r="I6" s="4">
        <f ca="1">'Aggregate Calcs'!O62</f>
        <v>18280964486566.383</v>
      </c>
      <c r="J6" s="4">
        <f ca="1">'Aggregate Calcs'!P62</f>
        <v>18451427109046.965</v>
      </c>
      <c r="K6" s="4">
        <f ca="1">'Aggregate Calcs'!Q62</f>
        <v>18423784521617.68</v>
      </c>
      <c r="L6" s="4">
        <f ca="1">'Aggregate Calcs'!R62</f>
        <v>18396141934188.398</v>
      </c>
      <c r="M6" s="4">
        <f ca="1">'Aggregate Calcs'!S62</f>
        <v>18368499346759.113</v>
      </c>
      <c r="N6" s="4">
        <f ca="1">'Aggregate Calcs'!T62</f>
        <v>18340856759329.828</v>
      </c>
      <c r="O6" s="4">
        <f ca="1">'Aggregate Calcs'!U62</f>
        <v>18313214171900.547</v>
      </c>
      <c r="P6" s="4">
        <f ca="1">'Aggregate Calcs'!V62</f>
        <v>18290178682376.141</v>
      </c>
      <c r="Q6" s="4">
        <f ca="1">'Aggregate Calcs'!W62</f>
        <v>18267143192851.738</v>
      </c>
      <c r="R6" s="4">
        <f ca="1">'Aggregate Calcs'!X62</f>
        <v>18244107703327.332</v>
      </c>
      <c r="S6" s="4">
        <f ca="1">'Aggregate Calcs'!Y62</f>
        <v>18221072213802.934</v>
      </c>
      <c r="T6" s="4">
        <f ca="1">'Aggregate Calcs'!Z62</f>
        <v>18198036724278.531</v>
      </c>
      <c r="U6" s="4">
        <f ca="1">'Aggregate Calcs'!AA62</f>
        <v>17566864311309.883</v>
      </c>
      <c r="V6" s="4">
        <f ca="1">'Aggregate Calcs'!AB62</f>
        <v>16935691898341.23</v>
      </c>
      <c r="W6" s="4">
        <f ca="1">'Aggregate Calcs'!AC62</f>
        <v>16304519485372.586</v>
      </c>
      <c r="X6" s="4">
        <f ca="1">'Aggregate Calcs'!AD62</f>
        <v>15673347072403.938</v>
      </c>
      <c r="Y6" s="4">
        <f ca="1">'Aggregate Calcs'!AE62</f>
        <v>15042174659435.289</v>
      </c>
      <c r="Z6" s="4">
        <f ca="1">'Aggregate Calcs'!AF62</f>
        <v>14521572596183.775</v>
      </c>
      <c r="AA6" s="4">
        <f ca="1">'Aggregate Calcs'!AG62</f>
        <v>14000970532932.262</v>
      </c>
      <c r="AB6" s="4">
        <f ca="1">'Aggregate Calcs'!AH62</f>
        <v>13480368469680.752</v>
      </c>
      <c r="AC6" s="4">
        <f ca="1">'Aggregate Calcs'!AI62</f>
        <v>12959766406429.24</v>
      </c>
      <c r="AD6" s="4">
        <f ca="1">'Aggregate Calcs'!AJ62</f>
        <v>12439164343177.727</v>
      </c>
      <c r="AE6" s="4">
        <f ca="1">'Aggregate Calcs'!AK62</f>
        <v>11918562279926.213</v>
      </c>
      <c r="AF6" s="4">
        <f ca="1">'Aggregate Calcs'!AL62</f>
        <v>11397960216674.701</v>
      </c>
      <c r="AG6" s="4">
        <f ca="1">'Aggregate Calcs'!AM62</f>
        <v>10877358153423.188</v>
      </c>
    </row>
    <row r="7" spans="1:33" x14ac:dyDescent="0.25">
      <c r="A7" s="4" t="s">
        <v>531</v>
      </c>
      <c r="B7" s="4">
        <f ca="1">'Aggregate Calcs'!H63</f>
        <v>0</v>
      </c>
      <c r="C7" s="4">
        <f ca="1">'Aggregate Calcs'!I63</f>
        <v>0</v>
      </c>
      <c r="D7" s="4">
        <f ca="1">'Aggregate Calcs'!J63</f>
        <v>0</v>
      </c>
      <c r="E7" s="4">
        <f ca="1">'Aggregate Calcs'!K63</f>
        <v>0</v>
      </c>
      <c r="F7" s="4">
        <f ca="1">'Aggregate Calcs'!L63</f>
        <v>0</v>
      </c>
      <c r="G7" s="4">
        <f ca="1">'Aggregate Calcs'!M63</f>
        <v>0</v>
      </c>
      <c r="H7" s="4">
        <f ca="1">'Aggregate Calcs'!N63</f>
        <v>0</v>
      </c>
      <c r="I7" s="4">
        <f ca="1">'Aggregate Calcs'!O63</f>
        <v>0</v>
      </c>
      <c r="J7" s="4">
        <f ca="1">'Aggregate Calcs'!P63</f>
        <v>0</v>
      </c>
      <c r="K7" s="4">
        <f ca="1">'Aggregate Calcs'!Q63</f>
        <v>0</v>
      </c>
      <c r="L7" s="4">
        <f ca="1">'Aggregate Calcs'!R63</f>
        <v>0</v>
      </c>
      <c r="M7" s="4">
        <f ca="1">'Aggregate Calcs'!S63</f>
        <v>0</v>
      </c>
      <c r="N7" s="4">
        <f ca="1">'Aggregate Calcs'!T63</f>
        <v>0</v>
      </c>
      <c r="O7" s="4">
        <f ca="1">'Aggregate Calcs'!U63</f>
        <v>0</v>
      </c>
      <c r="P7" s="4">
        <f ca="1">'Aggregate Calcs'!V63</f>
        <v>0</v>
      </c>
      <c r="Q7" s="4">
        <f ca="1">'Aggregate Calcs'!W63</f>
        <v>0</v>
      </c>
      <c r="R7" s="4">
        <f ca="1">'Aggregate Calcs'!X63</f>
        <v>0</v>
      </c>
      <c r="S7" s="4">
        <f ca="1">'Aggregate Calcs'!Y63</f>
        <v>0</v>
      </c>
      <c r="T7" s="4">
        <f ca="1">'Aggregate Calcs'!Z63</f>
        <v>0</v>
      </c>
      <c r="U7" s="4">
        <f ca="1">'Aggregate Calcs'!AA63</f>
        <v>0</v>
      </c>
      <c r="V7" s="4">
        <f ca="1">'Aggregate Calcs'!AB63</f>
        <v>0</v>
      </c>
      <c r="W7" s="4">
        <f ca="1">'Aggregate Calcs'!AC63</f>
        <v>0</v>
      </c>
      <c r="X7" s="4">
        <f ca="1">'Aggregate Calcs'!AD63</f>
        <v>0</v>
      </c>
      <c r="Y7" s="4">
        <f ca="1">'Aggregate Calcs'!AE63</f>
        <v>0</v>
      </c>
      <c r="Z7" s="4">
        <f ca="1">'Aggregate Calcs'!AF63</f>
        <v>0</v>
      </c>
      <c r="AA7" s="4">
        <f ca="1">'Aggregate Calcs'!AG63</f>
        <v>0</v>
      </c>
      <c r="AB7" s="4">
        <f ca="1">'Aggregate Calcs'!AH63</f>
        <v>0</v>
      </c>
      <c r="AC7" s="4">
        <f ca="1">'Aggregate Calcs'!AI63</f>
        <v>0</v>
      </c>
      <c r="AD7" s="4">
        <f ca="1">'Aggregate Calcs'!AJ63</f>
        <v>0</v>
      </c>
      <c r="AE7" s="4">
        <f ca="1">'Aggregate Calcs'!AK63</f>
        <v>0</v>
      </c>
      <c r="AF7" s="4">
        <f ca="1">'Aggregate Calcs'!AL63</f>
        <v>0</v>
      </c>
      <c r="AG7" s="4">
        <f ca="1">'Aggregate Calcs'!AM63</f>
        <v>0</v>
      </c>
    </row>
    <row r="8" spans="1:33" x14ac:dyDescent="0.25">
      <c r="A8" s="4" t="s">
        <v>11</v>
      </c>
      <c r="B8" s="4">
        <f ca="1">'Aggregate Calcs'!H64</f>
        <v>28515567317404.547</v>
      </c>
      <c r="C8" s="4">
        <f ca="1">'Aggregate Calcs'!I64</f>
        <v>30065347705739.004</v>
      </c>
      <c r="D8" s="4">
        <f ca="1">'Aggregate Calcs'!J64</f>
        <v>31615128094073.469</v>
      </c>
      <c r="E8" s="4">
        <f ca="1">'Aggregate Calcs'!K64</f>
        <v>33164908482407.938</v>
      </c>
      <c r="F8" s="4">
        <f ca="1">'Aggregate Calcs'!L64</f>
        <v>34969926665782.176</v>
      </c>
      <c r="G8" s="4">
        <f ca="1">'Aggregate Calcs'!M64</f>
        <v>36774944849156.422</v>
      </c>
      <c r="H8" s="4">
        <f ca="1">'Aggregate Calcs'!N64</f>
        <v>38579963032530.672</v>
      </c>
      <c r="I8" s="4">
        <f ca="1">'Aggregate Calcs'!O64</f>
        <v>40384981215904.93</v>
      </c>
      <c r="J8" s="4">
        <f ca="1">'Aggregate Calcs'!P64</f>
        <v>42189999399279.164</v>
      </c>
      <c r="K8" s="4">
        <f ca="1">'Aggregate Calcs'!Q64</f>
        <v>43603325522756.445</v>
      </c>
      <c r="L8" s="4">
        <f ca="1">'Aggregate Calcs'!R64</f>
        <v>45016651646233.742</v>
      </c>
      <c r="M8" s="4">
        <f ca="1">'Aggregate Calcs'!S64</f>
        <v>46429977769711.031</v>
      </c>
      <c r="N8" s="4">
        <f ca="1">'Aggregate Calcs'!T64</f>
        <v>47843303893188.32</v>
      </c>
      <c r="O8" s="4">
        <f ca="1">'Aggregate Calcs'!U64</f>
        <v>49256630016665.602</v>
      </c>
      <c r="P8" s="4">
        <f ca="1">'Aggregate Calcs'!V64</f>
        <v>49400574940235.172</v>
      </c>
      <c r="Q8" s="4">
        <f ca="1">'Aggregate Calcs'!W64</f>
        <v>49544519863804.719</v>
      </c>
      <c r="R8" s="4">
        <f ca="1">'Aggregate Calcs'!X64</f>
        <v>49688464787374.281</v>
      </c>
      <c r="S8" s="4">
        <f ca="1">'Aggregate Calcs'!Y64</f>
        <v>49832409710943.844</v>
      </c>
      <c r="T8" s="4">
        <f ca="1">'Aggregate Calcs'!Z64</f>
        <v>49976354634513.414</v>
      </c>
      <c r="U8" s="4">
        <f ca="1">'Aggregate Calcs'!AA64</f>
        <v>50115330705841.344</v>
      </c>
      <c r="V8" s="4">
        <f ca="1">'Aggregate Calcs'!AB64</f>
        <v>50254306777169.273</v>
      </c>
      <c r="W8" s="4">
        <f ca="1">'Aggregate Calcs'!AC64</f>
        <v>50393282848497.203</v>
      </c>
      <c r="X8" s="4">
        <f ca="1">'Aggregate Calcs'!AD64</f>
        <v>50532258919825.133</v>
      </c>
      <c r="Y8" s="4">
        <f ca="1">'Aggregate Calcs'!AE64</f>
        <v>50671234991153.07</v>
      </c>
      <c r="Z8" s="4">
        <f ca="1">'Aggregate Calcs'!AF64</f>
        <v>50663118265902.367</v>
      </c>
      <c r="AA8" s="4">
        <f ca="1">'Aggregate Calcs'!AG64</f>
        <v>50655001540651.648</v>
      </c>
      <c r="AB8" s="4">
        <f ca="1">'Aggregate Calcs'!AH64</f>
        <v>50646884815400.945</v>
      </c>
      <c r="AC8" s="4">
        <f ca="1">'Aggregate Calcs'!AI64</f>
        <v>50638768090150.242</v>
      </c>
      <c r="AD8" s="4">
        <f ca="1">'Aggregate Calcs'!AJ64</f>
        <v>50630651364899.539</v>
      </c>
      <c r="AE8" s="4">
        <f ca="1">'Aggregate Calcs'!AK64</f>
        <v>50622534639648.828</v>
      </c>
      <c r="AF8" s="4">
        <f ca="1">'Aggregate Calcs'!AL64</f>
        <v>50614417914398.125</v>
      </c>
      <c r="AG8" s="4">
        <f ca="1">'Aggregate Calcs'!AM64</f>
        <v>50606301189147.422</v>
      </c>
    </row>
    <row r="9" spans="1:33" x14ac:dyDescent="0.25">
      <c r="A9" s="4" t="s">
        <v>532</v>
      </c>
      <c r="B9" s="4">
        <f ca="1">'Aggregate Calcs'!H65</f>
        <v>176629748574169.75</v>
      </c>
      <c r="C9" s="4">
        <f ca="1">'Aggregate Calcs'!I65</f>
        <v>179386477164869.38</v>
      </c>
      <c r="D9" s="4">
        <f ca="1">'Aggregate Calcs'!J65</f>
        <v>182143205755569.06</v>
      </c>
      <c r="E9" s="4">
        <f ca="1">'Aggregate Calcs'!K65</f>
        <v>184899934346268.69</v>
      </c>
      <c r="F9" s="4">
        <f ca="1">'Aggregate Calcs'!L65</f>
        <v>188246016015596.53</v>
      </c>
      <c r="G9" s="4">
        <f ca="1">'Aggregate Calcs'!M65</f>
        <v>191592097684924.31</v>
      </c>
      <c r="H9" s="4">
        <f ca="1">'Aggregate Calcs'!N65</f>
        <v>194938179354252.13</v>
      </c>
      <c r="I9" s="4">
        <f ca="1">'Aggregate Calcs'!O65</f>
        <v>198284261023580</v>
      </c>
      <c r="J9" s="4">
        <f ca="1">'Aggregate Calcs'!P65</f>
        <v>201630342692907.81</v>
      </c>
      <c r="K9" s="4">
        <f ca="1">'Aggregate Calcs'!Q65</f>
        <v>205137725842157.84</v>
      </c>
      <c r="L9" s="4">
        <f ca="1">'Aggregate Calcs'!R65</f>
        <v>208645108991407.94</v>
      </c>
      <c r="M9" s="4">
        <f ca="1">'Aggregate Calcs'!S65</f>
        <v>212152492140658</v>
      </c>
      <c r="N9" s="4">
        <f ca="1">'Aggregate Calcs'!T65</f>
        <v>215659875289908.06</v>
      </c>
      <c r="O9" s="4">
        <f ca="1">'Aggregate Calcs'!U65</f>
        <v>219167258439158.13</v>
      </c>
      <c r="P9" s="4">
        <f ca="1">'Aggregate Calcs'!V65</f>
        <v>223874156970013.63</v>
      </c>
      <c r="Q9" s="4">
        <f ca="1">'Aggregate Calcs'!W65</f>
        <v>228581055500869.03</v>
      </c>
      <c r="R9" s="4">
        <f ca="1">'Aggregate Calcs'!X65</f>
        <v>233287954031724.53</v>
      </c>
      <c r="S9" s="4">
        <f ca="1">'Aggregate Calcs'!Y65</f>
        <v>237994852562580</v>
      </c>
      <c r="T9" s="4">
        <f ca="1">'Aggregate Calcs'!Z65</f>
        <v>242701751093435.47</v>
      </c>
      <c r="U9" s="4">
        <f ca="1">'Aggregate Calcs'!AA65</f>
        <v>249549091872146.38</v>
      </c>
      <c r="V9" s="4">
        <f ca="1">'Aggregate Calcs'!AB65</f>
        <v>256396432650857.19</v>
      </c>
      <c r="W9" s="4">
        <f ca="1">'Aggregate Calcs'!AC65</f>
        <v>263243773429568.13</v>
      </c>
      <c r="X9" s="4">
        <f ca="1">'Aggregate Calcs'!AD65</f>
        <v>270091114208278.97</v>
      </c>
      <c r="Y9" s="4">
        <f ca="1">'Aggregate Calcs'!AE65</f>
        <v>276938454986989.91</v>
      </c>
      <c r="Z9" s="4">
        <f ca="1">'Aggregate Calcs'!AF65</f>
        <v>282060385899222.88</v>
      </c>
      <c r="AA9" s="4">
        <f ca="1">'Aggregate Calcs'!AG65</f>
        <v>287182316811455.81</v>
      </c>
      <c r="AB9" s="4">
        <f ca="1">'Aggregate Calcs'!AH65</f>
        <v>292304247723688.81</v>
      </c>
      <c r="AC9" s="4">
        <f ca="1">'Aggregate Calcs'!AI65</f>
        <v>297426178635921.75</v>
      </c>
      <c r="AD9" s="4">
        <f ca="1">'Aggregate Calcs'!AJ65</f>
        <v>302548109548154.75</v>
      </c>
      <c r="AE9" s="4">
        <f ca="1">'Aggregate Calcs'!AK65</f>
        <v>307670040460387.63</v>
      </c>
      <c r="AF9" s="4">
        <f ca="1">'Aggregate Calcs'!AL65</f>
        <v>312791971372620.63</v>
      </c>
      <c r="AG9" s="4">
        <f ca="1">'Aggregate Calcs'!AM65</f>
        <v>317913902284853.63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Calcs'!H66</f>
        <v>11944389658789.934</v>
      </c>
      <c r="C2" s="4">
        <f ca="1">'Aggregate Calcs'!I66</f>
        <v>12416729201566.105</v>
      </c>
      <c r="D2" s="4">
        <f ca="1">'Aggregate Calcs'!J66</f>
        <v>12889068744342.273</v>
      </c>
      <c r="E2" s="4">
        <f ca="1">'Aggregate Calcs'!K66</f>
        <v>13361408287118.445</v>
      </c>
      <c r="F2" s="4">
        <f ca="1">'Aggregate Calcs'!L66</f>
        <v>13985841820135.105</v>
      </c>
      <c r="G2" s="4">
        <f ca="1">'Aggregate Calcs'!M66</f>
        <v>14610275353151.762</v>
      </c>
      <c r="H2" s="4">
        <f ca="1">'Aggregate Calcs'!N66</f>
        <v>15234708886168.424</v>
      </c>
      <c r="I2" s="4">
        <f ca="1">'Aggregate Calcs'!O66</f>
        <v>15859142419185.08</v>
      </c>
      <c r="J2" s="4">
        <f ca="1">'Aggregate Calcs'!P66</f>
        <v>16483575952201.74</v>
      </c>
      <c r="K2" s="4">
        <f ca="1">'Aggregate Calcs'!Q66</f>
        <v>17300812908455.932</v>
      </c>
      <c r="L2" s="4">
        <f ca="1">'Aggregate Calcs'!R66</f>
        <v>18118049864710.129</v>
      </c>
      <c r="M2" s="4">
        <f ca="1">'Aggregate Calcs'!S66</f>
        <v>18935286820964.32</v>
      </c>
      <c r="N2" s="4">
        <f ca="1">'Aggregate Calcs'!T66</f>
        <v>19752523777218.512</v>
      </c>
      <c r="O2" s="4">
        <f ca="1">'Aggregate Calcs'!U66</f>
        <v>20569760733472.707</v>
      </c>
      <c r="P2" s="4">
        <f ca="1">'Aggregate Calcs'!V66</f>
        <v>21533849762714.703</v>
      </c>
      <c r="Q2" s="4">
        <f ca="1">'Aggregate Calcs'!W66</f>
        <v>22497938791956.703</v>
      </c>
      <c r="R2" s="4">
        <f ca="1">'Aggregate Calcs'!X66</f>
        <v>23462027821198.699</v>
      </c>
      <c r="S2" s="4">
        <f ca="1">'Aggregate Calcs'!Y66</f>
        <v>24426116850440.699</v>
      </c>
      <c r="T2" s="4">
        <f ca="1">'Aggregate Calcs'!Z66</f>
        <v>25390205879682.699</v>
      </c>
      <c r="U2" s="4">
        <f ca="1">'Aggregate Calcs'!AA66</f>
        <v>26306406706832.309</v>
      </c>
      <c r="V2" s="4">
        <f ca="1">'Aggregate Calcs'!AB66</f>
        <v>27222607533981.918</v>
      </c>
      <c r="W2" s="4">
        <f ca="1">'Aggregate Calcs'!AC66</f>
        <v>28138808361131.531</v>
      </c>
      <c r="X2" s="4">
        <f ca="1">'Aggregate Calcs'!AD66</f>
        <v>29055009188281.148</v>
      </c>
      <c r="Y2" s="4">
        <f ca="1">'Aggregate Calcs'!AE66</f>
        <v>29971210015430.754</v>
      </c>
      <c r="Z2" s="4">
        <f ca="1">'Aggregate Calcs'!AF66</f>
        <v>30800644513764.816</v>
      </c>
      <c r="AA2" s="4">
        <f ca="1">'Aggregate Calcs'!AG66</f>
        <v>31630079012098.875</v>
      </c>
      <c r="AB2" s="4">
        <f ca="1">'Aggregate Calcs'!AH66</f>
        <v>32459513510432.941</v>
      </c>
      <c r="AC2" s="4">
        <f ca="1">'Aggregate Calcs'!AI66</f>
        <v>33288948008767.004</v>
      </c>
      <c r="AD2" s="4">
        <f ca="1">'Aggregate Calcs'!AJ66</f>
        <v>34118382507101.063</v>
      </c>
      <c r="AE2" s="4">
        <f ca="1">'Aggregate Calcs'!AK66</f>
        <v>34947817005435.125</v>
      </c>
      <c r="AF2" s="4">
        <f ca="1">'Aggregate Calcs'!AL66</f>
        <v>35777251503769.18</v>
      </c>
      <c r="AG2" s="4">
        <f ca="1">'Aggregate Calcs'!AM66</f>
        <v>36606686002103.25</v>
      </c>
    </row>
    <row r="3" spans="1:33" x14ac:dyDescent="0.25">
      <c r="A3" s="4" t="s">
        <v>529</v>
      </c>
      <c r="B3" s="4">
        <f ca="1">'Aggregate Calcs'!H67</f>
        <v>0</v>
      </c>
      <c r="C3" s="4">
        <f ca="1">'Aggregate Calcs'!I67</f>
        <v>0</v>
      </c>
      <c r="D3" s="4">
        <f ca="1">'Aggregate Calcs'!J67</f>
        <v>0</v>
      </c>
      <c r="E3" s="4">
        <f ca="1">'Aggregate Calcs'!K67</f>
        <v>0</v>
      </c>
      <c r="F3" s="4">
        <f ca="1">'Aggregate Calcs'!L67</f>
        <v>0</v>
      </c>
      <c r="G3" s="4">
        <f ca="1">'Aggregate Calcs'!M67</f>
        <v>0</v>
      </c>
      <c r="H3" s="4">
        <f ca="1">'Aggregate Calcs'!N67</f>
        <v>0</v>
      </c>
      <c r="I3" s="4">
        <f ca="1">'Aggregate Calcs'!O67</f>
        <v>0</v>
      </c>
      <c r="J3" s="4">
        <f ca="1">'Aggregate Calcs'!P67</f>
        <v>0</v>
      </c>
      <c r="K3" s="4">
        <f ca="1">'Aggregate Calcs'!Q67</f>
        <v>0</v>
      </c>
      <c r="L3" s="4">
        <f ca="1">'Aggregate Calcs'!R67</f>
        <v>0</v>
      </c>
      <c r="M3" s="4">
        <f ca="1">'Aggregate Calcs'!S67</f>
        <v>0</v>
      </c>
      <c r="N3" s="4">
        <f ca="1">'Aggregate Calcs'!T67</f>
        <v>0</v>
      </c>
      <c r="O3" s="4">
        <f ca="1">'Aggregate Calcs'!U67</f>
        <v>0</v>
      </c>
      <c r="P3" s="4">
        <f ca="1">'Aggregate Calcs'!V67</f>
        <v>0</v>
      </c>
      <c r="Q3" s="4">
        <f ca="1">'Aggregate Calcs'!W67</f>
        <v>0</v>
      </c>
      <c r="R3" s="4">
        <f ca="1">'Aggregate Calcs'!X67</f>
        <v>0</v>
      </c>
      <c r="S3" s="4">
        <f ca="1">'Aggregate Calcs'!Y67</f>
        <v>0</v>
      </c>
      <c r="T3" s="4">
        <f ca="1">'Aggregate Calcs'!Z67</f>
        <v>0</v>
      </c>
      <c r="U3" s="4">
        <f ca="1">'Aggregate Calcs'!AA67</f>
        <v>0</v>
      </c>
      <c r="V3" s="4">
        <f ca="1">'Aggregate Calcs'!AB67</f>
        <v>0</v>
      </c>
      <c r="W3" s="4">
        <f ca="1">'Aggregate Calcs'!AC67</f>
        <v>0</v>
      </c>
      <c r="X3" s="4">
        <f ca="1">'Aggregate Calcs'!AD67</f>
        <v>0</v>
      </c>
      <c r="Y3" s="4">
        <f ca="1">'Aggregate Calcs'!AE67</f>
        <v>0</v>
      </c>
      <c r="Z3" s="4">
        <f ca="1">'Aggregate Calcs'!AF67</f>
        <v>0</v>
      </c>
      <c r="AA3" s="4">
        <f ca="1">'Aggregate Calcs'!AG67</f>
        <v>0</v>
      </c>
      <c r="AB3" s="4">
        <f ca="1">'Aggregate Calcs'!AH67</f>
        <v>0</v>
      </c>
      <c r="AC3" s="4">
        <f ca="1">'Aggregate Calcs'!AI67</f>
        <v>0</v>
      </c>
      <c r="AD3" s="4">
        <f ca="1">'Aggregate Calcs'!AJ67</f>
        <v>0</v>
      </c>
      <c r="AE3" s="4">
        <f ca="1">'Aggregate Calcs'!AK67</f>
        <v>0</v>
      </c>
      <c r="AF3" s="4">
        <f ca="1">'Aggregate Calcs'!AL67</f>
        <v>0</v>
      </c>
      <c r="AG3" s="4">
        <f ca="1">'Aggregate Calcs'!AM67</f>
        <v>0</v>
      </c>
    </row>
    <row r="4" spans="1:33" x14ac:dyDescent="0.25">
      <c r="A4" s="4" t="s">
        <v>27</v>
      </c>
      <c r="B4" s="4">
        <f ca="1">'Aggregate Calcs'!H68</f>
        <v>9370448504038.1348</v>
      </c>
      <c r="C4" s="4">
        <f ca="1">'Aggregate Calcs'!I68</f>
        <v>9914915211517.0664</v>
      </c>
      <c r="D4" s="4">
        <f ca="1">'Aggregate Calcs'!J68</f>
        <v>10459381918996</v>
      </c>
      <c r="E4" s="4">
        <f ca="1">'Aggregate Calcs'!K68</f>
        <v>11003848626474.934</v>
      </c>
      <c r="F4" s="4">
        <f ca="1">'Aggregate Calcs'!L68</f>
        <v>11685999401875.941</v>
      </c>
      <c r="G4" s="4">
        <f ca="1">'Aggregate Calcs'!M68</f>
        <v>12368150177276.947</v>
      </c>
      <c r="H4" s="4">
        <f ca="1">'Aggregate Calcs'!N68</f>
        <v>13050300952677.953</v>
      </c>
      <c r="I4" s="4">
        <f ca="1">'Aggregate Calcs'!O68</f>
        <v>13732451728078.959</v>
      </c>
      <c r="J4" s="4">
        <f ca="1">'Aggregate Calcs'!P68</f>
        <v>14414602503479.965</v>
      </c>
      <c r="K4" s="4">
        <f ca="1">'Aggregate Calcs'!Q68</f>
        <v>15285136504951.314</v>
      </c>
      <c r="L4" s="4">
        <f ca="1">'Aggregate Calcs'!R68</f>
        <v>16155670506422.666</v>
      </c>
      <c r="M4" s="4">
        <f ca="1">'Aggregate Calcs'!S68</f>
        <v>17026204507894.018</v>
      </c>
      <c r="N4" s="4">
        <f ca="1">'Aggregate Calcs'!T68</f>
        <v>17896738509365.363</v>
      </c>
      <c r="O4" s="4">
        <f ca="1">'Aggregate Calcs'!U68</f>
        <v>18767272510836.719</v>
      </c>
      <c r="P4" s="4">
        <f ca="1">'Aggregate Calcs'!V68</f>
        <v>19564988601172.996</v>
      </c>
      <c r="Q4" s="4">
        <f ca="1">'Aggregate Calcs'!W68</f>
        <v>20362704691509.277</v>
      </c>
      <c r="R4" s="4">
        <f ca="1">'Aggregate Calcs'!X68</f>
        <v>21160420781845.551</v>
      </c>
      <c r="S4" s="4">
        <f ca="1">'Aggregate Calcs'!Y68</f>
        <v>21958136872181.828</v>
      </c>
      <c r="T4" s="4">
        <f ca="1">'Aggregate Calcs'!Z68</f>
        <v>22755852962518.105</v>
      </c>
      <c r="U4" s="4">
        <f ca="1">'Aggregate Calcs'!AA68</f>
        <v>23391099347401.699</v>
      </c>
      <c r="V4" s="4">
        <f ca="1">'Aggregate Calcs'!AB68</f>
        <v>24026345732285.293</v>
      </c>
      <c r="W4" s="4">
        <f ca="1">'Aggregate Calcs'!AC68</f>
        <v>24661592117168.883</v>
      </c>
      <c r="X4" s="4">
        <f ca="1">'Aggregate Calcs'!AD68</f>
        <v>25296838502052.477</v>
      </c>
      <c r="Y4" s="4">
        <f ca="1">'Aggregate Calcs'!AE68</f>
        <v>25932084886936.074</v>
      </c>
      <c r="Z4" s="4">
        <f ca="1">'Aggregate Calcs'!AF68</f>
        <v>26350791050568.695</v>
      </c>
      <c r="AA4" s="4">
        <f ca="1">'Aggregate Calcs'!AG68</f>
        <v>26769497214201.324</v>
      </c>
      <c r="AB4" s="4">
        <f ca="1">'Aggregate Calcs'!AH68</f>
        <v>27188203377833.957</v>
      </c>
      <c r="AC4" s="4">
        <f ca="1">'Aggregate Calcs'!AI68</f>
        <v>27606909541466.586</v>
      </c>
      <c r="AD4" s="4">
        <f ca="1">'Aggregate Calcs'!AJ68</f>
        <v>28025615705099.211</v>
      </c>
      <c r="AE4" s="4">
        <f ca="1">'Aggregate Calcs'!AK68</f>
        <v>28444321868731.84</v>
      </c>
      <c r="AF4" s="4">
        <f ca="1">'Aggregate Calcs'!AL68</f>
        <v>28863028032364.465</v>
      </c>
      <c r="AG4" s="4">
        <f ca="1">'Aggregate Calcs'!AM68</f>
        <v>29281734195997.094</v>
      </c>
    </row>
    <row r="5" spans="1:33" x14ac:dyDescent="0.25">
      <c r="A5" s="4" t="s">
        <v>6</v>
      </c>
      <c r="B5" s="4">
        <f ca="1">'Aggregate Calcs'!H69</f>
        <v>498987698073416.44</v>
      </c>
      <c r="C5" s="4">
        <f ca="1">'Aggregate Calcs'!I69</f>
        <v>503541646659402.31</v>
      </c>
      <c r="D5" s="4">
        <f ca="1">'Aggregate Calcs'!J69</f>
        <v>508095595245388.31</v>
      </c>
      <c r="E5" s="4">
        <f ca="1">'Aggregate Calcs'!K69</f>
        <v>512649543831374.25</v>
      </c>
      <c r="F5" s="4">
        <f ca="1">'Aggregate Calcs'!L69</f>
        <v>516063036851006.44</v>
      </c>
      <c r="G5" s="4">
        <f ca="1">'Aggregate Calcs'!M69</f>
        <v>519476529870638.56</v>
      </c>
      <c r="H5" s="4">
        <f ca="1">'Aggregate Calcs'!N69</f>
        <v>522890022890270.88</v>
      </c>
      <c r="I5" s="4">
        <f ca="1">'Aggregate Calcs'!O69</f>
        <v>526303515909903.06</v>
      </c>
      <c r="J5" s="4">
        <f ca="1">'Aggregate Calcs'!P69</f>
        <v>529717008929535.19</v>
      </c>
      <c r="K5" s="4">
        <f ca="1">'Aggregate Calcs'!Q69</f>
        <v>531234249497472.5</v>
      </c>
      <c r="L5" s="4">
        <f ca="1">'Aggregate Calcs'!R69</f>
        <v>532751490065409.81</v>
      </c>
      <c r="M5" s="4">
        <f ca="1">'Aggregate Calcs'!S69</f>
        <v>534268730633347.13</v>
      </c>
      <c r="N5" s="4">
        <f ca="1">'Aggregate Calcs'!T69</f>
        <v>535785971201284.5</v>
      </c>
      <c r="O5" s="4">
        <f ca="1">'Aggregate Calcs'!U69</f>
        <v>537303211769221.75</v>
      </c>
      <c r="P5" s="4">
        <f ca="1">'Aggregate Calcs'!V69</f>
        <v>538111748157301.06</v>
      </c>
      <c r="Q5" s="4">
        <f ca="1">'Aggregate Calcs'!W69</f>
        <v>538920284545380.56</v>
      </c>
      <c r="R5" s="4">
        <f ca="1">'Aggregate Calcs'!X69</f>
        <v>539728820933459.81</v>
      </c>
      <c r="S5" s="4">
        <f ca="1">'Aggregate Calcs'!Y69</f>
        <v>540537357321539.31</v>
      </c>
      <c r="T5" s="4">
        <f ca="1">'Aggregate Calcs'!Z69</f>
        <v>541345893709618.63</v>
      </c>
      <c r="U5" s="4">
        <f ca="1">'Aggregate Calcs'!AA69</f>
        <v>541402138553523.81</v>
      </c>
      <c r="V5" s="4">
        <f ca="1">'Aggregate Calcs'!AB69</f>
        <v>541458383397429</v>
      </c>
      <c r="W5" s="4">
        <f ca="1">'Aggregate Calcs'!AC69</f>
        <v>541514628241334.13</v>
      </c>
      <c r="X5" s="4">
        <f ca="1">'Aggregate Calcs'!AD69</f>
        <v>541570873085239.31</v>
      </c>
      <c r="Y5" s="4">
        <f ca="1">'Aggregate Calcs'!AE69</f>
        <v>541627117929144.44</v>
      </c>
      <c r="Z5" s="4">
        <f ca="1">'Aggregate Calcs'!AF69</f>
        <v>540301211800795.5</v>
      </c>
      <c r="AA5" s="4">
        <f ca="1">'Aggregate Calcs'!AG69</f>
        <v>538975305672446.31</v>
      </c>
      <c r="AB5" s="4">
        <f ca="1">'Aggregate Calcs'!AH69</f>
        <v>537649399544097.31</v>
      </c>
      <c r="AC5" s="4">
        <f ca="1">'Aggregate Calcs'!AI69</f>
        <v>536323493415748.25</v>
      </c>
      <c r="AD5" s="4">
        <f ca="1">'Aggregate Calcs'!AJ69</f>
        <v>534997587287399.13</v>
      </c>
      <c r="AE5" s="4">
        <f ca="1">'Aggregate Calcs'!AK69</f>
        <v>533671681159050.06</v>
      </c>
      <c r="AF5" s="4">
        <f ca="1">'Aggregate Calcs'!AL69</f>
        <v>532345775030700.94</v>
      </c>
      <c r="AG5" s="4">
        <f ca="1">'Aggregate Calcs'!AM69</f>
        <v>531019868902352</v>
      </c>
    </row>
    <row r="6" spans="1:33" x14ac:dyDescent="0.25">
      <c r="A6" s="4" t="s">
        <v>530</v>
      </c>
      <c r="B6" s="4">
        <f ca="1">'Aggregate Calcs'!H70</f>
        <v>64620054512429.813</v>
      </c>
      <c r="C6" s="4">
        <f ca="1">'Aggregate Calcs'!I70</f>
        <v>66064078076953.383</v>
      </c>
      <c r="D6" s="4">
        <f ca="1">'Aggregate Calcs'!J70</f>
        <v>67508101641476.961</v>
      </c>
      <c r="E6" s="4">
        <f ca="1">'Aggregate Calcs'!K70</f>
        <v>68952125206000.523</v>
      </c>
      <c r="F6" s="4">
        <f ca="1">'Aggregate Calcs'!L70</f>
        <v>69619986104592.68</v>
      </c>
      <c r="G6" s="4">
        <f ca="1">'Aggregate Calcs'!M70</f>
        <v>70287847003184.82</v>
      </c>
      <c r="H6" s="4">
        <f ca="1">'Aggregate Calcs'!N70</f>
        <v>70955707901776.984</v>
      </c>
      <c r="I6" s="4">
        <f ca="1">'Aggregate Calcs'!O70</f>
        <v>71623568800369.141</v>
      </c>
      <c r="J6" s="4">
        <f ca="1">'Aggregate Calcs'!P70</f>
        <v>72291429698961.281</v>
      </c>
      <c r="K6" s="4">
        <f ca="1">'Aggregate Calcs'!Q70</f>
        <v>72183127931622.016</v>
      </c>
      <c r="L6" s="4">
        <f ca="1">'Aggregate Calcs'!R70</f>
        <v>72074826164282.75</v>
      </c>
      <c r="M6" s="4">
        <f ca="1">'Aggregate Calcs'!S70</f>
        <v>71966524396943.484</v>
      </c>
      <c r="N6" s="4">
        <f ca="1">'Aggregate Calcs'!T70</f>
        <v>71858222629604.203</v>
      </c>
      <c r="O6" s="4">
        <f ca="1">'Aggregate Calcs'!U70</f>
        <v>71749920862264.953</v>
      </c>
      <c r="P6" s="4">
        <f ca="1">'Aggregate Calcs'!V70</f>
        <v>71659669389482.219</v>
      </c>
      <c r="Q6" s="4">
        <f ca="1">'Aggregate Calcs'!W70</f>
        <v>71569417916699.5</v>
      </c>
      <c r="R6" s="4">
        <f ca="1">'Aggregate Calcs'!X70</f>
        <v>71479166443916.766</v>
      </c>
      <c r="S6" s="4">
        <f ca="1">'Aggregate Calcs'!Y70</f>
        <v>71388914971134.063</v>
      </c>
      <c r="T6" s="4">
        <f ca="1">'Aggregate Calcs'!Z70</f>
        <v>71298663498351.344</v>
      </c>
      <c r="U6" s="4">
        <f ca="1">'Aggregate Calcs'!AA70</f>
        <v>68825773144104.719</v>
      </c>
      <c r="V6" s="4">
        <f ca="1">'Aggregate Calcs'!AB70</f>
        <v>66352882789858.094</v>
      </c>
      <c r="W6" s="4">
        <f ca="1">'Aggregate Calcs'!AC70</f>
        <v>63879992435611.492</v>
      </c>
      <c r="X6" s="4">
        <f ca="1">'Aggregate Calcs'!AD70</f>
        <v>61407102081364.867</v>
      </c>
      <c r="Y6" s="4">
        <f ca="1">'Aggregate Calcs'!AE70</f>
        <v>58934211727118.25</v>
      </c>
      <c r="Z6" s="4">
        <f ca="1">'Aggregate Calcs'!AF70</f>
        <v>56894528442228.703</v>
      </c>
      <c r="AA6" s="4">
        <f ca="1">'Aggregate Calcs'!AG70</f>
        <v>54854845157339.148</v>
      </c>
      <c r="AB6" s="4">
        <f ca="1">'Aggregate Calcs'!AH70</f>
        <v>52815161872449.617</v>
      </c>
      <c r="AC6" s="4">
        <f ca="1">'Aggregate Calcs'!AI70</f>
        <v>50775478587560.07</v>
      </c>
      <c r="AD6" s="4">
        <f ca="1">'Aggregate Calcs'!AJ70</f>
        <v>48735795302670.523</v>
      </c>
      <c r="AE6" s="4">
        <f ca="1">'Aggregate Calcs'!AK70</f>
        <v>46696112017780.977</v>
      </c>
      <c r="AF6" s="4">
        <f ca="1">'Aggregate Calcs'!AL70</f>
        <v>44656428732891.43</v>
      </c>
      <c r="AG6" s="4">
        <f ca="1">'Aggregate Calcs'!AM70</f>
        <v>42616745448001.883</v>
      </c>
    </row>
    <row r="7" spans="1:33" x14ac:dyDescent="0.25">
      <c r="A7" s="4" t="s">
        <v>531</v>
      </c>
      <c r="B7" s="4">
        <f ca="1">'Aggregate Calcs'!H71</f>
        <v>0</v>
      </c>
      <c r="C7" s="4">
        <f ca="1">'Aggregate Calcs'!I71</f>
        <v>0</v>
      </c>
      <c r="D7" s="4">
        <f ca="1">'Aggregate Calcs'!J71</f>
        <v>0</v>
      </c>
      <c r="E7" s="4">
        <f ca="1">'Aggregate Calcs'!K71</f>
        <v>0</v>
      </c>
      <c r="F7" s="4">
        <f ca="1">'Aggregate Calcs'!L71</f>
        <v>0</v>
      </c>
      <c r="G7" s="4">
        <f ca="1">'Aggregate Calcs'!M71</f>
        <v>0</v>
      </c>
      <c r="H7" s="4">
        <f ca="1">'Aggregate Calcs'!N71</f>
        <v>0</v>
      </c>
      <c r="I7" s="4">
        <f ca="1">'Aggregate Calcs'!O71</f>
        <v>0</v>
      </c>
      <c r="J7" s="4">
        <f ca="1">'Aggregate Calcs'!P71</f>
        <v>0</v>
      </c>
      <c r="K7" s="4">
        <f ca="1">'Aggregate Calcs'!Q71</f>
        <v>0</v>
      </c>
      <c r="L7" s="4">
        <f ca="1">'Aggregate Calcs'!R71</f>
        <v>0</v>
      </c>
      <c r="M7" s="4">
        <f ca="1">'Aggregate Calcs'!S71</f>
        <v>0</v>
      </c>
      <c r="N7" s="4">
        <f ca="1">'Aggregate Calcs'!T71</f>
        <v>0</v>
      </c>
      <c r="O7" s="4">
        <f ca="1">'Aggregate Calcs'!U71</f>
        <v>0</v>
      </c>
      <c r="P7" s="4">
        <f ca="1">'Aggregate Calcs'!V71</f>
        <v>0</v>
      </c>
      <c r="Q7" s="4">
        <f ca="1">'Aggregate Calcs'!W71</f>
        <v>0</v>
      </c>
      <c r="R7" s="4">
        <f ca="1">'Aggregate Calcs'!X71</f>
        <v>0</v>
      </c>
      <c r="S7" s="4">
        <f ca="1">'Aggregate Calcs'!Y71</f>
        <v>0</v>
      </c>
      <c r="T7" s="4">
        <f ca="1">'Aggregate Calcs'!Z71</f>
        <v>0</v>
      </c>
      <c r="U7" s="4">
        <f ca="1">'Aggregate Calcs'!AA71</f>
        <v>0</v>
      </c>
      <c r="V7" s="4">
        <f ca="1">'Aggregate Calcs'!AB71</f>
        <v>0</v>
      </c>
      <c r="W7" s="4">
        <f ca="1">'Aggregate Calcs'!AC71</f>
        <v>0</v>
      </c>
      <c r="X7" s="4">
        <f ca="1">'Aggregate Calcs'!AD71</f>
        <v>0</v>
      </c>
      <c r="Y7" s="4">
        <f ca="1">'Aggregate Calcs'!AE71</f>
        <v>0</v>
      </c>
      <c r="Z7" s="4">
        <f ca="1">'Aggregate Calcs'!AF71</f>
        <v>0</v>
      </c>
      <c r="AA7" s="4">
        <f ca="1">'Aggregate Calcs'!AG71</f>
        <v>0</v>
      </c>
      <c r="AB7" s="4">
        <f ca="1">'Aggregate Calcs'!AH71</f>
        <v>0</v>
      </c>
      <c r="AC7" s="4">
        <f ca="1">'Aggregate Calcs'!AI71</f>
        <v>0</v>
      </c>
      <c r="AD7" s="4">
        <f ca="1">'Aggregate Calcs'!AJ71</f>
        <v>0</v>
      </c>
      <c r="AE7" s="4">
        <f ca="1">'Aggregate Calcs'!AK71</f>
        <v>0</v>
      </c>
      <c r="AF7" s="4">
        <f ca="1">'Aggregate Calcs'!AL71</f>
        <v>0</v>
      </c>
      <c r="AG7" s="4">
        <f ca="1">'Aggregate Calcs'!AM71</f>
        <v>0</v>
      </c>
    </row>
    <row r="8" spans="1:33" x14ac:dyDescent="0.25">
      <c r="A8" s="4" t="s">
        <v>11</v>
      </c>
      <c r="B8" s="4">
        <f ca="1">'Aggregate Calcs'!H72</f>
        <v>32943499885628.098</v>
      </c>
      <c r="C8" s="4">
        <f ca="1">'Aggregate Calcs'!I72</f>
        <v>34733932089818.652</v>
      </c>
      <c r="D8" s="4">
        <f ca="1">'Aggregate Calcs'!J72</f>
        <v>36524364294009.219</v>
      </c>
      <c r="E8" s="4">
        <f ca="1">'Aggregate Calcs'!K72</f>
        <v>38314796498199.789</v>
      </c>
      <c r="F8" s="4">
        <f ca="1">'Aggregate Calcs'!L72</f>
        <v>40400100137985.773</v>
      </c>
      <c r="G8" s="4">
        <f ca="1">'Aggregate Calcs'!M72</f>
        <v>42485403777771.758</v>
      </c>
      <c r="H8" s="4">
        <f ca="1">'Aggregate Calcs'!N72</f>
        <v>44570707417557.758</v>
      </c>
      <c r="I8" s="4">
        <f ca="1">'Aggregate Calcs'!O72</f>
        <v>46656011057343.75</v>
      </c>
      <c r="J8" s="4">
        <f ca="1">'Aggregate Calcs'!P72</f>
        <v>48741314697129.734</v>
      </c>
      <c r="K8" s="4">
        <f ca="1">'Aggregate Calcs'!Q72</f>
        <v>50374103849415.375</v>
      </c>
      <c r="L8" s="4">
        <f ca="1">'Aggregate Calcs'!R72</f>
        <v>52006893001701.023</v>
      </c>
      <c r="M8" s="4">
        <f ca="1">'Aggregate Calcs'!S72</f>
        <v>53639682153986.672</v>
      </c>
      <c r="N8" s="4">
        <f ca="1">'Aggregate Calcs'!T72</f>
        <v>55272471306272.32</v>
      </c>
      <c r="O8" s="4">
        <f ca="1">'Aggregate Calcs'!U72</f>
        <v>56905260458557.961</v>
      </c>
      <c r="P8" s="4">
        <f ca="1">'Aggregate Calcs'!V72</f>
        <v>57071557327926.453</v>
      </c>
      <c r="Q8" s="4">
        <f ca="1">'Aggregate Calcs'!W72</f>
        <v>57237854197294.914</v>
      </c>
      <c r="R8" s="4">
        <f ca="1">'Aggregate Calcs'!X72</f>
        <v>57404151066663.406</v>
      </c>
      <c r="S8" s="4">
        <f ca="1">'Aggregate Calcs'!Y72</f>
        <v>57570447936031.883</v>
      </c>
      <c r="T8" s="4">
        <f ca="1">'Aggregate Calcs'!Z72</f>
        <v>57736744805400.375</v>
      </c>
      <c r="U8" s="4">
        <f ca="1">'Aggregate Calcs'!AA72</f>
        <v>57897301253004.43</v>
      </c>
      <c r="V8" s="4">
        <f ca="1">'Aggregate Calcs'!AB72</f>
        <v>58057857700608.484</v>
      </c>
      <c r="W8" s="4">
        <f ca="1">'Aggregate Calcs'!AC72</f>
        <v>58218414148212.539</v>
      </c>
      <c r="X8" s="4">
        <f ca="1">'Aggregate Calcs'!AD72</f>
        <v>58378970595816.586</v>
      </c>
      <c r="Y8" s="4">
        <f ca="1">'Aggregate Calcs'!AE72</f>
        <v>58539527043420.641</v>
      </c>
      <c r="Z8" s="4">
        <f ca="1">'Aggregate Calcs'!AF72</f>
        <v>58530149943032.219</v>
      </c>
      <c r="AA8" s="4">
        <f ca="1">'Aggregate Calcs'!AG72</f>
        <v>58520772842643.781</v>
      </c>
      <c r="AB8" s="4">
        <f ca="1">'Aggregate Calcs'!AH72</f>
        <v>58511395742255.352</v>
      </c>
      <c r="AC8" s="4">
        <f ca="1">'Aggregate Calcs'!AI72</f>
        <v>58502018641866.93</v>
      </c>
      <c r="AD8" s="4">
        <f ca="1">'Aggregate Calcs'!AJ72</f>
        <v>58492641541478.5</v>
      </c>
      <c r="AE8" s="4">
        <f ca="1">'Aggregate Calcs'!AK72</f>
        <v>58483264441090.063</v>
      </c>
      <c r="AF8" s="4">
        <f ca="1">'Aggregate Calcs'!AL72</f>
        <v>58473887340701.633</v>
      </c>
      <c r="AG8" s="4">
        <f ca="1">'Aggregate Calcs'!AM72</f>
        <v>58464510240313.211</v>
      </c>
    </row>
    <row r="9" spans="1:33" x14ac:dyDescent="0.25">
      <c r="A9" s="4" t="s">
        <v>532</v>
      </c>
      <c r="B9" s="4">
        <f ca="1">'Aggregate Calcs'!H73</f>
        <v>3626743518525879</v>
      </c>
      <c r="C9" s="4">
        <f ca="1">'Aggregate Calcs'!I73</f>
        <v>3683347503015256</v>
      </c>
      <c r="D9" s="4">
        <f ca="1">'Aggregate Calcs'!J73</f>
        <v>3739951487504634</v>
      </c>
      <c r="E9" s="4">
        <f ca="1">'Aggregate Calcs'!K73</f>
        <v>3796555471994011.5</v>
      </c>
      <c r="F9" s="4">
        <f ca="1">'Aggregate Calcs'!L73</f>
        <v>3865260659566631</v>
      </c>
      <c r="G9" s="4">
        <f ca="1">'Aggregate Calcs'!M73</f>
        <v>3933965847139250</v>
      </c>
      <c r="H9" s="4">
        <f ca="1">'Aggregate Calcs'!N73</f>
        <v>4002671034711868.5</v>
      </c>
      <c r="I9" s="4">
        <f ca="1">'Aggregate Calcs'!O73</f>
        <v>4071376222284489</v>
      </c>
      <c r="J9" s="4">
        <f ca="1">'Aggregate Calcs'!P73</f>
        <v>4140081409857108</v>
      </c>
      <c r="K9" s="4">
        <f ca="1">'Aggregate Calcs'!Q73</f>
        <v>4212098605183568</v>
      </c>
      <c r="L9" s="4">
        <f ca="1">'Aggregate Calcs'!R73</f>
        <v>4284115800510029</v>
      </c>
      <c r="M9" s="4">
        <f ca="1">'Aggregate Calcs'!S73</f>
        <v>4356132995836489.5</v>
      </c>
      <c r="N9" s="4">
        <f ca="1">'Aggregate Calcs'!T73</f>
        <v>4428150191162949.5</v>
      </c>
      <c r="O9" s="4">
        <f ca="1">'Aggregate Calcs'!U73</f>
        <v>4500167386489409.5</v>
      </c>
      <c r="P9" s="4">
        <f ca="1">'Aggregate Calcs'!V73</f>
        <v>4596814264362142</v>
      </c>
      <c r="Q9" s="4">
        <f ca="1">'Aggregate Calcs'!W73</f>
        <v>4693461142234872</v>
      </c>
      <c r="R9" s="4">
        <f ca="1">'Aggregate Calcs'!X73</f>
        <v>4790108020107604</v>
      </c>
      <c r="S9" s="4">
        <f ca="1">'Aggregate Calcs'!Y73</f>
        <v>4886754897980336</v>
      </c>
      <c r="T9" s="4">
        <f ca="1">'Aggregate Calcs'!Z73</f>
        <v>4983401775853067</v>
      </c>
      <c r="U9" s="4">
        <f ca="1">'Aggregate Calcs'!AA73</f>
        <v>5123998413671977</v>
      </c>
      <c r="V9" s="4">
        <f ca="1">'Aggregate Calcs'!AB73</f>
        <v>5264595051490886</v>
      </c>
      <c r="W9" s="4">
        <f ca="1">'Aggregate Calcs'!AC73</f>
        <v>5405191689309796</v>
      </c>
      <c r="X9" s="4">
        <f ca="1">'Aggregate Calcs'!AD73</f>
        <v>5545788327128706</v>
      </c>
      <c r="Y9" s="4">
        <f ca="1">'Aggregate Calcs'!AE73</f>
        <v>5686384964947616</v>
      </c>
      <c r="Z9" s="4">
        <f ca="1">'Aggregate Calcs'!AF73</f>
        <v>5791553714199829</v>
      </c>
      <c r="AA9" s="4">
        <f ca="1">'Aggregate Calcs'!AG73</f>
        <v>5896722463452042</v>
      </c>
      <c r="AB9" s="4">
        <f ca="1">'Aggregate Calcs'!AH73</f>
        <v>6001891212704255</v>
      </c>
      <c r="AC9" s="4">
        <f ca="1">'Aggregate Calcs'!AI73</f>
        <v>6107059961956467</v>
      </c>
      <c r="AD9" s="4">
        <f ca="1">'Aggregate Calcs'!AJ73</f>
        <v>6212228711208681</v>
      </c>
      <c r="AE9" s="4">
        <f ca="1">'Aggregate Calcs'!AK73</f>
        <v>6317397460460892</v>
      </c>
      <c r="AF9" s="4">
        <f ca="1">'Aggregate Calcs'!AL73</f>
        <v>6422566209713106</v>
      </c>
      <c r="AG9" s="4">
        <f ca="1">'Aggregate Calcs'!AM73</f>
        <v>6527734958965319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529</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530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531</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532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499" t="s">
        <v>616</v>
      </c>
      <c r="C1" s="499"/>
      <c r="D1" s="489" t="s">
        <v>617</v>
      </c>
    </row>
    <row r="2" spans="1:4" x14ac:dyDescent="0.25">
      <c r="A2" s="413"/>
      <c r="B2" s="413" t="s">
        <v>618</v>
      </c>
      <c r="C2" s="413" t="s">
        <v>619</v>
      </c>
    </row>
    <row r="3" spans="1:4" x14ac:dyDescent="0.25">
      <c r="A3" s="413" t="s">
        <v>620</v>
      </c>
      <c r="B3" s="413">
        <v>942.63</v>
      </c>
      <c r="C3" s="413">
        <v>14262</v>
      </c>
    </row>
    <row r="5" spans="1:4" x14ac:dyDescent="0.25">
      <c r="A5" s="4" t="s">
        <v>621</v>
      </c>
    </row>
    <row r="6" spans="1:4" x14ac:dyDescent="0.25">
      <c r="A6" s="4" t="s">
        <v>622</v>
      </c>
      <c r="B6" s="4">
        <f>2.39 * 10^11</f>
        <v>239000000000</v>
      </c>
    </row>
    <row r="7" spans="1:4" x14ac:dyDescent="0.25">
      <c r="A7" s="4" t="s">
        <v>623</v>
      </c>
      <c r="B7" s="116">
        <f>1 * 10^9</f>
        <v>1000000000</v>
      </c>
    </row>
    <row r="9" spans="1:4" x14ac:dyDescent="0.25">
      <c r="A9" s="80" t="s">
        <v>624</v>
      </c>
      <c r="B9" s="49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activeCell="E26" sqref="E26"/>
    </sheetView>
  </sheetViews>
  <sheetFormatPr defaultRowHeight="15" x14ac:dyDescent="0.25"/>
  <sheetData>
    <row r="1" spans="1:8" x14ac:dyDescent="0.25">
      <c r="A1" s="500" t="s">
        <v>595</v>
      </c>
      <c r="B1" s="500"/>
      <c r="C1" s="500"/>
      <c r="D1" s="500"/>
      <c r="E1" s="500"/>
      <c r="F1" s="500"/>
      <c r="G1" s="500"/>
      <c r="H1" s="500"/>
    </row>
    <row r="2" spans="1:8" x14ac:dyDescent="0.25">
      <c r="A2" s="500"/>
      <c r="B2" s="500"/>
      <c r="C2" s="500"/>
      <c r="D2" s="500"/>
      <c r="E2" s="500"/>
      <c r="F2" s="500"/>
      <c r="G2" s="500"/>
      <c r="H2" s="500"/>
    </row>
    <row r="3" spans="1:8" ht="16.5" x14ac:dyDescent="0.25">
      <c r="A3" s="501" t="s">
        <v>596</v>
      </c>
      <c r="B3" s="501"/>
      <c r="C3" s="501"/>
      <c r="D3" s="501"/>
      <c r="E3" s="501"/>
      <c r="F3" s="501"/>
      <c r="G3" s="501"/>
      <c r="H3" s="501"/>
    </row>
    <row r="4" spans="1:8" x14ac:dyDescent="0.25">
      <c r="A4" s="502" t="s">
        <v>597</v>
      </c>
      <c r="B4" s="505" t="s">
        <v>3</v>
      </c>
      <c r="C4" s="505" t="s">
        <v>11</v>
      </c>
      <c r="D4" s="505" t="s">
        <v>598</v>
      </c>
      <c r="E4" s="505" t="s">
        <v>599</v>
      </c>
      <c r="F4" s="465" t="s">
        <v>600</v>
      </c>
      <c r="G4" s="505" t="s">
        <v>12</v>
      </c>
      <c r="H4" s="466" t="s">
        <v>9</v>
      </c>
    </row>
    <row r="5" spans="1:8" x14ac:dyDescent="0.25">
      <c r="A5" s="503"/>
      <c r="B5" s="506"/>
      <c r="C5" s="506"/>
      <c r="D5" s="506"/>
      <c r="E5" s="506"/>
      <c r="F5" s="467" t="s">
        <v>601</v>
      </c>
      <c r="G5" s="506"/>
      <c r="H5" s="468" t="s">
        <v>7</v>
      </c>
    </row>
    <row r="6" spans="1:8" x14ac:dyDescent="0.25">
      <c r="A6" s="504"/>
      <c r="B6" s="507"/>
      <c r="C6" s="507"/>
      <c r="D6" s="507"/>
      <c r="E6" s="507"/>
      <c r="F6" s="469" t="s">
        <v>602</v>
      </c>
      <c r="G6" s="507"/>
      <c r="H6" s="470" t="s">
        <v>603</v>
      </c>
    </row>
    <row r="7" spans="1:8" x14ac:dyDescent="0.25">
      <c r="A7" s="471">
        <v>1</v>
      </c>
      <c r="B7" s="471">
        <v>2</v>
      </c>
      <c r="C7" s="471">
        <v>3</v>
      </c>
      <c r="D7" s="471">
        <v>4</v>
      </c>
      <c r="E7" s="471">
        <v>5</v>
      </c>
      <c r="F7" s="471">
        <v>6</v>
      </c>
      <c r="G7" s="471">
        <v>7</v>
      </c>
      <c r="H7" s="472" t="s">
        <v>604</v>
      </c>
    </row>
    <row r="8" spans="1:8" x14ac:dyDescent="0.25">
      <c r="A8" s="473"/>
      <c r="B8" s="474"/>
      <c r="C8" s="474"/>
      <c r="D8" s="474"/>
      <c r="E8" s="474"/>
      <c r="F8" s="474"/>
      <c r="G8" s="474"/>
      <c r="H8" s="474"/>
    </row>
    <row r="9" spans="1:8" x14ac:dyDescent="0.25">
      <c r="A9" s="473"/>
      <c r="B9" s="474"/>
      <c r="C9" s="474"/>
      <c r="D9" s="474"/>
      <c r="E9" s="474"/>
      <c r="F9" s="474"/>
      <c r="G9" s="474"/>
      <c r="H9" s="474"/>
    </row>
    <row r="10" spans="1:8" x14ac:dyDescent="0.25">
      <c r="A10" s="473"/>
      <c r="B10" s="474"/>
      <c r="C10" s="474"/>
      <c r="D10" s="474"/>
      <c r="E10" s="474"/>
      <c r="F10" s="474"/>
      <c r="G10" s="474"/>
      <c r="H10" s="474"/>
    </row>
    <row r="11" spans="1:8" x14ac:dyDescent="0.25">
      <c r="A11" s="475"/>
      <c r="B11" s="474"/>
      <c r="C11" s="474"/>
      <c r="D11" s="474"/>
      <c r="E11" s="474"/>
      <c r="F11" s="474"/>
      <c r="G11" s="474"/>
      <c r="H11" s="474"/>
    </row>
    <row r="12" spans="1:8" x14ac:dyDescent="0.25">
      <c r="A12" s="475"/>
      <c r="B12" s="474"/>
      <c r="C12" s="474"/>
      <c r="D12" s="474"/>
      <c r="E12" s="474"/>
      <c r="F12" s="474"/>
      <c r="G12" s="474"/>
      <c r="H12" s="474"/>
    </row>
    <row r="13" spans="1:8" x14ac:dyDescent="0.25">
      <c r="A13" s="473"/>
      <c r="B13" s="474"/>
      <c r="C13" s="474"/>
      <c r="D13" s="474"/>
      <c r="E13" s="474"/>
      <c r="F13" s="474"/>
      <c r="G13" s="474"/>
      <c r="H13" s="474"/>
    </row>
    <row r="14" spans="1:8" x14ac:dyDescent="0.25">
      <c r="A14" s="473"/>
      <c r="B14" s="474"/>
      <c r="C14" s="474"/>
      <c r="D14" s="474"/>
      <c r="E14" s="474"/>
      <c r="F14" s="474"/>
      <c r="G14" s="474"/>
      <c r="H14" s="474"/>
    </row>
    <row r="15" spans="1:8" x14ac:dyDescent="0.25">
      <c r="A15" s="476"/>
      <c r="B15" s="477"/>
      <c r="C15" s="474"/>
      <c r="D15" s="474"/>
      <c r="E15" s="474"/>
      <c r="F15" s="474"/>
      <c r="G15" s="474"/>
      <c r="H15" s="474"/>
    </row>
    <row r="16" spans="1:8" x14ac:dyDescent="0.25">
      <c r="A16" s="79"/>
      <c r="B16" s="79"/>
      <c r="C16" s="79"/>
      <c r="D16" s="79"/>
      <c r="E16" s="79"/>
      <c r="F16" s="79"/>
      <c r="G16" s="79"/>
      <c r="H16" s="79"/>
    </row>
    <row r="17" spans="1:8" x14ac:dyDescent="0.25">
      <c r="A17" s="478" t="s">
        <v>605</v>
      </c>
      <c r="B17" s="479">
        <v>440206</v>
      </c>
      <c r="C17" s="479">
        <v>191151</v>
      </c>
      <c r="D17" s="479">
        <v>255826</v>
      </c>
      <c r="E17" s="479">
        <v>89825</v>
      </c>
      <c r="F17" s="479">
        <v>15683</v>
      </c>
      <c r="G17" s="479">
        <v>68493</v>
      </c>
      <c r="H17" s="479">
        <v>1061183</v>
      </c>
    </row>
    <row r="18" spans="1:8" x14ac:dyDescent="0.25">
      <c r="A18" s="478" t="s">
        <v>571</v>
      </c>
      <c r="B18" s="480">
        <v>468613</v>
      </c>
      <c r="C18" s="480">
        <v>199247</v>
      </c>
      <c r="D18" s="480">
        <v>273545</v>
      </c>
      <c r="E18" s="480">
        <v>93755</v>
      </c>
      <c r="F18" s="480">
        <v>17433</v>
      </c>
      <c r="G18" s="480">
        <v>70834</v>
      </c>
      <c r="H18" s="480">
        <v>1123427</v>
      </c>
    </row>
    <row r="19" spans="1:8" x14ac:dyDescent="0.25">
      <c r="A19" s="481" t="s">
        <v>606</v>
      </c>
      <c r="B19" s="482">
        <v>519196</v>
      </c>
      <c r="C19" s="482">
        <v>213409</v>
      </c>
      <c r="D19" s="482">
        <v>288243</v>
      </c>
      <c r="E19" s="482">
        <v>98228</v>
      </c>
      <c r="F19" s="482">
        <v>18837</v>
      </c>
      <c r="G19" s="482">
        <v>72058</v>
      </c>
      <c r="H19" s="482">
        <v>1209972</v>
      </c>
    </row>
    <row r="20" spans="1:8" x14ac:dyDescent="0.25">
      <c r="A20" s="483"/>
      <c r="B20" s="484"/>
      <c r="C20" s="484"/>
      <c r="D20" s="484"/>
      <c r="E20" s="484"/>
      <c r="F20" s="484"/>
      <c r="G20" s="484"/>
      <c r="H20" s="484"/>
    </row>
    <row r="21" spans="1:8" x14ac:dyDescent="0.25">
      <c r="A21" s="485"/>
      <c r="B21" s="485"/>
      <c r="C21" s="485"/>
      <c r="D21" s="486"/>
      <c r="E21" s="486"/>
      <c r="F21" s="486"/>
      <c r="G21" s="486"/>
      <c r="H21" s="486"/>
    </row>
    <row r="22" spans="1:8" x14ac:dyDescent="0.25">
      <c r="A22" s="485" t="s">
        <v>607</v>
      </c>
      <c r="B22" s="485"/>
      <c r="C22" s="485"/>
      <c r="D22" s="485"/>
      <c r="E22" s="485"/>
      <c r="F22" s="485"/>
      <c r="G22" s="485"/>
      <c r="H22" s="48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D10" sqref="D10"/>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631</v>
      </c>
    </row>
    <row r="2" spans="1:13" ht="45" x14ac:dyDescent="0.25">
      <c r="A2" t="s">
        <v>597</v>
      </c>
      <c r="B2" s="6" t="s">
        <v>611</v>
      </c>
      <c r="C2" s="6" t="s">
        <v>5</v>
      </c>
      <c r="D2" s="6" t="s">
        <v>612</v>
      </c>
      <c r="E2" s="6" t="s">
        <v>8</v>
      </c>
      <c r="F2" s="6" t="s">
        <v>613</v>
      </c>
      <c r="G2" s="6" t="s">
        <v>614</v>
      </c>
      <c r="H2" s="6" t="s">
        <v>615</v>
      </c>
      <c r="I2" s="6" t="s">
        <v>12</v>
      </c>
    </row>
    <row r="3" spans="1:13" x14ac:dyDescent="0.25">
      <c r="A3" t="s">
        <v>610</v>
      </c>
      <c r="B3">
        <v>64.650000000000006</v>
      </c>
      <c r="C3">
        <v>8.82</v>
      </c>
      <c r="D3">
        <v>1.64</v>
      </c>
      <c r="E3">
        <v>0.2</v>
      </c>
      <c r="F3">
        <v>12.09</v>
      </c>
      <c r="G3">
        <v>1.79</v>
      </c>
      <c r="H3">
        <v>0.09</v>
      </c>
      <c r="I3">
        <v>257.44</v>
      </c>
      <c r="M3" s="488"/>
    </row>
    <row r="4" spans="1:13" x14ac:dyDescent="0.25">
      <c r="A4" s="1" t="s">
        <v>632</v>
      </c>
      <c r="B4" s="4"/>
      <c r="C4" s="4"/>
      <c r="D4" s="4"/>
      <c r="E4" s="4"/>
      <c r="F4" s="4"/>
      <c r="G4" s="4"/>
      <c r="H4" s="4"/>
      <c r="I4" s="4"/>
    </row>
    <row r="5" spans="1:13" ht="45" x14ac:dyDescent="0.25">
      <c r="A5" s="4" t="s">
        <v>597</v>
      </c>
      <c r="B5" s="6" t="s">
        <v>611</v>
      </c>
      <c r="C5" s="6" t="s">
        <v>5</v>
      </c>
      <c r="D5" s="6" t="s">
        <v>612</v>
      </c>
      <c r="E5" s="6" t="s">
        <v>8</v>
      </c>
      <c r="F5" s="6" t="s">
        <v>12</v>
      </c>
      <c r="I5" s="4"/>
      <c r="J5" s="4"/>
    </row>
    <row r="6" spans="1:13" x14ac:dyDescent="0.25">
      <c r="A6" s="4" t="s">
        <v>610</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t="s">
        <v>629</v>
      </c>
    </row>
    <row r="12" spans="1:13" x14ac:dyDescent="0.25">
      <c r="A12" s="4" t="s">
        <v>528</v>
      </c>
      <c r="B12">
        <f>SUM(C3,C6)</f>
        <v>10.620000000000001</v>
      </c>
    </row>
    <row r="13" spans="1:13" x14ac:dyDescent="0.25">
      <c r="A13" s="4" t="s">
        <v>529</v>
      </c>
    </row>
    <row r="14" spans="1:13" x14ac:dyDescent="0.25">
      <c r="A14" s="4" t="s">
        <v>27</v>
      </c>
      <c r="B14">
        <f>SUM(B3,B6,F3)</f>
        <v>76.830000000000013</v>
      </c>
    </row>
    <row r="15" spans="1:13" x14ac:dyDescent="0.25">
      <c r="A15" s="4" t="s">
        <v>6</v>
      </c>
      <c r="B15">
        <f>G3</f>
        <v>1.79</v>
      </c>
    </row>
    <row r="16" spans="1:13" x14ac:dyDescent="0.25">
      <c r="A16" s="4" t="s">
        <v>530</v>
      </c>
    </row>
    <row r="17" spans="1:8" x14ac:dyDescent="0.25">
      <c r="A17" s="4" t="s">
        <v>531</v>
      </c>
    </row>
    <row r="18" spans="1:8" x14ac:dyDescent="0.25">
      <c r="A18" s="4" t="s">
        <v>11</v>
      </c>
    </row>
    <row r="19" spans="1:8" x14ac:dyDescent="0.25">
      <c r="A19" s="4" t="s">
        <v>532</v>
      </c>
      <c r="B19">
        <f>SUM(D3,E3,H3,I3,D6,E6,F6)</f>
        <v>265.55000000000007</v>
      </c>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A172" zoomScale="90" zoomScaleNormal="90" workbookViewId="0">
      <selection activeCell="M194" sqref="M194"/>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511" t="s">
        <v>575</v>
      </c>
      <c r="B1" s="512"/>
      <c r="C1" s="512"/>
      <c r="D1" s="512"/>
      <c r="E1" s="512"/>
      <c r="F1" s="512"/>
      <c r="G1" s="512"/>
      <c r="H1" s="512"/>
      <c r="I1" s="513"/>
      <c r="L1" s="511" t="s">
        <v>58</v>
      </c>
      <c r="M1" s="512"/>
      <c r="N1" s="512"/>
      <c r="O1" s="512"/>
      <c r="P1" s="512"/>
      <c r="Q1" s="512"/>
      <c r="R1" s="512"/>
      <c r="S1" s="511"/>
      <c r="T1" s="512"/>
      <c r="V1" s="114" t="s">
        <v>169</v>
      </c>
    </row>
    <row r="2" spans="1:22" x14ac:dyDescent="0.25">
      <c r="A2" s="508" t="s">
        <v>59</v>
      </c>
      <c r="B2" s="509"/>
      <c r="C2" s="509"/>
      <c r="D2" s="509"/>
      <c r="E2" s="509"/>
      <c r="F2" s="509"/>
      <c r="G2" s="509"/>
      <c r="H2" s="509"/>
      <c r="I2" s="510"/>
      <c r="L2" s="520" t="s">
        <v>135</v>
      </c>
      <c r="M2" s="509"/>
      <c r="N2" s="509"/>
      <c r="O2" s="509"/>
      <c r="P2" s="509"/>
      <c r="Q2" s="509"/>
      <c r="R2" s="509"/>
      <c r="S2" s="509"/>
      <c r="T2" s="510"/>
    </row>
    <row r="3" spans="1:22" x14ac:dyDescent="0.25">
      <c r="A3" s="514" t="s">
        <v>60</v>
      </c>
      <c r="B3" s="515"/>
      <c r="C3" s="82" t="s">
        <v>61</v>
      </c>
      <c r="D3" s="82" t="s">
        <v>62</v>
      </c>
      <c r="E3" s="82" t="s">
        <v>63</v>
      </c>
      <c r="F3" s="82" t="s">
        <v>64</v>
      </c>
      <c r="G3" s="388" t="s">
        <v>495</v>
      </c>
      <c r="H3" s="388" t="s">
        <v>571</v>
      </c>
      <c r="I3" s="388" t="s">
        <v>572</v>
      </c>
      <c r="L3" s="514" t="s">
        <v>60</v>
      </c>
      <c r="M3" s="515"/>
      <c r="N3" s="82" t="s">
        <v>61</v>
      </c>
      <c r="O3" s="82" t="s">
        <v>62</v>
      </c>
      <c r="P3" s="82" t="s">
        <v>63</v>
      </c>
      <c r="Q3" s="82" t="s">
        <v>64</v>
      </c>
      <c r="R3" s="388" t="s">
        <v>495</v>
      </c>
      <c r="S3" s="388" t="s">
        <v>573</v>
      </c>
      <c r="T3" s="388" t="s">
        <v>572</v>
      </c>
    </row>
    <row r="4" spans="1:22" x14ac:dyDescent="0.25">
      <c r="A4" s="516">
        <v>-1</v>
      </c>
      <c r="B4" s="517"/>
      <c r="C4" s="83">
        <v>-2</v>
      </c>
      <c r="D4" s="83">
        <v>-3</v>
      </c>
      <c r="E4" s="83">
        <v>-4</v>
      </c>
      <c r="F4" s="83">
        <v>-5</v>
      </c>
      <c r="G4" s="83">
        <v>-6</v>
      </c>
      <c r="H4" s="83">
        <v>-7</v>
      </c>
      <c r="I4" s="83">
        <v>-8</v>
      </c>
      <c r="L4" s="516">
        <v>-1</v>
      </c>
      <c r="M4" s="517"/>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18" t="s">
        <v>92</v>
      </c>
      <c r="B25" s="519"/>
      <c r="C25" s="403">
        <v>15600.7</v>
      </c>
      <c r="D25" s="403">
        <v>16293.65</v>
      </c>
      <c r="E25" s="403">
        <v>18000.099999999999</v>
      </c>
      <c r="F25" s="403">
        <v>19623.21</v>
      </c>
      <c r="G25" s="404">
        <v>21608.21</v>
      </c>
      <c r="H25" s="404">
        <v>23341.8</v>
      </c>
      <c r="I25" s="404">
        <v>24906.799999999999</v>
      </c>
      <c r="L25" s="518" t="s">
        <v>92</v>
      </c>
      <c r="M25" s="519"/>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11" t="s">
        <v>95</v>
      </c>
      <c r="B29" s="512"/>
      <c r="C29" s="512"/>
      <c r="D29" s="512"/>
      <c r="E29" s="512"/>
      <c r="F29" s="512"/>
      <c r="G29" s="512"/>
      <c r="H29" s="512"/>
      <c r="I29" s="513"/>
      <c r="L29" s="511" t="s">
        <v>95</v>
      </c>
      <c r="M29" s="512"/>
      <c r="N29" s="512"/>
      <c r="O29" s="512"/>
      <c r="P29" s="512"/>
      <c r="Q29" s="512"/>
      <c r="R29" s="512"/>
      <c r="S29" s="511"/>
      <c r="T29" s="512"/>
    </row>
    <row r="30" spans="1:22" x14ac:dyDescent="0.25">
      <c r="A30" s="508" t="s">
        <v>59</v>
      </c>
      <c r="B30" s="509"/>
      <c r="C30" s="509"/>
      <c r="D30" s="509"/>
      <c r="E30" s="509"/>
      <c r="F30" s="509"/>
      <c r="G30" s="509"/>
      <c r="H30" s="509"/>
      <c r="I30" s="510"/>
      <c r="L30" s="520" t="s">
        <v>135</v>
      </c>
      <c r="M30" s="509"/>
      <c r="N30" s="509"/>
      <c r="O30" s="509"/>
      <c r="P30" s="509"/>
      <c r="Q30" s="509"/>
      <c r="R30" s="509"/>
      <c r="S30" s="509"/>
      <c r="T30" s="510"/>
    </row>
    <row r="31" spans="1:22" x14ac:dyDescent="0.25">
      <c r="A31" s="514" t="s">
        <v>60</v>
      </c>
      <c r="B31" s="515"/>
      <c r="C31" s="82" t="s">
        <v>61</v>
      </c>
      <c r="D31" s="82" t="s">
        <v>62</v>
      </c>
      <c r="E31" s="82" t="s">
        <v>63</v>
      </c>
      <c r="F31" s="82" t="s">
        <v>64</v>
      </c>
      <c r="G31" s="388" t="s">
        <v>495</v>
      </c>
      <c r="H31" s="388" t="s">
        <v>573</v>
      </c>
      <c r="I31" s="388" t="s">
        <v>572</v>
      </c>
      <c r="L31" s="514" t="s">
        <v>60</v>
      </c>
      <c r="M31" s="515"/>
      <c r="N31" s="82" t="s">
        <v>61</v>
      </c>
      <c r="O31" s="82" t="s">
        <v>62</v>
      </c>
      <c r="P31" s="82" t="s">
        <v>63</v>
      </c>
      <c r="Q31" s="82" t="s">
        <v>64</v>
      </c>
      <c r="R31" s="388" t="s">
        <v>495</v>
      </c>
      <c r="S31" s="388" t="s">
        <v>573</v>
      </c>
      <c r="T31" s="388" t="s">
        <v>572</v>
      </c>
    </row>
    <row r="32" spans="1:22" x14ac:dyDescent="0.25">
      <c r="A32" s="516">
        <v>-1</v>
      </c>
      <c r="B32" s="517"/>
      <c r="C32" s="83">
        <v>-2</v>
      </c>
      <c r="D32" s="83">
        <v>-3</v>
      </c>
      <c r="E32" s="83">
        <v>-4</v>
      </c>
      <c r="F32" s="83">
        <v>-5</v>
      </c>
      <c r="G32" s="83">
        <v>-6</v>
      </c>
      <c r="H32" s="83">
        <v>-7</v>
      </c>
      <c r="I32" s="83">
        <v>-8</v>
      </c>
      <c r="L32" s="516">
        <v>-1</v>
      </c>
      <c r="M32" s="517"/>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518" t="s">
        <v>92</v>
      </c>
      <c r="B40" s="519"/>
      <c r="C40" s="403">
        <v>12289.4</v>
      </c>
      <c r="D40" s="403">
        <v>11305.2</v>
      </c>
      <c r="E40" s="403">
        <v>11082.03</v>
      </c>
      <c r="F40" s="404">
        <v>13270.84</v>
      </c>
      <c r="G40" s="404">
        <v>13240.8</v>
      </c>
      <c r="H40" s="450">
        <v>12888.6</v>
      </c>
      <c r="I40" s="403">
        <v>14131.2</v>
      </c>
      <c r="L40" s="518" t="s">
        <v>92</v>
      </c>
      <c r="M40" s="526"/>
      <c r="N40" s="452">
        <f>C40*'Unit Conversions'!$B$11*BTU_per_TOE*10^3</f>
        <v>526697431088774.44</v>
      </c>
      <c r="O40" s="452">
        <f>D40*'Unit Conversions'!$B$11*BTU_per_TOE*10^3</f>
        <v>484516721560435.31</v>
      </c>
      <c r="P40" s="452">
        <f>E40*'Unit Conversions'!$B$11*BTU_per_TOE*10^3</f>
        <v>474952132101545.38</v>
      </c>
      <c r="Q40" s="452">
        <f>F40*'Unit Conversions'!$B$11*BTU_per_TOE*10^3</f>
        <v>568759852913091.88</v>
      </c>
      <c r="R40" s="452">
        <f>G40*'Unit Conversions'!$B$11*BTU_per_TOE*10^3</f>
        <v>567472402685260.88</v>
      </c>
      <c r="S40" s="452">
        <f>H40*'Unit Conversions'!$B$11*BTU_per_TOE*10^3</f>
        <v>552377863063353.75</v>
      </c>
      <c r="T40" s="45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11" t="s">
        <v>576</v>
      </c>
      <c r="B44" s="512"/>
      <c r="C44" s="512"/>
      <c r="D44" s="512"/>
      <c r="E44" s="512"/>
      <c r="F44" s="512"/>
      <c r="G44" s="512"/>
      <c r="H44" s="512"/>
      <c r="I44" s="513"/>
      <c r="L44" s="511" t="s">
        <v>576</v>
      </c>
      <c r="M44" s="512"/>
      <c r="N44" s="512"/>
      <c r="O44" s="512"/>
      <c r="P44" s="512"/>
      <c r="Q44" s="512"/>
      <c r="R44" s="512"/>
      <c r="S44" s="511"/>
      <c r="T44" s="512"/>
    </row>
    <row r="45" spans="1:22" x14ac:dyDescent="0.25">
      <c r="A45" s="508" t="s">
        <v>59</v>
      </c>
      <c r="B45" s="509"/>
      <c r="C45" s="509"/>
      <c r="D45" s="509"/>
      <c r="E45" s="509"/>
      <c r="F45" s="509"/>
      <c r="G45" s="509"/>
      <c r="H45" s="509"/>
      <c r="I45" s="510"/>
      <c r="L45" s="520" t="s">
        <v>135</v>
      </c>
      <c r="M45" s="509"/>
      <c r="N45" s="509"/>
      <c r="O45" s="509"/>
      <c r="P45" s="509"/>
      <c r="Q45" s="509"/>
      <c r="R45" s="509"/>
      <c r="S45" s="509"/>
      <c r="T45" s="510"/>
    </row>
    <row r="46" spans="1:22" x14ac:dyDescent="0.25">
      <c r="A46" s="514" t="s">
        <v>60</v>
      </c>
      <c r="B46" s="515"/>
      <c r="C46" s="82" t="s">
        <v>61</v>
      </c>
      <c r="D46" s="82" t="s">
        <v>62</v>
      </c>
      <c r="E46" s="82" t="s">
        <v>63</v>
      </c>
      <c r="F46" s="82" t="s">
        <v>64</v>
      </c>
      <c r="G46" s="388" t="s">
        <v>495</v>
      </c>
      <c r="H46" s="388" t="s">
        <v>571</v>
      </c>
      <c r="I46" s="388" t="s">
        <v>572</v>
      </c>
      <c r="L46" s="514" t="s">
        <v>60</v>
      </c>
      <c r="M46" s="515"/>
      <c r="N46" s="82" t="s">
        <v>61</v>
      </c>
      <c r="O46" s="82" t="s">
        <v>62</v>
      </c>
      <c r="P46" s="82" t="s">
        <v>63</v>
      </c>
      <c r="Q46" s="82" t="s">
        <v>64</v>
      </c>
      <c r="R46" s="388" t="s">
        <v>495</v>
      </c>
      <c r="S46" s="388" t="s">
        <v>573</v>
      </c>
      <c r="T46" s="388" t="s">
        <v>572</v>
      </c>
    </row>
    <row r="47" spans="1:22" x14ac:dyDescent="0.25">
      <c r="A47" s="516">
        <v>-1</v>
      </c>
      <c r="B47" s="517"/>
      <c r="C47" s="83">
        <v>-2</v>
      </c>
      <c r="D47" s="83">
        <v>-3</v>
      </c>
      <c r="E47" s="83">
        <v>-4</v>
      </c>
      <c r="F47" s="83">
        <v>-5</v>
      </c>
      <c r="G47" s="83">
        <v>-6</v>
      </c>
      <c r="H47" s="83">
        <v>-7</v>
      </c>
      <c r="I47" s="83">
        <v>-8</v>
      </c>
      <c r="L47" s="516">
        <v>-1</v>
      </c>
      <c r="M47" s="517"/>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21">
        <v>8</v>
      </c>
      <c r="B71" s="94" t="s">
        <v>91</v>
      </c>
      <c r="C71" s="95">
        <v>46.66</v>
      </c>
      <c r="D71" s="95">
        <v>76.650000000000006</v>
      </c>
      <c r="E71" s="95">
        <v>83.4</v>
      </c>
      <c r="F71" s="95">
        <v>55.4</v>
      </c>
      <c r="G71" s="95">
        <v>46.26</v>
      </c>
      <c r="H71" s="95">
        <v>90.2</v>
      </c>
      <c r="I71" s="89">
        <v>93.5</v>
      </c>
      <c r="L71" s="521">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22"/>
      <c r="B72" s="100" t="s">
        <v>92</v>
      </c>
      <c r="C72" s="96">
        <v>69080.05</v>
      </c>
      <c r="D72" s="96">
        <v>68363.92</v>
      </c>
      <c r="E72" s="96">
        <v>69416.22</v>
      </c>
      <c r="F72" s="96">
        <v>74647.070000000007</v>
      </c>
      <c r="G72" s="96">
        <v>76026.570000000007</v>
      </c>
      <c r="H72" s="96">
        <v>81073.399999999994</v>
      </c>
      <c r="I72" s="96">
        <v>83528.100000000006</v>
      </c>
      <c r="L72" s="522"/>
      <c r="M72" s="449" t="s">
        <v>92</v>
      </c>
      <c r="N72" s="452">
        <f>C72*'Unit Conversions'!$B$7*'Unit Conversions'!$G$9/'Unit Conversions'!$G$8*BTU_per_TOE*10^3</f>
        <v>2837264065350133</v>
      </c>
      <c r="O72" s="452">
        <f>D72*'Unit Conversions'!$B$7*'Unit Conversions'!$G$9/'Unit Conversions'!$G$8*BTU_per_TOE*10^3</f>
        <v>2807851088446972</v>
      </c>
      <c r="P72" s="452">
        <f>E72*'Unit Conversions'!$B$7*'Unit Conversions'!$G$9/'Unit Conversions'!$G$8*BTU_per_TOE*10^3</f>
        <v>2851071279746311.5</v>
      </c>
      <c r="Q72" s="452">
        <f>F72*'Unit Conversions'!$B$7*'Unit Conversions'!$G$9/'Unit Conversions'!$G$8*BTU_per_TOE*10^3</f>
        <v>3065913375781806</v>
      </c>
      <c r="R72" s="452">
        <f>G72*'Unit Conversions'!$B$7*'Unit Conversions'!$G$9/'Unit Conversions'!$G$8*BTU_per_TOE*10^3</f>
        <v>3122572364565840.5</v>
      </c>
      <c r="S72" s="452">
        <f>H72*'Unit Conversions'!$B$7*'Unit Conversions'!$G$9/'Unit Conversions'!$G$8*BTU_per_TOE*10^3</f>
        <v>3329856369179777</v>
      </c>
      <c r="T72" s="45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11" t="s">
        <v>577</v>
      </c>
      <c r="B76" s="512"/>
      <c r="C76" s="512"/>
      <c r="D76" s="512"/>
      <c r="E76" s="512"/>
      <c r="F76" s="512"/>
      <c r="G76" s="512"/>
      <c r="H76" s="512"/>
      <c r="I76" s="513"/>
      <c r="L76" s="511" t="s">
        <v>577</v>
      </c>
      <c r="M76" s="512"/>
      <c r="N76" s="512"/>
      <c r="O76" s="512"/>
      <c r="P76" s="512"/>
      <c r="Q76" s="512"/>
      <c r="R76" s="512"/>
      <c r="S76" s="511"/>
      <c r="T76" s="512"/>
    </row>
    <row r="77" spans="1:22" x14ac:dyDescent="0.25">
      <c r="A77" s="508" t="s">
        <v>59</v>
      </c>
      <c r="B77" s="509"/>
      <c r="C77" s="509"/>
      <c r="D77" s="509"/>
      <c r="E77" s="509"/>
      <c r="F77" s="509"/>
      <c r="G77" s="509"/>
      <c r="H77" s="509"/>
      <c r="I77" s="510"/>
      <c r="L77" s="520" t="s">
        <v>135</v>
      </c>
      <c r="M77" s="509"/>
      <c r="N77" s="509"/>
      <c r="O77" s="509"/>
      <c r="P77" s="509"/>
      <c r="Q77" s="509"/>
      <c r="R77" s="509"/>
      <c r="S77" s="509"/>
      <c r="T77" s="510"/>
    </row>
    <row r="78" spans="1:22" x14ac:dyDescent="0.25">
      <c r="A78" s="514" t="s">
        <v>60</v>
      </c>
      <c r="B78" s="515"/>
      <c r="C78" s="82" t="s">
        <v>61</v>
      </c>
      <c r="D78" s="82" t="s">
        <v>62</v>
      </c>
      <c r="E78" s="82" t="s">
        <v>63</v>
      </c>
      <c r="F78" s="82" t="s">
        <v>64</v>
      </c>
      <c r="G78" s="388" t="s">
        <v>495</v>
      </c>
      <c r="H78" s="388" t="s">
        <v>571</v>
      </c>
      <c r="I78" s="388" t="s">
        <v>572</v>
      </c>
      <c r="L78" s="514" t="s">
        <v>60</v>
      </c>
      <c r="M78" s="515"/>
      <c r="N78" s="82" t="s">
        <v>61</v>
      </c>
      <c r="O78" s="82" t="s">
        <v>62</v>
      </c>
      <c r="P78" s="82" t="s">
        <v>63</v>
      </c>
      <c r="Q78" s="82" t="s">
        <v>64</v>
      </c>
      <c r="R78" s="388" t="s">
        <v>495</v>
      </c>
      <c r="S78" s="388" t="s">
        <v>573</v>
      </c>
      <c r="T78" s="388" t="s">
        <v>572</v>
      </c>
    </row>
    <row r="79" spans="1:22" x14ac:dyDescent="0.25">
      <c r="A79" s="516">
        <v>-1</v>
      </c>
      <c r="B79" s="517"/>
      <c r="C79" s="83">
        <v>-2</v>
      </c>
      <c r="D79" s="83">
        <v>-3</v>
      </c>
      <c r="E79" s="83">
        <v>-4</v>
      </c>
      <c r="F79" s="83">
        <v>-5</v>
      </c>
      <c r="G79" s="83">
        <v>-6</v>
      </c>
      <c r="H79" s="83">
        <v>-7</v>
      </c>
      <c r="I79" s="83">
        <v>-8</v>
      </c>
      <c r="L79" s="516">
        <v>-1</v>
      </c>
      <c r="M79" s="517"/>
      <c r="N79" s="83">
        <v>-2</v>
      </c>
      <c r="O79" s="83">
        <v>-3</v>
      </c>
      <c r="P79" s="83">
        <v>-4</v>
      </c>
      <c r="Q79" s="83">
        <v>-5</v>
      </c>
      <c r="R79" s="83">
        <v>-6</v>
      </c>
      <c r="S79" s="83">
        <v>-7</v>
      </c>
      <c r="T79" s="83">
        <v>-8</v>
      </c>
    </row>
    <row r="80" spans="1:22" x14ac:dyDescent="0.25">
      <c r="A80" s="523" t="s">
        <v>123</v>
      </c>
      <c r="B80" s="524"/>
      <c r="C80" s="524"/>
      <c r="D80" s="524"/>
      <c r="E80" s="524"/>
      <c r="F80" s="524"/>
      <c r="G80" s="524"/>
      <c r="H80" s="524"/>
      <c r="I80" s="525"/>
      <c r="L80" s="542" t="s">
        <v>123</v>
      </c>
      <c r="M80" s="543"/>
      <c r="N80" s="543"/>
      <c r="O80" s="543"/>
      <c r="P80" s="543"/>
      <c r="Q80" s="543"/>
      <c r="R80" s="543"/>
      <c r="S80" s="543"/>
      <c r="T80" s="544"/>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9" t="s">
        <v>92</v>
      </c>
      <c r="N103" s="452">
        <f>C103*'Unit Conversions'!$B$12*BTU_per_TOE*10^3</f>
        <v>16447959213387.521</v>
      </c>
      <c r="O103" s="452">
        <f>D103*'Unit Conversions'!$B$12*BTU_per_TOE*10^3</f>
        <v>15943633269724.162</v>
      </c>
      <c r="P103" s="452">
        <f>E103*'Unit Conversions'!$B$12*BTU_per_TOE*10^3</f>
        <v>15074475792346.883</v>
      </c>
      <c r="Q103" s="452">
        <f>F103*'Unit Conversions'!$B$12*BTU_per_TOE*10^3</f>
        <v>16799584175745.281</v>
      </c>
      <c r="R103" s="452">
        <f>G103*'Unit Conversions'!$B$12*BTU_per_TOE*10^3</f>
        <v>18529645023402.242</v>
      </c>
      <c r="S103" s="452">
        <f>H103*'Unit Conversions'!$B$12*BTU_per_TOE*10^3</f>
        <v>21617506488614.398</v>
      </c>
      <c r="T103" s="45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11" t="s">
        <v>578</v>
      </c>
      <c r="B107" s="512"/>
      <c r="C107" s="512"/>
      <c r="D107" s="512"/>
      <c r="E107" s="512"/>
      <c r="F107" s="512"/>
      <c r="G107" s="512"/>
      <c r="H107" s="512"/>
      <c r="I107" s="513"/>
      <c r="L107" s="511" t="s">
        <v>578</v>
      </c>
      <c r="M107" s="512"/>
      <c r="N107" s="512"/>
      <c r="O107" s="512"/>
      <c r="P107" s="512"/>
      <c r="Q107" s="512"/>
      <c r="R107" s="512"/>
      <c r="S107" s="511"/>
      <c r="T107" s="512"/>
    </row>
    <row r="108" spans="1:22" x14ac:dyDescent="0.25">
      <c r="A108" s="508" t="s">
        <v>59</v>
      </c>
      <c r="B108" s="509"/>
      <c r="C108" s="509"/>
      <c r="D108" s="509"/>
      <c r="E108" s="509"/>
      <c r="F108" s="509"/>
      <c r="G108" s="509"/>
      <c r="H108" s="509"/>
      <c r="I108" s="510"/>
      <c r="L108" s="520" t="s">
        <v>135</v>
      </c>
      <c r="M108" s="509"/>
      <c r="N108" s="509"/>
      <c r="O108" s="509"/>
      <c r="P108" s="509"/>
      <c r="Q108" s="509"/>
      <c r="R108" s="509"/>
      <c r="S108" s="509"/>
      <c r="T108" s="510"/>
    </row>
    <row r="109" spans="1:22" x14ac:dyDescent="0.25">
      <c r="A109" s="514" t="s">
        <v>60</v>
      </c>
      <c r="B109" s="515"/>
      <c r="C109" s="82" t="s">
        <v>61</v>
      </c>
      <c r="D109" s="82" t="s">
        <v>62</v>
      </c>
      <c r="E109" s="82" t="s">
        <v>63</v>
      </c>
      <c r="F109" s="82" t="s">
        <v>64</v>
      </c>
      <c r="G109" s="388" t="s">
        <v>495</v>
      </c>
      <c r="H109" s="388" t="s">
        <v>571</v>
      </c>
      <c r="I109" s="388" t="s">
        <v>572</v>
      </c>
      <c r="L109" s="514" t="s">
        <v>60</v>
      </c>
      <c r="M109" s="515"/>
      <c r="N109" s="82" t="s">
        <v>61</v>
      </c>
      <c r="O109" s="82" t="s">
        <v>62</v>
      </c>
      <c r="P109" s="82" t="s">
        <v>63</v>
      </c>
      <c r="Q109" s="82" t="s">
        <v>64</v>
      </c>
      <c r="R109" s="388" t="s">
        <v>495</v>
      </c>
      <c r="S109" s="388" t="s">
        <v>571</v>
      </c>
      <c r="T109" s="388" t="s">
        <v>572</v>
      </c>
    </row>
    <row r="110" spans="1:22" x14ac:dyDescent="0.25">
      <c r="A110" s="516">
        <v>-1</v>
      </c>
      <c r="B110" s="517"/>
      <c r="C110" s="83">
        <v>-2</v>
      </c>
      <c r="D110" s="83">
        <v>-3</v>
      </c>
      <c r="E110" s="83">
        <v>-4</v>
      </c>
      <c r="F110" s="83">
        <v>-5</v>
      </c>
      <c r="G110" s="83">
        <v>-6</v>
      </c>
      <c r="H110" s="83">
        <v>-7</v>
      </c>
      <c r="I110" s="83">
        <v>-8</v>
      </c>
      <c r="L110" s="516">
        <v>-1</v>
      </c>
      <c r="M110" s="517"/>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21">
        <v>8</v>
      </c>
      <c r="B134" s="94" t="s">
        <v>91</v>
      </c>
      <c r="C134" s="95">
        <v>608.29</v>
      </c>
      <c r="D134" s="95">
        <v>695.81</v>
      </c>
      <c r="E134" s="95">
        <v>570.04</v>
      </c>
      <c r="F134" s="95">
        <v>592.12</v>
      </c>
      <c r="G134" s="95">
        <v>783.88</v>
      </c>
      <c r="H134" s="95">
        <v>671.7</v>
      </c>
      <c r="I134" s="89">
        <v>611.41999999999996</v>
      </c>
      <c r="L134" s="521">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22"/>
      <c r="B135" s="100" t="s">
        <v>92</v>
      </c>
      <c r="C135" s="96">
        <v>6290.5</v>
      </c>
      <c r="D135" s="96">
        <v>5786.95</v>
      </c>
      <c r="E135" s="96">
        <v>5583.64</v>
      </c>
      <c r="F135" s="96">
        <v>6481.93</v>
      </c>
      <c r="G135" s="96">
        <v>7046.18</v>
      </c>
      <c r="H135" s="96">
        <v>6604.7</v>
      </c>
      <c r="I135" s="96">
        <v>6194.53</v>
      </c>
      <c r="L135" s="522"/>
      <c r="M135" s="100" t="s">
        <v>92</v>
      </c>
      <c r="N135" s="451">
        <f>C135*'Unit Conversions'!$B$13*BTU_per_TOE*10^3</f>
        <v>239642126295936.03</v>
      </c>
      <c r="O135" s="451">
        <f>D135*'Unit Conversions'!$B$13*BTU_per_TOE*10^3</f>
        <v>220458946469798.41</v>
      </c>
      <c r="P135" s="451">
        <f>E135*'Unit Conversions'!$B$13*BTU_per_TOE*10^3</f>
        <v>212713673328199.69</v>
      </c>
      <c r="Q135" s="451">
        <f>F135*'Unit Conversions'!$B$13*BTU_per_TOE*10^3</f>
        <v>246934820396060.19</v>
      </c>
      <c r="R135" s="451">
        <f>G135*'Unit Conversions'!$B$13*BTU_per_TOE*10^3</f>
        <v>268430420072156.19</v>
      </c>
      <c r="S135" s="451">
        <f>H135*'Unit Conversions'!$B$13*BTU_per_TOE*10^3</f>
        <v>251611851450086.41</v>
      </c>
      <c r="T135" s="45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11" t="s">
        <v>579</v>
      </c>
      <c r="B139" s="512"/>
      <c r="C139" s="512"/>
      <c r="D139" s="512"/>
      <c r="E139" s="512"/>
      <c r="F139" s="512"/>
      <c r="G139" s="512"/>
      <c r="H139" s="512"/>
      <c r="I139" s="513"/>
      <c r="L139" s="511" t="s">
        <v>579</v>
      </c>
      <c r="M139" s="512"/>
      <c r="N139" s="512"/>
      <c r="O139" s="512"/>
      <c r="P139" s="512"/>
      <c r="Q139" s="512"/>
      <c r="R139" s="512"/>
      <c r="S139" s="511"/>
      <c r="T139" s="512"/>
    </row>
    <row r="140" spans="1:22" x14ac:dyDescent="0.25">
      <c r="A140" s="508" t="s">
        <v>59</v>
      </c>
      <c r="B140" s="509"/>
      <c r="C140" s="509"/>
      <c r="D140" s="509"/>
      <c r="E140" s="509"/>
      <c r="F140" s="509"/>
      <c r="G140" s="509"/>
      <c r="H140" s="509"/>
      <c r="I140" s="510"/>
      <c r="L140" s="520" t="s">
        <v>135</v>
      </c>
      <c r="M140" s="509"/>
      <c r="N140" s="509"/>
      <c r="O140" s="509"/>
      <c r="P140" s="509"/>
      <c r="Q140" s="509"/>
      <c r="R140" s="509"/>
      <c r="S140" s="509"/>
      <c r="T140" s="510"/>
    </row>
    <row r="141" spans="1:22" x14ac:dyDescent="0.25">
      <c r="A141" s="514" t="s">
        <v>60</v>
      </c>
      <c r="B141" s="515"/>
      <c r="C141" s="82" t="s">
        <v>61</v>
      </c>
      <c r="D141" s="82" t="s">
        <v>62</v>
      </c>
      <c r="E141" s="82" t="s">
        <v>63</v>
      </c>
      <c r="F141" s="82" t="s">
        <v>64</v>
      </c>
      <c r="G141" s="388" t="s">
        <v>495</v>
      </c>
      <c r="H141" s="388" t="s">
        <v>573</v>
      </c>
      <c r="I141" s="388" t="s">
        <v>572</v>
      </c>
      <c r="L141" s="514" t="s">
        <v>60</v>
      </c>
      <c r="M141" s="515"/>
      <c r="N141" s="82" t="s">
        <v>61</v>
      </c>
      <c r="O141" s="82" t="s">
        <v>62</v>
      </c>
      <c r="P141" s="82" t="s">
        <v>63</v>
      </c>
      <c r="Q141" s="82" t="s">
        <v>64</v>
      </c>
      <c r="R141" s="388" t="s">
        <v>495</v>
      </c>
      <c r="S141" s="388" t="s">
        <v>573</v>
      </c>
      <c r="T141" s="388" t="s">
        <v>574</v>
      </c>
    </row>
    <row r="142" spans="1:22" x14ac:dyDescent="0.25">
      <c r="A142" s="516">
        <v>-1</v>
      </c>
      <c r="B142" s="517"/>
      <c r="C142" s="83">
        <v>-2</v>
      </c>
      <c r="D142" s="83">
        <v>-3</v>
      </c>
      <c r="E142" s="83">
        <v>-4</v>
      </c>
      <c r="F142" s="83">
        <v>-5</v>
      </c>
      <c r="G142" s="83">
        <v>-6</v>
      </c>
      <c r="H142" s="83">
        <v>-7</v>
      </c>
      <c r="I142" s="83">
        <v>-8</v>
      </c>
      <c r="L142" s="516">
        <v>-1</v>
      </c>
      <c r="M142" s="517"/>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496</v>
      </c>
      <c r="C158" s="89">
        <v>0</v>
      </c>
      <c r="D158" s="89">
        <v>0</v>
      </c>
      <c r="E158" s="89">
        <v>0</v>
      </c>
      <c r="F158" s="89">
        <v>0</v>
      </c>
      <c r="G158" s="89">
        <v>0</v>
      </c>
      <c r="H158" s="89">
        <v>14.7</v>
      </c>
      <c r="I158" s="89">
        <v>48</v>
      </c>
      <c r="L158" s="206">
        <v>6</v>
      </c>
      <c r="M158" s="88" t="s">
        <v>496</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9" t="s">
        <v>92</v>
      </c>
      <c r="N161" s="452">
        <f>C161*'Unit Conversions'!$B$13*BTU_per_TOE*10^3</f>
        <v>52038589635002.883</v>
      </c>
      <c r="O161" s="452">
        <f>D161*'Unit Conversions'!$B$13*BTU_per_TOE*10^3</f>
        <v>17094001826603.521</v>
      </c>
      <c r="P161" s="452">
        <f>E161*'Unit Conversions'!$B$13*BTU_per_TOE*10^3</f>
        <v>14372051278341.121</v>
      </c>
      <c r="Q161" s="452">
        <f>F161*'Unit Conversions'!$B$13*BTU_per_TOE*10^3</f>
        <v>5728858270786.5605</v>
      </c>
      <c r="R161" s="452">
        <f>G161*'Unit Conversions'!$B$13*BTU_per_TOE*10^3</f>
        <v>3970733458997.7603</v>
      </c>
      <c r="S161" s="452">
        <f>H161*'Unit Conversions'!$B$13*BTU_per_TOE*10^3</f>
        <v>4430550717465.5996</v>
      </c>
      <c r="T161" s="45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11" t="s">
        <v>580</v>
      </c>
      <c r="B166" s="512"/>
      <c r="C166" s="512"/>
      <c r="D166" s="512"/>
      <c r="E166" s="512"/>
      <c r="F166" s="512"/>
      <c r="G166" s="512"/>
      <c r="H166" s="512"/>
      <c r="L166" s="511" t="s">
        <v>580</v>
      </c>
      <c r="M166" s="512"/>
      <c r="N166" s="512"/>
      <c r="O166" s="512"/>
      <c r="P166" s="512"/>
      <c r="Q166" s="512"/>
      <c r="R166" s="512"/>
    </row>
    <row r="167" spans="1:22" x14ac:dyDescent="0.25">
      <c r="A167" s="536" t="s">
        <v>178</v>
      </c>
      <c r="B167" s="537"/>
      <c r="C167" s="537"/>
      <c r="D167" s="537"/>
      <c r="E167" s="537"/>
      <c r="F167" s="537"/>
      <c r="G167" s="537"/>
      <c r="H167" s="538"/>
      <c r="L167" s="533" t="s">
        <v>240</v>
      </c>
      <c r="M167" s="534"/>
      <c r="N167" s="534"/>
      <c r="O167" s="534"/>
      <c r="P167" s="534"/>
      <c r="Q167" s="534"/>
      <c r="R167" s="535"/>
    </row>
    <row r="168" spans="1:22" s="4" customFormat="1" x14ac:dyDescent="0.25">
      <c r="A168" s="119" t="s">
        <v>179</v>
      </c>
      <c r="B168" s="82" t="s">
        <v>61</v>
      </c>
      <c r="C168" s="82" t="s">
        <v>62</v>
      </c>
      <c r="D168" s="82" t="s">
        <v>63</v>
      </c>
      <c r="E168" s="82" t="s">
        <v>64</v>
      </c>
      <c r="F168" s="388" t="s">
        <v>495</v>
      </c>
      <c r="G168" s="388" t="s">
        <v>573</v>
      </c>
      <c r="H168" s="388" t="s">
        <v>572</v>
      </c>
      <c r="I168" s="104"/>
      <c r="L168" s="119" t="s">
        <v>179</v>
      </c>
      <c r="M168" s="82" t="s">
        <v>61</v>
      </c>
      <c r="N168" s="82" t="s">
        <v>62</v>
      </c>
      <c r="O168" s="82" t="s">
        <v>63</v>
      </c>
      <c r="P168" s="82" t="s">
        <v>64</v>
      </c>
      <c r="Q168" s="388" t="s">
        <v>495</v>
      </c>
      <c r="R168" s="388" t="s">
        <v>571</v>
      </c>
      <c r="S168" s="388" t="s">
        <v>572</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39" t="s">
        <v>180</v>
      </c>
      <c r="B170" s="540"/>
      <c r="C170" s="540"/>
      <c r="D170" s="540"/>
      <c r="E170" s="540"/>
      <c r="F170" s="540"/>
      <c r="G170" s="540"/>
      <c r="H170" s="541"/>
      <c r="I170" s="104"/>
      <c r="L170" s="530" t="s">
        <v>180</v>
      </c>
      <c r="M170" s="531"/>
      <c r="N170" s="531"/>
      <c r="O170" s="531"/>
      <c r="P170" s="531"/>
      <c r="Q170" s="531"/>
      <c r="R170" s="531"/>
      <c r="S170" s="532"/>
      <c r="T170" s="104"/>
    </row>
    <row r="171" spans="1:22" s="4" customFormat="1" x14ac:dyDescent="0.25">
      <c r="A171" s="121" t="s">
        <v>181</v>
      </c>
      <c r="B171" s="453">
        <v>16078</v>
      </c>
      <c r="C171" s="453">
        <v>11284</v>
      </c>
      <c r="D171" s="453">
        <v>10720</v>
      </c>
      <c r="E171" s="453">
        <v>10889</v>
      </c>
      <c r="F171" s="456">
        <v>11616</v>
      </c>
      <c r="G171" s="45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54">
        <v>269</v>
      </c>
      <c r="C172" s="454">
        <v>156</v>
      </c>
      <c r="D172" s="454">
        <v>395</v>
      </c>
      <c r="E172" s="454">
        <v>401</v>
      </c>
      <c r="F172" s="457">
        <v>688</v>
      </c>
      <c r="G172" s="45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54">
        <v>0</v>
      </c>
      <c r="C173" s="454">
        <v>105</v>
      </c>
      <c r="D173" s="454">
        <v>138</v>
      </c>
      <c r="E173" s="454">
        <v>144</v>
      </c>
      <c r="F173" s="457">
        <v>105</v>
      </c>
      <c r="G173" s="45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54">
        <v>0</v>
      </c>
      <c r="C174" s="454">
        <v>66.3</v>
      </c>
      <c r="D174" s="454">
        <v>0.02</v>
      </c>
      <c r="E174" s="454">
        <v>0</v>
      </c>
      <c r="F174" s="457">
        <v>0</v>
      </c>
      <c r="G174" s="45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497</v>
      </c>
      <c r="B175" s="454">
        <v>5780</v>
      </c>
      <c r="C175" s="454">
        <v>5904</v>
      </c>
      <c r="D175" s="454">
        <v>5416</v>
      </c>
      <c r="E175" s="454">
        <v>5464</v>
      </c>
      <c r="F175" s="457">
        <v>7350</v>
      </c>
      <c r="G175" s="457">
        <v>8585</v>
      </c>
      <c r="H175" s="124">
        <v>9206</v>
      </c>
      <c r="I175" s="104"/>
      <c r="L175" s="408" t="s">
        <v>498</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54">
        <v>182</v>
      </c>
      <c r="C176" s="454">
        <v>196</v>
      </c>
      <c r="D176" s="454">
        <v>180</v>
      </c>
      <c r="E176" s="454">
        <v>0</v>
      </c>
      <c r="F176" s="457">
        <v>0</v>
      </c>
      <c r="G176" s="45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54">
        <v>387</v>
      </c>
      <c r="C177" s="454">
        <v>372</v>
      </c>
      <c r="D177" s="454">
        <v>351</v>
      </c>
      <c r="E177" s="454">
        <v>410</v>
      </c>
      <c r="F177" s="457">
        <v>471</v>
      </c>
      <c r="G177" s="45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54">
        <v>3891</v>
      </c>
      <c r="C178" s="454">
        <v>3968</v>
      </c>
      <c r="D178" s="454">
        <v>4575</v>
      </c>
      <c r="E178" s="454">
        <v>5077</v>
      </c>
      <c r="F178" s="457">
        <v>5374</v>
      </c>
      <c r="G178" s="45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55">
        <v>7976</v>
      </c>
      <c r="C179" s="455">
        <v>7479</v>
      </c>
      <c r="D179" s="455">
        <v>5941</v>
      </c>
      <c r="E179" s="455">
        <v>4298</v>
      </c>
      <c r="F179" s="458">
        <v>3929</v>
      </c>
      <c r="G179" s="45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9">
        <f>B180*'Unit Conversions'!$I$28/10^3</f>
        <v>1244232000000000</v>
      </c>
      <c r="N180" s="459">
        <f>C180*'Unit Conversions'!$I$28/10^3</f>
        <v>1060704000000000</v>
      </c>
      <c r="O180" s="459">
        <f>D180*'Unit Conversions'!$I$28/10^3</f>
        <v>997776000000000</v>
      </c>
      <c r="P180" s="459">
        <f>E180*'Unit Conversions'!$I$28/10^3</f>
        <v>960588000000000</v>
      </c>
      <c r="Q180" s="459">
        <f>F180*'Unit Conversions'!$I$28/10^3</f>
        <v>1063260000000000</v>
      </c>
      <c r="R180" s="459">
        <f>G180*'Unit Conversions'!$I$28/10^3</f>
        <v>1154052000000000</v>
      </c>
      <c r="S180" s="459">
        <f>H180*'Unit Conversions'!$I$28/10^3</f>
        <v>1204920000000000</v>
      </c>
      <c r="T180" s="104"/>
    </row>
    <row r="181" spans="1:22" s="4" customFormat="1" x14ac:dyDescent="0.25">
      <c r="A181" s="527" t="s">
        <v>189</v>
      </c>
      <c r="B181" s="528"/>
      <c r="C181" s="528"/>
      <c r="D181" s="528"/>
      <c r="E181" s="528"/>
      <c r="F181" s="528"/>
      <c r="G181" s="528"/>
      <c r="H181" s="529"/>
      <c r="I181" s="104"/>
      <c r="L181" s="527" t="s">
        <v>189</v>
      </c>
      <c r="M181" s="528"/>
      <c r="N181" s="528"/>
      <c r="O181" s="528"/>
      <c r="P181" s="528"/>
      <c r="Q181" s="528"/>
      <c r="R181" s="528"/>
      <c r="S181" s="529"/>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9">
        <f>B188*'Unit Conversions'!$I$28/10^3</f>
        <v>5658120000000</v>
      </c>
      <c r="N188" s="459">
        <f>C188*'Unit Conversions'!$I$28/10^3</f>
        <v>5165640000000</v>
      </c>
      <c r="O188" s="459">
        <f>D188*'Unit Conversions'!$I$28/10^3</f>
        <v>5059800000000</v>
      </c>
      <c r="P188" s="459">
        <f>E188*'Unit Conversions'!$I$28/10^3</f>
        <v>5165640000000</v>
      </c>
      <c r="Q188" s="459">
        <f>F188*'Unit Conversions'!$I$28/10^3</f>
        <v>5493240000000</v>
      </c>
      <c r="R188" s="459">
        <f>G188*'Unit Conversions'!$I$28/10^3</f>
        <v>5835960000000</v>
      </c>
      <c r="S188" s="45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499</v>
      </c>
      <c r="B192" s="129"/>
      <c r="C192" s="129"/>
      <c r="D192" s="129"/>
      <c r="E192" s="129"/>
      <c r="F192" s="129"/>
      <c r="G192" s="4"/>
      <c r="L192" s="511" t="s">
        <v>534</v>
      </c>
      <c r="M192" s="512"/>
      <c r="N192" s="512"/>
      <c r="O192" s="512"/>
      <c r="P192" s="512"/>
      <c r="Q192" s="512"/>
      <c r="R192" s="512"/>
    </row>
    <row r="193" spans="1:22" x14ac:dyDescent="0.25">
      <c r="A193" s="104" t="s">
        <v>199</v>
      </c>
      <c r="B193" s="104" t="s">
        <v>200</v>
      </c>
      <c r="C193" s="104" t="s">
        <v>201</v>
      </c>
      <c r="D193" s="411" t="s">
        <v>539</v>
      </c>
      <c r="E193" s="411" t="s">
        <v>540</v>
      </c>
      <c r="F193" s="411" t="s">
        <v>541</v>
      </c>
      <c r="G193" s="4"/>
      <c r="L193" s="119" t="s">
        <v>538</v>
      </c>
      <c r="M193" s="415" t="s">
        <v>309</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c r="L195" s="416"/>
      <c r="M195" s="417"/>
    </row>
    <row r="196" spans="1:22" x14ac:dyDescent="0.25">
      <c r="A196" s="4" t="s">
        <v>27</v>
      </c>
      <c r="B196" s="115">
        <f t="shared" ca="1" si="0"/>
        <v>1374308831742.4001</v>
      </c>
      <c r="C196" s="104">
        <f t="shared" ref="C196:C201" si="3">SUMIF($V$171:$V$188,A196,$S$171:$S$188)</f>
        <v>40464000000000</v>
      </c>
      <c r="D196" s="411">
        <f t="shared" ref="D196:D201" si="4">SUMIF($V$194,A196,$M$194)</f>
        <v>0</v>
      </c>
      <c r="E196" s="411">
        <v>0</v>
      </c>
      <c r="F196" s="411">
        <f t="shared" ca="1" si="2"/>
        <v>8825981796559.2012</v>
      </c>
      <c r="G196" s="4"/>
      <c r="H196" s="115"/>
      <c r="L196" s="416"/>
      <c r="M196" s="417"/>
    </row>
    <row r="197" spans="1:22" x14ac:dyDescent="0.25">
      <c r="A197" s="4" t="s">
        <v>6</v>
      </c>
      <c r="B197" s="418">
        <f t="shared" ca="1" si="0"/>
        <v>6086888102786.4004</v>
      </c>
      <c r="C197" s="104">
        <f>SUMIF($V$171:$V$188,A197,$S$171:$S$188)</f>
        <v>661428000000000</v>
      </c>
      <c r="D197" s="411">
        <f t="shared" si="4"/>
        <v>0</v>
      </c>
      <c r="E197" s="411">
        <f t="shared" ca="1" si="1"/>
        <v>1983271456158.7202</v>
      </c>
      <c r="F197" s="411">
        <f t="shared" ca="1" si="2"/>
        <v>494433749487430.5</v>
      </c>
      <c r="G197" s="4"/>
      <c r="H197" s="115"/>
      <c r="L197" s="416"/>
      <c r="M197" s="417"/>
    </row>
    <row r="198" spans="1:22" x14ac:dyDescent="0.25">
      <c r="A198" s="4" t="s">
        <v>43</v>
      </c>
      <c r="B198" s="115">
        <f t="shared" ca="1" si="0"/>
        <v>81885813922072.172</v>
      </c>
      <c r="C198" s="104">
        <f t="shared" si="3"/>
        <v>0</v>
      </c>
      <c r="D198" s="411">
        <f t="shared" si="4"/>
        <v>0</v>
      </c>
      <c r="E198" s="411">
        <f ca="1">SUMIF($V$5:$V$161,A198,$T$111:$T$161)</f>
        <v>16124842667082.242</v>
      </c>
      <c r="F198" s="411">
        <f t="shared" ca="1" si="2"/>
        <v>63176030947906.25</v>
      </c>
      <c r="G198" s="4"/>
      <c r="H198" s="115"/>
      <c r="L198" s="416"/>
      <c r="M198" s="417"/>
    </row>
    <row r="199" spans="1:22" x14ac:dyDescent="0.25">
      <c r="A199" s="4" t="s">
        <v>44</v>
      </c>
      <c r="B199" s="411">
        <f t="shared" ca="1" si="0"/>
        <v>0</v>
      </c>
      <c r="C199" s="104">
        <f t="shared" si="3"/>
        <v>0</v>
      </c>
      <c r="D199" s="411">
        <f t="shared" si="4"/>
        <v>0</v>
      </c>
      <c r="E199" s="411">
        <f t="shared" ca="1" si="1"/>
        <v>0</v>
      </c>
      <c r="F199" s="411">
        <f t="shared" ca="1" si="2"/>
        <v>0</v>
      </c>
      <c r="H199" s="115"/>
      <c r="L199" s="416"/>
      <c r="M199" s="417"/>
    </row>
    <row r="200" spans="1:22" x14ac:dyDescent="0.25">
      <c r="A200" s="4" t="s">
        <v>11</v>
      </c>
      <c r="B200" s="115">
        <f t="shared" ca="1" si="0"/>
        <v>24279583013853.445</v>
      </c>
      <c r="C200" s="104">
        <f t="shared" si="3"/>
        <v>0</v>
      </c>
      <c r="D200" s="411">
        <f t="shared" si="4"/>
        <v>0</v>
      </c>
      <c r="E200" s="411">
        <f t="shared" ca="1" si="1"/>
        <v>26965786929070.082</v>
      </c>
      <c r="F200" s="411">
        <f t="shared" ca="1" si="2"/>
        <v>31153067681437.527</v>
      </c>
      <c r="H200" s="115"/>
      <c r="L200" s="416"/>
      <c r="M200" s="417"/>
    </row>
    <row r="201" spans="1:22" x14ac:dyDescent="0.25">
      <c r="A201" s="104" t="s">
        <v>57</v>
      </c>
      <c r="B201" s="115">
        <f t="shared" ca="1" si="0"/>
        <v>571567066800328.13</v>
      </c>
      <c r="C201" s="104">
        <f t="shared" si="3"/>
        <v>168156000000000</v>
      </c>
      <c r="D201" s="411">
        <f t="shared" si="4"/>
        <v>0</v>
      </c>
      <c r="E201" s="411">
        <f t="shared" ca="1" si="1"/>
        <v>173873019983470.06</v>
      </c>
      <c r="F201" s="411">
        <f t="shared" ca="1" si="2"/>
        <v>3570139534036501</v>
      </c>
      <c r="H201" s="115"/>
      <c r="L201" s="416"/>
      <c r="M201" s="417"/>
    </row>
    <row r="202" spans="1:22" x14ac:dyDescent="0.25">
      <c r="M202" s="411"/>
    </row>
    <row r="203" spans="1:22" x14ac:dyDescent="0.25">
      <c r="A203" s="130" t="s">
        <v>566</v>
      </c>
      <c r="B203" s="129"/>
      <c r="C203" s="129"/>
      <c r="D203" s="129"/>
      <c r="E203" s="129"/>
      <c r="F203" s="129"/>
    </row>
    <row r="204" spans="1:22" x14ac:dyDescent="0.25">
      <c r="A204" s="425" t="s">
        <v>199</v>
      </c>
      <c r="B204" s="425" t="s">
        <v>200</v>
      </c>
      <c r="C204" s="425" t="s">
        <v>540</v>
      </c>
      <c r="D204" s="425" t="s">
        <v>541</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5">B196/SUM($B196,$E196,$F196)</f>
        <v>0.13473232105066299</v>
      </c>
      <c r="C207" s="115">
        <f t="shared" ref="C207:C212" ca="1" si="6">E196/SUM($B196,$E196,$F196)</f>
        <v>0</v>
      </c>
      <c r="D207" s="115">
        <f ca="1">F196/SUM($B196,$E196,$F196)</f>
        <v>0.86526767894933698</v>
      </c>
      <c r="H207"/>
      <c r="I207"/>
      <c r="J207" s="104"/>
      <c r="K207" s="104"/>
      <c r="S207"/>
      <c r="T207"/>
    </row>
    <row r="208" spans="1:22" x14ac:dyDescent="0.25">
      <c r="A208" s="4" t="s">
        <v>6</v>
      </c>
      <c r="B208" s="115">
        <f t="shared" ca="1" si="5"/>
        <v>1.2113115924486564E-2</v>
      </c>
      <c r="C208" s="115">
        <f t="shared" ca="1" si="6"/>
        <v>3.9467781652136082E-3</v>
      </c>
      <c r="D208" s="115">
        <f t="shared" ref="D208:D212" ca="1" si="7">F197/SUM($B197,$E197,$F197)</f>
        <v>0.98394010591029979</v>
      </c>
      <c r="H208"/>
      <c r="I208"/>
      <c r="J208" s="104"/>
      <c r="K208" s="104"/>
      <c r="S208"/>
      <c r="T208"/>
    </row>
    <row r="209" spans="1:20" x14ac:dyDescent="0.25">
      <c r="A209" s="4" t="s">
        <v>43</v>
      </c>
      <c r="B209" s="115">
        <f t="shared" ca="1" si="5"/>
        <v>0.50801846711593146</v>
      </c>
      <c r="C209" s="115">
        <f t="shared" ca="1" si="6"/>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5"/>
        <v>0.29466072068671356</v>
      </c>
      <c r="C211" s="115">
        <f t="shared" ca="1" si="6"/>
        <v>0.32726090089234483</v>
      </c>
      <c r="D211" s="115">
        <f t="shared" ca="1" si="7"/>
        <v>0.3780783784209415</v>
      </c>
      <c r="H211"/>
      <c r="I211"/>
      <c r="J211" s="104"/>
      <c r="K211" s="104"/>
      <c r="S211"/>
      <c r="T211"/>
    </row>
    <row r="212" spans="1:20" x14ac:dyDescent="0.25">
      <c r="A212" s="425" t="s">
        <v>57</v>
      </c>
      <c r="B212" s="115">
        <f ca="1">B201/SUM($B201,$E201,$F201)</f>
        <v>0.13244271152890594</v>
      </c>
      <c r="C212" s="115">
        <f t="shared" ca="1" si="6"/>
        <v>4.0289610031669518E-2</v>
      </c>
      <c r="D212" s="115">
        <f t="shared" ca="1" si="7"/>
        <v>0.82726767843942461</v>
      </c>
      <c r="H212"/>
      <c r="I212"/>
      <c r="J212" s="104"/>
      <c r="K212" s="104"/>
      <c r="S212"/>
      <c r="T212"/>
    </row>
    <row r="214" spans="1:20" x14ac:dyDescent="0.25">
      <c r="A214" s="130" t="s">
        <v>559</v>
      </c>
      <c r="B214" s="129"/>
      <c r="C214" s="129"/>
      <c r="D214" s="129"/>
      <c r="E214" s="129"/>
      <c r="F214" s="129"/>
    </row>
    <row r="215" spans="1:20" x14ac:dyDescent="0.25">
      <c r="A215" s="425" t="s">
        <v>199</v>
      </c>
      <c r="B215" s="425" t="s">
        <v>201</v>
      </c>
      <c r="C215" s="425"/>
      <c r="D215" s="425"/>
      <c r="E215" s="425"/>
      <c r="F215" s="425"/>
    </row>
    <row r="216" spans="1:20" x14ac:dyDescent="0.25">
      <c r="A216" s="4" t="s">
        <v>5</v>
      </c>
      <c r="B216" s="425">
        <f>C194/SUM($C$194:$C$201)</f>
        <v>0</v>
      </c>
      <c r="C216" s="115"/>
      <c r="D216" s="115"/>
      <c r="E216" s="425"/>
      <c r="F216" s="425"/>
    </row>
    <row r="217" spans="1:20" x14ac:dyDescent="0.25">
      <c r="A217" s="4" t="s">
        <v>170</v>
      </c>
      <c r="B217" s="425">
        <f t="shared" ref="B217:B223" si="8">C195/SUM($C$194:$C$201)</f>
        <v>0.25933190315660437</v>
      </c>
      <c r="C217" s="115"/>
      <c r="D217" s="115"/>
      <c r="E217" s="425"/>
      <c r="F217" s="425"/>
    </row>
    <row r="218" spans="1:20" x14ac:dyDescent="0.25">
      <c r="A218" s="4" t="s">
        <v>27</v>
      </c>
      <c r="B218" s="425">
        <f t="shared" si="8"/>
        <v>3.4446828072326081E-2</v>
      </c>
      <c r="C218" s="115"/>
      <c r="D218" s="115"/>
      <c r="E218" s="425"/>
      <c r="F218" s="425"/>
    </row>
    <row r="219" spans="1:20" x14ac:dyDescent="0.25">
      <c r="A219" s="4" t="s">
        <v>6</v>
      </c>
      <c r="B219" s="425">
        <f>C197/SUM($C$194:$C$201)</f>
        <v>0.56307079374808455</v>
      </c>
      <c r="C219" s="115"/>
      <c r="D219" s="115"/>
      <c r="E219" s="425"/>
      <c r="F219" s="425"/>
    </row>
    <row r="220" spans="1:20" x14ac:dyDescent="0.25">
      <c r="A220" s="4" t="s">
        <v>43</v>
      </c>
      <c r="B220" s="425">
        <f t="shared" si="8"/>
        <v>0</v>
      </c>
      <c r="C220" s="115"/>
      <c r="D220" s="115"/>
      <c r="E220" s="425"/>
      <c r="F220" s="425"/>
    </row>
    <row r="221" spans="1:20" x14ac:dyDescent="0.25">
      <c r="A221" s="4" t="s">
        <v>44</v>
      </c>
      <c r="B221" s="425">
        <f t="shared" si="8"/>
        <v>0</v>
      </c>
      <c r="C221" s="115"/>
      <c r="D221" s="115"/>
      <c r="E221" s="425"/>
      <c r="F221" s="425"/>
    </row>
    <row r="222" spans="1:20" x14ac:dyDescent="0.25">
      <c r="A222" s="4" t="s">
        <v>11</v>
      </c>
      <c r="B222" s="425">
        <f t="shared" si="8"/>
        <v>0</v>
      </c>
      <c r="C222" s="115"/>
      <c r="D222" s="115"/>
      <c r="E222" s="425"/>
      <c r="F222" s="425"/>
    </row>
    <row r="223" spans="1:20" x14ac:dyDescent="0.25">
      <c r="A223" s="425" t="s">
        <v>57</v>
      </c>
      <c r="B223" s="425">
        <f t="shared" si="8"/>
        <v>0.14315047502298497</v>
      </c>
      <c r="C223" s="115"/>
      <c r="D223" s="115"/>
      <c r="E223" s="425"/>
      <c r="F223" s="425"/>
    </row>
  </sheetData>
  <mergeCells count="73">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 ref="A181:H181"/>
    <mergeCell ref="L170:S170"/>
    <mergeCell ref="L181:S181"/>
    <mergeCell ref="L166:R166"/>
    <mergeCell ref="L167:R167"/>
    <mergeCell ref="A166:H166"/>
    <mergeCell ref="A167:H167"/>
    <mergeCell ref="A170:H170"/>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34:A135"/>
    <mergeCell ref="A139:I139"/>
    <mergeCell ref="A140:I140"/>
    <mergeCell ref="A141:B141"/>
    <mergeCell ref="A142:B142"/>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23" customWidth="1"/>
    <col min="2" max="2" width="9" style="423"/>
    <col min="3" max="3" width="12" style="423" bestFit="1" customWidth="1"/>
    <col min="4" max="4" width="10" style="423" bestFit="1" customWidth="1"/>
    <col min="5" max="5" width="10.5703125" style="423" customWidth="1"/>
    <col min="6" max="16384" width="9" style="423"/>
  </cols>
  <sheetData>
    <row r="1" spans="1:7" x14ac:dyDescent="0.25">
      <c r="A1" s="460" t="s">
        <v>585</v>
      </c>
    </row>
    <row r="2" spans="1:7" x14ac:dyDescent="0.25">
      <c r="A2" s="423" t="s">
        <v>550</v>
      </c>
      <c r="C2" s="423" t="s">
        <v>309</v>
      </c>
      <c r="E2" s="423" t="s">
        <v>548</v>
      </c>
    </row>
    <row r="3" spans="1:7" x14ac:dyDescent="0.25">
      <c r="A3" s="423" t="s">
        <v>551</v>
      </c>
      <c r="C3" s="423">
        <f>C9*E4*E3</f>
        <v>1.10833998E+16</v>
      </c>
      <c r="E3" s="423">
        <v>5800000</v>
      </c>
      <c r="F3" s="423" t="s">
        <v>557</v>
      </c>
      <c r="G3" s="423" t="s">
        <v>549</v>
      </c>
    </row>
    <row r="4" spans="1:7" x14ac:dyDescent="0.25">
      <c r="E4" s="423">
        <v>7.33</v>
      </c>
      <c r="F4" s="423" t="s">
        <v>558</v>
      </c>
    </row>
    <row r="5" spans="1:7" x14ac:dyDescent="0.25">
      <c r="A5" s="423" t="s">
        <v>552</v>
      </c>
    </row>
    <row r="6" spans="1:7" x14ac:dyDescent="0.25">
      <c r="C6" s="423" t="s">
        <v>544</v>
      </c>
    </row>
    <row r="7" spans="1:7" x14ac:dyDescent="0.25">
      <c r="A7" s="423" t="s">
        <v>543</v>
      </c>
      <c r="C7" s="423">
        <v>34.200000000000003</v>
      </c>
      <c r="D7" s="423" t="s">
        <v>582</v>
      </c>
    </row>
    <row r="8" spans="1:7" x14ac:dyDescent="0.25">
      <c r="A8" s="423" t="s">
        <v>545</v>
      </c>
      <c r="C8" s="423">
        <v>226.5</v>
      </c>
      <c r="D8" s="423" t="s">
        <v>583</v>
      </c>
    </row>
    <row r="9" spans="1:7" x14ac:dyDescent="0.25">
      <c r="A9" s="423" t="s">
        <v>546</v>
      </c>
      <c r="C9" s="423">
        <f>SUM(C7:C8)*10^6</f>
        <v>260700000</v>
      </c>
      <c r="D9" s="423" t="s">
        <v>547</v>
      </c>
    </row>
    <row r="10" spans="1:7" x14ac:dyDescent="0.25">
      <c r="A10" s="424" t="s">
        <v>584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45"/>
      <c r="B1" s="545"/>
      <c r="C1" s="545"/>
      <c r="D1" s="545"/>
      <c r="E1" s="545"/>
      <c r="F1" s="545"/>
      <c r="G1" s="545"/>
      <c r="H1" s="545"/>
    </row>
    <row r="2" spans="1:16" ht="15.75" x14ac:dyDescent="0.25">
      <c r="A2" s="78" t="s">
        <v>29</v>
      </c>
      <c r="B2" s="41"/>
      <c r="C2" s="41"/>
      <c r="D2" s="41"/>
      <c r="E2" s="41"/>
      <c r="F2" s="41"/>
      <c r="G2" s="41"/>
      <c r="H2" s="41"/>
    </row>
    <row r="3" spans="1:16" ht="15.75" x14ac:dyDescent="0.25">
      <c r="A3" s="78" t="s">
        <v>591</v>
      </c>
      <c r="B3" s="41"/>
      <c r="C3" s="41"/>
      <c r="D3" s="41"/>
      <c r="E3" s="41"/>
      <c r="F3" s="41"/>
      <c r="G3" s="41"/>
      <c r="H3" s="41"/>
    </row>
    <row r="4" spans="1:16" x14ac:dyDescent="0.25">
      <c r="A4" s="42" t="s">
        <v>30</v>
      </c>
      <c r="B4" s="41"/>
      <c r="C4" s="41"/>
      <c r="D4" s="41"/>
      <c r="E4" s="41"/>
      <c r="F4" s="41"/>
      <c r="G4" s="41"/>
      <c r="H4" s="41"/>
    </row>
    <row r="5" spans="1:16" x14ac:dyDescent="0.25">
      <c r="A5" s="43" t="s">
        <v>556</v>
      </c>
      <c r="B5" s="41"/>
      <c r="C5" s="41"/>
      <c r="D5" s="41"/>
      <c r="E5" s="41"/>
      <c r="F5" s="41"/>
      <c r="G5" s="41"/>
      <c r="H5" s="41"/>
    </row>
    <row r="6" spans="1:16" ht="14.25" customHeight="1" x14ac:dyDescent="0.25">
      <c r="A6" s="546" t="s">
        <v>31</v>
      </c>
      <c r="B6" s="549" t="s">
        <v>32</v>
      </c>
      <c r="C6" s="550"/>
      <c r="D6" s="550"/>
      <c r="E6" s="550"/>
      <c r="F6" s="550"/>
      <c r="G6" s="550"/>
      <c r="H6" s="551"/>
      <c r="K6" s="3" t="s">
        <v>56</v>
      </c>
      <c r="L6" s="3"/>
      <c r="M6" s="3"/>
    </row>
    <row r="7" spans="1:16" ht="25.5" x14ac:dyDescent="0.25">
      <c r="A7" s="547"/>
      <c r="B7" s="549" t="s">
        <v>33</v>
      </c>
      <c r="C7" s="551"/>
      <c r="D7" s="552" t="s">
        <v>34</v>
      </c>
      <c r="E7" s="553"/>
      <c r="F7" s="44" t="s">
        <v>35</v>
      </c>
      <c r="G7" s="44" t="s">
        <v>36</v>
      </c>
      <c r="H7" s="44" t="s">
        <v>37</v>
      </c>
      <c r="L7" s="47" t="s">
        <v>49</v>
      </c>
      <c r="M7" s="47" t="s">
        <v>50</v>
      </c>
    </row>
    <row r="8" spans="1:16" ht="25.5" x14ac:dyDescent="0.25">
      <c r="A8" s="548"/>
      <c r="B8" s="44" t="s">
        <v>38</v>
      </c>
      <c r="C8" s="44" t="s">
        <v>39</v>
      </c>
      <c r="D8" s="44" t="s">
        <v>40</v>
      </c>
      <c r="E8" s="44" t="s">
        <v>39</v>
      </c>
      <c r="F8" s="44" t="s">
        <v>39</v>
      </c>
      <c r="G8" s="44" t="s">
        <v>39</v>
      </c>
      <c r="H8" s="44" t="s">
        <v>39</v>
      </c>
      <c r="K8" s="4" t="s">
        <v>5</v>
      </c>
      <c r="L8" s="7">
        <v>23941</v>
      </c>
      <c r="M8" s="7">
        <v>23949</v>
      </c>
      <c r="O8" s="463"/>
    </row>
    <row r="9" spans="1:16" x14ac:dyDescent="0.25">
      <c r="A9" s="50">
        <v>163</v>
      </c>
      <c r="B9" s="51">
        <v>0</v>
      </c>
      <c r="C9" s="51">
        <v>11</v>
      </c>
      <c r="D9" s="51">
        <v>658837</v>
      </c>
      <c r="E9" s="51">
        <v>5057527</v>
      </c>
      <c r="F9" s="51">
        <v>449053</v>
      </c>
      <c r="G9" s="51">
        <v>63716</v>
      </c>
      <c r="H9" s="51">
        <v>5570307</v>
      </c>
      <c r="K9" s="4" t="s">
        <v>42</v>
      </c>
      <c r="L9" s="46" t="s">
        <v>561</v>
      </c>
      <c r="M9" s="46" t="s">
        <v>562</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31">
        <v>893</v>
      </c>
      <c r="B11" s="432">
        <v>39</v>
      </c>
      <c r="C11" s="432">
        <v>215905</v>
      </c>
      <c r="D11" s="432">
        <v>56252</v>
      </c>
      <c r="E11" s="432">
        <v>471066</v>
      </c>
      <c r="F11" s="432">
        <v>224113</v>
      </c>
      <c r="G11" s="432">
        <v>4469</v>
      </c>
      <c r="H11" s="432">
        <v>915553</v>
      </c>
      <c r="K11" s="4" t="s">
        <v>6</v>
      </c>
      <c r="L11" s="7">
        <v>20111</v>
      </c>
      <c r="M11" s="7">
        <v>20304</v>
      </c>
      <c r="P11" s="463"/>
    </row>
    <row r="12" spans="1:16" x14ac:dyDescent="0.25">
      <c r="A12" s="432">
        <v>1010</v>
      </c>
      <c r="B12" s="432">
        <v>0</v>
      </c>
      <c r="C12" s="432">
        <v>497</v>
      </c>
      <c r="D12" s="432">
        <v>456440</v>
      </c>
      <c r="E12" s="432">
        <v>3778279</v>
      </c>
      <c r="F12" s="432">
        <v>1392183</v>
      </c>
      <c r="G12" s="432">
        <v>263947</v>
      </c>
      <c r="H12" s="432">
        <v>5434906</v>
      </c>
      <c r="K12" s="4" t="s">
        <v>43</v>
      </c>
      <c r="L12" s="46" t="s">
        <v>45</v>
      </c>
      <c r="M12" s="46" t="s">
        <v>46</v>
      </c>
      <c r="P12" s="463"/>
    </row>
    <row r="13" spans="1:16" x14ac:dyDescent="0.25">
      <c r="A13" s="432">
        <v>1020</v>
      </c>
      <c r="B13" s="432">
        <v>10</v>
      </c>
      <c r="C13" s="432">
        <v>54714</v>
      </c>
      <c r="D13" s="432">
        <v>872452</v>
      </c>
      <c r="E13" s="432">
        <v>7127192</v>
      </c>
      <c r="F13" s="432">
        <v>1912262</v>
      </c>
      <c r="G13" s="432">
        <v>757533</v>
      </c>
      <c r="H13" s="432">
        <v>9851701</v>
      </c>
      <c r="K13" s="4" t="s">
        <v>44</v>
      </c>
      <c r="L13" s="7">
        <v>36000</v>
      </c>
      <c r="M13" s="7">
        <v>38300</v>
      </c>
    </row>
    <row r="14" spans="1:16" x14ac:dyDescent="0.25">
      <c r="A14" s="432">
        <v>1030</v>
      </c>
      <c r="B14" s="432">
        <v>97</v>
      </c>
      <c r="C14" s="432">
        <v>518159</v>
      </c>
      <c r="D14" s="432">
        <v>548216</v>
      </c>
      <c r="E14" s="432">
        <v>4368309</v>
      </c>
      <c r="F14" s="432">
        <v>1045610</v>
      </c>
      <c r="G14" s="432">
        <v>826901</v>
      </c>
      <c r="H14" s="432">
        <v>6758979</v>
      </c>
      <c r="K14" s="4" t="s">
        <v>11</v>
      </c>
      <c r="L14" s="46" t="s">
        <v>47</v>
      </c>
      <c r="M14" s="46" t="s">
        <v>48</v>
      </c>
    </row>
    <row r="15" spans="1:16" x14ac:dyDescent="0.25">
      <c r="A15" s="432">
        <v>1040</v>
      </c>
      <c r="B15" s="432">
        <v>854</v>
      </c>
      <c r="C15" s="432">
        <v>3932267</v>
      </c>
      <c r="D15" s="432">
        <v>2535179</v>
      </c>
      <c r="E15" s="432">
        <v>20885886</v>
      </c>
      <c r="F15" s="432">
        <v>5341788</v>
      </c>
      <c r="G15" s="432">
        <v>5737478</v>
      </c>
      <c r="H15" s="432">
        <v>35897419</v>
      </c>
    </row>
    <row r="16" spans="1:16" x14ac:dyDescent="0.25">
      <c r="A16" s="432">
        <v>1050</v>
      </c>
      <c r="B16" s="432">
        <v>322</v>
      </c>
      <c r="C16" s="432">
        <v>1876201</v>
      </c>
      <c r="D16" s="432">
        <v>2429705</v>
      </c>
      <c r="E16" s="432">
        <v>19356761</v>
      </c>
      <c r="F16" s="432">
        <v>6786221</v>
      </c>
      <c r="G16" s="432">
        <v>4301204</v>
      </c>
      <c r="H16" s="432">
        <v>32320388</v>
      </c>
      <c r="K16" s="3" t="s">
        <v>592</v>
      </c>
      <c r="L16" s="3"/>
      <c r="M16" s="3"/>
      <c r="N16" s="79"/>
    </row>
    <row r="17" spans="1:19" x14ac:dyDescent="0.25">
      <c r="A17" s="432">
        <v>1061</v>
      </c>
      <c r="B17" s="432">
        <v>8</v>
      </c>
      <c r="C17" s="432">
        <v>90017</v>
      </c>
      <c r="D17" s="432">
        <v>5868335</v>
      </c>
      <c r="E17" s="432">
        <v>46787303</v>
      </c>
      <c r="F17" s="432">
        <v>5465078</v>
      </c>
      <c r="G17" s="432">
        <v>1278573</v>
      </c>
      <c r="H17" s="432">
        <v>53620970</v>
      </c>
      <c r="L17" s="4" t="s">
        <v>53</v>
      </c>
      <c r="M17" s="4" t="s">
        <v>55</v>
      </c>
    </row>
    <row r="18" spans="1:19" x14ac:dyDescent="0.25">
      <c r="A18" s="432">
        <v>1062</v>
      </c>
      <c r="B18" s="432">
        <v>242</v>
      </c>
      <c r="C18" s="432">
        <v>1961454</v>
      </c>
      <c r="D18" s="432">
        <v>559823</v>
      </c>
      <c r="E18" s="432">
        <v>4209825</v>
      </c>
      <c r="F18" s="432">
        <v>1148715</v>
      </c>
      <c r="G18" s="432">
        <v>1510158</v>
      </c>
      <c r="H18" s="432">
        <v>8830151</v>
      </c>
      <c r="K18" s="4" t="s">
        <v>5</v>
      </c>
      <c r="L18" s="4">
        <f>SUMIF($A$9:$A$158,LEFT($L$8,4),$D$9:$D$158)</f>
        <v>12079420</v>
      </c>
      <c r="M18" s="4">
        <f>SUMIF($A$9:$A$158,LEFT($L$8,4),$B$9:$B$158)</f>
        <v>23069</v>
      </c>
      <c r="O18" s="488">
        <f>SUM(M18:M25)</f>
        <v>119155</v>
      </c>
      <c r="S18" s="487"/>
    </row>
    <row r="19" spans="1:19" x14ac:dyDescent="0.25">
      <c r="A19" s="432">
        <v>1071</v>
      </c>
      <c r="B19" s="432">
        <v>5</v>
      </c>
      <c r="C19" s="432">
        <v>39796</v>
      </c>
      <c r="D19" s="432">
        <v>819825</v>
      </c>
      <c r="E19" s="432">
        <v>6574798</v>
      </c>
      <c r="F19" s="432">
        <v>5137686</v>
      </c>
      <c r="G19" s="432">
        <v>5129522</v>
      </c>
      <c r="H19" s="432">
        <v>16881802</v>
      </c>
      <c r="K19" s="4" t="s">
        <v>54</v>
      </c>
      <c r="L19" s="80">
        <v>0</v>
      </c>
      <c r="M19" s="80">
        <v>0</v>
      </c>
      <c r="O19" s="487"/>
      <c r="S19" s="487"/>
    </row>
    <row r="20" spans="1:19" x14ac:dyDescent="0.25">
      <c r="A20" s="432">
        <v>1072</v>
      </c>
      <c r="B20" s="432">
        <v>511</v>
      </c>
      <c r="C20" s="432">
        <v>3130934</v>
      </c>
      <c r="D20" s="432">
        <v>1954600</v>
      </c>
      <c r="E20" s="432">
        <v>15435538</v>
      </c>
      <c r="F20" s="432">
        <v>3054095</v>
      </c>
      <c r="G20" s="432">
        <v>13459008</v>
      </c>
      <c r="H20" s="432">
        <v>35079575</v>
      </c>
      <c r="K20" s="4" t="s">
        <v>18</v>
      </c>
      <c r="L20" s="4">
        <f>SUMIF($A$9:$A$158,LEFT($L$10,4),$D$9:$D$158)</f>
        <v>64760919</v>
      </c>
      <c r="M20" s="4">
        <f>SUMIF($A$9:$A$158,LEFT($L$10,4),$B$9:$B$158)</f>
        <v>23627</v>
      </c>
      <c r="O20" s="487"/>
      <c r="S20" s="487"/>
    </row>
    <row r="21" spans="1:19" x14ac:dyDescent="0.25">
      <c r="A21" s="432">
        <v>1073</v>
      </c>
      <c r="B21" s="432">
        <v>32</v>
      </c>
      <c r="C21" s="432">
        <v>206424</v>
      </c>
      <c r="D21" s="432">
        <v>436257</v>
      </c>
      <c r="E21" s="432">
        <v>3176880</v>
      </c>
      <c r="F21" s="432">
        <v>906773</v>
      </c>
      <c r="G21" s="432">
        <v>892585</v>
      </c>
      <c r="H21" s="432">
        <v>5182661</v>
      </c>
      <c r="K21" s="4" t="s">
        <v>6</v>
      </c>
      <c r="L21" s="4">
        <f>SUMIFS($D$9:$D$158,$A$9:$A$158,"&gt;="&amp;LEFT($L$11,4),$A$9:$A$158,"&lt;="&amp;LEFT($M$11,4))</f>
        <v>23028249</v>
      </c>
      <c r="M21" s="4">
        <f>SUMIFS($B$9:$B$158,$A$9:$A$158,"&gt;="&amp;LEFT($L$11,4),$A$9:$A$158,"&lt;="&amp;LEFT($M$11,4))</f>
        <v>10666</v>
      </c>
      <c r="O21" s="487"/>
      <c r="S21" s="487"/>
    </row>
    <row r="22" spans="1:19" x14ac:dyDescent="0.25">
      <c r="A22" s="432">
        <v>1074</v>
      </c>
      <c r="B22" s="432">
        <v>0</v>
      </c>
      <c r="C22" s="432">
        <v>3479</v>
      </c>
      <c r="D22" s="432">
        <v>69352</v>
      </c>
      <c r="E22" s="432">
        <v>518389</v>
      </c>
      <c r="F22" s="432">
        <v>524784</v>
      </c>
      <c r="G22" s="432">
        <v>184389</v>
      </c>
      <c r="H22" s="432">
        <v>1231041</v>
      </c>
      <c r="K22" s="4" t="s">
        <v>43</v>
      </c>
      <c r="L22" s="80">
        <v>0</v>
      </c>
      <c r="M22" s="80">
        <v>0</v>
      </c>
      <c r="O22" s="487"/>
      <c r="S22" s="487"/>
    </row>
    <row r="23" spans="1:19" x14ac:dyDescent="0.25">
      <c r="A23" s="432">
        <v>1075</v>
      </c>
      <c r="B23" s="432">
        <v>0</v>
      </c>
      <c r="C23" s="432">
        <v>4376</v>
      </c>
      <c r="D23" s="432">
        <v>133718</v>
      </c>
      <c r="E23" s="432">
        <v>1188602</v>
      </c>
      <c r="F23" s="432">
        <v>264807</v>
      </c>
      <c r="G23" s="432">
        <v>530129</v>
      </c>
      <c r="H23" s="432">
        <v>1987914</v>
      </c>
      <c r="K23" s="4" t="s">
        <v>44</v>
      </c>
      <c r="L23" s="4">
        <f>SUMIFS($D$9:$D$158,$A$9:$A$158,"&gt;="&amp;LEFT($L$13,4),$A$9:$A$158,"&lt;="&amp;LEFT($M$13,4))</f>
        <v>331443</v>
      </c>
      <c r="M23" s="4">
        <f>SUMIFS($B$9:$B$158,$A$9:$A$158,"&gt;="&amp;LEFT($L$13,4),$A$9:$A$158,"&lt;="&amp;LEFT($M$13,4))</f>
        <v>39</v>
      </c>
      <c r="O23" s="487"/>
      <c r="S23" s="487"/>
    </row>
    <row r="24" spans="1:19" x14ac:dyDescent="0.25">
      <c r="A24" s="432">
        <v>1079</v>
      </c>
      <c r="B24" s="432">
        <v>660</v>
      </c>
      <c r="C24" s="432">
        <v>5677962</v>
      </c>
      <c r="D24" s="432">
        <v>2304804</v>
      </c>
      <c r="E24" s="432">
        <v>19394100</v>
      </c>
      <c r="F24" s="432">
        <v>6781399</v>
      </c>
      <c r="G24" s="432">
        <v>6000851</v>
      </c>
      <c r="H24" s="432">
        <v>37854311</v>
      </c>
      <c r="K24" s="4" t="s">
        <v>11</v>
      </c>
      <c r="L24" s="464">
        <f>SUMIFS($D$9:$D$158,$A$9:$A$158,"&gt;="&amp;LEFT($L$14,4),$A$9:$A$158,"&lt;="&amp;LEFT($M$14,4))</f>
        <v>776812</v>
      </c>
      <c r="M24" s="464">
        <f>SUMIFS($B$9:$B$158,$A$9:$A$158,"&gt;="&amp;LEFT($L$14,4),$A$9:$A$158,"&lt;="&amp;LEFT($M$14,4))</f>
        <v>0</v>
      </c>
      <c r="O24" s="487"/>
      <c r="P24" s="463"/>
      <c r="S24" s="487"/>
    </row>
    <row r="25" spans="1:19" x14ac:dyDescent="0.25">
      <c r="A25" s="432">
        <v>1080</v>
      </c>
      <c r="B25" s="432">
        <v>27</v>
      </c>
      <c r="C25" s="432">
        <v>141270</v>
      </c>
      <c r="D25" s="432">
        <v>1089578</v>
      </c>
      <c r="E25" s="432">
        <v>8296027</v>
      </c>
      <c r="F25" s="432">
        <v>2253983</v>
      </c>
      <c r="G25" s="432">
        <v>1101697</v>
      </c>
      <c r="H25" s="432">
        <v>11792976</v>
      </c>
      <c r="K25" s="117" t="s">
        <v>57</v>
      </c>
      <c r="L25" s="118">
        <f>D158-SUM(L18:L24)</f>
        <v>163499730</v>
      </c>
      <c r="M25" s="118">
        <f>B158-SUM(M18:M24)</f>
        <v>61754</v>
      </c>
      <c r="O25" s="487"/>
      <c r="S25" s="487"/>
    </row>
    <row r="26" spans="1:19" x14ac:dyDescent="0.25">
      <c r="A26" s="432">
        <v>1101</v>
      </c>
      <c r="B26" s="432">
        <v>986</v>
      </c>
      <c r="C26" s="432">
        <v>4871521</v>
      </c>
      <c r="D26" s="432">
        <v>660431</v>
      </c>
      <c r="E26" s="432">
        <v>5081977</v>
      </c>
      <c r="F26" s="432">
        <v>2146719</v>
      </c>
      <c r="G26" s="432">
        <v>3723625</v>
      </c>
      <c r="H26" s="432">
        <v>15823843</v>
      </c>
    </row>
    <row r="27" spans="1:19" x14ac:dyDescent="0.25">
      <c r="A27" s="432">
        <v>1102</v>
      </c>
      <c r="B27" s="432">
        <v>0</v>
      </c>
      <c r="C27" s="432">
        <v>0</v>
      </c>
      <c r="D27" s="432">
        <v>24109</v>
      </c>
      <c r="E27" s="432">
        <v>184516</v>
      </c>
      <c r="F27" s="432">
        <v>51141</v>
      </c>
      <c r="G27" s="432">
        <v>145</v>
      </c>
      <c r="H27" s="432">
        <v>235802</v>
      </c>
      <c r="K27" s="3" t="s">
        <v>593</v>
      </c>
      <c r="L27" s="3"/>
      <c r="M27" s="3"/>
      <c r="N27" s="79"/>
    </row>
    <row r="28" spans="1:19" x14ac:dyDescent="0.25">
      <c r="A28" s="432">
        <v>1103</v>
      </c>
      <c r="B28" s="432">
        <v>66</v>
      </c>
      <c r="C28" s="432">
        <v>488644</v>
      </c>
      <c r="D28" s="432">
        <v>387441</v>
      </c>
      <c r="E28" s="432">
        <v>2990986</v>
      </c>
      <c r="F28" s="432">
        <v>757731</v>
      </c>
      <c r="G28" s="432">
        <v>2054759</v>
      </c>
      <c r="H28" s="432">
        <v>6292120</v>
      </c>
      <c r="L28" s="4" t="s">
        <v>53</v>
      </c>
      <c r="M28" s="4" t="s">
        <v>564</v>
      </c>
    </row>
    <row r="29" spans="1:19" x14ac:dyDescent="0.25">
      <c r="A29" s="432">
        <v>1104</v>
      </c>
      <c r="B29" s="432">
        <v>5</v>
      </c>
      <c r="C29" s="432">
        <v>42115</v>
      </c>
      <c r="D29" s="432">
        <v>935156</v>
      </c>
      <c r="E29" s="432">
        <v>7424508</v>
      </c>
      <c r="F29" s="432">
        <v>1834203</v>
      </c>
      <c r="G29" s="432">
        <v>451278</v>
      </c>
      <c r="H29" s="432">
        <v>9752104</v>
      </c>
      <c r="K29" s="4" t="s">
        <v>5</v>
      </c>
      <c r="L29" s="4">
        <f>L18*'Unit Conversions'!$A$26</f>
        <v>41216691848254.602</v>
      </c>
      <c r="M29" s="4">
        <f>M18*'Unit Conversions'!$B$34*10^3</f>
        <v>330812884853357.25</v>
      </c>
      <c r="O29" s="4">
        <f>L29*'Start Year Fuel Use Adjustments'!C2</f>
        <v>24643973808707.102</v>
      </c>
    </row>
    <row r="30" spans="1:19" x14ac:dyDescent="0.25">
      <c r="A30" s="432">
        <v>1200</v>
      </c>
      <c r="B30" s="432">
        <v>41</v>
      </c>
      <c r="C30" s="432">
        <v>215039</v>
      </c>
      <c r="D30" s="432">
        <v>282306</v>
      </c>
      <c r="E30" s="432">
        <v>2318890</v>
      </c>
      <c r="F30" s="432">
        <v>1021375</v>
      </c>
      <c r="G30" s="432">
        <v>383458</v>
      </c>
      <c r="H30" s="432">
        <v>3938763</v>
      </c>
      <c r="K30" s="4" t="s">
        <v>54</v>
      </c>
      <c r="L30" s="4">
        <f>L19*'Unit Conversions'!$A$26</f>
        <v>0</v>
      </c>
      <c r="M30" s="4">
        <f>M19*'Unit Conversions'!$B$34*10^3</f>
        <v>0</v>
      </c>
      <c r="O30" s="4">
        <f>L30*'Start Year Fuel Use Adjustments'!C3</f>
        <v>0</v>
      </c>
    </row>
    <row r="31" spans="1:19" x14ac:dyDescent="0.25">
      <c r="A31" s="432">
        <v>1311</v>
      </c>
      <c r="B31" s="432">
        <v>1415</v>
      </c>
      <c r="C31" s="432">
        <v>6846098</v>
      </c>
      <c r="D31" s="432">
        <v>19794076</v>
      </c>
      <c r="E31" s="432">
        <v>137050287</v>
      </c>
      <c r="F31" s="432">
        <v>14129316</v>
      </c>
      <c r="G31" s="432">
        <v>4609363</v>
      </c>
      <c r="H31" s="432">
        <v>162635063</v>
      </c>
      <c r="K31" s="4" t="s">
        <v>18</v>
      </c>
      <c r="L31" s="4">
        <f>L20*'Unit Conversions'!$A$26</f>
        <v>220973427716957.97</v>
      </c>
      <c r="M31" s="4">
        <f>M20*'Unit Conversions'!$B$34*10^3</f>
        <v>338814687694753.63</v>
      </c>
      <c r="O31" s="4">
        <f>L31*'Start Year Fuel Use Adjustments'!C4</f>
        <v>161683383949786.41</v>
      </c>
    </row>
    <row r="32" spans="1:19" x14ac:dyDescent="0.25">
      <c r="A32" s="432">
        <v>1312</v>
      </c>
      <c r="B32" s="432">
        <v>673</v>
      </c>
      <c r="C32" s="432">
        <v>4675453</v>
      </c>
      <c r="D32" s="432">
        <v>4729240</v>
      </c>
      <c r="E32" s="432">
        <v>32116255</v>
      </c>
      <c r="F32" s="432">
        <v>6397230</v>
      </c>
      <c r="G32" s="432">
        <v>3401858</v>
      </c>
      <c r="H32" s="432">
        <v>46590796</v>
      </c>
      <c r="K32" s="4" t="s">
        <v>6</v>
      </c>
      <c r="L32" s="4">
        <f>L21*'Unit Conversions'!$A$26</f>
        <v>78575647078905.875</v>
      </c>
      <c r="M32" s="4">
        <f>M21*'Unit Conversions'!$B$34*10^3</f>
        <v>152952023488053.59</v>
      </c>
      <c r="O32" s="4">
        <f>L32*'Start Year Fuel Use Adjustments'!C5</f>
        <v>78575647078905.875</v>
      </c>
    </row>
    <row r="33" spans="1:15" x14ac:dyDescent="0.25">
      <c r="A33" s="432">
        <v>1313</v>
      </c>
      <c r="B33" s="432">
        <v>6073</v>
      </c>
      <c r="C33" s="432">
        <v>28203176</v>
      </c>
      <c r="D33" s="432">
        <v>4217054</v>
      </c>
      <c r="E33" s="432">
        <v>32361589</v>
      </c>
      <c r="F33" s="432">
        <v>4074857</v>
      </c>
      <c r="G33" s="432">
        <v>7224581</v>
      </c>
      <c r="H33" s="432">
        <v>71864203</v>
      </c>
      <c r="K33" s="4" t="s">
        <v>43</v>
      </c>
      <c r="L33" s="4">
        <f>L22*'Unit Conversions'!$A$26</f>
        <v>0</v>
      </c>
      <c r="M33" s="4">
        <f>M22*'Unit Conversions'!$B$34*10^3</f>
        <v>0</v>
      </c>
      <c r="O33" s="4">
        <f>L33*'Start Year Fuel Use Adjustments'!C6</f>
        <v>0</v>
      </c>
    </row>
    <row r="34" spans="1:15" x14ac:dyDescent="0.25">
      <c r="A34" s="432">
        <v>1391</v>
      </c>
      <c r="B34" s="432">
        <v>81</v>
      </c>
      <c r="C34" s="432">
        <v>451993</v>
      </c>
      <c r="D34" s="432">
        <v>475116</v>
      </c>
      <c r="E34" s="432">
        <v>3745517</v>
      </c>
      <c r="F34" s="432">
        <v>539874</v>
      </c>
      <c r="G34" s="432">
        <v>267370</v>
      </c>
      <c r="H34" s="432">
        <v>5004754</v>
      </c>
      <c r="K34" s="4" t="s">
        <v>44</v>
      </c>
      <c r="L34" s="4">
        <f>L23*'Unit Conversions'!$A$26</f>
        <v>1130930458272.0898</v>
      </c>
      <c r="M34" s="4">
        <f>M23*'Unit Conversions'!$B$34*10^3</f>
        <v>559265789990.07019</v>
      </c>
      <c r="O34" s="4">
        <f>L34*'Start Year Fuel Use Adjustments'!C7</f>
        <v>1130930458272.0898</v>
      </c>
    </row>
    <row r="35" spans="1:15" x14ac:dyDescent="0.25">
      <c r="A35" s="432">
        <v>1392</v>
      </c>
      <c r="B35" s="432">
        <v>155</v>
      </c>
      <c r="C35" s="432">
        <v>940461</v>
      </c>
      <c r="D35" s="432">
        <v>1186903</v>
      </c>
      <c r="E35" s="432">
        <v>9423003</v>
      </c>
      <c r="F35" s="432">
        <v>1704753</v>
      </c>
      <c r="G35" s="432">
        <v>1333137</v>
      </c>
      <c r="H35" s="432">
        <v>13401354</v>
      </c>
      <c r="K35" s="4" t="s">
        <v>11</v>
      </c>
      <c r="L35" s="4">
        <f>L24*'Unit Conversions'!$A$26</f>
        <v>2650592563883.5601</v>
      </c>
      <c r="M35" s="4">
        <f>M24*'Unit Conversions'!$B$34*10^3</f>
        <v>0</v>
      </c>
      <c r="O35" s="4">
        <f>L35*'Start Year Fuel Use Adjustments'!C8</f>
        <v>622893528978408.88</v>
      </c>
    </row>
    <row r="36" spans="1:15" x14ac:dyDescent="0.25">
      <c r="A36" s="432">
        <v>1393</v>
      </c>
      <c r="B36" s="432">
        <v>8</v>
      </c>
      <c r="C36" s="432">
        <v>88367</v>
      </c>
      <c r="D36" s="432">
        <v>200444</v>
      </c>
      <c r="E36" s="432">
        <v>1592263</v>
      </c>
      <c r="F36" s="432">
        <v>719199</v>
      </c>
      <c r="G36" s="432">
        <v>316331</v>
      </c>
      <c r="H36" s="432">
        <v>2716159</v>
      </c>
      <c r="K36" s="117" t="s">
        <v>57</v>
      </c>
      <c r="L36" s="4">
        <f>L25*'Unit Conversions'!$A$26</f>
        <v>557884235226759.88</v>
      </c>
      <c r="M36" s="4">
        <f>M25*'Unit Conversions'!$B$34*10^3</f>
        <v>885561528078123</v>
      </c>
      <c r="O36" s="4">
        <f>L36*'Start Year Fuel Use Adjustments'!C9</f>
        <v>988943174936244.63</v>
      </c>
    </row>
    <row r="37" spans="1:15" x14ac:dyDescent="0.25">
      <c r="A37" s="432">
        <v>1394</v>
      </c>
      <c r="B37" s="432">
        <v>4</v>
      </c>
      <c r="C37" s="432">
        <v>17374</v>
      </c>
      <c r="D37" s="432">
        <v>392475</v>
      </c>
      <c r="E37" s="432">
        <v>2943008</v>
      </c>
      <c r="F37" s="432">
        <v>613129</v>
      </c>
      <c r="G37" s="432">
        <v>255169</v>
      </c>
      <c r="H37" s="432">
        <v>3828680</v>
      </c>
    </row>
    <row r="38" spans="1:15" x14ac:dyDescent="0.25">
      <c r="A38" s="432">
        <v>1399</v>
      </c>
      <c r="B38" s="432">
        <v>69</v>
      </c>
      <c r="C38" s="432">
        <v>871936</v>
      </c>
      <c r="D38" s="432">
        <v>1111298</v>
      </c>
      <c r="E38" s="432">
        <v>8468650</v>
      </c>
      <c r="F38" s="432">
        <v>823475</v>
      </c>
      <c r="G38" s="432">
        <v>721870</v>
      </c>
      <c r="H38" s="432">
        <v>10885930</v>
      </c>
      <c r="O38" s="4">
        <f>SUM(O29:O36)</f>
        <v>1877870639210325</v>
      </c>
    </row>
    <row r="39" spans="1:15" x14ac:dyDescent="0.25">
      <c r="A39" s="432">
        <v>1410</v>
      </c>
      <c r="B39" s="432">
        <v>130</v>
      </c>
      <c r="C39" s="432">
        <v>519183</v>
      </c>
      <c r="D39" s="432">
        <v>1363443</v>
      </c>
      <c r="E39" s="432">
        <v>11189168</v>
      </c>
      <c r="F39" s="432">
        <v>4325921</v>
      </c>
      <c r="G39" s="432">
        <v>536151</v>
      </c>
      <c r="H39" s="432">
        <v>16570424</v>
      </c>
      <c r="O39" s="4">
        <f>O38/('Unit Conversions'!A26*1000000)</f>
        <v>550.34955838287556</v>
      </c>
    </row>
    <row r="40" spans="1:15" x14ac:dyDescent="0.25">
      <c r="A40" s="432">
        <v>1420</v>
      </c>
      <c r="B40" s="432">
        <v>0</v>
      </c>
      <c r="C40" s="432">
        <v>0</v>
      </c>
      <c r="D40" s="432">
        <v>3530</v>
      </c>
      <c r="E40" s="432">
        <v>26610</v>
      </c>
      <c r="F40" s="432">
        <v>2677</v>
      </c>
      <c r="G40" s="432">
        <v>522</v>
      </c>
      <c r="H40" s="432">
        <v>29809</v>
      </c>
    </row>
    <row r="41" spans="1:15" x14ac:dyDescent="0.25">
      <c r="A41" s="432">
        <v>1430</v>
      </c>
      <c r="B41" s="432">
        <v>6</v>
      </c>
      <c r="C41" s="432">
        <v>34209</v>
      </c>
      <c r="D41" s="432">
        <v>890997</v>
      </c>
      <c r="E41" s="432">
        <v>6525053</v>
      </c>
      <c r="F41" s="432">
        <v>2402389</v>
      </c>
      <c r="G41" s="432">
        <v>539219</v>
      </c>
      <c r="H41" s="432">
        <v>9500870</v>
      </c>
    </row>
    <row r="42" spans="1:15" x14ac:dyDescent="0.25">
      <c r="A42" s="432">
        <v>1511</v>
      </c>
      <c r="B42" s="432">
        <v>17</v>
      </c>
      <c r="C42" s="432">
        <v>164322</v>
      </c>
      <c r="D42" s="432">
        <v>223438</v>
      </c>
      <c r="E42" s="432">
        <v>1821595</v>
      </c>
      <c r="F42" s="432">
        <v>466460</v>
      </c>
      <c r="G42" s="432">
        <v>141919</v>
      </c>
      <c r="H42" s="432">
        <v>2594295</v>
      </c>
    </row>
    <row r="43" spans="1:15" x14ac:dyDescent="0.25">
      <c r="A43" s="432">
        <v>1512</v>
      </c>
      <c r="B43" s="432">
        <v>0</v>
      </c>
      <c r="C43" s="432">
        <v>1754</v>
      </c>
      <c r="D43" s="432">
        <v>108166</v>
      </c>
      <c r="E43" s="432">
        <v>871961</v>
      </c>
      <c r="F43" s="432">
        <v>241995</v>
      </c>
      <c r="G43" s="432">
        <v>4439</v>
      </c>
      <c r="H43" s="432">
        <v>1120149</v>
      </c>
    </row>
    <row r="44" spans="1:15" x14ac:dyDescent="0.25">
      <c r="A44" s="432">
        <v>1520</v>
      </c>
      <c r="B44" s="432">
        <v>7</v>
      </c>
      <c r="C44" s="432">
        <v>63354</v>
      </c>
      <c r="D44" s="432">
        <v>905841</v>
      </c>
      <c r="E44" s="432">
        <v>7579971</v>
      </c>
      <c r="F44" s="432">
        <v>1609503</v>
      </c>
      <c r="G44" s="432">
        <v>175535</v>
      </c>
      <c r="H44" s="432">
        <v>9428364</v>
      </c>
    </row>
    <row r="45" spans="1:15" x14ac:dyDescent="0.25">
      <c r="A45" s="432">
        <v>1610</v>
      </c>
      <c r="B45" s="432">
        <v>0</v>
      </c>
      <c r="C45" s="432">
        <v>15994</v>
      </c>
      <c r="D45" s="432">
        <v>36223</v>
      </c>
      <c r="E45" s="432">
        <v>284077</v>
      </c>
      <c r="F45" s="432">
        <v>56504</v>
      </c>
      <c r="G45" s="432">
        <v>2183</v>
      </c>
      <c r="H45" s="432">
        <v>358758</v>
      </c>
    </row>
    <row r="46" spans="1:15" x14ac:dyDescent="0.25">
      <c r="A46" s="432">
        <v>1621</v>
      </c>
      <c r="B46" s="432">
        <v>63</v>
      </c>
      <c r="C46" s="432">
        <v>314217</v>
      </c>
      <c r="D46" s="432">
        <v>828203</v>
      </c>
      <c r="E46" s="432">
        <v>6248233</v>
      </c>
      <c r="F46" s="432">
        <v>996745</v>
      </c>
      <c r="G46" s="432">
        <v>519390</v>
      </c>
      <c r="H46" s="432">
        <v>8078584</v>
      </c>
    </row>
    <row r="47" spans="1:15" x14ac:dyDescent="0.25">
      <c r="A47" s="432">
        <v>1622</v>
      </c>
      <c r="B47" s="432">
        <v>0</v>
      </c>
      <c r="C47" s="432">
        <v>1076</v>
      </c>
      <c r="D47" s="432">
        <v>23570</v>
      </c>
      <c r="E47" s="432">
        <v>158998</v>
      </c>
      <c r="F47" s="432">
        <v>105855</v>
      </c>
      <c r="G47" s="432">
        <v>73806</v>
      </c>
      <c r="H47" s="432">
        <v>339736</v>
      </c>
    </row>
    <row r="48" spans="1:15" x14ac:dyDescent="0.25">
      <c r="A48" s="432">
        <v>1623</v>
      </c>
      <c r="B48" s="432">
        <v>45</v>
      </c>
      <c r="C48" s="432">
        <v>142627</v>
      </c>
      <c r="D48" s="432">
        <v>20886</v>
      </c>
      <c r="E48" s="432">
        <v>157665</v>
      </c>
      <c r="F48" s="432">
        <v>72245</v>
      </c>
      <c r="G48" s="432">
        <v>13583</v>
      </c>
      <c r="H48" s="432">
        <v>386120</v>
      </c>
    </row>
    <row r="49" spans="1:8" x14ac:dyDescent="0.25">
      <c r="A49" s="432">
        <v>1629</v>
      </c>
      <c r="B49" s="432">
        <v>0</v>
      </c>
      <c r="C49" s="432">
        <v>2107</v>
      </c>
      <c r="D49" s="432">
        <v>66299</v>
      </c>
      <c r="E49" s="432">
        <v>497262</v>
      </c>
      <c r="F49" s="432">
        <v>77505</v>
      </c>
      <c r="G49" s="432">
        <v>215940</v>
      </c>
      <c r="H49" s="432">
        <v>792815</v>
      </c>
    </row>
    <row r="50" spans="1:8" x14ac:dyDescent="0.25">
      <c r="A50" s="433">
        <v>1701</v>
      </c>
      <c r="B50" s="433">
        <v>5005</v>
      </c>
      <c r="C50" s="433">
        <v>24450209</v>
      </c>
      <c r="D50" s="433">
        <v>3690233</v>
      </c>
      <c r="E50" s="433">
        <v>27970610</v>
      </c>
      <c r="F50" s="433">
        <v>6118344</v>
      </c>
      <c r="G50" s="433">
        <v>7218829</v>
      </c>
      <c r="H50" s="433">
        <v>65757992</v>
      </c>
    </row>
    <row r="51" spans="1:8" x14ac:dyDescent="0.25">
      <c r="A51" s="434">
        <v>1702</v>
      </c>
      <c r="B51" s="434">
        <v>206</v>
      </c>
      <c r="C51" s="434">
        <v>1602453</v>
      </c>
      <c r="D51" s="434">
        <v>1348132</v>
      </c>
      <c r="E51" s="434">
        <v>9995248</v>
      </c>
      <c r="F51" s="434">
        <v>2251261</v>
      </c>
      <c r="G51" s="434">
        <v>1723138</v>
      </c>
      <c r="H51" s="434">
        <v>15572099</v>
      </c>
    </row>
    <row r="52" spans="1:8" x14ac:dyDescent="0.25">
      <c r="A52" s="432">
        <v>1709</v>
      </c>
      <c r="B52" s="432">
        <v>865</v>
      </c>
      <c r="C52" s="432">
        <v>5625983</v>
      </c>
      <c r="D52" s="432">
        <v>1012393</v>
      </c>
      <c r="E52" s="432">
        <v>7375543</v>
      </c>
      <c r="F52" s="432">
        <v>1539001</v>
      </c>
      <c r="G52" s="432">
        <v>2165891</v>
      </c>
      <c r="H52" s="432">
        <v>16706418</v>
      </c>
    </row>
    <row r="53" spans="1:8" x14ac:dyDescent="0.25">
      <c r="A53" s="432">
        <v>1811</v>
      </c>
      <c r="B53" s="435">
        <v>0</v>
      </c>
      <c r="C53" s="432">
        <v>0</v>
      </c>
      <c r="D53" s="432">
        <v>944505</v>
      </c>
      <c r="E53" s="432">
        <v>8135282</v>
      </c>
      <c r="F53" s="432">
        <v>1426503</v>
      </c>
      <c r="G53" s="432">
        <v>207769</v>
      </c>
      <c r="H53" s="432">
        <v>9769554</v>
      </c>
    </row>
    <row r="54" spans="1:8" x14ac:dyDescent="0.25">
      <c r="A54" s="432">
        <v>1812</v>
      </c>
      <c r="B54" s="435">
        <v>0</v>
      </c>
      <c r="C54" s="432">
        <v>0</v>
      </c>
      <c r="D54" s="432">
        <v>56732</v>
      </c>
      <c r="E54" s="432">
        <v>451888</v>
      </c>
      <c r="F54" s="432">
        <v>107591</v>
      </c>
      <c r="G54" s="432">
        <v>3338</v>
      </c>
      <c r="H54" s="432">
        <v>562817</v>
      </c>
    </row>
    <row r="55" spans="1:8" x14ac:dyDescent="0.25">
      <c r="A55" s="432">
        <v>1820</v>
      </c>
      <c r="B55" s="435">
        <v>0</v>
      </c>
      <c r="C55" s="435">
        <v>0</v>
      </c>
      <c r="D55" s="435">
        <v>2409</v>
      </c>
      <c r="E55" s="432">
        <v>18231</v>
      </c>
      <c r="F55" s="432">
        <v>3762</v>
      </c>
      <c r="G55" s="435">
        <v>0</v>
      </c>
      <c r="H55" s="432">
        <v>21993</v>
      </c>
    </row>
    <row r="56" spans="1:8" x14ac:dyDescent="0.25">
      <c r="A56" s="432">
        <v>1910</v>
      </c>
      <c r="B56" s="432">
        <v>6</v>
      </c>
      <c r="C56" s="432">
        <v>28542</v>
      </c>
      <c r="D56" s="432">
        <v>280055</v>
      </c>
      <c r="E56" s="432">
        <v>1940008</v>
      </c>
      <c r="F56" s="432">
        <v>653534</v>
      </c>
      <c r="G56" s="432">
        <v>94205</v>
      </c>
      <c r="H56" s="432">
        <v>2716289</v>
      </c>
    </row>
    <row r="57" spans="1:8" x14ac:dyDescent="0.25">
      <c r="A57" s="432">
        <v>1920</v>
      </c>
      <c r="B57" s="432">
        <v>1936</v>
      </c>
      <c r="C57" s="432">
        <v>8880973</v>
      </c>
      <c r="D57" s="432">
        <v>5258790</v>
      </c>
      <c r="E57" s="432">
        <v>44333713</v>
      </c>
      <c r="F57" s="432">
        <v>83250552</v>
      </c>
      <c r="G57" s="432">
        <v>41891662</v>
      </c>
      <c r="H57" s="432">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32">
        <v>2100</v>
      </c>
      <c r="B66" s="432">
        <v>1032</v>
      </c>
      <c r="C66" s="432">
        <v>5128372</v>
      </c>
      <c r="D66" s="432">
        <v>8366546</v>
      </c>
      <c r="E66" s="432">
        <v>63064152</v>
      </c>
      <c r="F66" s="432">
        <v>15516388</v>
      </c>
      <c r="G66" s="432">
        <v>8373179</v>
      </c>
      <c r="H66" s="432">
        <v>92082090</v>
      </c>
    </row>
    <row r="67" spans="1:8" x14ac:dyDescent="0.25">
      <c r="A67" s="432">
        <v>2211</v>
      </c>
      <c r="B67" s="432">
        <v>735</v>
      </c>
      <c r="C67" s="432">
        <v>4616732</v>
      </c>
      <c r="D67" s="432">
        <v>2355487</v>
      </c>
      <c r="E67" s="432">
        <v>17602646</v>
      </c>
      <c r="F67" s="432">
        <v>3675118</v>
      </c>
      <c r="G67" s="432">
        <v>1287991</v>
      </c>
      <c r="H67" s="432">
        <v>27182488</v>
      </c>
    </row>
    <row r="68" spans="1:8" x14ac:dyDescent="0.25">
      <c r="A68" s="432">
        <v>2219</v>
      </c>
      <c r="B68" s="435">
        <v>18</v>
      </c>
      <c r="C68" s="432">
        <v>122133</v>
      </c>
      <c r="D68" s="432">
        <v>1153562</v>
      </c>
      <c r="E68" s="432">
        <v>9002207</v>
      </c>
      <c r="F68" s="432">
        <v>2322632</v>
      </c>
      <c r="G68" s="432">
        <v>804344</v>
      </c>
      <c r="H68" s="432">
        <v>12251315</v>
      </c>
    </row>
    <row r="69" spans="1:8" x14ac:dyDescent="0.25">
      <c r="A69" s="432">
        <v>2220</v>
      </c>
      <c r="B69" s="432">
        <v>142</v>
      </c>
      <c r="C69" s="432">
        <v>1399770</v>
      </c>
      <c r="D69" s="432">
        <v>9665966</v>
      </c>
      <c r="E69" s="432">
        <v>70873812</v>
      </c>
      <c r="F69" s="432">
        <v>9990707</v>
      </c>
      <c r="G69" s="432">
        <v>2756673</v>
      </c>
      <c r="H69" s="432">
        <v>85020963</v>
      </c>
    </row>
    <row r="70" spans="1:8" x14ac:dyDescent="0.25">
      <c r="A70" s="432">
        <v>2310</v>
      </c>
      <c r="B70" s="435">
        <v>128</v>
      </c>
      <c r="C70" s="432">
        <v>678605</v>
      </c>
      <c r="D70" s="432">
        <v>2349685</v>
      </c>
      <c r="E70" s="432">
        <v>17380072</v>
      </c>
      <c r="F70" s="432">
        <v>5335311</v>
      </c>
      <c r="G70" s="432">
        <v>16077832</v>
      </c>
      <c r="H70" s="432">
        <v>39471819</v>
      </c>
    </row>
    <row r="71" spans="1:8" x14ac:dyDescent="0.25">
      <c r="A71" s="432">
        <v>2391</v>
      </c>
      <c r="B71" s="432">
        <v>261</v>
      </c>
      <c r="C71" s="432">
        <v>1916152</v>
      </c>
      <c r="D71" s="432">
        <v>987430</v>
      </c>
      <c r="E71" s="432">
        <v>7513063</v>
      </c>
      <c r="F71" s="432">
        <v>3572873</v>
      </c>
      <c r="G71" s="432">
        <v>6927378</v>
      </c>
      <c r="H71" s="432">
        <v>19929465</v>
      </c>
    </row>
    <row r="72" spans="1:8" x14ac:dyDescent="0.25">
      <c r="A72" s="432">
        <v>2392</v>
      </c>
      <c r="B72" s="432">
        <v>1822</v>
      </c>
      <c r="C72" s="432">
        <v>15587286</v>
      </c>
      <c r="D72" s="432">
        <v>246666</v>
      </c>
      <c r="E72" s="432">
        <v>1878793</v>
      </c>
      <c r="F72" s="432">
        <v>1411878</v>
      </c>
      <c r="G72" s="432">
        <v>5334392</v>
      </c>
      <c r="H72" s="432">
        <v>24212348</v>
      </c>
    </row>
    <row r="73" spans="1:8" x14ac:dyDescent="0.25">
      <c r="A73" s="432">
        <v>2393</v>
      </c>
      <c r="B73" s="432">
        <v>4472</v>
      </c>
      <c r="C73" s="432">
        <v>25743206</v>
      </c>
      <c r="D73" s="432">
        <v>3106439</v>
      </c>
      <c r="E73" s="432">
        <v>23857304</v>
      </c>
      <c r="F73" s="432">
        <v>2475185</v>
      </c>
      <c r="G73" s="432">
        <v>24823135</v>
      </c>
      <c r="H73" s="432">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32">
        <v>2395</v>
      </c>
      <c r="B75" s="435">
        <v>42</v>
      </c>
      <c r="C75" s="432">
        <v>245479</v>
      </c>
      <c r="D75" s="432">
        <v>751350</v>
      </c>
      <c r="E75" s="432">
        <v>6837641</v>
      </c>
      <c r="F75" s="432">
        <v>6238667</v>
      </c>
      <c r="G75" s="432">
        <v>815510</v>
      </c>
      <c r="H75" s="432">
        <v>14137297</v>
      </c>
    </row>
    <row r="76" spans="1:8" x14ac:dyDescent="0.25">
      <c r="A76" s="432">
        <v>2396</v>
      </c>
      <c r="B76" s="435">
        <v>0</v>
      </c>
      <c r="C76" s="432">
        <v>0</v>
      </c>
      <c r="D76" s="432">
        <v>2046631</v>
      </c>
      <c r="E76" s="432">
        <v>15220450</v>
      </c>
      <c r="F76" s="432">
        <v>8697344</v>
      </c>
      <c r="G76" s="432">
        <v>1092716</v>
      </c>
      <c r="H76" s="432">
        <v>25010511</v>
      </c>
    </row>
    <row r="77" spans="1:8" x14ac:dyDescent="0.25">
      <c r="A77" s="432">
        <v>2399</v>
      </c>
      <c r="B77" s="432">
        <v>166</v>
      </c>
      <c r="C77" s="432">
        <v>966546</v>
      </c>
      <c r="D77" s="432">
        <v>1206329</v>
      </c>
      <c r="E77" s="432">
        <v>9286254</v>
      </c>
      <c r="F77" s="432">
        <v>2539026</v>
      </c>
      <c r="G77" s="432">
        <v>1025038</v>
      </c>
      <c r="H77" s="432">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32">
        <v>2420</v>
      </c>
      <c r="B79" s="432">
        <v>27620</v>
      </c>
      <c r="C79" s="432">
        <v>87883172</v>
      </c>
      <c r="D79" s="432">
        <v>17555292</v>
      </c>
      <c r="E79" s="432">
        <v>85095048</v>
      </c>
      <c r="F79" s="432">
        <v>19195097</v>
      </c>
      <c r="G79" s="432">
        <v>9900098</v>
      </c>
      <c r="H79" s="432">
        <v>202073415</v>
      </c>
    </row>
    <row r="80" spans="1:8" x14ac:dyDescent="0.25">
      <c r="A80" s="432">
        <v>2431</v>
      </c>
      <c r="B80" s="432">
        <v>485</v>
      </c>
      <c r="C80" s="432">
        <v>3756956</v>
      </c>
      <c r="D80" s="432">
        <v>6711902</v>
      </c>
      <c r="E80" s="432">
        <v>53819676</v>
      </c>
      <c r="F80" s="432">
        <v>5811590</v>
      </c>
      <c r="G80" s="432">
        <v>2773579</v>
      </c>
      <c r="H80" s="432">
        <v>66161801</v>
      </c>
    </row>
    <row r="81" spans="1:8" x14ac:dyDescent="0.25">
      <c r="A81" s="432">
        <v>2432</v>
      </c>
      <c r="B81" s="435">
        <v>44</v>
      </c>
      <c r="C81" s="432">
        <v>106473</v>
      </c>
      <c r="D81" s="432">
        <v>403843</v>
      </c>
      <c r="E81" s="432">
        <v>3342108</v>
      </c>
      <c r="F81" s="432">
        <v>830196</v>
      </c>
      <c r="G81" s="432">
        <v>399053</v>
      </c>
      <c r="H81" s="432">
        <v>4677830</v>
      </c>
    </row>
    <row r="82" spans="1:8" x14ac:dyDescent="0.25">
      <c r="A82" s="432">
        <v>2511</v>
      </c>
      <c r="B82" s="435">
        <v>81</v>
      </c>
      <c r="C82" s="432">
        <v>469982</v>
      </c>
      <c r="D82" s="432">
        <v>1128999</v>
      </c>
      <c r="E82" s="432">
        <v>8324149</v>
      </c>
      <c r="F82" s="432">
        <v>2621208</v>
      </c>
      <c r="G82" s="432">
        <v>2865780</v>
      </c>
      <c r="H82" s="432">
        <v>14281119</v>
      </c>
    </row>
    <row r="83" spans="1:8" x14ac:dyDescent="0.25">
      <c r="A83" s="432">
        <v>2512</v>
      </c>
      <c r="B83" s="435">
        <v>3</v>
      </c>
      <c r="C83" s="432">
        <v>22026</v>
      </c>
      <c r="D83" s="432">
        <v>321837</v>
      </c>
      <c r="E83" s="432">
        <v>2484149</v>
      </c>
      <c r="F83" s="432">
        <v>789063</v>
      </c>
      <c r="G83" s="432">
        <v>436106</v>
      </c>
      <c r="H83" s="432">
        <v>3731344</v>
      </c>
    </row>
    <row r="84" spans="1:8" x14ac:dyDescent="0.25">
      <c r="A84" s="432">
        <v>2513</v>
      </c>
      <c r="B84" s="435">
        <v>20</v>
      </c>
      <c r="C84" s="432">
        <v>118935</v>
      </c>
      <c r="D84" s="432">
        <v>110332</v>
      </c>
      <c r="E84" s="432">
        <v>950609</v>
      </c>
      <c r="F84" s="432">
        <v>613846</v>
      </c>
      <c r="G84" s="432">
        <v>507980</v>
      </c>
      <c r="H84" s="432">
        <v>2191370</v>
      </c>
    </row>
    <row r="85" spans="1:8" x14ac:dyDescent="0.25">
      <c r="A85" s="432">
        <v>2520</v>
      </c>
      <c r="B85" s="435">
        <v>0</v>
      </c>
      <c r="C85" s="435">
        <v>155</v>
      </c>
      <c r="D85" s="435">
        <v>19218</v>
      </c>
      <c r="E85" s="432">
        <v>168157</v>
      </c>
      <c r="F85" s="432">
        <v>40699</v>
      </c>
      <c r="G85" s="435">
        <v>28127</v>
      </c>
      <c r="H85" s="432">
        <v>237137</v>
      </c>
    </row>
    <row r="86" spans="1:8" x14ac:dyDescent="0.25">
      <c r="A86" s="432">
        <v>2591</v>
      </c>
      <c r="B86" s="435">
        <v>31</v>
      </c>
      <c r="C86" s="432">
        <v>180218</v>
      </c>
      <c r="D86" s="432">
        <v>938323</v>
      </c>
      <c r="E86" s="432">
        <v>7501072</v>
      </c>
      <c r="F86" s="432">
        <v>2232355</v>
      </c>
      <c r="G86" s="432">
        <v>1620361</v>
      </c>
      <c r="H86" s="432">
        <v>11534007</v>
      </c>
    </row>
    <row r="87" spans="1:8" x14ac:dyDescent="0.25">
      <c r="A87" s="432">
        <v>2592</v>
      </c>
      <c r="B87" s="435">
        <v>0</v>
      </c>
      <c r="C87" s="432">
        <v>393</v>
      </c>
      <c r="D87" s="432">
        <v>537132</v>
      </c>
      <c r="E87" s="432">
        <v>4299680</v>
      </c>
      <c r="F87" s="432">
        <v>954047</v>
      </c>
      <c r="G87" s="432">
        <v>872452</v>
      </c>
      <c r="H87" s="432">
        <v>6126572</v>
      </c>
    </row>
    <row r="88" spans="1:8" x14ac:dyDescent="0.25">
      <c r="A88" s="432">
        <v>2593</v>
      </c>
      <c r="B88" s="435">
        <v>10</v>
      </c>
      <c r="C88" s="432">
        <v>93864</v>
      </c>
      <c r="D88" s="432">
        <v>483946</v>
      </c>
      <c r="E88" s="432">
        <v>3994583</v>
      </c>
      <c r="F88" s="432">
        <v>1814944</v>
      </c>
      <c r="G88" s="432">
        <v>463103</v>
      </c>
      <c r="H88" s="432">
        <v>6366494</v>
      </c>
    </row>
    <row r="89" spans="1:8" x14ac:dyDescent="0.25">
      <c r="A89" s="432">
        <v>2599</v>
      </c>
      <c r="B89" s="435">
        <v>12</v>
      </c>
      <c r="C89" s="432">
        <v>113426</v>
      </c>
      <c r="D89" s="432">
        <v>1603176</v>
      </c>
      <c r="E89" s="432">
        <v>12935030</v>
      </c>
      <c r="F89" s="432">
        <v>3994175</v>
      </c>
      <c r="G89" s="432">
        <v>936189</v>
      </c>
      <c r="H89" s="432">
        <v>17978821</v>
      </c>
    </row>
    <row r="90" spans="1:8" x14ac:dyDescent="0.25">
      <c r="A90" s="432">
        <v>2610</v>
      </c>
      <c r="B90" s="435">
        <v>0</v>
      </c>
      <c r="C90" s="435">
        <v>0</v>
      </c>
      <c r="D90" s="432">
        <v>453418</v>
      </c>
      <c r="E90" s="432">
        <v>3604883</v>
      </c>
      <c r="F90" s="432">
        <v>630740</v>
      </c>
      <c r="G90" s="432">
        <v>53207</v>
      </c>
      <c r="H90" s="432">
        <v>4288830</v>
      </c>
    </row>
    <row r="91" spans="1:8" x14ac:dyDescent="0.25">
      <c r="A91" s="432">
        <v>2620</v>
      </c>
      <c r="B91" s="435">
        <v>0</v>
      </c>
      <c r="C91" s="435">
        <v>0</v>
      </c>
      <c r="D91" s="432">
        <v>207444</v>
      </c>
      <c r="E91" s="432">
        <v>1312681</v>
      </c>
      <c r="F91" s="432">
        <v>635986</v>
      </c>
      <c r="G91" s="432">
        <v>40</v>
      </c>
      <c r="H91" s="432">
        <v>1948707</v>
      </c>
    </row>
    <row r="92" spans="1:8" x14ac:dyDescent="0.25">
      <c r="A92" s="433">
        <v>2630</v>
      </c>
      <c r="B92" s="436">
        <v>0</v>
      </c>
      <c r="C92" s="436">
        <v>77</v>
      </c>
      <c r="D92" s="433">
        <v>210792</v>
      </c>
      <c r="E92" s="433">
        <v>1668683</v>
      </c>
      <c r="F92" s="433">
        <v>736564</v>
      </c>
      <c r="G92" s="433">
        <v>12225</v>
      </c>
      <c r="H92" s="433">
        <v>2417549</v>
      </c>
    </row>
    <row r="93" spans="1:8" x14ac:dyDescent="0.25">
      <c r="A93" s="434">
        <v>2640</v>
      </c>
      <c r="B93" s="437">
        <v>0</v>
      </c>
      <c r="C93" s="437">
        <v>0</v>
      </c>
      <c r="D93" s="434">
        <v>70255</v>
      </c>
      <c r="E93" s="434">
        <v>576881</v>
      </c>
      <c r="F93" s="434">
        <v>231202</v>
      </c>
      <c r="G93" s="434">
        <v>89394</v>
      </c>
      <c r="H93" s="434">
        <v>897478</v>
      </c>
    </row>
    <row r="94" spans="1:8" x14ac:dyDescent="0.25">
      <c r="A94" s="432">
        <v>2651</v>
      </c>
      <c r="B94" s="435">
        <v>0</v>
      </c>
      <c r="C94" s="435">
        <v>423</v>
      </c>
      <c r="D94" s="432">
        <v>178008</v>
      </c>
      <c r="E94" s="432">
        <v>1555843</v>
      </c>
      <c r="F94" s="432">
        <v>214337</v>
      </c>
      <c r="G94" s="432">
        <v>8795</v>
      </c>
      <c r="H94" s="432">
        <v>1779398</v>
      </c>
    </row>
    <row r="95" spans="1:8" x14ac:dyDescent="0.25">
      <c r="A95" s="432">
        <v>2652</v>
      </c>
      <c r="B95" s="435">
        <v>0</v>
      </c>
      <c r="C95" s="435">
        <v>395</v>
      </c>
      <c r="D95" s="432">
        <v>51802</v>
      </c>
      <c r="E95" s="432">
        <v>407414</v>
      </c>
      <c r="F95" s="432">
        <v>61522</v>
      </c>
      <c r="G95" s="432">
        <v>4318</v>
      </c>
      <c r="H95" s="432">
        <v>473648</v>
      </c>
    </row>
    <row r="96" spans="1:8" x14ac:dyDescent="0.25">
      <c r="A96" s="432">
        <v>2660</v>
      </c>
      <c r="B96" s="435">
        <v>0</v>
      </c>
      <c r="C96" s="435">
        <v>0</v>
      </c>
      <c r="D96" s="432">
        <v>18593</v>
      </c>
      <c r="E96" s="432">
        <v>163443</v>
      </c>
      <c r="F96" s="432">
        <v>612692</v>
      </c>
      <c r="G96" s="432">
        <v>6913</v>
      </c>
      <c r="H96" s="432">
        <v>783048</v>
      </c>
    </row>
    <row r="97" spans="1:8" x14ac:dyDescent="0.25">
      <c r="A97" s="432">
        <v>2670</v>
      </c>
      <c r="B97" s="435">
        <v>0</v>
      </c>
      <c r="C97" s="435">
        <v>0</v>
      </c>
      <c r="D97" s="432">
        <v>14500</v>
      </c>
      <c r="E97" s="432">
        <v>100703</v>
      </c>
      <c r="F97" s="432">
        <v>14885</v>
      </c>
      <c r="G97" s="435">
        <v>317</v>
      </c>
      <c r="H97" s="432">
        <v>115905</v>
      </c>
    </row>
    <row r="98" spans="1:8" x14ac:dyDescent="0.25">
      <c r="A98" s="432">
        <v>2680</v>
      </c>
      <c r="B98" s="435">
        <v>0</v>
      </c>
      <c r="C98" s="435">
        <v>0</v>
      </c>
      <c r="D98" s="435">
        <v>26499</v>
      </c>
      <c r="E98" s="432">
        <v>213112</v>
      </c>
      <c r="F98" s="435">
        <v>8616</v>
      </c>
      <c r="G98" s="435">
        <v>0</v>
      </c>
      <c r="H98" s="432">
        <v>221728</v>
      </c>
    </row>
    <row r="99" spans="1:8" x14ac:dyDescent="0.25">
      <c r="A99" s="432">
        <v>2710</v>
      </c>
      <c r="B99" s="435">
        <v>1</v>
      </c>
      <c r="C99" s="432">
        <v>8490</v>
      </c>
      <c r="D99" s="432">
        <v>1027556</v>
      </c>
      <c r="E99" s="432">
        <v>8475705</v>
      </c>
      <c r="F99" s="432">
        <v>2331098</v>
      </c>
      <c r="G99" s="432">
        <v>428872</v>
      </c>
      <c r="H99" s="432">
        <v>11244164</v>
      </c>
    </row>
    <row r="100" spans="1:8" x14ac:dyDescent="0.25">
      <c r="A100" s="432">
        <v>2720</v>
      </c>
      <c r="B100" s="435">
        <v>6</v>
      </c>
      <c r="C100" s="432">
        <v>24037</v>
      </c>
      <c r="D100" s="432">
        <v>912205</v>
      </c>
      <c r="E100" s="432">
        <v>7494675</v>
      </c>
      <c r="F100" s="432">
        <v>708653</v>
      </c>
      <c r="G100" s="432">
        <v>557571</v>
      </c>
      <c r="H100" s="432">
        <v>8784937</v>
      </c>
    </row>
    <row r="101" spans="1:8" x14ac:dyDescent="0.25">
      <c r="A101" s="432">
        <v>2731</v>
      </c>
      <c r="B101" s="435">
        <v>0</v>
      </c>
      <c r="C101" s="435">
        <v>0</v>
      </c>
      <c r="D101" s="432">
        <v>208974</v>
      </c>
      <c r="E101" s="432">
        <v>1448323</v>
      </c>
      <c r="F101" s="432">
        <v>314687</v>
      </c>
      <c r="G101" s="435">
        <v>1221</v>
      </c>
      <c r="H101" s="432">
        <v>1764231</v>
      </c>
    </row>
    <row r="102" spans="1:8" x14ac:dyDescent="0.25">
      <c r="A102" s="432">
        <v>2732</v>
      </c>
      <c r="B102" s="435">
        <v>2</v>
      </c>
      <c r="C102" s="435">
        <v>25031</v>
      </c>
      <c r="D102" s="432">
        <v>1083686</v>
      </c>
      <c r="E102" s="432">
        <v>7836903</v>
      </c>
      <c r="F102" s="432">
        <v>3181682</v>
      </c>
      <c r="G102" s="432">
        <v>133024</v>
      </c>
      <c r="H102" s="432">
        <v>11176641</v>
      </c>
    </row>
    <row r="103" spans="1:8" x14ac:dyDescent="0.25">
      <c r="A103" s="432">
        <v>2733</v>
      </c>
      <c r="B103" s="435">
        <v>0</v>
      </c>
      <c r="C103" s="435">
        <v>0</v>
      </c>
      <c r="D103" s="432">
        <v>128484</v>
      </c>
      <c r="E103" s="432">
        <v>937367</v>
      </c>
      <c r="F103" s="432">
        <v>141103</v>
      </c>
      <c r="G103" s="432">
        <v>9974</v>
      </c>
      <c r="H103" s="432">
        <v>1088443</v>
      </c>
    </row>
    <row r="104" spans="1:8" x14ac:dyDescent="0.25">
      <c r="A104" s="432">
        <v>2740</v>
      </c>
      <c r="B104" s="435">
        <v>0</v>
      </c>
      <c r="C104" s="432">
        <v>0</v>
      </c>
      <c r="D104" s="432">
        <v>418159</v>
      </c>
      <c r="E104" s="432">
        <v>3221215</v>
      </c>
      <c r="F104" s="432">
        <v>470543</v>
      </c>
      <c r="G104" s="432">
        <v>738737</v>
      </c>
      <c r="H104" s="432">
        <v>4430495</v>
      </c>
    </row>
    <row r="105" spans="1:8" x14ac:dyDescent="0.25">
      <c r="A105" s="432">
        <v>2750</v>
      </c>
      <c r="B105" s="435">
        <v>0</v>
      </c>
      <c r="C105" s="432">
        <v>330</v>
      </c>
      <c r="D105" s="432">
        <v>349335</v>
      </c>
      <c r="E105" s="432">
        <v>2674545</v>
      </c>
      <c r="F105" s="432">
        <v>841359</v>
      </c>
      <c r="G105" s="432">
        <v>51338</v>
      </c>
      <c r="H105" s="432">
        <v>3567572</v>
      </c>
    </row>
    <row r="106" spans="1:8" x14ac:dyDescent="0.25">
      <c r="A106" s="432">
        <v>2790</v>
      </c>
      <c r="B106" s="435">
        <v>1</v>
      </c>
      <c r="C106" s="432">
        <v>4679</v>
      </c>
      <c r="D106" s="432">
        <v>314261</v>
      </c>
      <c r="E106" s="432">
        <v>2643319</v>
      </c>
      <c r="F106" s="432">
        <v>571316</v>
      </c>
      <c r="G106" s="432">
        <v>93478</v>
      </c>
      <c r="H106" s="432">
        <v>3312792</v>
      </c>
    </row>
    <row r="107" spans="1:8" x14ac:dyDescent="0.25">
      <c r="A107" s="432">
        <v>2811</v>
      </c>
      <c r="B107" s="435">
        <v>1</v>
      </c>
      <c r="C107" s="432">
        <v>8512</v>
      </c>
      <c r="D107" s="432">
        <v>569247</v>
      </c>
      <c r="E107" s="432">
        <v>4803937</v>
      </c>
      <c r="F107" s="432">
        <v>713706</v>
      </c>
      <c r="G107" s="432">
        <v>257689</v>
      </c>
      <c r="H107" s="432">
        <v>5783844</v>
      </c>
    </row>
    <row r="108" spans="1:8" x14ac:dyDescent="0.25">
      <c r="A108" s="432">
        <v>2812</v>
      </c>
      <c r="B108" s="435">
        <v>5</v>
      </c>
      <c r="C108" s="432">
        <v>31015</v>
      </c>
      <c r="D108" s="432">
        <v>163173</v>
      </c>
      <c r="E108" s="432">
        <v>1287452</v>
      </c>
      <c r="F108" s="432">
        <v>269360</v>
      </c>
      <c r="G108" s="432">
        <v>2930</v>
      </c>
      <c r="H108" s="432">
        <v>1590757</v>
      </c>
    </row>
    <row r="109" spans="1:8" x14ac:dyDescent="0.25">
      <c r="A109" s="432">
        <v>2813</v>
      </c>
      <c r="B109" s="432">
        <v>5</v>
      </c>
      <c r="C109" s="432">
        <v>57951</v>
      </c>
      <c r="D109" s="432">
        <v>643377</v>
      </c>
      <c r="E109" s="432">
        <v>4950850</v>
      </c>
      <c r="F109" s="432">
        <v>1099800</v>
      </c>
      <c r="G109" s="432">
        <v>80800</v>
      </c>
      <c r="H109" s="432">
        <v>6189401</v>
      </c>
    </row>
    <row r="110" spans="1:8" x14ac:dyDescent="0.25">
      <c r="A110" s="432">
        <v>2814</v>
      </c>
      <c r="B110" s="435">
        <v>2</v>
      </c>
      <c r="C110" s="432">
        <v>12607</v>
      </c>
      <c r="D110" s="432">
        <v>1006585</v>
      </c>
      <c r="E110" s="432">
        <v>8036631</v>
      </c>
      <c r="F110" s="432">
        <v>1010412</v>
      </c>
      <c r="G110" s="432">
        <v>323226</v>
      </c>
      <c r="H110" s="432">
        <v>9382876</v>
      </c>
    </row>
    <row r="111" spans="1:8" x14ac:dyDescent="0.25">
      <c r="A111" s="432">
        <v>2815</v>
      </c>
      <c r="B111" s="435">
        <v>0</v>
      </c>
      <c r="C111" s="432">
        <v>0</v>
      </c>
      <c r="D111" s="432">
        <v>45920</v>
      </c>
      <c r="E111" s="432">
        <v>343427</v>
      </c>
      <c r="F111" s="432">
        <v>96994</v>
      </c>
      <c r="G111" s="432">
        <v>113647</v>
      </c>
      <c r="H111" s="432">
        <v>554067</v>
      </c>
    </row>
    <row r="112" spans="1:8" x14ac:dyDescent="0.25">
      <c r="A112" s="432">
        <v>2816</v>
      </c>
      <c r="B112" s="435">
        <v>1</v>
      </c>
      <c r="C112" s="435">
        <v>5641</v>
      </c>
      <c r="D112" s="432">
        <v>139475</v>
      </c>
      <c r="E112" s="432">
        <v>1122009</v>
      </c>
      <c r="F112" s="432">
        <v>695887</v>
      </c>
      <c r="G112" s="432">
        <v>133578</v>
      </c>
      <c r="H112" s="432">
        <v>1957116</v>
      </c>
    </row>
    <row r="113" spans="1:16" x14ac:dyDescent="0.25">
      <c r="A113" s="432">
        <v>2817</v>
      </c>
      <c r="B113" s="435">
        <v>0</v>
      </c>
      <c r="C113" s="435">
        <v>0</v>
      </c>
      <c r="D113" s="435">
        <v>17468</v>
      </c>
      <c r="E113" s="432">
        <v>125716</v>
      </c>
      <c r="F113" s="432">
        <v>44918</v>
      </c>
      <c r="G113" s="432">
        <v>27156</v>
      </c>
      <c r="H113" s="432">
        <v>197790</v>
      </c>
    </row>
    <row r="114" spans="1:16" x14ac:dyDescent="0.25">
      <c r="A114" s="432">
        <v>2818</v>
      </c>
      <c r="B114" s="435">
        <v>0</v>
      </c>
      <c r="C114" s="435">
        <v>0</v>
      </c>
      <c r="D114" s="432">
        <v>29830</v>
      </c>
      <c r="E114" s="432">
        <v>227468</v>
      </c>
      <c r="F114" s="432">
        <v>29860</v>
      </c>
      <c r="G114" s="432">
        <v>5420</v>
      </c>
      <c r="H114" s="432">
        <v>262748</v>
      </c>
    </row>
    <row r="115" spans="1:16" x14ac:dyDescent="0.25">
      <c r="A115" s="432">
        <v>2819</v>
      </c>
      <c r="B115" s="435">
        <v>1</v>
      </c>
      <c r="C115" s="432">
        <v>7563</v>
      </c>
      <c r="D115" s="432">
        <v>409117</v>
      </c>
      <c r="E115" s="432">
        <v>3307843</v>
      </c>
      <c r="F115" s="432">
        <v>708339</v>
      </c>
      <c r="G115" s="432">
        <v>251326</v>
      </c>
      <c r="H115" s="432">
        <v>4275071</v>
      </c>
    </row>
    <row r="116" spans="1:16" x14ac:dyDescent="0.25">
      <c r="A116" s="432">
        <v>2821</v>
      </c>
      <c r="B116" s="435">
        <v>18</v>
      </c>
      <c r="C116" s="432">
        <v>182706</v>
      </c>
      <c r="D116" s="432">
        <v>688143</v>
      </c>
      <c r="E116" s="432">
        <v>5230639</v>
      </c>
      <c r="F116" s="432">
        <v>1874184</v>
      </c>
      <c r="G116" s="432">
        <v>351480</v>
      </c>
      <c r="H116" s="432">
        <v>7639008</v>
      </c>
    </row>
    <row r="117" spans="1:16" x14ac:dyDescent="0.25">
      <c r="A117" s="432">
        <v>2822</v>
      </c>
      <c r="B117" s="435">
        <v>2</v>
      </c>
      <c r="C117" s="432">
        <v>29735</v>
      </c>
      <c r="D117" s="432">
        <v>531528</v>
      </c>
      <c r="E117" s="432">
        <v>4077422</v>
      </c>
      <c r="F117" s="432">
        <v>778700</v>
      </c>
      <c r="G117" s="432">
        <v>136535</v>
      </c>
      <c r="H117" s="432">
        <v>5022393</v>
      </c>
    </row>
    <row r="118" spans="1:16" x14ac:dyDescent="0.25">
      <c r="A118" s="432">
        <v>2823</v>
      </c>
      <c r="B118" s="435">
        <v>0</v>
      </c>
      <c r="C118" s="432">
        <v>0</v>
      </c>
      <c r="D118" s="432">
        <v>75552</v>
      </c>
      <c r="E118" s="432">
        <v>612404</v>
      </c>
      <c r="F118" s="432">
        <v>84209</v>
      </c>
      <c r="G118" s="432">
        <v>6532</v>
      </c>
      <c r="H118" s="432">
        <v>703144</v>
      </c>
    </row>
    <row r="119" spans="1:16" x14ac:dyDescent="0.25">
      <c r="A119" s="432">
        <v>2824</v>
      </c>
      <c r="B119" s="435">
        <v>0</v>
      </c>
      <c r="C119" s="435">
        <v>2962</v>
      </c>
      <c r="D119" s="432">
        <v>296178</v>
      </c>
      <c r="E119" s="432">
        <v>2473800</v>
      </c>
      <c r="F119" s="432">
        <v>527375</v>
      </c>
      <c r="G119" s="432">
        <v>383104</v>
      </c>
      <c r="H119" s="432">
        <v>3387241</v>
      </c>
    </row>
    <row r="120" spans="1:16" x14ac:dyDescent="0.25">
      <c r="A120" s="432">
        <v>2825</v>
      </c>
      <c r="B120" s="435">
        <v>3</v>
      </c>
      <c r="C120" s="432">
        <v>37821</v>
      </c>
      <c r="D120" s="432">
        <v>78252</v>
      </c>
      <c r="E120" s="432">
        <v>654825</v>
      </c>
      <c r="F120" s="432">
        <v>168976</v>
      </c>
      <c r="G120" s="432">
        <v>21553</v>
      </c>
      <c r="H120" s="432">
        <v>883176</v>
      </c>
    </row>
    <row r="121" spans="1:16" x14ac:dyDescent="0.25">
      <c r="A121" s="432">
        <v>2826</v>
      </c>
      <c r="B121" s="435">
        <v>2</v>
      </c>
      <c r="C121" s="432">
        <v>15599</v>
      </c>
      <c r="D121" s="432">
        <v>303922</v>
      </c>
      <c r="E121" s="432">
        <v>2308926</v>
      </c>
      <c r="F121" s="432">
        <v>453011</v>
      </c>
      <c r="G121" s="432">
        <v>83077</v>
      </c>
      <c r="H121" s="432">
        <v>2860614</v>
      </c>
    </row>
    <row r="122" spans="1:16" x14ac:dyDescent="0.25">
      <c r="A122" s="432">
        <v>2829</v>
      </c>
      <c r="B122" s="435">
        <v>1</v>
      </c>
      <c r="C122" s="432">
        <v>6181</v>
      </c>
      <c r="D122" s="432">
        <v>453167</v>
      </c>
      <c r="E122" s="432">
        <v>3868930</v>
      </c>
      <c r="F122" s="432">
        <v>748207</v>
      </c>
      <c r="G122" s="432">
        <v>239159</v>
      </c>
      <c r="H122" s="432">
        <v>4862478</v>
      </c>
    </row>
    <row r="123" spans="1:16" x14ac:dyDescent="0.25">
      <c r="A123" s="432">
        <v>2910</v>
      </c>
      <c r="B123" s="435">
        <v>3</v>
      </c>
      <c r="C123" s="432">
        <v>43312</v>
      </c>
      <c r="D123" s="432">
        <v>1876682</v>
      </c>
      <c r="E123" s="432">
        <v>15707615</v>
      </c>
      <c r="F123" s="432">
        <v>4067148</v>
      </c>
      <c r="G123" s="432">
        <v>8393287</v>
      </c>
      <c r="H123" s="432">
        <v>28211362</v>
      </c>
      <c r="O123" s="203"/>
      <c r="P123" s="203"/>
    </row>
    <row r="124" spans="1:16" x14ac:dyDescent="0.25">
      <c r="A124" s="432">
        <v>2920</v>
      </c>
      <c r="B124" s="435">
        <v>0</v>
      </c>
      <c r="C124" s="435">
        <v>2669</v>
      </c>
      <c r="D124" s="432">
        <v>326372</v>
      </c>
      <c r="E124" s="432">
        <v>2705975</v>
      </c>
      <c r="F124" s="432">
        <v>602069</v>
      </c>
      <c r="G124" s="432">
        <v>444160</v>
      </c>
      <c r="H124" s="432">
        <v>3754873</v>
      </c>
    </row>
    <row r="125" spans="1:16" x14ac:dyDescent="0.25">
      <c r="A125" s="432">
        <v>2930</v>
      </c>
      <c r="B125" s="435">
        <v>39</v>
      </c>
      <c r="C125" s="432">
        <v>196349</v>
      </c>
      <c r="D125" s="432">
        <v>7681585</v>
      </c>
      <c r="E125" s="432">
        <v>60487415</v>
      </c>
      <c r="F125" s="432">
        <v>11903407</v>
      </c>
      <c r="G125" s="432">
        <v>4182538</v>
      </c>
      <c r="H125" s="432">
        <v>76769709</v>
      </c>
    </row>
    <row r="126" spans="1:16" x14ac:dyDescent="0.25">
      <c r="A126" s="432">
        <v>3011</v>
      </c>
      <c r="B126" s="435">
        <v>0</v>
      </c>
      <c r="C126" s="435">
        <v>0</v>
      </c>
      <c r="D126" s="432">
        <v>66784</v>
      </c>
      <c r="E126" s="432">
        <v>492742</v>
      </c>
      <c r="F126" s="432">
        <v>80668</v>
      </c>
      <c r="G126" s="432">
        <v>134697</v>
      </c>
      <c r="H126" s="432">
        <v>708107</v>
      </c>
      <c r="O126" s="203"/>
      <c r="P126" s="203"/>
    </row>
    <row r="127" spans="1:16" x14ac:dyDescent="0.25">
      <c r="A127" s="432">
        <v>3012</v>
      </c>
      <c r="B127" s="435">
        <v>0</v>
      </c>
      <c r="C127" s="435">
        <v>0</v>
      </c>
      <c r="D127" s="435">
        <v>784</v>
      </c>
      <c r="E127" s="432">
        <v>7443</v>
      </c>
      <c r="F127" s="432">
        <v>1432</v>
      </c>
      <c r="G127" s="435">
        <v>0</v>
      </c>
      <c r="H127" s="432">
        <v>8875</v>
      </c>
    </row>
    <row r="128" spans="1:16" x14ac:dyDescent="0.25">
      <c r="A128" s="432">
        <v>3020</v>
      </c>
      <c r="B128" s="435">
        <v>2</v>
      </c>
      <c r="C128" s="432">
        <v>155926</v>
      </c>
      <c r="D128" s="432">
        <v>329588</v>
      </c>
      <c r="E128" s="432">
        <v>2583945</v>
      </c>
      <c r="F128" s="432">
        <v>454671</v>
      </c>
      <c r="G128" s="432">
        <v>251557</v>
      </c>
      <c r="H128" s="432">
        <v>3446100</v>
      </c>
      <c r="O128" s="203"/>
      <c r="P128" s="203"/>
    </row>
    <row r="129" spans="1:8" x14ac:dyDescent="0.25">
      <c r="A129" s="432">
        <v>3030</v>
      </c>
      <c r="B129" s="435">
        <v>0</v>
      </c>
      <c r="C129" s="435">
        <v>0</v>
      </c>
      <c r="D129" s="432">
        <v>117023</v>
      </c>
      <c r="E129" s="432">
        <v>938231</v>
      </c>
      <c r="F129" s="432">
        <v>125735</v>
      </c>
      <c r="G129" s="432">
        <v>15353</v>
      </c>
      <c r="H129" s="432">
        <v>1079319</v>
      </c>
    </row>
    <row r="130" spans="1:8" x14ac:dyDescent="0.25">
      <c r="A130" s="432">
        <v>3040</v>
      </c>
      <c r="B130" s="435">
        <v>0</v>
      </c>
      <c r="C130" s="435">
        <v>7</v>
      </c>
      <c r="D130" s="435">
        <v>2178</v>
      </c>
      <c r="E130" s="432">
        <v>11582</v>
      </c>
      <c r="F130" s="432">
        <v>13516</v>
      </c>
      <c r="G130" s="435">
        <v>1422</v>
      </c>
      <c r="H130" s="432">
        <v>26526</v>
      </c>
    </row>
    <row r="131" spans="1:8" x14ac:dyDescent="0.25">
      <c r="A131" s="432">
        <v>3091</v>
      </c>
      <c r="B131" s="435">
        <v>0</v>
      </c>
      <c r="C131" s="435">
        <v>0</v>
      </c>
      <c r="D131" s="432">
        <v>1851871</v>
      </c>
      <c r="E131" s="432">
        <v>14278126</v>
      </c>
      <c r="F131" s="432">
        <v>3517556</v>
      </c>
      <c r="G131" s="432">
        <v>30299530</v>
      </c>
      <c r="H131" s="432">
        <v>48095212</v>
      </c>
    </row>
    <row r="132" spans="1:8" x14ac:dyDescent="0.25">
      <c r="A132" s="432">
        <v>3092</v>
      </c>
      <c r="B132" s="435">
        <v>0</v>
      </c>
      <c r="C132" s="432">
        <v>1804</v>
      </c>
      <c r="D132" s="432">
        <v>192316</v>
      </c>
      <c r="E132" s="432">
        <v>1510010</v>
      </c>
      <c r="F132" s="432">
        <v>992981</v>
      </c>
      <c r="G132" s="432">
        <v>89846</v>
      </c>
      <c r="H132" s="432">
        <v>2594642</v>
      </c>
    </row>
    <row r="133" spans="1:8" x14ac:dyDescent="0.25">
      <c r="A133" s="432">
        <v>3099</v>
      </c>
      <c r="B133" s="435">
        <v>0</v>
      </c>
      <c r="C133" s="435">
        <v>139</v>
      </c>
      <c r="D133" s="432">
        <v>27947</v>
      </c>
      <c r="E133" s="432">
        <v>236142</v>
      </c>
      <c r="F133" s="432">
        <v>23978</v>
      </c>
      <c r="G133" s="432">
        <v>35877</v>
      </c>
      <c r="H133" s="432">
        <v>296136</v>
      </c>
    </row>
    <row r="134" spans="1:8" x14ac:dyDescent="0.25">
      <c r="A134" s="433">
        <v>3100</v>
      </c>
      <c r="B134" s="436">
        <v>3</v>
      </c>
      <c r="C134" s="433">
        <v>13192</v>
      </c>
      <c r="D134" s="433">
        <v>371242</v>
      </c>
      <c r="E134" s="433">
        <v>3019510</v>
      </c>
      <c r="F134" s="433">
        <v>720705</v>
      </c>
      <c r="G134" s="433">
        <v>251532</v>
      </c>
      <c r="H134" s="433">
        <v>4004938</v>
      </c>
    </row>
    <row r="135" spans="1:8" x14ac:dyDescent="0.25">
      <c r="A135" s="434">
        <v>3211</v>
      </c>
      <c r="B135" s="437">
        <v>0</v>
      </c>
      <c r="C135" s="434">
        <v>3193</v>
      </c>
      <c r="D135" s="434">
        <v>373796</v>
      </c>
      <c r="E135" s="434">
        <v>3459361</v>
      </c>
      <c r="F135" s="434">
        <v>338154</v>
      </c>
      <c r="G135" s="434">
        <v>29033</v>
      </c>
      <c r="H135" s="434">
        <v>3829742</v>
      </c>
    </row>
    <row r="136" spans="1:8" x14ac:dyDescent="0.25">
      <c r="A136" s="432">
        <v>3212</v>
      </c>
      <c r="B136" s="435">
        <v>0</v>
      </c>
      <c r="C136" s="435">
        <v>1505</v>
      </c>
      <c r="D136" s="435">
        <v>26882</v>
      </c>
      <c r="E136" s="432">
        <v>252944</v>
      </c>
      <c r="F136" s="432">
        <v>237784</v>
      </c>
      <c r="G136" s="432">
        <v>100408</v>
      </c>
      <c r="H136" s="432">
        <v>592642</v>
      </c>
    </row>
    <row r="137" spans="1:8" x14ac:dyDescent="0.25">
      <c r="A137" s="432">
        <v>3220</v>
      </c>
      <c r="B137" s="435">
        <v>0</v>
      </c>
      <c r="C137" s="435">
        <v>0</v>
      </c>
      <c r="D137" s="435">
        <v>539</v>
      </c>
      <c r="E137" s="432">
        <v>4500</v>
      </c>
      <c r="F137" s="432">
        <v>3732</v>
      </c>
      <c r="G137" s="435">
        <v>8</v>
      </c>
      <c r="H137" s="432">
        <v>8240</v>
      </c>
    </row>
    <row r="138" spans="1:8" x14ac:dyDescent="0.25">
      <c r="A138" s="432">
        <v>3230</v>
      </c>
      <c r="B138" s="435">
        <v>3</v>
      </c>
      <c r="C138" s="432">
        <v>28822</v>
      </c>
      <c r="D138" s="432">
        <v>31318</v>
      </c>
      <c r="E138" s="432">
        <v>242714</v>
      </c>
      <c r="F138" s="432">
        <v>98500</v>
      </c>
      <c r="G138" s="432">
        <v>21961</v>
      </c>
      <c r="H138" s="432">
        <v>391997</v>
      </c>
    </row>
    <row r="139" spans="1:8" x14ac:dyDescent="0.25">
      <c r="A139" s="432">
        <v>3240</v>
      </c>
      <c r="B139" s="435">
        <v>0</v>
      </c>
      <c r="C139" s="435">
        <v>0</v>
      </c>
      <c r="D139" s="432">
        <v>23018</v>
      </c>
      <c r="E139" s="432">
        <v>186162</v>
      </c>
      <c r="F139" s="432">
        <v>29992</v>
      </c>
      <c r="G139" s="435">
        <v>2361</v>
      </c>
      <c r="H139" s="432">
        <v>218516</v>
      </c>
    </row>
    <row r="140" spans="1:8" x14ac:dyDescent="0.25">
      <c r="A140" s="432">
        <v>3250</v>
      </c>
      <c r="B140" s="435">
        <v>0</v>
      </c>
      <c r="C140" s="432">
        <v>1303</v>
      </c>
      <c r="D140" s="432">
        <v>286130</v>
      </c>
      <c r="E140" s="432">
        <v>2216754</v>
      </c>
      <c r="F140" s="432">
        <v>708694</v>
      </c>
      <c r="G140" s="432">
        <v>189078</v>
      </c>
      <c r="H140" s="432">
        <v>3115830</v>
      </c>
    </row>
    <row r="141" spans="1:8" x14ac:dyDescent="0.25">
      <c r="A141" s="432">
        <v>3290</v>
      </c>
      <c r="B141" s="435">
        <v>0</v>
      </c>
      <c r="C141" s="435">
        <v>32</v>
      </c>
      <c r="D141" s="432">
        <v>528363</v>
      </c>
      <c r="E141" s="432">
        <v>3648792</v>
      </c>
      <c r="F141" s="432">
        <v>1019775</v>
      </c>
      <c r="G141" s="432">
        <v>233909</v>
      </c>
      <c r="H141" s="432">
        <v>4902508</v>
      </c>
    </row>
    <row r="142" spans="1:8" x14ac:dyDescent="0.25">
      <c r="A142" s="432">
        <v>3311</v>
      </c>
      <c r="B142" s="435">
        <v>0</v>
      </c>
      <c r="C142" s="435">
        <v>0</v>
      </c>
      <c r="D142" s="435">
        <v>26846</v>
      </c>
      <c r="E142" s="432">
        <v>203443</v>
      </c>
      <c r="F142" s="432">
        <v>71116</v>
      </c>
      <c r="G142" s="432">
        <v>5222</v>
      </c>
      <c r="H142" s="432">
        <v>279782</v>
      </c>
    </row>
    <row r="143" spans="1:8" x14ac:dyDescent="0.25">
      <c r="A143" s="432">
        <v>3312</v>
      </c>
      <c r="B143" s="435">
        <v>0</v>
      </c>
      <c r="C143" s="435">
        <v>0</v>
      </c>
      <c r="D143" s="432">
        <v>18137</v>
      </c>
      <c r="E143" s="432">
        <v>148576</v>
      </c>
      <c r="F143" s="432">
        <v>95041</v>
      </c>
      <c r="G143" s="432">
        <v>62091</v>
      </c>
      <c r="H143" s="432">
        <v>305708</v>
      </c>
    </row>
    <row r="144" spans="1:8" x14ac:dyDescent="0.25">
      <c r="A144" s="432">
        <v>3313</v>
      </c>
      <c r="B144" s="435">
        <v>0</v>
      </c>
      <c r="C144" s="435">
        <v>0</v>
      </c>
      <c r="D144" s="435">
        <v>301</v>
      </c>
      <c r="E144" s="432">
        <v>2865</v>
      </c>
      <c r="F144" s="432">
        <v>1831</v>
      </c>
      <c r="G144" s="435">
        <v>0</v>
      </c>
      <c r="H144" s="432">
        <v>4696</v>
      </c>
    </row>
    <row r="145" spans="1:8" x14ac:dyDescent="0.25">
      <c r="A145" s="432">
        <v>3314</v>
      </c>
      <c r="B145" s="435">
        <v>0</v>
      </c>
      <c r="C145" s="435">
        <v>0</v>
      </c>
      <c r="D145" s="435">
        <v>4431</v>
      </c>
      <c r="E145" s="432">
        <v>40875</v>
      </c>
      <c r="F145" s="432">
        <v>9734</v>
      </c>
      <c r="G145" s="432">
        <v>745</v>
      </c>
      <c r="H145" s="432">
        <v>51355</v>
      </c>
    </row>
    <row r="146" spans="1:8" x14ac:dyDescent="0.25">
      <c r="A146" s="432">
        <v>3315</v>
      </c>
      <c r="B146" s="435">
        <v>0</v>
      </c>
      <c r="C146" s="435">
        <v>728</v>
      </c>
      <c r="D146" s="432">
        <v>18361</v>
      </c>
      <c r="E146" s="432">
        <v>167934</v>
      </c>
      <c r="F146" s="432">
        <v>97914</v>
      </c>
      <c r="G146" s="432">
        <v>128616</v>
      </c>
      <c r="H146" s="432">
        <v>395193</v>
      </c>
    </row>
    <row r="147" spans="1:8" x14ac:dyDescent="0.25">
      <c r="A147" s="432">
        <v>3319</v>
      </c>
      <c r="B147" s="435">
        <v>0</v>
      </c>
      <c r="C147" s="435">
        <v>0</v>
      </c>
      <c r="D147" s="435">
        <v>37303</v>
      </c>
      <c r="E147" s="432">
        <v>374163</v>
      </c>
      <c r="F147" s="432">
        <v>109500</v>
      </c>
      <c r="G147" s="435">
        <v>0</v>
      </c>
      <c r="H147" s="432">
        <v>483663</v>
      </c>
    </row>
    <row r="148" spans="1:8" x14ac:dyDescent="0.25">
      <c r="A148" s="432">
        <v>3320</v>
      </c>
      <c r="B148" s="435">
        <v>0</v>
      </c>
      <c r="C148" s="435">
        <v>0</v>
      </c>
      <c r="D148" s="432">
        <v>11770</v>
      </c>
      <c r="E148" s="432">
        <v>93710</v>
      </c>
      <c r="F148" s="432">
        <v>26488</v>
      </c>
      <c r="G148" s="432">
        <v>99</v>
      </c>
      <c r="H148" s="432">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32">
        <v>5811</v>
      </c>
      <c r="B154" s="435">
        <v>0</v>
      </c>
      <c r="C154" s="435">
        <v>0</v>
      </c>
      <c r="D154" s="432">
        <v>19452</v>
      </c>
      <c r="E154" s="432">
        <v>97503</v>
      </c>
      <c r="F154" s="432">
        <v>89380</v>
      </c>
      <c r="G154" s="435">
        <v>0</v>
      </c>
      <c r="H154" s="432">
        <v>186883</v>
      </c>
    </row>
    <row r="155" spans="1:8" x14ac:dyDescent="0.25">
      <c r="A155" s="432">
        <v>5813</v>
      </c>
      <c r="B155" s="435">
        <v>0</v>
      </c>
      <c r="C155" s="435">
        <v>0</v>
      </c>
      <c r="D155" s="435">
        <v>124964</v>
      </c>
      <c r="E155" s="432">
        <v>987283</v>
      </c>
      <c r="F155" s="435">
        <v>223318</v>
      </c>
      <c r="G155" s="435">
        <v>6442</v>
      </c>
      <c r="H155" s="432">
        <v>1217042</v>
      </c>
    </row>
    <row r="156" spans="1:8" x14ac:dyDescent="0.25">
      <c r="A156" s="432">
        <v>5819</v>
      </c>
      <c r="B156" s="435">
        <v>0</v>
      </c>
      <c r="C156" s="435">
        <v>0</v>
      </c>
      <c r="D156" s="432">
        <v>1426</v>
      </c>
      <c r="E156" s="432">
        <v>10573</v>
      </c>
      <c r="F156" s="432">
        <v>13665</v>
      </c>
      <c r="G156" s="432">
        <v>18</v>
      </c>
      <c r="H156" s="432">
        <v>24256</v>
      </c>
    </row>
    <row r="157" spans="1:8" x14ac:dyDescent="0.25">
      <c r="A157" s="438" t="s">
        <v>41</v>
      </c>
      <c r="B157" s="435">
        <v>3856</v>
      </c>
      <c r="C157" s="435">
        <v>10429542</v>
      </c>
      <c r="D157" s="435">
        <v>4352886</v>
      </c>
      <c r="E157" s="435">
        <v>34252708</v>
      </c>
      <c r="F157" s="435">
        <v>11687977</v>
      </c>
      <c r="G157" s="435">
        <v>29155534</v>
      </c>
      <c r="H157" s="435">
        <v>85525761</v>
      </c>
    </row>
    <row r="158" spans="1:8" x14ac:dyDescent="0.25">
      <c r="A158" s="438" t="s">
        <v>560</v>
      </c>
      <c r="B158" s="433">
        <v>119155</v>
      </c>
      <c r="C158" s="433">
        <v>615196205</v>
      </c>
      <c r="D158" s="433">
        <v>264476573</v>
      </c>
      <c r="E158" s="433">
        <v>1894315928</v>
      </c>
      <c r="F158" s="433">
        <v>452013237</v>
      </c>
      <c r="G158" s="433">
        <v>536451672</v>
      </c>
      <c r="H158" s="433">
        <v>3497977042</v>
      </c>
    </row>
    <row r="162" spans="1:1" x14ac:dyDescent="0.25">
      <c r="A162" s="4" t="s">
        <v>554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301</v>
      </c>
      <c r="B1" s="208"/>
      <c r="C1" s="208"/>
      <c r="D1" s="209"/>
    </row>
    <row r="2" spans="1:4" x14ac:dyDescent="0.25">
      <c r="A2" s="3"/>
      <c r="B2" s="3" t="s">
        <v>302</v>
      </c>
      <c r="C2" s="3" t="s">
        <v>282</v>
      </c>
      <c r="D2" s="3" t="s">
        <v>250</v>
      </c>
    </row>
    <row r="3" spans="1:4" x14ac:dyDescent="0.25">
      <c r="A3" s="4" t="s">
        <v>303</v>
      </c>
      <c r="B3" s="4">
        <v>98.49</v>
      </c>
      <c r="C3" s="4" t="s">
        <v>304</v>
      </c>
      <c r="D3" t="s">
        <v>488</v>
      </c>
    </row>
    <row r="4" spans="1:4" ht="60" x14ac:dyDescent="0.25">
      <c r="A4" s="4" t="s">
        <v>305</v>
      </c>
      <c r="B4" s="116">
        <f>'GREET1 Fuel_Specs'!D81</f>
        <v>15774000</v>
      </c>
      <c r="C4" s="4" t="s">
        <v>306</v>
      </c>
      <c r="D4" s="6" t="s">
        <v>501</v>
      </c>
    </row>
    <row r="5" spans="1:4" x14ac:dyDescent="0.25">
      <c r="A5" s="4" t="s">
        <v>305</v>
      </c>
      <c r="B5" s="116">
        <f>B4*'GREET1 Fuel_Specs'!F132</f>
        <v>14309932.088760002</v>
      </c>
      <c r="C5" s="4" t="s">
        <v>307</v>
      </c>
      <c r="D5" t="s">
        <v>489</v>
      </c>
    </row>
    <row r="6" spans="1:4" x14ac:dyDescent="0.25">
      <c r="A6" s="4" t="s">
        <v>308</v>
      </c>
      <c r="B6" s="116">
        <f>B3*B5*10^6</f>
        <v>1409385211421972.5</v>
      </c>
      <c r="C6" s="4" t="s">
        <v>309</v>
      </c>
      <c r="D6" t="s">
        <v>490</v>
      </c>
    </row>
    <row r="8" spans="1:4" x14ac:dyDescent="0.25">
      <c r="A8" t="s">
        <v>491</v>
      </c>
    </row>
    <row r="9" spans="1:4" x14ac:dyDescent="0.25">
      <c r="A9" t="s">
        <v>492</v>
      </c>
    </row>
    <row r="10" spans="1:4" x14ac:dyDescent="0.25">
      <c r="A10" t="s">
        <v>493</v>
      </c>
    </row>
    <row r="11" spans="1:4" x14ac:dyDescent="0.25">
      <c r="A11" t="s">
        <v>494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2.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3.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2021-12-01T18:51:06Z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