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F23023F4-064D-4DF8-95CC-C71773EA8578}" xr6:coauthVersionLast="47" xr6:coauthVersionMax="47" xr10:uidLastSave="{00000000-0000-0000-0000-000000000000}"/>
  <bookViews>
    <workbookView xWindow="2160" yWindow="21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<sst xmlns="http://schemas.openxmlformats.org/spreadsheetml/2006/main" count="35267" uniqueCount="4365">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</sst>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3794</v>
      </c>
      <c r="C1" s="347">
        <v>45517</v>
      </c>
      <c r="G1" s="348" t="s">
        <v>3761</v>
      </c>
      <c r="H1" s="348" t="s">
        <v>3762</v>
      </c>
    </row>
    <row r="2" spans="1:8" x14ac:dyDescent="0.75">
      <c r="B2" t="str">
        <f>_xlfn.XLOOKUP(B1,H:H,G:G,0,0,1)</f>
        <v>KS</v>
      </c>
      <c r="C2" t="str">
        <f>_xlfn.XLOOKUP(B2,G:G, H:H, 0,0,1)</f>
        <v>Kansas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Kansas.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281%.</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Kansas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PV:**Kansas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Wind:**Kansas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Kansas.</v>
      </c>
      <c r="L9" s="290" t="str">
        <f>J9&amp;K9</f>
        <v>**Description:** This policy prevents new capacity of the selected type(s) from being built or deployed.  // **Guidance for setting values:**No new coal is planned in Kansas.</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289"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Kansas</v>
      </c>
      <c r="B3" s="386">
        <f>ROUND(SUMIFS(B$4:B$54, $A$4:$A$54, $A$3),0)</f>
        <v>53004</v>
      </c>
      <c r="C3" s="387">
        <f t="shared" ref="C3" si="0">ROUND(SUMIFS(C$4:C$54, $A$4:$A$54, $A$3),0)</f>
        <v>53</v>
      </c>
      <c r="D3" s="386">
        <f>SUMIFS(D$4:D$54, $A$4:$A$54, $A$3)</f>
        <v>0</v>
      </c>
      <c r="E3" s="386">
        <f>SUMIFS(E$4:E$54, $A$4:$A$54, $A$3)</f>
        <v>0</v>
      </c>
      <c r="F3" s="388">
        <f>ROUND(SUMIFS(F$4:F$54,$A$4:$A$54,$A$3)*100,0)</f>
        <v>0</v>
      </c>
      <c r="G3" s="173">
        <f>SUMIFS(G$4:G$54, $A$4:$A$54, $A$3)</f>
        <v>3597275</v>
      </c>
      <c r="H3" s="173">
        <f>SUMIFS(H$4:H$54, $A$4:$A$54, $A$3)</f>
        <v>13717698</v>
      </c>
      <c r="I3" s="388">
        <f>ROUND(SUMIFS(I$4:I$54,$A$4:$A$54,$A$3)*100,0)</f>
        <v>281</v>
      </c>
      <c r="J3" s="388">
        <f>ROUND(SUMIFS(J$4:J$54, $A$4:$A$54, $A$3),0)</f>
        <v>2519</v>
      </c>
      <c r="K3" s="173">
        <f t="shared" ref="K3:AI3" si="1">ROUND(SUMIFS(K$4:K$54, $A$4:$A$54, $A$3),0)</f>
        <v>917</v>
      </c>
      <c r="L3" s="388">
        <f t="shared" si="1"/>
        <v>1205</v>
      </c>
      <c r="M3" s="173">
        <f t="shared" si="1"/>
        <v>3600</v>
      </c>
      <c r="N3" s="173">
        <f t="shared" si="1"/>
        <v>150</v>
      </c>
      <c r="O3" s="173">
        <f t="shared" si="1"/>
        <v>0</v>
      </c>
      <c r="P3" s="173">
        <f t="shared" si="1"/>
        <v>0</v>
      </c>
      <c r="Q3" s="173">
        <f t="shared" si="1"/>
        <v>0</v>
      </c>
      <c r="R3" s="173">
        <f t="shared" si="1"/>
        <v>0</v>
      </c>
      <c r="S3" s="388">
        <f t="shared" si="1"/>
        <v>0</v>
      </c>
      <c r="T3" s="173">
        <f t="shared" si="1"/>
        <v>4679</v>
      </c>
      <c r="U3" s="173">
        <f t="shared" si="1"/>
        <v>266</v>
      </c>
      <c r="V3" s="173">
        <f t="shared" si="1"/>
        <v>1225</v>
      </c>
      <c r="W3" s="173">
        <f t="shared" si="1"/>
        <v>7</v>
      </c>
      <c r="X3" s="173">
        <f t="shared" si="1"/>
        <v>6129</v>
      </c>
      <c r="Y3" s="173">
        <f t="shared" si="1"/>
        <v>10</v>
      </c>
      <c r="Z3" s="173">
        <f t="shared" si="1"/>
        <v>0</v>
      </c>
      <c r="AA3" s="173">
        <f t="shared" si="1"/>
        <v>9</v>
      </c>
      <c r="AB3" s="173">
        <f t="shared" si="1"/>
        <v>0</v>
      </c>
      <c r="AC3" s="173">
        <f t="shared" si="1"/>
        <v>558</v>
      </c>
      <c r="AD3" s="173">
        <f t="shared" si="1"/>
        <v>3279</v>
      </c>
      <c r="AE3" s="173">
        <f t="shared" si="1"/>
        <v>0</v>
      </c>
      <c r="AF3" s="173">
        <f t="shared" si="1"/>
        <v>0</v>
      </c>
      <c r="AG3" s="173">
        <f t="shared" si="1"/>
        <v>0</v>
      </c>
      <c r="AH3" s="173">
        <f t="shared" si="1"/>
        <v>0</v>
      </c>
      <c r="AI3" s="388">
        <f t="shared" si="1"/>
        <v>0</v>
      </c>
      <c r="AJ3" s="173">
        <f>ROUND(SUMIFS(AJ$4:AJ$54,$A$4:$A$54,$A$3)*100,0)</f>
        <v>15</v>
      </c>
      <c r="AK3" s="173">
        <f t="shared" ref="AK3:AL3" si="2">ROUND(SUMIFS(AK$4:AK$54,$A$4:$A$54,$A$3)*100,0)</f>
        <v>15</v>
      </c>
      <c r="AL3" s="173">
        <f t="shared" si="2"/>
        <v>15</v>
      </c>
      <c r="AM3" s="173">
        <f>SUMIFS(AM$4:AM$54, $A$4:$A$54, $A$3)</f>
        <v>0</v>
      </c>
      <c r="AN3" s="173">
        <f t="shared" ref="AN3:AQ3" si="3">SUMIFS(AN$4:AN$54, $A$4:$A$54, $A$3)</f>
        <v>0</v>
      </c>
      <c r="AO3" s="388">
        <f t="shared" si="3"/>
        <v>0</v>
      </c>
      <c r="AP3" s="388">
        <f t="shared" si="3"/>
        <v>937</v>
      </c>
      <c r="AQ3" s="388">
        <f t="shared" si="3"/>
        <v>2944376</v>
      </c>
      <c r="AR3" s="388">
        <f>ROUND(SUMIFS(AR$4:AR$54,$A$4:$A$54,$A$3),2)</f>
        <v>31.82</v>
      </c>
      <c r="AS3" s="173">
        <f>SUMIFS(AS$4:AS$54, $A$4:$A$54, $A$3)</f>
        <v>190089445000000</v>
      </c>
      <c r="AT3" s="173">
        <f t="shared" ref="AT3:BH3" si="4">SUMIFS(AT$4:AT$54, $A$4:$A$54, $A$3)</f>
        <v>0</v>
      </c>
      <c r="AU3" s="173">
        <f t="shared" si="4"/>
        <v>0</v>
      </c>
      <c r="AV3" s="173">
        <f t="shared" si="4"/>
        <v>21199976536633.5</v>
      </c>
      <c r="AW3" s="173">
        <f t="shared" si="4"/>
        <v>228178989121794</v>
      </c>
      <c r="AX3" s="173">
        <f t="shared" si="4"/>
        <v>0</v>
      </c>
      <c r="AY3" s="173">
        <f t="shared" si="4"/>
        <v>130231497764670</v>
      </c>
      <c r="AZ3" s="173">
        <f t="shared" si="4"/>
        <v>285372548061551</v>
      </c>
      <c r="BA3" s="173">
        <f t="shared" si="4"/>
        <v>201439430730717</v>
      </c>
      <c r="BB3" s="173">
        <f t="shared" si="4"/>
        <v>0</v>
      </c>
      <c r="BC3" s="173">
        <f t="shared" si="4"/>
        <v>10047135508138.9</v>
      </c>
      <c r="BD3" s="173">
        <f t="shared" si="4"/>
        <v>56463265899923.297</v>
      </c>
      <c r="BE3" s="173">
        <f t="shared" si="4"/>
        <v>228167742079547</v>
      </c>
      <c r="BF3" s="173">
        <f t="shared" si="4"/>
        <v>184196219160670</v>
      </c>
      <c r="BG3" s="173">
        <f t="shared" si="4"/>
        <v>237971447559943</v>
      </c>
      <c r="BH3" s="173">
        <f t="shared" si="4"/>
        <v>471833245287323</v>
      </c>
      <c r="BI3" s="173">
        <f>ROUND(SUMIFS(BI$4:BI$54,$A$4:$A$54,$A$3),2)</f>
        <v>94.37</v>
      </c>
      <c r="BJ3" s="173">
        <f t="shared" ref="BJ3:BP3" si="5">ROUND(SUMIFS(BJ$4:BJ$54,$A$4:$A$54,$A$3),2)</f>
        <v>0</v>
      </c>
      <c r="BK3" s="173">
        <f t="shared" si="5"/>
        <v>0</v>
      </c>
      <c r="BL3" s="173">
        <f t="shared" si="5"/>
        <v>37.549999999999997</v>
      </c>
      <c r="BM3" s="173">
        <f t="shared" si="5"/>
        <v>100</v>
      </c>
      <c r="BN3" s="173">
        <f t="shared" si="5"/>
        <v>0</v>
      </c>
      <c r="BO3" s="173">
        <f t="shared" si="5"/>
        <v>54.73</v>
      </c>
      <c r="BP3" s="388">
        <f t="shared" si="5"/>
        <v>60.48</v>
      </c>
      <c r="BQ3" s="388">
        <f t="shared" ref="BQ3:BR3" si="6">ROUND(SUMIFS(BQ$4:BQ$54,$A$4:$A$54,$A$3)*100,0)</f>
        <v>5</v>
      </c>
      <c r="BR3" s="388">
        <f t="shared" si="6"/>
        <v>6</v>
      </c>
      <c r="BS3" s="388">
        <f>ROUND(SUMIFS(BS$4:BS$54,$A$4:$A$54,$A$3)*100,0)</f>
        <v>46</v>
      </c>
      <c r="BT3" s="388">
        <f>ROUND(SUMIFS(BT$4:BT$54,$A$4:$A$54,$A$3)*100,0)</f>
        <v>43</v>
      </c>
      <c r="BU3" s="388">
        <f t="shared" ref="BU3:CH3" si="7">ROUND(SUMIFS(BU$4:BU$54,$A$4:$A$54,$A$3)*100,0)</f>
        <v>63</v>
      </c>
      <c r="BV3" s="388">
        <f t="shared" si="7"/>
        <v>74</v>
      </c>
      <c r="BW3" s="388">
        <f t="shared" si="7"/>
        <v>11</v>
      </c>
      <c r="BX3" s="388">
        <f t="shared" si="7"/>
        <v>16</v>
      </c>
      <c r="BY3" s="388">
        <f t="shared" si="7"/>
        <v>36</v>
      </c>
      <c r="BZ3" s="388">
        <f>ROUND(SUMIFS(BZ$4:BZ$54,$A$4:$A$54,$A$3)*100,0)</f>
        <v>37</v>
      </c>
      <c r="CA3" s="388">
        <f>ROUND(SUMIFS(CA$4:CA$54,$A$4:$A$54,$A$3)*100,0)</f>
        <v>100</v>
      </c>
      <c r="CB3" s="388">
        <f>ROUND(SUMIFS(CB$4:CB$54,$A$4:$A$54,$A$3)*100,0)</f>
        <v>100</v>
      </c>
      <c r="CC3" s="388">
        <f t="shared" si="7"/>
        <v>11</v>
      </c>
      <c r="CD3" s="388">
        <f t="shared" si="7"/>
        <v>16</v>
      </c>
      <c r="CE3" s="388">
        <f t="shared" si="7"/>
        <v>36</v>
      </c>
      <c r="CF3" s="388">
        <f t="shared" si="7"/>
        <v>37</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KS</v>
      </c>
      <c r="C1" s="413">
        <f>SUM(C4:C87)</f>
        <v>70.419002573926022</v>
      </c>
      <c r="D1" s="413">
        <f t="shared" ref="D1:AG1" si="0">SUM(D4:D87)</f>
        <v>69.62194240621551</v>
      </c>
      <c r="E1" s="413">
        <f t="shared" si="0"/>
        <v>66.868383627913303</v>
      </c>
      <c r="F1" s="413">
        <f t="shared" si="0"/>
        <v>73.485670369452478</v>
      </c>
      <c r="G1" s="413">
        <f t="shared" si="0"/>
        <v>74.378678649083071</v>
      </c>
      <c r="H1" s="413">
        <f t="shared" si="0"/>
        <v>71.497849104155904</v>
      </c>
      <c r="I1" s="413">
        <f t="shared" si="0"/>
        <v>77.303791710209481</v>
      </c>
      <c r="J1" s="413">
        <f t="shared" si="0"/>
        <v>74.223524588477687</v>
      </c>
      <c r="K1" s="413">
        <f t="shared" si="0"/>
        <v>73.310448899087802</v>
      </c>
      <c r="L1" s="413">
        <f t="shared" si="0"/>
        <v>76.002664933159735</v>
      </c>
      <c r="M1" s="413">
        <f t="shared" si="0"/>
        <v>78.553934747370747</v>
      </c>
      <c r="N1" s="413">
        <f t="shared" si="0"/>
        <v>74.877378207386485</v>
      </c>
      <c r="O1" s="413">
        <f t="shared" si="0"/>
        <v>79.659635982645398</v>
      </c>
      <c r="P1" s="413">
        <f t="shared" si="0"/>
        <v>81.88295432983459</v>
      </c>
      <c r="Q1" s="413">
        <f t="shared" si="0"/>
        <v>79.915052586802119</v>
      </c>
      <c r="R1" s="413">
        <f t="shared" si="0"/>
        <v>76.472964692167096</v>
      </c>
      <c r="S1" s="413">
        <f t="shared" si="0"/>
        <v>76.555462069506021</v>
      </c>
      <c r="T1" s="413">
        <f t="shared" si="0"/>
        <v>82.199432761071876</v>
      </c>
      <c r="U1" s="413">
        <f t="shared" si="0"/>
        <v>78.293864747137789</v>
      </c>
      <c r="V1" s="413">
        <f t="shared" si="0"/>
        <v>75.329418858949879</v>
      </c>
      <c r="W1" s="413">
        <f t="shared" si="0"/>
        <v>75.677267974173816</v>
      </c>
      <c r="X1" s="413">
        <f t="shared" si="0"/>
        <v>73.446299017655008</v>
      </c>
      <c r="Y1" s="413">
        <f t="shared" si="0"/>
        <v>68.174653446943495</v>
      </c>
      <c r="Z1" s="413">
        <f t="shared" si="0"/>
        <v>71.041430788666219</v>
      </c>
      <c r="AA1" s="413">
        <f t="shared" si="0"/>
        <v>70.96056682600431</v>
      </c>
      <c r="AB1" s="413">
        <f t="shared" si="0"/>
        <v>66.145888891804077</v>
      </c>
      <c r="AC1" s="413">
        <f t="shared" si="0"/>
        <v>63.946379029891801</v>
      </c>
      <c r="AD1" s="413">
        <f t="shared" si="0"/>
        <v>59.875074616939706</v>
      </c>
      <c r="AE1" s="413">
        <f t="shared" si="0"/>
        <v>63.703229508602995</v>
      </c>
      <c r="AF1" s="413">
        <f t="shared" si="0"/>
        <v>61.382905780995898</v>
      </c>
      <c r="AG1" s="413">
        <f t="shared" si="0"/>
        <v>59.2928105377121</v>
      </c>
      <c r="AH1" s="413">
        <f>SUM(AH4:AH87)</f>
        <v>61.275568684527094</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75">
      <c r="A5" s="417" t="s">
        <v>2220</v>
      </c>
      <c r="B5" s="390" t="s">
        <v>4122</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75">
      <c r="A6" s="417" t="s">
        <v>2220</v>
      </c>
      <c r="B6" s="390" t="s">
        <v>4126</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75">
      <c r="A7" s="417" t="s">
        <v>2220</v>
      </c>
      <c r="B7" s="390" t="s">
        <v>4128</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75">
      <c r="A8" s="417" t="s">
        <v>2220</v>
      </c>
      <c r="B8" s="390" t="s">
        <v>4130</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75">
      <c r="A9" s="417" t="s">
        <v>2220</v>
      </c>
      <c r="B9" s="390" t="s">
        <v>4140</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75">
      <c r="A10" s="417" t="s">
        <v>2220</v>
      </c>
      <c r="B10" s="390" t="s">
        <v>4149</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75">
      <c r="A11" s="417" t="s">
        <v>2220</v>
      </c>
      <c r="B11" s="390" t="s">
        <v>4144</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75">
      <c r="A14" s="417" t="s">
        <v>2220</v>
      </c>
      <c r="B14" s="390"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75">
      <c r="A23" s="417" t="s">
        <v>2220</v>
      </c>
      <c r="B23" s="390" t="s">
        <v>4165</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75">
      <c r="A26" s="417" t="s">
        <v>2220</v>
      </c>
      <c r="B26" s="390" t="s">
        <v>4185</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75">
      <c r="A30" s="417" t="s">
        <v>2220</v>
      </c>
      <c r="B30" s="390" t="s">
        <v>4190</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18">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18">
        <f>SUMIFS('EPA Export Aggregation'!R:R,'EPA Export Aggregation'!$A:$A,$B33,'EPA Export Aggregation'!$D:$D,$A$1)*IF($A33="CH4",About!$D$58,IF($A33="N2O",About!$D$59,1))</f>
        <v>1.8800042732800001E-2</v>
      </c>
      <c r="P33" s="418">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18">
        <f>SUMIFS('EPA Export Aggregation'!U:U,'EPA Export Aggregation'!$A:$A,$B33,'EPA Export Aggregation'!$D:$D,$A$1)*IF($A33="CH4",About!$D$58,IF($A33="N2O",About!$D$59,1))</f>
        <v>0.11115961838919999</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18">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18">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18">
        <f>SUMIFS('EPA Export Aggregation'!AD:AD,'EPA Export Aggregation'!$A:$A,$B33,'EPA Export Aggregation'!$D:$D,$A$1)*IF($A33="CH4",About!$D$58,IF($A33="N2O",About!$D$59,1))</f>
        <v>2.12248590976E-2</v>
      </c>
      <c r="AB33" s="418">
        <f>SUMIFS('EPA Export Aggregation'!AE:AE,'EPA Export Aggregation'!$A:$A,$B33,'EPA Export Aggregation'!$D:$D,$A$1)*IF($A33="CH4",About!$D$58,IF($A33="N2O",About!$D$59,1))</f>
        <v>3.6431894889300001E-2</v>
      </c>
      <c r="AC33" s="418">
        <f>SUMIFS('EPA Export Aggregation'!AF:AF,'EPA Export Aggregation'!$A:$A,$B33,'EPA Export Aggregation'!$D:$D,$A$1)*IF($A33="CH4",About!$D$58,IF($A33="N2O",About!$D$59,1))</f>
        <v>1.9224673321400002E-2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0.1957920255276</v>
      </c>
      <c r="AG33" s="418">
        <f>SUMIFS('EPA Export Aggregation'!AJ:AJ,'EPA Export Aggregation'!$A:$A,$B33,'EPA Export Aggregation'!$D:$D,$A$1)*IF($A33="CH4",About!$D$58,IF($A33="N2O",About!$D$59,1))</f>
        <v>0.1605522621986</v>
      </c>
      <c r="AH33" s="418">
        <f>SUMIFS('EPA Export Aggregation'!AK:AK,'EPA Export Aggregation'!$A:$A,$B33,'EPA Export Aggregation'!$D:$D,$A$1)*IF($A33="CH4",About!$D$58,IF($A33="N2O",About!$D$59,1))</f>
        <v>0.16779733241209999</v>
      </c>
    </row>
    <row r="34" spans="1:34" x14ac:dyDescent="0.75">
      <c r="A34" s="417" t="s">
        <v>2220</v>
      </c>
      <c r="B34" s="390" t="s">
        <v>4161</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2024-08-13T17:30:30Z</dcterms:modified>
</cp:coreProperties>
</file>