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MD\webappdata\"/>
    </mc:Choice>
  </mc:AlternateContent>
  <xr:revisionPtr revIDLastSave="0" documentId="8_{6EA0F43C-0323-4599-8BED-395B9A74A30A}" xr6:coauthVersionLast="47" xr6:coauthVersionMax="47" xr10:uidLastSave="{00000000-0000-0000-0000-000000000000}"/>
  <bookViews>
    <workbookView xWindow="-120" yWindow="-120" windowWidth="29040" windowHeight="17520" firstSheet="3" activeTab="8"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Z1" i="23"/>
  <c r="S1" i="23"/>
  <c r="G22" i="27" s="1"/>
  <c r="J22" i="27" s="1"/>
  <c r="K22" i="27" s="1"/>
  <c r="AF1" i="23"/>
  <c r="X1" i="23"/>
  <c r="K1" i="23" l="1"/>
  <c r="D1" i="23"/>
  <c r="AA1" i="23"/>
  <c r="O22" i="27"/>
  <c r="P22" i="27" s="1"/>
  <c r="L1" i="23"/>
  <c r="H1" i="23"/>
  <c r="Y1" i="23"/>
  <c r="C1" i="23"/>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M17" i="29" l="1"/>
  <c r="L17" i="29" s="1"/>
  <c r="J32" i="19" s="1"/>
  <c r="P304" i="31" s="1"/>
  <c r="K2"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<sst xmlns="http://schemas.openxmlformats.org/spreadsheetml/2006/main" count="30815" uniqueCount="2737">
  <si>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</si>
  <si>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</si>
  <si>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</si>
  <si>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</si>
  <si>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</si>
  <si>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</si>
  <si>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</si>
  <si>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</si>
  <si>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</si>
  <si>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</si>
  <si>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</si>
  <si>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</si>
  <si>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</si>
  <si>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</si>
  <si>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</si>
  <si>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</si>
  <si>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</si>
  <si>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</si>
  <si>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</si>
  <si>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</si>
  <si>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</si>
  <si>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</si>
  <si>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</si>
  <si>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</si>
  <si>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</si>
  <si>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</si>
  <si>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</si>
  <si>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</si>
  <si>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</si>
  <si>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</si>
  <si>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</si>
  <si>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</si>
  <si>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</si>
  <si>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</si>
  <si>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</si>
  <si>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</si>
  <si>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</si>
  <si>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</si>
  <si>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</si>
  <si>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</si>
  <si>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</si>
  <si>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</si>
  <si>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</si>
  <si>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</si>
  <si>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</si>
  <si>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</si>
  <si>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</si>
  <si>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</si>
  <si>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</si>
  <si>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</si>
  <si>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</si>
  <si>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</si>
  <si>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</si>
  <si>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</si>
  <si>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</si>
  <si>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</si>
  <si>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</si>
  <si>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</si>
  <si>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</si>
  <si>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</si>
  <si>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</si>
  <si>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</si>
  <si>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</si>
  <si>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</si>
  <si>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</si>
  <si>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</si>
  <si>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</si>
  <si>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</si>
  <si>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</si>
  <si>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</si>
  <si>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</si>
  <si>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</si>
  <si>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</si>
  <si>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</si>
  <si>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</si>
  <si>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</si>
  <si>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</si>
  <si>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</si>
  <si>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</si>
  <si>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</si>
  <si>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</si>
  <si>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</si>
  <si>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</si>
  <si>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</si>
  <si>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</si>
  <si>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</si>
  <si>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</si>
  <si>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</si>
  <si>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</si>
  <si>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</si>
  <si>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</si>
  <si>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</si>
  <si>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</si>
  <si>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</si>
  <si>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</si>
  <si>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</si>
  <si>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</si>
  <si>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</si>
  <si>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</si>
  <si>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</si>
  <si>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</si>
  <si>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</si>
  <si>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</si>
  <si>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</si>
  <si>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</si>
  <si>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</si>
  <si>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</si>
  <si>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</si>
  <si>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</si>
  <si>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</si>
  <si>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</si>
  <si>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</si>
  <si>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</si>
  <si>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</si>
  <si>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</si>
  <si>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</si>
  <si>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</si>
  <si>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</si>
  <si>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</si>
  <si>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</si>
  <si>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</si>
  <si>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</si>
  <si>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</si>
  <si>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</si>
  <si>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</si>
  <si>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</si>
  <si>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</si>
  <si>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</si>
  <si>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</si>
  <si>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</si>
  <si>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</si>
  <si>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</si>
  <si>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</si>
  <si>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</si>
  <si>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</si>
  <si>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</si>
  <si>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</si>
  <si>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</si>
  <si>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</si>
  <si>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</si>
  <si>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</si>
  <si>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</si>
  <si>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</si>
  <si>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</si>
  <si>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</si>
  <si>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</si>
  <si>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</si>
  <si>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</si>
  <si>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</si>
  <si>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</si>
  <si>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</si>
  <si>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</si>
  <si>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</si>
  <si>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</si>
  <si>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</si>
  <si>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</si>
  <si>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</si>
  <si>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</si>
  <si>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</si>
  <si>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</si>
  <si>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</si>
  <si>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</si>
  <si>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</si>
  <si>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</si>
  <si>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</si>
  <si>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</si>
  <si>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</si>
  <si>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</si>
  <si>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</si>
  <si>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</si>
  <si>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</si>
  <si>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</si>
  <si>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</si>
  <si>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</si>
  <si>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</si>
  <si>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</si>
  <si>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</si>
  <si>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</si>
  <si>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</si>
  <si>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</si>
  <si>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</si>
  <si>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</si>
  <si>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</si>
  <si>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</si>
  <si>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</si>
  <si>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</si>
  <si>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</si>
  <si>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</si>
  <si>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</si>
  <si>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</si>
  <si>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</si>
  <si>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</si>
  <si>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</si>
  <si>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</si>
  <si>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</si>
  <si>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</si>
  <si>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</si>
  <si>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</si>
  <si>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</si>
  <si>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</si>
  <si>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</si>
  <si>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</si>
  <si>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</si>
  <si>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</si>
  <si>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</si>
  <si>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</si>
  <si>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</si>
  <si>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</si>
  <si>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</si>
  <si>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</si>
  <si>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</si>
  <si>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</si>
  <si>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</si>
  <si>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</si>
  <si>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</si>
  <si>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</si>
  <si>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</si>
  <si>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</si>
  <si>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</si>
  <si>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</si>
  <si>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</si>
  <si>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</si>
  <si>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</si>
  <si>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</si>
  <si>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</si>
  <si>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</si>
  <si>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</si>
  <si>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</si>
  <si>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</si>
  <si>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</si>
  <si>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</si>
  <si>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</si>
  <si>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</si>
  <si>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</si>
  <si>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</si>
  <si>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</si>
  <si>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</si>
  <si>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</si>
  <si>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</si>
  <si>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</si>
  <si>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</si>
  <si>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</si>
  <si>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</si>
  <si>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</si>
  <si>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</si>
  <si>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</si>
  <si>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</si>
  <si>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</si>
  <si>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</si>
  <si>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</si>
  <si>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</si>
  <si>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</si>
  <si>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</si>
  <si>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</si>
  <si>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</si>
  <si>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</si>
  <si>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</si>
  <si>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</si>
  <si>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</si>
  <si>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</si>
  <si>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</si>
  <si>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</si>
  <si>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</si>
  <si>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</si>
  <si>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</si>
  <si>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</si>
  <si>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</si>
  <si>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</si>
  <si>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</si>
  <si>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</si>
  <si>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</si>
  <si>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</si>
  <si>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</si>
  <si>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</si>
  <si>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</si>
  <si>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</si>
  <si>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</si>
  <si>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</si>
  <si>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</si>
  <si>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</si>
  <si>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</si>
  <si>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</si>
  <si>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</si>
  <si>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</si>
  <si>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</si>
  <si>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</si>
  <si>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</si>
  <si>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</si>
  <si>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</si>
  <si>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</si>
  <si>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</si>
  <si>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</si>
  <si>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</si>
  <si>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</si>
  <si>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</si>
  <si>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</si>
  <si>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</si>
  <si>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</si>
  <si>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</si>
  <si>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</si>
  <si>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</si>
  <si>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</si>
  <si>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</si>
  <si>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</si>
  <si>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</si>
  <si>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</si>
  <si>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</si>
  <si>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</si>
  <si>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</si>
  <si>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</si>
  <si>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</si>
  <si>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</si>
  <si>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</si>
  <si>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</si>
  <si>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</si>
  <si>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</si>
  <si>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</si>
  <si>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</si>
  <si>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</si>
  <si>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</si>
  <si>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</si>
  <si>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</si>
  <si>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</si>
  <si>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</si>
  <si>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</si>
  <si>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</si>
  <si>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</si>
  <si>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</si>
  <si>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</si>
  <si>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</si>
  <si>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</si>
  <si>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</si>
  <si>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</si>
  <si>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</si>
  <si>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</si>
  <si>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</si>
  <si>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</si>
  <si>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</si>
  <si>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</si>
  <si>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</si>
  <si>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</si>
  <si>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</si>
  <si>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</si>
  <si>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</si>
  <si>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</si>
  <si>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</si>
  <si>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</si>
  <si>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</si>
  <si>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</si>
  <si>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</si>
  <si>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</si>
  <si>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</si>
  <si>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</si>
  <si>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</si>
  <si>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</si>
  <si>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</si>
  <si>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</si>
  <si>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</si>
  <si>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</si>
  <si>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</si>
  <si>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</si>
  <si>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</si>
  <si>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</si>
  <si>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</si>
  <si>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</si>
  <si>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</si>
  <si>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</si>
  <si>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</si>
  <si>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</si>
  <si>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</si>
  <si>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</si>
  <si>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</si>
  <si>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</si>
  <si>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</si>
  <si>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</si>
  <si>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</si>
  <si>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</si>
  <si>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</si>
  <si>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</si>
  <si>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</si>
  <si>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</si>
  <si>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</si>
  <si>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</si>
  <si>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</si>
  <si>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</si>
  <si>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</si>
  <si>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</si>
  <si>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</si>
  <si>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</si>
  <si>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</si>
  <si>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</si>
  <si>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</si>
  <si>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</si>
  <si>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</si>
  <si>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</si>
  <si>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</si>
  <si>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</si>
  <si>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</si>
  <si>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</si>
  <si>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</si>
  <si>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</si>
  <si>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</si>
  <si>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</si>
  <si>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</si>
  <si>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</si>
  <si>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</si>
  <si>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</si>
  <si>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</si>
  <si>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</si>
  <si>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</si>
  <si>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</si>
  <si>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</si>
  <si>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</si>
  <si>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</si>
  <si>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</si>
  <si>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</si>
  <si>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</si>
  <si>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</si>
  <si>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</si>
  <si>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</si>
  <si>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</si>
  <si>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</si>
  <si>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</si>
  <si>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</si>
  <si>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</si>
  <si>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</si>
  <si>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</si>
  <si>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</si>
  <si>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</si>
  <si>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</si>
  <si>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</si>
  <si>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</si>
  <si>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</si>
  <si>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</si>
  <si>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</si>
  <si>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</si>
  <si>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</si>
  <si>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</si>
  <si>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</si>
  <si>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</si>
  <si>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</si>
  <si>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</si>
  <si>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</si>
  <si>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</si>
  <si>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</si>
  <si>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</si>
  <si>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</si>
  <si>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</si>
  <si>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</si>
  <si>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</si>
  <si>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</si>
  <si>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</si>
  <si>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</si>
  <si>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</si>
  <si>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</si>
  <si>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</si>
  <si>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</si>
  <si>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</si>
  <si>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</si>
  <si>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</si>
  <si>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</si>
  <si>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</si>
  <si>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</si>
  <si>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</si>
  <si>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</si>
  <si>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</si>
  <si>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</si>
  <si>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</si>
  <si>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</si>
  <si>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</si>
  <si>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</si>
  <si>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</si>
  <si>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</si>
  <si>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</si>
  <si>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</si>
  <si>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</si>
  <si>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</si>
  <si>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</si>
  <si>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</si>
  <si>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</si>
  <si>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</si>
  <si>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</si>
  <si>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</si>
  <si>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</si>
  <si>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</si>
  <si>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</si>
  <si>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</si>
  <si>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</si>
  <si>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</si>
  <si>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</si>
  <si>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</si>
  <si>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</si>
  <si>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</si>
  <si>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</si>
  <si>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</si>
  <si>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</si>
  <si>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</si>
  <si>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</si>
  <si>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</si>
  <si>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</si>
  <si>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</si>
  <si>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</si>
  <si>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</si>
  <si>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</si>
  <si>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</si>
  <si>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</si>
  <si>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</si>
  <si>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</si>
  <si>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</si>
  <si>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</si>
  <si>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</si>
  <si>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</si>
  <si>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</si>
  <si>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</si>
  <si>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</si>
  <si>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</si>
  <si>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</si>
  <si>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</si>
  <si>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</si>
  <si>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</si>
  <si>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</si>
  <si>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</si>
  <si>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</si>
  <si>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</si>
  <si>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</si>
  <si>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</si>
  <si>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</si>
  <si>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</si>
  <si>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</si>
  <si>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</si>
  <si>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</si>
  <si>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</si>
  <si>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</si>
  <si>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</si>
  <si>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</si>
  <si>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</si>
  <si>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</si>
  <si>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</si>
  <si>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</si>
  <si>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</si>
  <si>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</si>
  <si>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</si>
  <si>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</si>
  <si>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</si>
  <si>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</si>
  <si>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</si>
  <si>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</si>
  <si>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</si>
  <si>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</si>
  <si>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</si>
  <si>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</si>
  <si>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</si>
  <si>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</si>
  <si>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</si>
  <si>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</si>
  <si>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</si>
  <si>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</si>
  <si>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</si>
  <si>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</si>
  <si>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</si>
  <si>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</si>
  <si>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</si>
  <si>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</si>
  <si>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</si>
  <si>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</si>
  <si>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</si>
  <si>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</si>
  <si>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</si>
  <si>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</si>
  <si>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</si>
  <si>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</si>
  <si>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</si>
  <si>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</si>
  <si>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</si>
  <si>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</si>
  <si>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</si>
  <si>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</si>
  <si>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</si>
  <si>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</si>
  <si>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</si>
  <si>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</si>
  <si>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</si>
  <si>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</si>
  <si>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</si>
  <si>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</si>
  <si>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</si>
  <si>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</si>
  <si>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</si>
  <si>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</si>
  <si>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</si>
  <si>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</si>
  <si>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</si>
  <si>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</si>
  <si>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</si>
  <si>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</si>
  <si>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</si>
  <si>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</si>
  <si>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</si>
  <si>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</si>
  <si>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</si>
  <si>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</si>
  <si>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</si>
  <si>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</si>
  <si>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</si>
  <si>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</si>
  <si>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</si>
  <si>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</si>
  <si>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</si>
  <si>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</si>
  <si>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</si>
  <si>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</si>
  <si>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</si>
  <si>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</si>
  <si>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</si>
  <si>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</si>
  <si>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</si>
  <si>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</si>
  <si>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</si>
  <si>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</si>
  <si>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</si>
  <si>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</si>
  <si>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</si>
  <si>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</si>
  <si>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</si>
  <si>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</si>
  <si>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</si>
  <si>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</si>
  <si>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</si>
  <si>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</si>
  <si>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</si>
  <si>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</si>
  <si>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</si>
  <si>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</si>
  <si>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</si>
  <si>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</si>
  <si>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</si>
  <si>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</si>
  <si>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</si>
  <si>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</si>
  <si>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</si>
  <si>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</si>
  <si>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</si>
  <si>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</si>
  <si>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</si>
  <si>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</si>
  <si>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</si>
  <si>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</si>
  <si>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</si>
  <si>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</si>
  <si>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</si>
  <si>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</si>
  <si>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</si>
  <si>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</si>
  <si>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</si>
  <si>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</si>
  <si>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</si>
  <si>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</si>
  <si>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</si>
  <si>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</si>
  <si>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</si>
  <si>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</si>
  <si>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</si>
  <si>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</si>
  <si>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</si>
  <si>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</si>
  <si>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</si>
  <si>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</si>
  <si>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</si>
  <si>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</si>
  <si>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</si>
  <si>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</si>
  <si>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</si>
  <si>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</si>
  <si>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</si>
  <si>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</si>
  <si>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</si>
  <si>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</si>
  <si>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</si>
  <si>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</si>
  <si>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</si>
  <si>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</si>
  <si>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</si>
  <si>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</si>
  <si>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</si>
  <si>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</si>
  <si>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</si>
  <si>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</si>
  <si>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</si>
  <si>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</si>
  <si>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</si>
  <si>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</si>
  <si>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</si>
  <si>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</si>
  <si>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</si>
  <si>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</si>
  <si>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</si>
  <si>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</si>
  <si>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</si>
  <si>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</si>
  <si>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</si>
  <si>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</si>
  <si>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</si>
  <si>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</si>
  <si>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</si>
  <si>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</si>
  <si>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</si>
  <si>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</si>
  <si>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</si>
  <si>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</si>
  <si>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</si>
  <si>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</si>
  <si>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</si>
  <si>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</si>
  <si>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</si>
  <si>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</si>
  <si>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</si>
  <si>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</si>
  <si>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</si>
  <si>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</si>
  <si>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</si>
  <si>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</si>
  <si>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</si>
  <si>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</si>
  <si>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</si>
  <si>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</si>
  <si>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</si>
  <si>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</si>
  <si>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</si>
  <si>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</si>
  <si>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</si>
  <si>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</si>
  <si>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</si>
  <si>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</si>
  <si>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</si>
  <si>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</si>
  <si>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</si>
  <si>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</si>
  <si>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</si>
  <si>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</si>
  <si>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</si>
  <si>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</si>
  <si>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</si>
  <si>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</si>
  <si>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</si>
  <si>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</si>
  <si>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</si>
  <si>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</si>
  <si>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</si>
  <si>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</si>
  <si>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</si>
  <si>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</si>
  <si>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</si>
  <si>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</si>
  <si>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</si>
  <si>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</si>
  <si>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</si>
  <si>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</si>
  <si>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</si>
  <si>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</si>
  <si>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</si>
  <si>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</si>
  <si>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</si>
  <si>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</si>
  <si>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</si>
  <si>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</si>
  <si>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</si>
  <si>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</si>
  <si>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</si>
  <si>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</si>
  <si>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</si>
  <si>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</si>
  <si>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</si>
  <si>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</si>
  <si>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</si>
  <si>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</si>
  <si>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</si>
  <si>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</si>
  <si>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</si>
  <si>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</si>
  <si>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</si>
  <si>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</si>
  <si>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</si>
  <si>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</si>
  <si>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</si>
  <si>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</si>
  <si>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</si>
  <si>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</si>
  <si>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</si>
  <si>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</si>
  <si>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</si>
  <si>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</si>
  <si>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</si>
  <si>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</si>
  <si>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</si>
  <si>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</si>
  <si>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</si>
  <si>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</si>
  <si>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</si>
  <si>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</si>
  <si>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</si>
  <si>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</si>
  <si>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</si>
  <si>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</si>
  <si>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</si>
  <si>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</si>
  <si>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</si>
  <si>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</si>
  <si>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</si>
  <si>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</si>
  <si>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</si>
  <si>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</si>
  <si>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</si>
  <si>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</si>
  <si>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</si>
  <si>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</si>
  <si>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</si>
  <si>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</si>
  <si>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</si>
  <si>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</si>
  <si>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</si>
  <si>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</si>
  <si>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</si>
  <si>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</si>
  <si>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</si>
  <si>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</si>
  <si>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</si>
  <si>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</si>
  <si>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</si>
  <si>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</si>
  <si>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</si>
  <si>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</si>
  <si>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</si>
  <si>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</si>
  <si>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</si>
  <si>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</si>
  <si>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</si>
  <si>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</si>
  <si>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</si>
  <si>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</si>
  <si>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</si>
  <si>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</si>
  <si>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</si>
  <si>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</si>
  <si>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</si>
  <si>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</si>
  <si>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</si>
  <si>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</si>
  <si>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</si>
  <si>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</si>
  <si>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</si>
  <si>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</si>
  <si>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</si>
  <si>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</si>
  <si>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</si>
  <si>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</si>
  <si>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</si>
  <si>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</si>
  <si>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</si>
  <si>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</si>
  <si>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</si>
  <si>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</si>
  <si>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</si>
  <si>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</si>
  <si>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</si>
  <si>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</si>
  <si>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</si>
  <si>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</si>
  <si>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</si>
  <si>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</si>
  <si>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</si>
  <si>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</si>
  <si>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</si>
  <si>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</si>
  <si>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</si>
  <si>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</si>
  <si>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</si>
  <si>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</si>
  <si>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</si>
  <si>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</si>
  <si>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</si>
  <si>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</si>
  <si>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</si>
  <si>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</si>
  <si>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</si>
  <si>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</si>
  <si>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</si>
  <si>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</si>
  <si>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</si>
  <si>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</si>
  <si>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</si>
  <si>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</si>
  <si>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</si>
  <si>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</si>
  <si>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</si>
  <si>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</si>
  <si>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</si>
  <si>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</si>
  <si>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</si>
  <si>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</si>
  <si>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</si>
  <si>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</si>
  <si>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</si>
  <si>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</si>
  <si>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</si>
  <si>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</si>
  <si>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</si>
  <si>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</si>
  <si>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</si>
  <si>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</si>
  <si>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</si>
  <si>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</si>
  <si>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</si>
  <si>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</si>
  <si>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</si>
  <si>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</si>
  <si>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</si>
  <si>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</si>
  <si>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</si>
  <si>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</si>
  <si>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</si>
  <si>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</si>
  <si>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</si>
  <si>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</si>
  <si>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</si>
  <si>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</si>
  <si>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</si>
  <si>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</si>
  <si>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</si>
  <si>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</si>
  <si>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</si>
  <si>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</si>
  <si>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</si>
  <si>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</si>
  <si>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</si>
  <si>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</si>
  <si>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</si>
  <si>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</si>
  <si>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</si>
  <si>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</si>
  <si>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</si>
  <si>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</si>
  <si>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</si>
  <si>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</si>
  <si>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</si>
  <si>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</si>
  <si>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</si>
  <si>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</si>
  <si>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</si>
  <si>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</si>
  <si>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</si>
  <si>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</si>
  <si>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</si>
  <si>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</si>
  <si>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</si>
  <si>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</si>
  <si>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</si>
  <si>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</si>
  <si>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</si>
  <si>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</si>
  <si>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</si>
  <si>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</si>
  <si>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</si>
  <si>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</si>
  <si>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</si>
  <si>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</si>
  <si>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</si>
  <si>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</si>
  <si>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</si>
  <si>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</si>
  <si>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</si>
  <si>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</si>
  <si>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</si>
  <si>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</si>
  <si>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</si>
  <si>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</si>
  <si>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</si>
  <si>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</si>
  <si>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</si>
  <si>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</si>
  <si>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</si>
  <si>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</si>
  <si>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</si>
  <si>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</si>
  <si>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</si>
  <si>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</si>
  <si>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</si>
  <si>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</si>
  <si>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</si>
  <si>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</si>
  <si>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</si>
  <si>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</si>
  <si>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</si>
  <si>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</si>
  <si>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</si>
  <si>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</si>
  <si>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</si>
  <si>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</si>
  <si>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</si>
  <si>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</si>
  <si>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</si>
  <si>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</si>
  <si>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</si>
  <si>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</si>
  <si>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</si>
  <si>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</si>
  <si>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</si>
  <si>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</si>
  <si>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</si>
  <si>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</si>
  <si>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</si>
  <si>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</si>
  <si>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</si>
  <si>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</si>
  <si>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</si>
  <si>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</si>
  <si>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</si>
  <si>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</si>
  <si>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</si>
  <si>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</si>
  <si>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</si>
  <si>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</si>
  <si>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</si>
  <si>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</si>
  <si>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</si>
  <si>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</si>
  <si>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</si>
  <si>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</si>
  <si>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</si>
  <si>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</si>
  <si>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</si>
  <si>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</si>
  <si>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</si>
  <si>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</si>
  <si>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</si>
  <si>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</si>
  <si>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</si>
  <si>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</si>
  <si>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</si>
  <si>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</si>
  <si>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</si>
  <si>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</si>
  <si>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</si>
  <si>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</si>
  <si>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</si>
  <si>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</si>
  <si>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</si>
  <si>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</si>
  <si>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</si>
  <si>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</si>
  <si>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</si>
  <si>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</si>
  <si>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</si>
  <si>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</si>
  <si>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</si>
  <si>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</si>
  <si>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</si>
  <si>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</si>
  <si>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</si>
  <si>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</si>
  <si>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</si>
  <si>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</si>
  <si>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</si>
  <si>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</si>
  <si>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</si>
  <si>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</si>
  <si>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</si>
  <si>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</si>
  <si>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</si>
  <si>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</si>
  <si>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</si>
  <si>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</si>
  <si>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</si>
  <si>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</si>
  <si>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</si>
  <si>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</si>
  <si>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</si>
  <si>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</si>
  <si>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</si>
  <si>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</si>
  <si>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</si>
  <si>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</si>
  <si>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</si>
  <si>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</si>
  <si>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</si>
  <si>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</si>
  <si>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</si>
  <si>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</si>
  <si>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</si>
  <si>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</si>
  <si>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</si>
  <si>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</si>
  <si>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</si>
  <si>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</si>
  <si>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</si>
  <si>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</si>
  <si>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</si>
  <si>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</si>
  <si>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</si>
  <si>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</si>
  <si>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</si>
  <si>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</si>
  <si>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</si>
  <si>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</si>
  <si>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</si>
  <si>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</si>
  <si>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</si>
  <si>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</si>
  <si>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</si>
  <si>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</si>
  <si>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</si>
  <si>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</si>
  <si>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</si>
  <si>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</si>
  <si>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</si>
  <si>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</si>
  <si>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</si>
  <si>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</si>
  <si>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</si>
  <si>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</si>
  <si>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</si>
  <si>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</si>
  <si>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</si>
  <si>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</si>
  <si>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</si>
  <si>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</si>
  <si>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</si>
  <si>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</si>
  <si>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</si>
  <si>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</si>
  <si>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</si>
  <si>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</si>
  <si>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</si>
  <si>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</si>
  <si>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</si>
  <si>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</si>
  <si>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</si>
  <si>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</si>
  <si>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</si>
  <si>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</si>
  <si>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</si>
  <si>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</si>
  <si>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</si>
  <si>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</si>
  <si>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</si>
  <si>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</si>
  <si>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</si>
  <si>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</si>
  <si>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</si>
  <si>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</si>
  <si>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</si>
  <si>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</si>
  <si>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</si>
  <si>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</si>
  <si>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</si>
  <si>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</si>
  <si>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</si>
  <si>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</si>
  <si>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</si>
  <si>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</si>
  <si>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</si>
  <si>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</si>
  <si>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</si>
  <si>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</si>
  <si>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</si>
  <si>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</si>
  <si>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</si>
  <si>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</si>
  <si>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</si>
  <si>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</si>
  <si>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</si>
  <si>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</si>
  <si>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</si>
  <si>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</si>
  <si>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</si>
  <si>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</si>
  <si>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</si>
  <si>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</si>
  <si>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</si>
  <si>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</si>
  <si>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</si>
  <si>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</si>
  <si>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</si>
  <si>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</si>
  <si>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</si>
  <si>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</si>
  <si>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</si>
  <si>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</si>
  <si>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</si>
  <si>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</si>
  <si>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</si>
  <si>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</si>
  <si>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</si>
  <si>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</si>
  <si>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</si>
  <si>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</si>
  <si>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</si>
  <si>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</si>
  <si>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</si>
  <si>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</si>
  <si>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</si>
  <si>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</si>
  <si>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</si>
  <si>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</si>
  <si>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</si>
  <si>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</si>
  <si>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</si>
  <si>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</si>
  <si>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</si>
  <si>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</si>
  <si>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</si>
  <si>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</si>
  <si>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</si>
  <si>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</si>
  <si>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</si>
  <si>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</si>
  <si>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</si>
  <si>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</si>
  <si>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</si>
  <si>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</si>
  <si>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</si>
  <si>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</si>
  <si>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</si>
  <si>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</si>
  <si>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</si>
  <si>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</si>
  <si>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</si>
  <si>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</si>
  <si>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</si>
  <si>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</si>
  <si>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</si>
  <si>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</si>
  <si>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</si>
  <si>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</si>
  <si>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</si>
  <si>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</si>
  <si>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</si>
  <si>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</si>
  <si>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</si>
  <si>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</si>
  <si>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</si>
  <si>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</si>
  <si>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</si>
  <si>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</si>
  <si>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</si>
  <si>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</si>
  <si>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</si>
  <si>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</si>
  <si>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</si>
  <si>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</si>
  <si>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</si>
  <si>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</si>
  <si>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</si>
  <si>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</si>
  <si>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</si>
  <si>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</si>
  <si>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</si>
  <si>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</si>
  <si>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</si>
  <si>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</si>
  <si>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</si>
  <si>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</si>
  <si>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</si>
  <si>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</si>
  <si>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</si>
  <si>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</si>
  <si>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</si>
  <si>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</si>
  <si>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</si>
  <si>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</si>
  <si>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</si>
  <si>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</si>
  <si>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</si>
  <si>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</si>
  <si>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</si>
  <si>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</si>
  <si>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</si>
  <si>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</si>
  <si>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</si>
  <si>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</si>
  <si>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</si>
  <si>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</si>
  <si>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</si>
  <si>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</si>
  <si>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</si>
  <si>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</si>
  <si>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</si>
  <si>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</si>
  <si>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</si>
  <si>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</si>
  <si>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</si>
  <si>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</si>
  <si>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</si>
  <si>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</si>
  <si>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</si>
  <si>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</si>
  <si>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</si>
  <si>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</si>
  <si>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</si>
  <si>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</si>
  <si>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</si>
  <si>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</si>
  <si>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</si>
  <si>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</si>
  <si>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</si>
  <si>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</si>
  <si>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</si>
  <si>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</si>
  <si>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</si>
  <si>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</si>
  <si>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</si>
  <si>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</si>
  <si>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</si>
  <si>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</si>
  <si>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</si>
  <si>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</si>
  <si>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</si>
  <si>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</si>
  <si>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</si>
  <si>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</si>
  <si>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</si>
  <si>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</si>
  <si>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</si>
  <si>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</si>
  <si>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</si>
  <si>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</si>
  <si>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</si>
  <si>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</si>
  <si>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</si>
  <si>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</si>
  <si>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</si>
  <si>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</si>
  <si>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</si>
  <si>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</si>
  <si>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</si>
  <si>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</si>
  <si>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</si>
  <si>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</si>
  <si>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</si>
  <si>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</si>
  <si>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</si>
  <si>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</si>
  <si>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</si>
  <si>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</si>
  <si>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</si>
  <si>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</si>
  <si>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</si>
  <si>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</si>
  <si>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</si>
  <si>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</si>
  <si>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</si>
  <si>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</si>
  <si>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</si>
  <si>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</si>
  <si>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</si>
  <si>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</si>
  <si>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</si>
  <si>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</si>
  <si>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</si>
  <si>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</si>
  <si>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</si>
  <si>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</si>
  <si>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</si>
  <si>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</si>
  <si>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</si>
  <si>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</si>
  <si>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</si>
  <si>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</si>
  <si>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</si>
  <si>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</si>
  <si>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</si>
  <si>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</si>
  <si>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</si>
  <si>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</si>
  <si>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</si>
  <si>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</si>
  <si>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</si>
  <si>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</si>
  <si>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</si>
  <si>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</si>
  <si>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</si>
  <si>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</si>
  <si>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</si>
  <si>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</si>
  <si>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</si>
  <si>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</si>
  <si>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</si>
  <si>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</si>
  <si>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</si>
  <si>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</si>
  <si>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</si>
  <si>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</si>
  <si>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</si>
  <si>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</si>
  <si>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</si>
  <si>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</si>
  <si>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</si>
  <si>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</si>
  <si>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</si>
  <si>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</si>
  <si>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</si>
  <si>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</si>
  <si>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</si>
  <si>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</si>
  <si>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</si>
  <si>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</si>
  <si>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</si>
  <si>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</si>
  <si>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</si>
  <si>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</si>
  <si>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</si>
  <si>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</si>
  <si>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</si>
  <si>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</si>
  <si>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</si>
  <si>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</si>
  <si>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</si>
  <si>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</si>
  <si>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</si>
  <si>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</si>
  <si>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</si>
  <si>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</si>
  <si>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</si>
  <si>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</si>
  <si>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</si>
  <si>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</si>
  <si>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</si>
  <si>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</si>
  <si>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</si>
  <si>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</si>
  <si>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</si>
  <si>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</si>
  <si>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</si>
  <si>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</si>
  <si>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</si>
  <si>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</si>
  <si>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</si>
  <si>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</si>
  <si>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</si>
  <si>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</si>
  <si>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</si>
  <si>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</si>
  <si>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</si>
  <si>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</si>
  <si>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</si>
  <si>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</si>
  <si>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</si>
  <si>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</si>
  <si>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</si>
  <si>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</si>
  <si>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</si>
  <si>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</si>
  <si>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</si>
  <si>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</si>
  <si>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</si>
  <si>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</si>
  <si>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</si>
  <si>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</si>
  <si>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</si>
  <si>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</si>
  <si>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</si>
  <si>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</si>
  <si>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</si>
  <si>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</si>
  <si>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</si>
  <si>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</si>
  <si>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</si>
  <si>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</si>
  <si>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</si>
  <si>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</si>
  <si>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</si>
  <si>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</si>
  <si>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</si>
  <si>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</si>
  <si>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</si>
  <si>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</si>
  <si>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</si>
  <si>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</si>
  <si>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</si>
  <si>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</si>
  <si>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</si>
  <si>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</si>
  <si>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</si>
  <si>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</si>
  <si>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</si>
  <si>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</si>
  <si>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</si>
  <si>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</si>
  <si>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</si>
  <si>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</si>
  <si>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</si>
  <si>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</si>
  <si>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</si>
  <si>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</si>
  <si>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</si>
  <si>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</si>
  <si>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</si>
  <si>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</si>
  <si>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</si>
  <si>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</si>
  <si>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</si>
  <si>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</si>
  <si>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</si>
  <si>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</si>
  <si>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</si>
  <si>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</si>
  <si>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</si>
  <si>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</si>
  <si>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</si>
  <si>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</si>
  <si>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</si>
  <si>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</si>
  <si>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</si>
  <si>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</si>
  <si>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</si>
  <si>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</si>
  <si>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</si>
  <si>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</si>
  <si>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</si>
  <si>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</si>
  <si>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</si>
  <si>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</si>
  <si>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</si>
  <si>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</si>
  <si>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</si>
  <si>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</si>
  <si>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</si>
  <si>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</si>
  <si>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</si>
  <si>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</si>
  <si>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</si>
  <si>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</si>
  <si>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</si>
  <si>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</si>
  <si>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</si>
  <si>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</si>
  <si>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</si>
  <si>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</si>
  <si>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</si>
  <si>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</si>
  <si>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</si>
  <si>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</si>
  <si>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</si>
  <si>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</si>
  <si>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</si>
  <si>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</si>
  <si>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</si>
  <si>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</si>
  <si>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</si>
  <si>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</si>
  <si>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</si>
  <si>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</si>
  <si>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</si>
  <si>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</si>
  <si>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</si>
  <si>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</si>
  <si>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</si>
  <si>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</si>
  <si>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</si>
  <si>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</si>
  <si>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</si>
  <si>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</si>
  <si>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</si>
  <si>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</si>
  <si>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</si>
  <si>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</si>
  <si>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</si>
  <si>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</si>
  <si>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</si>
  <si>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</si>
  <si>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</si>
  <si>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</si>
  <si>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</si>
  <si>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</si>
  <si>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</si>
  <si>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</si>
  <si>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</si>
  <si>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</si>
  <si>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</si>
  <si>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</si>
  <si>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</si>
  <si>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</si>
  <si>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</si>
  <si>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</si>
  <si>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</si>
  <si>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</si>
  <si>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</si>
  <si>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</si>
  <si>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</si>
  <si>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</si>
  <si>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</si>
  <si>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</si>
  <si>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</si>
  <si>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</si>
  <si>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</si>
  <si>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</si>
  <si>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</si>
  <si>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</si>
  <si>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</si>
  <si>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</si>
  <si>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</si>
  <si>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</si>
  <si>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</si>
  <si>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</si>
  <si>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</si>
  <si>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</si>
  <si>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</si>
  <si>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</si>
  <si>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</si>
  <si>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</si>
  <si>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</si>
  <si>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</si>
  <si>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</si>
  <si>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</si>
  <si>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</si>
  <si>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</si>
  <si>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</si>
  <si>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</si>
  <si>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</si>
  <si>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</si>
  <si>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</si>
  <si>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</si>
  <si>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</si>
  <si>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</si>
  <si>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</si>
  <si>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</si>
  <si>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</si>
  <si>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</si>
  <si>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</si>
  <si>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</si>
  <si>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</si>
  <si>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</si>
  <si>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</si>
  <si>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</si>
  <si>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</si>
  <si>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</si>
  <si>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</si>
  <si>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</si>
  <si>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</si>
  <si>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</si>
  <si>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</si>
  <si>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</si>
  <si>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</si>
  <si>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</si>
  <si>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</si>
  <si>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</si>
  <si>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</si>
  <si>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</si>
  <si>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</si>
  <si>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</si>
  <si>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</si>
  <si>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</si>
  <si>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</si>
  <si>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</si>
  <si>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</si>
  <si>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</si>
  <si>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</si>
  <si>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</si>
  <si>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</si>
  <si>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</si>
  <si>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</si>
  <si>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</si>
  <si>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</si>
  <si>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</si>
  <si>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</si>
  <si>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</si>
  <si>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</si>
  <si>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</si>
  <si>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</si>
  <si>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</si>
  <si>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</si>
  <si>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</si>
  <si>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</si>
  <si>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</si>
  <si>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</si>
  <si>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</si>
  <si>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</si>
  <si>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</si>
  <si>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</si>
  <si>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</si>
  <si>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</si>
  <si>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</si>
  <si>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</si>
  <si>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</si>
  <si>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</si>
  <si>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</si>
  <si>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</si>
  <si>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</si>
  <si>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</si>
  <si>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</si>
  <si>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</si>
  <si>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</si>
  <si>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</si>
  <si>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</si>
  <si>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</si>
  <si>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</si>
  <si>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</si>
  <si>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</si>
  <si>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</si>
  <si>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</si>
  <si>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</si>
  <si>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</si>
  <si>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</si>
  <si>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</si>
  <si>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</si>
  <si>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</si>
  <si>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</si>
  <si>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</si>
  <si>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</si>
  <si>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</si>
  <si>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</si>
  <si>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</si>
  <si>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</si>
  <si>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</si>
  <si>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</si>
  <si>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</si>
  <si>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</si>
  <si>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</si>
  <si>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</si>
  <si>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</si>
  <si>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</si>
  <si>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</si>
  <si>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</si>
  <si>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</si>
  <si>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</si>
  <si>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</si>
  <si>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</si>
  <si>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</si>
  <si>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</si>
  <si>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</si>
  <si>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</si>
  <si>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</si>
  <si>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</si>
  <si>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</si>
  <si>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</si>
  <si>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</si>
  <si>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</si>
  <si>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</si>
  <si>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</si>
  <si>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</si>
  <si>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</si>
  <si>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</si>
  <si>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</si>
  <si>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</si>
  <si>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</si>
  <si>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</si>
  <si>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</si>
  <si>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</si>
  <si>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</si>
  <si>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</si>
  <si>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</si>
  <si>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</si>
  <si>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</si>
  <si>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</si>
  <si>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</si>
  <si>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</si>
  <si>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</si>
  <si>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</si>
  <si>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</si>
  <si>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</si>
  <si>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</si>
  <si>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</si>
  <si>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</si>
  <si>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</si>
  <si>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</si>
  <si>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</si>
  <si>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</si>
  <si>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</si>
  <si>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</si>
  <si>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</si>
  <si>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</si>
  <si>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</si>
  <si>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</si>
  <si>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</si>
  <si>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</si>
  <si>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</si>
  <si>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</si>
  <si>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</si>
  <si>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</si>
  <si>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</si>
  <si>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</si>
  <si>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</si>
  <si>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</si>
  <si>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</si>
  <si>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</si>
  <si>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</si>
  <si>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</si>
  <si>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</si>
  <si>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</si>
  <si>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</si>
  <si>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</si>
  <si>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</si>
  <si>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</si>
  <si>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</si>
  <si>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</si>
  <si>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</si>
  <si>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</si>
  <si>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</si>
  <si>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</si>
  <si>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</si>
  <si>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</si>
  <si>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</si>
  <si>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</si>
  <si>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</si>
  <si>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</si>
  <si>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</si>
  <si>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</si>
  <si>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</si>
  <si>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</si>
  <si>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</si>
  <si>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</si>
  <si>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</si>
  <si>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</si>
  <si>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</si>
  <si>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</si>
  <si>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</si>
  <si>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</si>
  <si>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</si>
  <si>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</si>
  <si>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</si>
  <si>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</si>
  <si>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</si>
  <si>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</si>
  <si>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</si>
  <si>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</si>
  <si>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</si>
  <si>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</si>
  <si>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</si>
  <si>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</si>
  <si>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</si>
  <si>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</si>
  <si>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</si>
  <si>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</si>
  <si>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</si>
  <si>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</si>
  <si>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</si>
  <si>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</si>
  <si>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</si>
  <si>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</si>
  <si>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</si>
  <si>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</si>
  <si>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</si>
  <si>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</si>
  <si>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</si>
  <si>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</si>
  <si>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</si>
  <si>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</si>
  <si>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</si>
  <si>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</si>
  <si>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</si>
  <si>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</si>
  <si>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</si>
  <si>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</si>
  <si>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</si>
  <si>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</si>
  <si>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</si>
  <si>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</si>
  <si>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</si>
  <si>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</si>
  <si>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</si>
  <si>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</si>
  <si>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</si>
  <si>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</si>
  <si>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</si>
  <si>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</si>
  <si>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</si>
  <si>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</si>
  <si>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</si>
  <si>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</si>
  <si>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</si>
  <si>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</si>
  <si>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</si>
  <si>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</si>
  <si>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</si>
  <si>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</si>
  <si>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</si>
  <si>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</si>
  <si>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</si>
  <si>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</si>
  <si>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</si>
  <si>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</si>
  <si>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</si>
  <si>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</si>
  <si>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</si>
  <si>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</si>
  <si>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</si>
  <si>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</si>
  <si>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</si>
  <si>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</si>
  <si>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</si>
  <si>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</si>
  <si>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</si>
  <si>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</si>
  <si>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</si>
  <si>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</si>
  <si>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</si>
  <si>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</si>
  <si>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</si>
  <si>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</si>
  <si>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</si>
  <si>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</si>
  <si>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</si>
  <si>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</si>
  <si>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</si>
  <si>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</si>
  <si>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</si>
  <si>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</si>
  <si>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</si>
  <si>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</si>
  <si>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</si>
  <si>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</si>
  <si>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</si>
  <si>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</si>
  <si>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</si>
  <si>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</si>
  <si>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</si>
  <si>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</si>
  <si>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</si>
  <si>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</si>
  <si>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</si>
  <si>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</si>
  <si>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</si>
  <si>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</si>
  <si>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</si>
  <si>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</si>
  <si>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</si>
  <si>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</si>
  <si>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</si>
  <si>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</si>
  <si>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</si>
  <si>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</si>
  <si>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</si>
  <si>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</si>
  <si>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</si>
  <si>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</si>
  <si>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</si>
  <si>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</si>
  <si>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</si>
  <si>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</si>
  <si>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</si>
  <si>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</si>
  <si>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</si>
  <si>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</si>
  <si>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</si>
  <si>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</si>
  <si>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</si>
  <si>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</si>
  <si>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</si>
  <si>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</si>
  <si>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</si>
  <si>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</si>
  <si>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</si>
  <si>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</si>
  <si>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</si>
  <si>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</si>
  <si>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</si>
  <si>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</si>
  <si>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</si>
  <si>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</si>
  <si>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</si>
  <si>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</si>
  <si>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</si>
  <si>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</si>
  <si>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</si>
  <si>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</si>
  <si>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</si>
  <si>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</si>
  <si>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</si>
  <si>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</si>
  <si>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</si>
  <si>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</si>
  <si>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</si>
  <si>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</si>
  <si>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</si>
  <si>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</si>
  <si>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</si>
  <si>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</si>
  <si>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</si>
  <si>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</si>
  <si>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</si>
  <si>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</si>
  <si>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</si>
  <si>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</si>
  <si>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</si>
  <si>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</si>
  <si>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</si>
  <si>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</si>
  <si>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</si>
  <si>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</si>
  <si>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</si>
  <si>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</si>
  <si>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</si>
  <si>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</si>
  <si>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</si>
  <si>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</si>
  <si>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</si>
  <si>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</si>
  <si>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</si>
  <si>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</si>
  <si>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</si>
  <si>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</si>
  <si>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</si>
  <si>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</si>
  <si>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</si>
  <si>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</si>
  <si>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</si>
  <si>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</si>
  <si>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</si>
  <si>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</si>
  <si>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</si>
  <si>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</si>
  <si>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</si>
  <si>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</si>
  <si>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</si>
  <si>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</si>
  <si>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</si>
  <si>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</si>
  <si>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</si>
  <si>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</si>
  <si>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</si>
  <si>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</si>
  <si>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</si>
  <si>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</si>
  <si>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</si>
  <si>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</si>
  <si>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</si>
  <si>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</si>
  <si>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</si>
  <si>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</si>
  <si>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</si>
  <si>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</si>
  <si>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</si>
  <si>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</si>
  <si>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</si>
  <si>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</si>
  <si>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</si>
  <si>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</si>
  <si>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</si>
  <si>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</si>
  <si>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</si>
  <si>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</si>
  <si>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</si>
  <si>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</si>
  <si>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</si>
  <si>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</si>
  <si>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</si>
  <si>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</si>
  <si>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</si>
  <si>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</si>
  <si>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</si>
  <si>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</si>
  <si>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</si>
  <si>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</si>
  <si>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</si>
  <si>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</si>
  <si>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</si>
  <si>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</si>
  <si>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</si>
  <si>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</si>
  <si>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</si>
  <si>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</si>
  <si>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</si>
  <si>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</si>
  <si>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</si>
  <si>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</si>
  <si>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</si>
  <si>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</si>
  <si>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</si>
  <si>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</si>
  <si>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</si>
  <si>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</si>
  <si>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</si>
  <si>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</si>
  <si>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</si>
  <si>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</si>
  <si>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</si>
  <si>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</si>
  <si>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</si>
  <si>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</si>
  <si>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</si>
  <si>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</si>
  <si>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</si>
  <si>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</si>
  <si>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</si>
  <si>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</si>
  <si>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</si>
  <si>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</si>
  <si>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</si>
  <si>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</si>
  <si>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</si>
  <si>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</si>
  <si>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</si>
  <si>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</si>
  <si>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</si>
  <si>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</si>
  <si>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</si>
  <si>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</si>
  <si>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</si>
  <si>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</si>
  <si>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</si>
  <si>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</si>
  <si>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</si>
  <si>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</si>
  <si>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</si>
  <si>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</si>
  <si>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</si>
  <si>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</si>
  <si>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</si>
  <si>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</si>
  <si>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</si>
  <si>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</si>
  <si>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</si>
  <si>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</si>
  <si>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</si>
  <si>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</si>
  <si>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</si>
  <si>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</si>
  <si>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</si>
  <si>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</si>
  <si>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</si>
  <si>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</si>
  <si>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</si>
  <si>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</si>
  <si>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</si>
  <si>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</si>
  <si>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</si>
  <si>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</si>
  <si>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</si>
  <si>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</si>
  <si>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</si>
  <si>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</si>
  <si>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</si>
  <si>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</si>
  <si>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</si>
  <si>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</si>
  <si>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</si>
  <si>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</si>
  <si>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</si>
  <si>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</si>
  <si>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</si>
  <si>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</si>
  <si>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</si>
  <si>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</si>
  <si>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</si>
  <si>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</si>
  <si>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</si>
  <si>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</si>
  <si>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</si>
  <si>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</si>
  <si>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</si>
  <si>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</si>
  <si>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</si>
  <si>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</si>
  <si>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</si>
  <si>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</si>
  <si>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</si>
  <si>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</si>
  <si>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</si>
  <si>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</si>
  <si>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</si>
  <si>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</si>
  <si>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</si>
  <si>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</si>
  <si>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</si>
  <si>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</si>
  <si>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</si>
  <si>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</si>
  <si>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</si>
  <si>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</si>
  <si>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</si>
  <si>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</si>
  <si>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</si>
  <si>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</si>
  <si>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</si>
  <si>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</si>
  <si>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</si>
  <si>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</si>
  <si>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</si>
  <si>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</si>
  <si>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</si>
  <si>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</si>
  <si>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</si>
  <si>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</si>
  <si>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</si>
  <si>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</si>
  <si>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</si>
  <si>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</si>
  <si>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</si>
  <si>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</si>
  <si>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</si>
  <si>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</si>
  <si>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</si>
  <si>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</si>
  <si>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</si>
  <si>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</si>
  <si>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</si>
  <si>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</si>
  <si>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</si>
  <si>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</si>
  <si>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</si>
  <si>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</si>
  <si>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</si>
  <si>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</si>
  <si>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</si>
  <si>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</si>
  <si>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</si>
  <si>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</si>
  <si>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</si>
  <si>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</si>
  <si>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</si>
  <si>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</si>
  <si>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</si>
  <si>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</si>
  <si>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</si>
  <si>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</si>
  <si>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</si>
  <si>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</si>
  <si>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</si>
  <si>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</si>
  <si>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</si>
  <si>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</si>
  <si>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</si>
  <si>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</si>
  <si>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</si>
  <si>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</si>
  <si>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</si>
  <si>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</si>
  <si>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</si>
  <si>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</si>
  <si>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</si>
  <si>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</si>
  <si>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</si>
  <si>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</si>
  <si>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</si>
  <si>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</si>
  <si>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</si>
  <si>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</si>
  <si>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</si>
  <si>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</si>
  <si>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</si>
  <si>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</si>
  <si>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</si>
  <si>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</si>
  <si>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</si>
  <si>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</si>
  <si>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</si>
  <si>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</si>
  <si>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</si>
  <si>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</si>
  <si>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</si>
  <si>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</si>
  <si>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</si>
  <si>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</si>
  <si>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</si>
  <si>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</si>
  <si>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</si>
  <si>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</si>
  <si>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</si>
  <si>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</si>
  <si>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</si>
  <si>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</si>
  <si>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</si>
  <si>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</si>
  <si>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</si>
  <si>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</si>
  <si>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</si>
  <si>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</si>
  <si>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</si>
  <si>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</si>
  <si>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</si>
  <si>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</si>
  <si>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</si>
  <si>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</si>
  <si>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</si>
  <si>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</si>
  <si>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</si>
  <si>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</si>
  <si>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</si>
  <si>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</si>
  <si>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</si>
  <si>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</si>
  <si>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</si>
  <si>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</si>
  <si>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</si>
  <si>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</si>
  <si>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</si>
  <si>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</si>
  <si>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</si>
  <si>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</si>
  <si>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</si>
  <si>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</si>
  <si>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</si>
  <si>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</si>
  <si>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</si>
  <si>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</si>
  <si>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</si>
  <si>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</si>
  <si>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</si>
  <si>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</si>
  <si>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</si>
  <si>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</si>
  <si>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</si>
  <si>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</si>
  <si>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</si>
  <si>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</si>
  <si>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</si>
  <si>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</si>
  <si>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</si>
  <si>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</si>
  <si>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</si>
  <si>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</si>
  <si>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</si>
  <si>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</si>
  <si>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</si>
  <si>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</si>
  <si>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</si>
  <si>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</si>
  <si>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</si>
  <si>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</si>
  <si>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</si>
  <si>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</si>
  <si>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</si>
  <si>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</si>
  <si>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</si>
  <si>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</si>
  <si>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</si>
  <si>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</si>
  <si>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</si>
  <si>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</si>
  <si>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</si>
  <si>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</si>
  <si>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</si>
  <si>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</si>
  <si>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</si>
  <si>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</si>
  <si>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</si>
  <si>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</si>
  <si>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</si>
  <si>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</si>
  <si>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</si>
  <si>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</si>
  <si>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</si>
  <si>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</si>
  <si>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</si>
  <si>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</si>
  <si>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</si>
  <si>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</si>
  <si>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</si>
  <si>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</si>
  <si>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</si>
  <si>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</si>
  <si>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</si>
  <si>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</si>
  <si>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</si>
  <si>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</si>
  <si>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</si>
  <si>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</si>
  <si>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</si>
  <si>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</si>
  <si>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</si>
  <si>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</si>
  <si>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</si>
  <si>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</si>
  <si>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</si>
  <si>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</si>
  <si>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</si>
  <si>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</si>
  <si>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</si>
  <si>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</si>
  <si>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</si>
  <si>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</si>
  <si>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</si>
  <si>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</si>
  <si>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</si>
  <si>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</si>
  <si>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</si>
  <si>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</si>
  <si>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</si>
  <si>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</si>
  <si>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</si>
  <si>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</si>
  <si>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</si>
  <si>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</si>
  <si>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</si>
  <si>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</si>
  <si>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</si>
  <si>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</si>
  <si>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</si>
  <si>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</si>
  <si>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</si>
  <si>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</si>
  <si>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</si>
  <si>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</si>
  <si>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</si>
  <si>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</si>
  <si>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</si>
  <si>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</si>
  <si>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</si>
  <si>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</si>
  <si>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</si>
  <si>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</si>
  <si>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</si>
  <si>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</si>
  <si>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</si>
  <si>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</si>
  <si>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</si>
  <si>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</si>
  <si>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</si>
  <si>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</si>
  <si>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</si>
  <si>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</si>
  <si>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</si>
  <si>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</si>
  <si>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</si>
  <si>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</si>
  <si>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</si>
  <si>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</si>
  <si>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</si>
  <si>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</si>
  <si>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</si>
  <si>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</si>
  <si>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</si>
  <si>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</si>
  <si>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</si>
  <si>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</si>
  <si>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</si>
  <si>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</si>
  <si>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</si>
  <si>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</si>
  <si>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</si>
  <si>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</si>
  <si>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</si>
  <si>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</si>
  <si>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</si>
  <si>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</si>
  <si>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</si>
  <si>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</si>
  <si>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</si>
  <si>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</si>
  <si>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</si>
  <si>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</si>
  <si>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</si>
  <si>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</si>
  <si>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</si>
  <si>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</si>
  <si>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</si>
  <si>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</si>
  <si>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</si>
  <si>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</si>
  <si>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</si>
  <si>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</si>
  <si>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</si>
  <si>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</si>
  <si>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</si>
  <si>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</si>
  <si>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</si>
  <si>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</si>
  <si>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</si>
  <si>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</si>
  <si>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</si>
  <si>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</si>
  <si>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</si>
  <si>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</si>
  <si>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</si>
  <si>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</si>
  <si>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</si>
  <si>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</si>
  <si>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</si>
  <si>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</si>
  <si>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</si>
  <si>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</si>
  <si>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</si>
  <si>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</si>
  <si>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</si>
  <si>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</si>
  <si>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</si>
  <si>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</si>
  <si>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</si>
  <si>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</si>
  <si>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</si>
  <si>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</si>
  <si>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</si>
  <si>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</si>
  <si>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</si>
  <si>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</si>
  <si>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</si>
  <si>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</si>
  <si>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</si>
  <si>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</si>
  <si>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</si>
  <si>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</si>
  <si>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</si>
  <si>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</si>
  <si>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</si>
  <si>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</si>
  <si>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</si>
  <si>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</si>
  <si>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</si>
  <si>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</si>
  <si>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</si>
  <si>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</si>
  <si>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</si>
  <si>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</si>
  <si>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</si>
  <si>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</si>
  <si>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</si>
  <si>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</si>
  <si>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</si>
  <si>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</si>
  <si>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</si>
  <si>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</si>
  <si>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</si>
  <si>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</si>
  <si>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</si>
  <si>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</si>
  <si>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</si>
  <si>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</si>
  <si>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</si>
  <si>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</si>
  <si>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</si>
  <si>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</si>
  <si>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</si>
  <si>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</si>
  <si>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</si>
  <si>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</si>
  <si>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</si>
  <si>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</si>
  <si>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</si>
  <si>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</si>
  <si>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</si>
  <si>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</si>
  <si>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</si>
  <si>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</si>
  <si>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</si>
  <si>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</si>
  <si>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</si>
  <si>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</si>
  <si>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</si>
  <si>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</si>
  <si>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</si>
  <si>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</si>
  <si>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</si>
  <si>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</si>
  <si>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</si>
  <si>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</si>
  <si>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</si>
  <si>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</si>
  <si>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</si>
  <si>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</si>
  <si>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</si>
  <si>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</si>
  <si>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</si>
  <si>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</si>
  <si>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</si>
  <si>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</si>
  <si>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</si>
  <si>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</si>
  <si>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</si>
  <si>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</si>
  <si>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</si>
  <si>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</si>
  <si>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</si>
  <si>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</si>
  <si>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</si>
  <si>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</si>
  <si>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</si>
  <si>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</si>
  <si>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</si>
  <si>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</si>
  <si>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</si>
  <si>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</si>
  <si>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</si>
  <si>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</si>
  <si>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</si>
  <si>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</si>
  <si>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</si>
  <si>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</si>
  <si>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</si>
  <si>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</si>
  <si>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</si>
  <si>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</si>
  <si>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</si>
  <si>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</si>
  <si>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</si>
  <si>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</si>
  <si>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</si>
  <si>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</si>
  <si>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</si>
  <si>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</si>
  <si>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</si>
  <si>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</si>
  <si>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</si>
  <si>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</si>
  <si>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</si>
  <si>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</si>
  <si>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</si>
  <si>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</si>
  <si>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</si>
  <si>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</si>
  <si>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</si>
  <si>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</si>
  <si>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</si>
  <si>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</si>
  <si>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</si>
  <si>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</si>
  <si>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</si>
  <si>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</si>
  <si>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</si>
  <si>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</si>
  <si>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</si>
  <si>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</si>
  <si>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</si>
  <si>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</si>
  <si>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</si>
  <si>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</si>
  <si>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</si>
  <si>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</si>
  <si>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</si>
  <si>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</si>
  <si>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</si>
  <si>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</si>
  <si>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</si>
  <si>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</si>
  <si>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</si>
  <si>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</si>
  <si>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</si>
  <si>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</si>
  <si>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</si>
  <si>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</si>
  <si>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</si>
  <si>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</si>
  <si>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</si>
  <si>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</si>
  <si>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</si>
  <si>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</si>
  <si>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</si>
  <si>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</si>
  <si>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</si>
  <si>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</si>
  <si>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</si>
  <si>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</si>
  <si>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</si>
  <si>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</si>
  <si>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</si>
  <si>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</si>
  <si>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</si>
  <si>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</si>
  <si>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</si>
  <si>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</si>
  <si>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</si>
  <si>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</si>
  <si>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</si>
  <si>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</si>
  <si>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</si>
  <si>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</si>
  <si>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</si>
  <si>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</si>
  <si>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</si>
  <si>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</si>
  <si>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</si>
  <si>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</si>
  <si>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</si>
  <si>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</si>
  <si>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</si>
  <si>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</si>
  <si>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</si>
  <si>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</si>
  <si>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</si>
  <si>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</si>
  <si>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</si>
  <si>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</si>
  <si>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</si>
  <si>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</si>
  <si>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</si>
  <si>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</si>
  <si>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</si>
  <si>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</si>
  <si>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</si>
  <si>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</si>
  <si>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</si>
  <si>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</si>
  <si>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</si>
  <si>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</si>
  <si>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</si>
  <si>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</si>
  <si>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</si>
  <si>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</si>
  <si>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</si>
  <si>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</si>
  <si>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</si>
  <si>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</si>
  <si>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</si>
  <si>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</si>
  <si>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</si>
  <si>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</si>
  <si>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</si>
  <si>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</si>
  <si>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</si>
  <si>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</si>
  <si>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</si>
  <si>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</si>
  <si>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</si>
  <si>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</si>
  <si>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</si>
  <si>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</si>
  <si>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</si>
  <si>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</si>
  <si>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</si>
  <si>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</si>
  <si>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</si>
  <si>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</si>
  <si>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</si>
  <si>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</si>
  <si>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</si>
  <si>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</si>
  <si>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</si>
  <si>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</si>
  <si>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</si>
  <si>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</si>
  <si>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</si>
  <si>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</si>
  <si>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</si>
  <si>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</si>
  <si>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</si>
  <si>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</si>
  <si>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</si>
  <si>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</si>
  <si>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</si>
  <si>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</si>
  <si>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</si>
  <si>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</si>
  <si>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</si>
  <si>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</si>
  <si>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</si>
  <si>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</si>
  <si>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</si>
  <si>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</si>
  <si>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January 2025 Frozen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</si>
</sst>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2330</v>
      </c>
      <c r="C1" s="193">
        <v>45967</v>
      </c>
      <c r="G1" s="123" t="s">
        <v>2262</v>
      </c>
      <c r="H1" s="123" t="s">
        <v>2263</v>
      </c>
    </row>
    <row r="2" spans="1:8" x14ac:dyDescent="0.25">
      <c r="B2" t="str">
        <f>_xlfn.XLOOKUP(B1,H:H,G:G,0,0,1)</f>
        <v>MD</v>
      </c>
      <c r="C2" t="str">
        <f>_xlfn.XLOOKUP(B2,G:G, H:H, 0,0,1)</f>
        <v>Maryland</v>
      </c>
      <c r="G2" t="s">
        <v>2080</v>
      </c>
      <c r="H2" t="s">
        <v>2279</v>
      </c>
    </row>
    <row r="3" spans="1:8" x14ac:dyDescent="0.25">
      <c r="A3" t="s">
        <v>103</v>
      </c>
      <c r="G3" t="s">
        <v>2081</v>
      </c>
      <c r="H3" t="s">
        <v>2280</v>
      </c>
    </row>
    <row r="4" spans="1:8" x14ac:dyDescent="0.25">
      <c r="A4" t="s">
        <v>136</v>
      </c>
      <c r="G4" t="s">
        <v>2082</v>
      </c>
      <c r="H4" t="s">
        <v>2281</v>
      </c>
    </row>
    <row r="5" spans="1:8" x14ac:dyDescent="0.25">
      <c r="A5" t="s">
        <v>107</v>
      </c>
      <c r="G5" t="s">
        <v>2083</v>
      </c>
      <c r="H5" t="s">
        <v>2282</v>
      </c>
    </row>
    <row r="6" spans="1:8" x14ac:dyDescent="0.25">
      <c r="A6" t="s">
        <v>104</v>
      </c>
      <c r="G6" t="s">
        <v>2084</v>
      </c>
      <c r="H6" t="s">
        <v>2283</v>
      </c>
    </row>
    <row r="7" spans="1:8" x14ac:dyDescent="0.25">
      <c r="G7" t="s">
        <v>474</v>
      </c>
      <c r="H7" t="s">
        <v>2289</v>
      </c>
    </row>
    <row r="8" spans="1:8" x14ac:dyDescent="0.25">
      <c r="A8" t="s">
        <v>105</v>
      </c>
      <c r="G8" t="s">
        <v>2085</v>
      </c>
      <c r="H8" t="s">
        <v>2295</v>
      </c>
    </row>
    <row r="9" spans="1:8" x14ac:dyDescent="0.25">
      <c r="A9" t="s">
        <v>106</v>
      </c>
      <c r="G9" t="s">
        <v>2086</v>
      </c>
      <c r="H9" t="s">
        <v>2086</v>
      </c>
    </row>
    <row r="10" spans="1:8" x14ac:dyDescent="0.25">
      <c r="A10" s="36" t="s">
        <v>1003</v>
      </c>
      <c r="G10" t="s">
        <v>2087</v>
      </c>
      <c r="H10" t="s">
        <v>2301</v>
      </c>
    </row>
    <row r="11" spans="1:8" x14ac:dyDescent="0.25">
      <c r="A11" s="36"/>
      <c r="G11" t="s">
        <v>2088</v>
      </c>
      <c r="H11" t="s">
        <v>2306</v>
      </c>
    </row>
    <row r="12" spans="1:8" x14ac:dyDescent="0.25">
      <c r="A12" t="s">
        <v>108</v>
      </c>
      <c r="G12" t="s">
        <v>2089</v>
      </c>
      <c r="H12" t="s">
        <v>2310</v>
      </c>
    </row>
    <row r="13" spans="1:8" x14ac:dyDescent="0.25">
      <c r="A13" t="s">
        <v>109</v>
      </c>
      <c r="G13" t="s">
        <v>2090</v>
      </c>
      <c r="H13" t="s">
        <v>2311</v>
      </c>
    </row>
    <row r="14" spans="1:8" x14ac:dyDescent="0.25">
      <c r="A14" t="s">
        <v>110</v>
      </c>
      <c r="G14" t="s">
        <v>2091</v>
      </c>
      <c r="H14" t="s">
        <v>2312</v>
      </c>
    </row>
    <row r="15" spans="1:8" x14ac:dyDescent="0.25">
      <c r="G15" t="s">
        <v>2092</v>
      </c>
      <c r="H15" t="s">
        <v>2313</v>
      </c>
    </row>
    <row r="16" spans="1:8" x14ac:dyDescent="0.25">
      <c r="A16" s="37" t="s">
        <v>1089</v>
      </c>
      <c r="B16" s="38"/>
      <c r="G16" t="s">
        <v>2093</v>
      </c>
      <c r="H16" t="s">
        <v>2314</v>
      </c>
    </row>
    <row r="17" spans="1:8" x14ac:dyDescent="0.25">
      <c r="A17" t="s">
        <v>1072</v>
      </c>
      <c r="B17" s="15">
        <f>MAX(PolicyLevers!H:H)</f>
        <v>2769</v>
      </c>
      <c r="G17" t="s">
        <v>2094</v>
      </c>
      <c r="H17" t="s">
        <v>2315</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2316</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2317</v>
      </c>
    </row>
    <row r="20" spans="1:8" x14ac:dyDescent="0.25">
      <c r="G20" t="s">
        <v>2097</v>
      </c>
      <c r="H20" t="s">
        <v>2320</v>
      </c>
    </row>
    <row r="21" spans="1:8" x14ac:dyDescent="0.25">
      <c r="A21" s="37" t="s">
        <v>1437</v>
      </c>
      <c r="B21" s="38"/>
      <c r="G21" t="s">
        <v>2098</v>
      </c>
      <c r="H21" t="s">
        <v>2325</v>
      </c>
    </row>
    <row r="22" spans="1:8" x14ac:dyDescent="0.25">
      <c r="A22" t="s">
        <v>1431</v>
      </c>
      <c r="G22" t="s">
        <v>2099</v>
      </c>
      <c r="H22" t="s">
        <v>2330</v>
      </c>
    </row>
    <row r="23" spans="1:8" x14ac:dyDescent="0.25">
      <c r="A23" t="s">
        <v>1432</v>
      </c>
      <c r="G23" t="s">
        <v>2100</v>
      </c>
      <c r="H23" t="s">
        <v>2336</v>
      </c>
    </row>
    <row r="24" spans="1:8" x14ac:dyDescent="0.25">
      <c r="A24" t="s">
        <v>1433</v>
      </c>
      <c r="G24" t="s">
        <v>2101</v>
      </c>
      <c r="H24" t="s">
        <v>2341</v>
      </c>
    </row>
    <row r="25" spans="1:8" x14ac:dyDescent="0.25">
      <c r="A25" t="s">
        <v>1434</v>
      </c>
      <c r="G25" t="s">
        <v>2102</v>
      </c>
      <c r="H25" t="s">
        <v>2347</v>
      </c>
    </row>
    <row r="26" spans="1:8" x14ac:dyDescent="0.25">
      <c r="G26" t="s">
        <v>2103</v>
      </c>
      <c r="H26" t="s">
        <v>2353</v>
      </c>
    </row>
    <row r="27" spans="1:8" x14ac:dyDescent="0.25">
      <c r="A27" s="37" t="s">
        <v>1435</v>
      </c>
      <c r="B27" s="38"/>
      <c r="C27" s="38"/>
      <c r="G27" t="s">
        <v>2104</v>
      </c>
      <c r="H27" t="s">
        <v>2354</v>
      </c>
    </row>
    <row r="28" spans="1:8" x14ac:dyDescent="0.25">
      <c r="A28" t="s">
        <v>1082</v>
      </c>
      <c r="G28" t="s">
        <v>2105</v>
      </c>
      <c r="H28" t="s">
        <v>2355</v>
      </c>
    </row>
    <row r="29" spans="1:8" x14ac:dyDescent="0.25">
      <c r="A29" t="s">
        <v>1068</v>
      </c>
      <c r="G29" t="s">
        <v>2106</v>
      </c>
      <c r="H29" t="s">
        <v>2357</v>
      </c>
    </row>
    <row r="30" spans="1:8" x14ac:dyDescent="0.25">
      <c r="A30" t="s">
        <v>1069</v>
      </c>
      <c r="G30" t="s">
        <v>2107</v>
      </c>
      <c r="H30" t="s">
        <v>2361</v>
      </c>
    </row>
    <row r="31" spans="1:8" x14ac:dyDescent="0.25">
      <c r="A31" t="s">
        <v>1070</v>
      </c>
      <c r="G31" t="s">
        <v>475</v>
      </c>
      <c r="H31" t="s">
        <v>2362</v>
      </c>
    </row>
    <row r="32" spans="1:8" x14ac:dyDescent="0.25">
      <c r="A32" t="s">
        <v>1071</v>
      </c>
      <c r="G32" t="s">
        <v>2108</v>
      </c>
      <c r="H32" t="s">
        <v>2363</v>
      </c>
    </row>
    <row r="33" spans="1:8" x14ac:dyDescent="0.25">
      <c r="G33" t="s">
        <v>2109</v>
      </c>
      <c r="H33" t="s">
        <v>2368</v>
      </c>
    </row>
    <row r="34" spans="1:8" x14ac:dyDescent="0.25">
      <c r="A34" t="s">
        <v>1083</v>
      </c>
      <c r="G34" t="s">
        <v>2110</v>
      </c>
      <c r="H34" t="s">
        <v>2374</v>
      </c>
    </row>
    <row r="35" spans="1:8" x14ac:dyDescent="0.25">
      <c r="A35" t="s">
        <v>1066</v>
      </c>
      <c r="G35" t="s">
        <v>2111</v>
      </c>
      <c r="H35" t="s">
        <v>2377</v>
      </c>
    </row>
    <row r="36" spans="1:8" x14ac:dyDescent="0.25">
      <c r="A36" t="s">
        <v>1067</v>
      </c>
      <c r="G36" t="s">
        <v>2112</v>
      </c>
      <c r="H36" t="s">
        <v>2381</v>
      </c>
    </row>
    <row r="37" spans="1:8" x14ac:dyDescent="0.25">
      <c r="G37" t="s">
        <v>2113</v>
      </c>
      <c r="H37" t="s">
        <v>2385</v>
      </c>
    </row>
    <row r="38" spans="1:8" x14ac:dyDescent="0.25">
      <c r="A38" t="s">
        <v>1084</v>
      </c>
      <c r="G38" t="s">
        <v>2114</v>
      </c>
      <c r="H38" t="s">
        <v>2386</v>
      </c>
    </row>
    <row r="39" spans="1:8" x14ac:dyDescent="0.25">
      <c r="A39" t="s">
        <v>1073</v>
      </c>
      <c r="G39" t="s">
        <v>2115</v>
      </c>
      <c r="H39" t="s">
        <v>2387</v>
      </c>
    </row>
    <row r="40" spans="1:8" x14ac:dyDescent="0.25">
      <c r="A40" t="s">
        <v>1074</v>
      </c>
      <c r="G40" t="s">
        <v>2116</v>
      </c>
      <c r="H40" t="s">
        <v>2392</v>
      </c>
    </row>
    <row r="41" spans="1:8" x14ac:dyDescent="0.25">
      <c r="G41" t="s">
        <v>2117</v>
      </c>
      <c r="H41" t="s">
        <v>2397</v>
      </c>
    </row>
    <row r="42" spans="1:8" x14ac:dyDescent="0.25">
      <c r="A42" t="s">
        <v>1085</v>
      </c>
      <c r="G42" t="s">
        <v>2118</v>
      </c>
      <c r="H42" t="s">
        <v>2402</v>
      </c>
    </row>
    <row r="43" spans="1:8" x14ac:dyDescent="0.25">
      <c r="A43" t="s">
        <v>1075</v>
      </c>
      <c r="G43" t="s">
        <v>2119</v>
      </c>
      <c r="H43" t="s">
        <v>2403</v>
      </c>
    </row>
    <row r="44" spans="1:8" x14ac:dyDescent="0.25">
      <c r="A44" t="s">
        <v>1076</v>
      </c>
      <c r="G44" t="s">
        <v>2120</v>
      </c>
      <c r="H44" t="s">
        <v>2404</v>
      </c>
    </row>
    <row r="45" spans="1:8" x14ac:dyDescent="0.25">
      <c r="G45" t="s">
        <v>2121</v>
      </c>
      <c r="H45" t="s">
        <v>2405</v>
      </c>
    </row>
    <row r="46" spans="1:8" x14ac:dyDescent="0.25">
      <c r="A46" s="37" t="s">
        <v>1436</v>
      </c>
      <c r="B46" s="38"/>
      <c r="G46" t="s">
        <v>2122</v>
      </c>
      <c r="H46" t="s">
        <v>2406</v>
      </c>
    </row>
    <row r="47" spans="1:8" x14ac:dyDescent="0.25">
      <c r="A47" t="s">
        <v>1077</v>
      </c>
      <c r="G47" t="s">
        <v>2123</v>
      </c>
      <c r="H47" t="s">
        <v>2407</v>
      </c>
    </row>
    <row r="48" spans="1:8" x14ac:dyDescent="0.25">
      <c r="A48" t="s">
        <v>1078</v>
      </c>
      <c r="G48" t="s">
        <v>2124</v>
      </c>
      <c r="H48" t="s">
        <v>2409</v>
      </c>
    </row>
    <row r="49" spans="1:8" x14ac:dyDescent="0.25">
      <c r="G49" t="s">
        <v>2125</v>
      </c>
      <c r="H49" t="s">
        <v>2413</v>
      </c>
    </row>
    <row r="50" spans="1:8" x14ac:dyDescent="0.25">
      <c r="A50" t="s">
        <v>1079</v>
      </c>
      <c r="G50" t="s">
        <v>2126</v>
      </c>
      <c r="H50" t="s">
        <v>2417</v>
      </c>
    </row>
    <row r="51" spans="1:8" x14ac:dyDescent="0.25">
      <c r="A51" t="s">
        <v>1086</v>
      </c>
      <c r="G51" t="s">
        <v>2127</v>
      </c>
      <c r="H51" t="s">
        <v>2418</v>
      </c>
    </row>
    <row r="52" spans="1:8" x14ac:dyDescent="0.25">
      <c r="A52" t="s">
        <v>1080</v>
      </c>
      <c r="G52" t="s">
        <v>2128</v>
      </c>
      <c r="H52" t="s">
        <v>2419</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2635</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2622</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2596</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2597</v>
      </c>
      <c r="K13" s="88" t="s">
        <v>192</v>
      </c>
      <c r="L13" s="78" t="s">
        <v>193</v>
      </c>
      <c r="M13" s="233" t="s">
        <v>1428</v>
      </c>
    </row>
    <row r="14" spans="1:14" ht="15.75" x14ac:dyDescent="0.25">
      <c r="A14" s="143" t="s">
        <v>4</v>
      </c>
      <c r="B14" s="143" t="s">
        <v>1601</v>
      </c>
      <c r="C14" s="234" t="s">
        <v>2584</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2618</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2644</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Maryland, the share of electricity among fuels used for heating in urban, residential buildings will rise from 20% to 27% through 2050.//**Urban Residential Appliances:** In the BAU case, in Maryland,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Maryland, the share of electricity among fuels used for heating in rural, residential buildings will rise from 20% to 27% through 2050.//**Rural Residential Appliances:** In the BAU case, in Maryland, the share of electricity among fuels used for appliances in rural, residential buildings will fall from 57% to 56% through 2050.//**Rural Residential Other Components:** In the United States, the share of electricity among fuels used by other components in rural, residential buildings is 100%.//**Commercial Heating:** In the BAU case, in Maryland, the share of electricity among fuels used for heating in commercial buildings will rise from 6% to 7% through 2050.//**Comercial Appliances:** In the BAU case, in Maryland, the share of electricity among fuels used for appliances in commercial buildings will fall from 45% to 42% through 2050.//**Comercial Other Components:** In the BAU case, in Maryland, the share of electricity among fuels used for other components in commercial buildings will rise from 61% to 72%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2591</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2623</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2592</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2645</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2593</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Maryland.</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Maryland.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The BAU scenario includes a CES alternative compliance payment of roughly 30 $/MWh.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Maryland.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Maryland, a 100% setting provides for an additional  3939 MW of demand response capacity in 2050 (on top of a BAU quantity of 1884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Maryland will retire 1600 MW of coal by 2050. Maryland currently has 4270 MW of coal capacity.//**Natural gas non-peaker:** The EIA projects that MD will retire 0 MW of natural gas by 2050. MD currently has 2685 MW of natural gas non-peaker capacity.//**Nuclear:** The EIA projects that MD will retire 0 MW of nuclear by 2050. MD currently has 1708 MW of nuclear capacity.//**Natural gas peaker:** The EIA projects that MD will retire 0 MW of natural gas by 2050. MD currently has 3262 MW of natural gas peaker capacity.//**Lignite:** The EIA projects that MD will retire 0 MW of lignite by 2050. MD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2636</v>
      </c>
    </row>
    <row r="40" spans="1:14" x14ac:dyDescent="0.25">
      <c r="A40" t="s">
        <v>8</v>
      </c>
      <c r="B40" t="s">
        <v>59</v>
      </c>
      <c r="C40" t="s">
        <v>129</v>
      </c>
      <c r="D40" t="s">
        <v>59</v>
      </c>
      <c r="E40" s="58"/>
      <c r="F40">
        <v>0</v>
      </c>
      <c r="G40">
        <v>1</v>
      </c>
      <c r="H40">
        <v>1</v>
      </c>
      <c r="I40" s="88" t="s">
        <v>29</v>
      </c>
      <c r="J40" s="224" t="s">
        <v>2624</v>
      </c>
    </row>
    <row r="41" spans="1:14" x14ac:dyDescent="0.25">
      <c r="A41" t="s">
        <v>8</v>
      </c>
      <c r="B41" t="s">
        <v>1857</v>
      </c>
      <c r="C41" t="s">
        <v>1858</v>
      </c>
      <c r="D41" t="s">
        <v>1857</v>
      </c>
      <c r="E41" s="58"/>
      <c r="F41">
        <v>0</v>
      </c>
      <c r="G41">
        <v>1</v>
      </c>
      <c r="H41">
        <v>1</v>
      </c>
      <c r="I41" s="88" t="s">
        <v>29</v>
      </c>
      <c r="J41" s="224" t="s">
        <v>2637</v>
      </c>
    </row>
    <row r="42" spans="1:14" s="243" customFormat="1" x14ac:dyDescent="0.25">
      <c r="A42" s="243" t="s">
        <v>8</v>
      </c>
      <c r="B42" s="243" t="s">
        <v>355</v>
      </c>
      <c r="C42" s="243" t="s">
        <v>356</v>
      </c>
      <c r="D42" s="243" t="s">
        <v>355</v>
      </c>
      <c r="E42" s="243" t="s">
        <v>529</v>
      </c>
      <c r="F42" s="244">
        <v>0</v>
      </c>
      <c r="G42" s="244">
        <v>1</v>
      </c>
      <c r="H42" s="244">
        <v>1</v>
      </c>
      <c r="I42" s="245" t="s">
        <v>29</v>
      </c>
      <c r="J42" s="231" t="s">
        <v>2545</v>
      </c>
      <c r="K42" s="245"/>
      <c r="L42" s="246" t="s">
        <v>2546</v>
      </c>
      <c r="M42" s="247"/>
      <c r="N42" s="245"/>
    </row>
    <row r="43" spans="1:14" x14ac:dyDescent="0.25">
      <c r="A43" s="143" t="s">
        <v>8</v>
      </c>
      <c r="B43" s="143" t="s">
        <v>2628</v>
      </c>
      <c r="C43" t="s">
        <v>253</v>
      </c>
      <c r="D43" s="143" t="s">
        <v>252</v>
      </c>
      <c r="E43" t="s">
        <v>528</v>
      </c>
      <c r="F43" s="222">
        <v>-0.3</v>
      </c>
      <c r="G43" s="222">
        <v>0.6</v>
      </c>
      <c r="H43" s="222">
        <v>0.01</v>
      </c>
      <c r="I43" s="78" t="s">
        <v>254</v>
      </c>
      <c r="J43" s="88" t="s">
        <v>2629</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2641</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2625</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2585</v>
      </c>
      <c r="C49" t="s">
        <v>2587</v>
      </c>
      <c r="D49" t="s">
        <v>1795</v>
      </c>
      <c r="E49" t="s">
        <v>2588</v>
      </c>
      <c r="F49" s="216">
        <v>-100</v>
      </c>
      <c r="G49">
        <v>100</v>
      </c>
      <c r="H49">
        <v>1</v>
      </c>
      <c r="I49" s="88" t="s">
        <v>1833</v>
      </c>
      <c r="J49" s="88" t="s">
        <v>2620</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2626</v>
      </c>
      <c r="K51" s="88"/>
      <c r="L51" s="78"/>
      <c r="M51" s="227"/>
    </row>
    <row r="52" spans="1:14" x14ac:dyDescent="0.25">
      <c r="A52" t="s">
        <v>8</v>
      </c>
      <c r="B52" t="s">
        <v>1803</v>
      </c>
      <c r="C52" t="s">
        <v>1804</v>
      </c>
      <c r="D52" t="s">
        <v>1803</v>
      </c>
      <c r="E52" t="s">
        <v>1805</v>
      </c>
      <c r="F52">
        <v>-100</v>
      </c>
      <c r="G52">
        <v>100</v>
      </c>
      <c r="H52">
        <v>1</v>
      </c>
      <c r="I52" s="143" t="s">
        <v>1806</v>
      </c>
      <c r="J52" s="88" t="s">
        <v>2598</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2627</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2621</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2594</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2581</v>
      </c>
      <c r="C72" s="112" t="s">
        <v>1941</v>
      </c>
      <c r="D72" s="112" t="s">
        <v>2582</v>
      </c>
      <c r="E72" s="112" t="s">
        <v>2583</v>
      </c>
      <c r="F72" s="250">
        <v>0</v>
      </c>
      <c r="G72" s="250">
        <v>1</v>
      </c>
      <c r="H72" s="250">
        <v>1</v>
      </c>
      <c r="I72" s="236" t="s">
        <v>29</v>
      </c>
      <c r="J72" s="236" t="s">
        <v>2619</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51.76%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20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2632</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2646</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2647</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2638</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2639</v>
      </c>
      <c r="K91" s="88" t="s">
        <v>239</v>
      </c>
      <c r="L91" s="78" t="s">
        <v>240</v>
      </c>
    </row>
    <row r="92" spans="1:14" x14ac:dyDescent="0.25">
      <c r="A92" s="143" t="s">
        <v>10</v>
      </c>
      <c r="B92" t="s">
        <v>1519</v>
      </c>
      <c r="C92" t="s">
        <v>1562</v>
      </c>
      <c r="D92" s="58"/>
      <c r="E92" s="58"/>
      <c r="F92">
        <v>0</v>
      </c>
      <c r="G92">
        <v>1</v>
      </c>
      <c r="H92">
        <v>1</v>
      </c>
      <c r="I92" s="88" t="s">
        <v>29</v>
      </c>
      <c r="J92" t="s">
        <v>2640</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2634</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2586</v>
      </c>
      <c r="C114" t="s">
        <v>2589</v>
      </c>
      <c r="D114" s="58"/>
      <c r="E114" t="s">
        <v>2590</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2515</v>
      </c>
      <c r="K1" s="98" t="s">
        <v>2516</v>
      </c>
      <c r="L1" s="98" t="s">
        <v>2</v>
      </c>
      <c r="M1" s="98" t="s">
        <v>2517</v>
      </c>
      <c r="N1" s="98" t="s">
        <v>2518</v>
      </c>
      <c r="O1" s="98" t="s">
        <v>2519</v>
      </c>
      <c r="P1" s="98" t="s">
        <v>2520</v>
      </c>
      <c r="Q1" s="98" t="s">
        <v>2521</v>
      </c>
      <c r="R1" s="98" t="s">
        <v>2522</v>
      </c>
      <c r="S1" s="98" t="s">
        <v>2523</v>
      </c>
      <c r="T1" s="98" t="s">
        <v>2524</v>
      </c>
    </row>
    <row r="2" spans="1:20" x14ac:dyDescent="0.25">
      <c r="A2" t="s">
        <v>71</v>
      </c>
      <c r="B2" t="s">
        <v>15</v>
      </c>
      <c r="C2" t="s">
        <v>727</v>
      </c>
      <c r="D2" t="s">
        <v>15</v>
      </c>
      <c r="E2" t="s">
        <v>726</v>
      </c>
      <c r="F2" s="220">
        <v>0</v>
      </c>
      <c r="G2" s="220">
        <v>1</v>
      </c>
      <c r="H2" s="220">
        <v>0.01</v>
      </c>
      <c r="I2" s="88" t="s">
        <v>113</v>
      </c>
      <c r="J2" s="88" t="s">
        <v>2525</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Maryland, the share of electricity among fuels used for heating in urban, residential buildings will rise from 20% to 27%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Maryland, the share of electricity among fuels used for heating in urban, residential buildings will rise from 20% to 27% through 2050.//**Urban Residential Appliances:** In the BAU case, in Maryland,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Maryland, the share of electricity among fuels used for heating in rural, residential buildings will rise from 20% to 27% through 2050.//**Rural Residential Appliances:** In the BAU case, in Maryland, the share of electricity among fuels used for appliances in rural, residential buildings will fall from 57% to 56% through 2050.//**Rural Residential Other Components:** In the United States, the share of electricity among fuels used by other components in rural, residential buildings is 100%.//**Commercial Heating:** In the BAU case, in Maryland, the share of electricity among fuels used for heating in commercial buildings will rise from 6% to 7% through 2050.//**Comercial Appliances:** In the BAU case, in Maryland, the share of electricity among fuels used for appliances in commercial buildings will fall from 45% to 42% through 2050.//**Comercial Other Components:** In the BAU case, in Maryland, the share of electricity among fuels used for other components in commercial buildings will rise from 61% to 72%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Maryland, the share of electricity among fuels used for appliances in urban, residential buildings will fall from 57% to 57%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Maryland, the share of electricity among fuels used for heating in rural, residential buildings will rise from 20% to 27%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Maryland, the share of electricity among fuels used for appliances in rural, residential buildings will fall from 57% to 56%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Maryland, the share of electricity among fuels used for heating in commercial buildings will rise from 6% to 7%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Maryland, the share of electricity among fuels used for appliances in commercial buildings will fall from 45% to 42%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Maryland, the share of electricity among fuels used for other components in commercial buildings will rise from 61% to 72% through 2050.</v>
      </c>
    </row>
    <row r="3" spans="1:20" x14ac:dyDescent="0.25">
      <c r="A3" t="s">
        <v>8</v>
      </c>
      <c r="B3" s="88" t="s">
        <v>1360</v>
      </c>
      <c r="C3" s="221" t="s">
        <v>2526</v>
      </c>
      <c r="D3" s="88" t="s">
        <v>1360</v>
      </c>
      <c r="E3" t="s">
        <v>526</v>
      </c>
      <c r="F3" s="220">
        <v>0</v>
      </c>
      <c r="G3" s="8">
        <v>1</v>
      </c>
      <c r="H3" s="8">
        <v>0.01</v>
      </c>
      <c r="I3" s="88" t="s">
        <v>34</v>
      </c>
      <c r="J3" s="114" t="s">
        <v>2527</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Maryland.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Maryland.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2528</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Maryland.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Maryland.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2529</v>
      </c>
      <c r="K5" t="str">
        <f>_xlfn.CONCAT("From 2008 to 2021, electricity imports grew by ",'Supporting Data'!F3,"%.")</f>
        <v>From 2008 to 2021, electricity imports grew by 11%.</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v>
      </c>
    </row>
    <row r="6" spans="1:20" x14ac:dyDescent="0.25">
      <c r="A6" t="s">
        <v>8</v>
      </c>
      <c r="B6" t="s">
        <v>17</v>
      </c>
      <c r="C6" t="s">
        <v>27</v>
      </c>
      <c r="D6" t="s">
        <v>17</v>
      </c>
      <c r="E6" t="s">
        <v>531</v>
      </c>
      <c r="F6" s="220">
        <v>0</v>
      </c>
      <c r="G6" s="8">
        <v>1</v>
      </c>
      <c r="H6" s="8">
        <v>0.01</v>
      </c>
      <c r="I6" s="88" t="s">
        <v>33</v>
      </c>
      <c r="J6" s="88" t="s">
        <v>2530</v>
      </c>
      <c r="K6" t="str">
        <f>_xlfn.CONCAT("For ", About!$C$2, ", a 100% setting provides for an additional  ",'Supporting Data'!J3," MW of demand response capacity in 2050 (on top of a BAU quantity of ", 'Supporting Data'!L3, " MW).")</f>
        <v>For Maryland, a 100% setting provides for an additional  3939 MW of demand response capacity in 2050 (on top of a BAU quantity of 1884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Maryland, a 100% setting provides for an additional  3939 MW of demand response capacity in 2050 (on top of a BAU quantity of 1884 MW).</v>
      </c>
    </row>
    <row r="7" spans="1:20" x14ac:dyDescent="0.25">
      <c r="A7" s="143" t="s">
        <v>8</v>
      </c>
      <c r="B7" t="s">
        <v>1026</v>
      </c>
      <c r="C7" t="s">
        <v>1028</v>
      </c>
      <c r="D7" t="s">
        <v>1026</v>
      </c>
      <c r="E7" t="s">
        <v>1029</v>
      </c>
      <c r="F7" s="222">
        <v>0</v>
      </c>
      <c r="G7" s="222">
        <v>0.95</v>
      </c>
      <c r="H7" s="222">
        <v>0.01</v>
      </c>
      <c r="I7" s="78" t="s">
        <v>1030</v>
      </c>
      <c r="J7" s="88" t="s">
        <v>2531</v>
      </c>
      <c r="K7" t="s">
        <v>2532</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Maryland does not have a capacity construction subsidy. However, the Investment Tax Credit, a similar program for solar power, covers 30% of system costs through 2019, with declining amounts thereafter.//**Solar PV: **Maryland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**Maryland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Maryland does not have a capacity construction subsidy. However, the Investment Tax Credit, a similar program for solar power, covers 30% of system costs through 2019, with declining amounts thereafter.</v>
      </c>
      <c r="N7" t="s">
        <v>2533</v>
      </c>
      <c r="O7" t="str">
        <f>_xlfn.CONCAT("//**Solar PV: **",About!$C$2," does not have a capacity construction subsidy. ")&amp;N7</f>
        <v>//**Solar PV: **Maryland does not have a capacity construction subsidy. However, the Investment Tax Credit, a similar program for solar power, covers 30% of system costs through 2019, with declining amounts thereafter.</v>
      </c>
      <c r="P7" t="s">
        <v>2534</v>
      </c>
      <c r="Q7" t="str">
        <f>_xlfn.CONCAT("//**Offshore Wind: **",About!$C$2," does not have a capacity construction subsidy. ")&amp;N7</f>
        <v>//**Offshore Wind: **Maryland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2631</v>
      </c>
      <c r="K8" t="str">
        <f>_xlfn.CONCAT(" If this policy is fully implemented, the afforestation/reforestation rate reaches ",'Supporting Data'!C3," thousand acres per year in 2050.")</f>
        <v xml:space="preserve"> If this policy is fully implemented, the afforestation/reforestation rate reaches 20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20 thousand acres per year in 2050.</v>
      </c>
    </row>
    <row r="9" spans="1:20" x14ac:dyDescent="0.25">
      <c r="A9" s="143" t="s">
        <v>8</v>
      </c>
      <c r="B9" s="143" t="s">
        <v>326</v>
      </c>
      <c r="C9" t="s">
        <v>327</v>
      </c>
      <c r="D9" s="143" t="s">
        <v>326</v>
      </c>
      <c r="E9" t="s">
        <v>535</v>
      </c>
      <c r="F9" s="143">
        <v>0</v>
      </c>
      <c r="G9" s="143">
        <v>1</v>
      </c>
      <c r="H9" s="143">
        <v>1</v>
      </c>
      <c r="I9" s="78" t="s">
        <v>29</v>
      </c>
      <c r="J9" s="88" t="s">
        <v>2535</v>
      </c>
      <c r="K9" t="str">
        <f>_xlfn.CONCAT(" No new coal is planned in ", 'Supporting Data'!A3, ".")</f>
        <v xml:space="preserve"> No new coal is planned in Maryland.</v>
      </c>
      <c r="L9" s="143" t="str">
        <f>J9&amp;K9</f>
        <v>**Description:** This policy prevents new capacity of the selected type(s) from being built or deployed.  // **Guidance for setting values:** No new coal is planned in Maryland.</v>
      </c>
      <c r="M9" s="102"/>
    </row>
    <row r="10" spans="1:20" ht="165" x14ac:dyDescent="0.25">
      <c r="A10" s="143" t="s">
        <v>4</v>
      </c>
      <c r="B10" s="143" t="s">
        <v>1609</v>
      </c>
      <c r="C10" t="s">
        <v>1611</v>
      </c>
      <c r="D10" s="143" t="s">
        <v>1613</v>
      </c>
      <c r="E10" t="s">
        <v>1614</v>
      </c>
      <c r="F10" s="223">
        <v>0</v>
      </c>
      <c r="G10" s="223">
        <v>50000</v>
      </c>
      <c r="H10" s="223">
        <v>100</v>
      </c>
      <c r="I10" s="223" t="s">
        <v>1616</v>
      </c>
      <c r="J10" s="224" t="s">
        <v>2642</v>
      </c>
      <c r="K10" s="219" t="str">
        <f>_xlfn.CONCAT(IF('Supporting Data'!$AN$3=0," This state has no additional state subsidies. ",_xlfn.CONCAT(" As of late 2020, there is an additional state subsidy of $",'Supporting Data'!$AN$3,".")))</f>
        <v xml:space="preserve"> As of late 2020, there is an additional state subsidy of $2500.</v>
      </c>
      <c r="L10" s="219" t="str">
        <f>J10&amp;K10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2643</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2536</v>
      </c>
      <c r="K12" s="143" t="str">
        <f>_xlfn.CONCAT("**Hard coal:** The EIA projects that ", About!$C$2, " will retire ", 'Supporting Data'!M3, " MW of coal by 2050. ", About!$C$2, " currently has ",'Supporting Data'!T3, " MW of coal capacity." )</f>
        <v>**Hard coal:** The EIA projects that Maryland will retire 1600 MW of coal by 2050. Maryland currently has 4270 MW of coal capacity.</v>
      </c>
      <c r="L12" s="78" t="str">
        <f>J12&amp;K12&amp;M12&amp;N12&amp;O12&amp;P12</f>
        <v>**Description:** This policy causes the specified quantity of otherwise non-retiring capacity of the selected type(s) to be retired each year. // **Guidance for setting values:** // **Hard coal:** The EIA projects that Maryland will retire 1600 MW of coal by 2050. Maryland currently has 4270 MW of coal capacity.//**Natural gas non-peaker:** The EIA projects that MD will retire 0 MW of natural gas by 2050. MD currently has 2685 MW of natural gas non-peaker capacity.//**Nuclear:** The EIA projects that MD will retire 0 MW of nuclear by 2050. MD currently has 1708 MW of nuclear capacity.//**Natural gas peaker:** The EIA projects that MD will retire 0 MW of natural gas by 2050. MD currently has 3262 MW of natural gas peaker capacity.//**Lignite:** The EIA projects that MD will retire 0 MW of lignite by 2050. MD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MD will retire 0 MW of natural gas by 2050. MD currently has 2685 MW of natural gas non-peaker capacity.</v>
      </c>
      <c r="N12" t="str">
        <f>_xlfn.CONCAT("//**Nuclear:** The EIA projects that ", About!B2, " will retire ", 'Supporting Data'!$O$3, " MW of nuclear by 2050. ", About!B2, " currently has ",'Supporting Data'!$V$3, " MW of nuclear capacity." )</f>
        <v>//**Nuclear:** The EIA projects that MD will retire 0 MW of nuclear by 2050. MD currently has 1708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MD will retire 0 MW of natural gas by 2050. MD currently has 3262 MW of natural gas peaker capacity.</v>
      </c>
      <c r="P12" t="str">
        <f>_xlfn.CONCAT("//**Lignite:** The EIA projects that ", About!B2, " will retire ", 'Supporting Data'!$S$3, " MW of lignite by 2050. ", About!B2, " currently has ",'Supporting Data'!$AE$3, " MW of lignite capacity." )</f>
        <v>//**Lignite:** The EIA projects that MD will retire 0 MW of lignite by 2050. MD currently has 0 MW of lignite capacity.</v>
      </c>
    </row>
    <row r="13" spans="1:20" x14ac:dyDescent="0.25">
      <c r="A13" t="s">
        <v>9</v>
      </c>
      <c r="B13" t="s">
        <v>731</v>
      </c>
      <c r="C13" t="s">
        <v>732</v>
      </c>
      <c r="D13" t="s">
        <v>732</v>
      </c>
      <c r="E13" t="s">
        <v>733</v>
      </c>
      <c r="F13" s="220">
        <v>0</v>
      </c>
      <c r="G13" s="8">
        <v>1</v>
      </c>
      <c r="H13" s="8">
        <v>0.01</v>
      </c>
      <c r="I13" s="88" t="s">
        <v>734</v>
      </c>
      <c r="J13" s="88" t="s">
        <v>2595</v>
      </c>
      <c r="K13" t="str">
        <f>_xlfn.CONCAT(IF('Supporting Data'!$BB$3=0,"**Hard coal**: The model assumes the state has no hard coal production. ",_xlfn.CONCAT("**Hard coal:** The model assumes that exports represent ",'Supporting Data'!$BJ$3,"% of the state's production.")))</f>
        <v>**Hard coal:** The model assumes that exports represent 51.76% of the state's production.</v>
      </c>
      <c r="L13" s="143" t="str">
        <f>J13&amp;K13&amp;M13&amp;N13&amp;O13&amp;P13&amp;Q13&amp;R13&amp;S13</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51.76%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M13" s="102" t="str">
        <f>_xlfn.CONCAT(IF('Supporting Data'!$BA$3=0,"//**Crude oil:**: The model assumes the state has no crude oil production. ",_xlfn.CONCAT("//**Crude oil:** The model assumes that exports represent ",'Supporting Data'!BI3,"% of the state's production.")))</f>
        <v xml:space="preserve">//**Crude oil:**: The model assumes the state has no crude oil production. </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//**Petroleum gasoline:** The model assumes that exports represent 0% of the state's production.</v>
      </c>
    </row>
    <row r="14" spans="1:20" x14ac:dyDescent="0.25">
      <c r="A14" t="s">
        <v>71</v>
      </c>
      <c r="B14" t="s">
        <v>100</v>
      </c>
      <c r="C14" t="s">
        <v>297</v>
      </c>
      <c r="D14" t="s">
        <v>100</v>
      </c>
      <c r="E14" t="s">
        <v>542</v>
      </c>
      <c r="F14" s="220">
        <v>0</v>
      </c>
      <c r="G14" s="220">
        <v>0.75</v>
      </c>
      <c r="H14" s="220">
        <v>0.01</v>
      </c>
      <c r="I14" s="88" t="s">
        <v>30</v>
      </c>
      <c r="J14" s="88" t="s">
        <v>1419</v>
      </c>
      <c r="K14" s="88" t="s">
        <v>2537</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2538</v>
      </c>
      <c r="N14" s="88"/>
    </row>
    <row r="15" spans="1:20" x14ac:dyDescent="0.25">
      <c r="K15" s="58" t="s">
        <v>2539</v>
      </c>
      <c r="M15" s="58" t="s">
        <v>2540</v>
      </c>
    </row>
    <row r="16" spans="1:20" x14ac:dyDescent="0.25">
      <c r="A16" s="143" t="s">
        <v>4</v>
      </c>
      <c r="B16" s="143" t="s">
        <v>1601</v>
      </c>
      <c r="C16" t="s">
        <v>2584</v>
      </c>
      <c r="D16" s="143" t="s">
        <v>1602</v>
      </c>
      <c r="E16" t="s">
        <v>1603</v>
      </c>
      <c r="F16" s="220">
        <v>0</v>
      </c>
      <c r="G16" s="220">
        <v>1</v>
      </c>
      <c r="H16" s="220">
        <v>0.01</v>
      </c>
      <c r="I16" s="88" t="s">
        <v>1834</v>
      </c>
      <c r="J16" s="88" t="s">
        <v>2630</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adopted ACC and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2541</v>
      </c>
      <c r="N16" t="s">
        <v>2542</v>
      </c>
    </row>
    <row r="17" spans="1:13" ht="73.7" customHeight="1" x14ac:dyDescent="0.25">
      <c r="A17" t="s">
        <v>8</v>
      </c>
      <c r="B17" s="88" t="s">
        <v>2543</v>
      </c>
      <c r="C17" t="s">
        <v>1889</v>
      </c>
      <c r="F17" s="143">
        <v>0</v>
      </c>
      <c r="G17" s="143">
        <v>1000</v>
      </c>
      <c r="H17" s="228">
        <v>20</v>
      </c>
      <c r="I17" s="143" t="s">
        <v>1835</v>
      </c>
      <c r="J17" s="88" t="s">
        <v>1887</v>
      </c>
      <c r="K17" t="s">
        <v>2544</v>
      </c>
      <c r="L17" t="str">
        <f>M17&amp;K17</f>
        <v>**Description:** The BAU scenario includes a CES alternative compliance payment of roughly 30 $/MWh.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**Description:** The BAU scenario includes a CES alternative compliance payment of roughly 30 $/MWh.</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2434</v>
      </c>
      <c r="C1" s="263"/>
      <c r="D1" s="161"/>
      <c r="E1" s="162" t="s">
        <v>2435</v>
      </c>
      <c r="F1" s="163"/>
      <c r="H1" s="162" t="s">
        <v>2436</v>
      </c>
      <c r="J1" s="164" t="s">
        <v>2437</v>
      </c>
      <c r="K1" s="263" t="s">
        <v>2438</v>
      </c>
      <c r="L1" s="263"/>
      <c r="M1" s="263" t="s">
        <v>2439</v>
      </c>
      <c r="N1" s="263"/>
      <c r="O1" s="263"/>
      <c r="P1" s="263"/>
      <c r="Q1" s="263"/>
      <c r="R1" s="263"/>
      <c r="S1" s="263"/>
      <c r="T1" s="263" t="s">
        <v>2440</v>
      </c>
      <c r="U1" s="263"/>
      <c r="V1" s="263"/>
      <c r="W1" s="263"/>
      <c r="X1" s="263"/>
      <c r="Y1" s="263"/>
      <c r="Z1" s="263"/>
      <c r="AA1" s="263"/>
      <c r="AB1" s="263"/>
      <c r="AC1" s="263"/>
      <c r="AD1" s="263"/>
      <c r="AE1" s="263"/>
      <c r="AF1" s="263"/>
      <c r="AG1" s="263"/>
      <c r="AH1" s="263"/>
      <c r="AI1" s="264"/>
      <c r="AJ1" s="258" t="s">
        <v>2441</v>
      </c>
      <c r="AK1" s="258"/>
      <c r="AL1" s="258"/>
      <c r="AM1"/>
      <c r="AN1" s="262" t="s">
        <v>2442</v>
      </c>
      <c r="AO1" s="262"/>
      <c r="AQ1" t="s">
        <v>2443</v>
      </c>
      <c r="AS1" s="254" t="s">
        <v>2444</v>
      </c>
      <c r="AT1" s="255"/>
      <c r="AU1" s="255"/>
      <c r="AV1" s="255"/>
      <c r="AW1" s="255"/>
      <c r="AX1" s="255"/>
      <c r="AY1" s="255"/>
      <c r="AZ1" s="255"/>
      <c r="BA1" s="254" t="s">
        <v>2445</v>
      </c>
      <c r="BB1" s="255"/>
      <c r="BC1" s="255"/>
      <c r="BD1" s="255"/>
      <c r="BE1" s="255"/>
      <c r="BF1" s="255"/>
      <c r="BG1" s="255"/>
      <c r="BH1" s="255"/>
      <c r="BI1" s="256" t="s">
        <v>2446</v>
      </c>
      <c r="BJ1" s="257"/>
      <c r="BK1" s="257"/>
      <c r="BL1" s="257"/>
      <c r="BM1" s="257"/>
      <c r="BN1" s="257"/>
      <c r="BO1" s="257"/>
      <c r="BP1" s="257"/>
      <c r="BQ1" s="258" t="s">
        <v>2447</v>
      </c>
      <c r="BR1" s="258"/>
      <c r="BS1" s="258"/>
      <c r="BT1" s="258"/>
      <c r="BU1" s="258"/>
      <c r="BV1" s="258"/>
      <c r="BW1" s="258"/>
      <c r="BX1" s="258"/>
      <c r="BY1" s="258"/>
      <c r="BZ1" s="258"/>
      <c r="CA1" s="258"/>
      <c r="CB1" s="258"/>
      <c r="CC1" s="258"/>
      <c r="CD1" s="258"/>
      <c r="CE1" s="258"/>
      <c r="CF1" s="258"/>
      <c r="CG1" s="258"/>
      <c r="CH1" s="258"/>
      <c r="CI1" s="259" t="s">
        <v>2448</v>
      </c>
      <c r="CJ1" s="260"/>
      <c r="CK1" s="261"/>
      <c r="CL1" s="38" t="s">
        <v>2449</v>
      </c>
    </row>
    <row r="2" spans="1:91" s="146" customFormat="1" ht="59.1" customHeight="1" thickBot="1" x14ac:dyDescent="0.3">
      <c r="A2" s="65"/>
      <c r="B2" s="165" t="s">
        <v>2450</v>
      </c>
      <c r="C2" s="166" t="s">
        <v>2451</v>
      </c>
      <c r="D2" s="65" t="s">
        <v>2452</v>
      </c>
      <c r="E2" s="65" t="s">
        <v>2453</v>
      </c>
      <c r="F2" s="166" t="s">
        <v>2454</v>
      </c>
      <c r="G2" s="65" t="s">
        <v>2455</v>
      </c>
      <c r="H2" s="65" t="s">
        <v>2456</v>
      </c>
      <c r="I2" s="166" t="s">
        <v>2457</v>
      </c>
      <c r="J2" s="166" t="s">
        <v>2458</v>
      </c>
      <c r="K2" s="167" t="s">
        <v>2459</v>
      </c>
      <c r="L2" s="168" t="s">
        <v>2460</v>
      </c>
      <c r="M2" s="169" t="s">
        <v>2461</v>
      </c>
      <c r="N2" s="169" t="s">
        <v>2462</v>
      </c>
      <c r="O2" s="169" t="s">
        <v>2463</v>
      </c>
      <c r="P2" s="169" t="s">
        <v>2464</v>
      </c>
      <c r="Q2" s="169" t="s">
        <v>2465</v>
      </c>
      <c r="R2" s="169" t="s">
        <v>2466</v>
      </c>
      <c r="S2" s="170" t="s">
        <v>2467</v>
      </c>
      <c r="T2" s="171" t="s">
        <v>2468</v>
      </c>
      <c r="U2" s="171" t="s">
        <v>2469</v>
      </c>
      <c r="V2" s="171" t="s">
        <v>2470</v>
      </c>
      <c r="W2" s="171" t="s">
        <v>2471</v>
      </c>
      <c r="X2" s="171" t="s">
        <v>2472</v>
      </c>
      <c r="Y2" s="171" t="s">
        <v>2473</v>
      </c>
      <c r="Z2" s="171" t="s">
        <v>2474</v>
      </c>
      <c r="AA2" s="171" t="s">
        <v>2475</v>
      </c>
      <c r="AB2" s="171" t="s">
        <v>2476</v>
      </c>
      <c r="AC2" s="171" t="s">
        <v>2477</v>
      </c>
      <c r="AD2" s="171" t="s">
        <v>2478</v>
      </c>
      <c r="AE2" s="171" t="s">
        <v>2479</v>
      </c>
      <c r="AF2" s="171" t="s">
        <v>2480</v>
      </c>
      <c r="AG2" s="171" t="s">
        <v>2481</v>
      </c>
      <c r="AH2" s="171" t="s">
        <v>2482</v>
      </c>
      <c r="AI2" s="172" t="s">
        <v>2483</v>
      </c>
      <c r="AJ2" s="146">
        <v>2021</v>
      </c>
      <c r="AK2" s="146">
        <v>2030</v>
      </c>
      <c r="AL2" s="146">
        <v>2050</v>
      </c>
      <c r="AM2" s="173" t="s">
        <v>2484</v>
      </c>
      <c r="AN2" s="174" t="s">
        <v>2485</v>
      </c>
      <c r="AO2" s="166" t="s">
        <v>2486</v>
      </c>
      <c r="AP2" s="175" t="s">
        <v>2487</v>
      </c>
      <c r="AQ2" s="175" t="s">
        <v>2488</v>
      </c>
      <c r="AR2" s="173" t="s">
        <v>2489</v>
      </c>
      <c r="AS2" s="176" t="s">
        <v>708</v>
      </c>
      <c r="AT2" s="176" t="s">
        <v>447</v>
      </c>
      <c r="AU2" s="176" t="s">
        <v>2490</v>
      </c>
      <c r="AV2" s="176" t="s">
        <v>716</v>
      </c>
      <c r="AW2" s="176" t="s">
        <v>709</v>
      </c>
      <c r="AX2" s="176" t="s">
        <v>46</v>
      </c>
      <c r="AY2" s="176" t="s">
        <v>54</v>
      </c>
      <c r="AZ2" s="177" t="s">
        <v>53</v>
      </c>
      <c r="BA2" s="176" t="s">
        <v>708</v>
      </c>
      <c r="BB2" s="176" t="s">
        <v>447</v>
      </c>
      <c r="BC2" s="176" t="s">
        <v>2490</v>
      </c>
      <c r="BD2" s="176" t="s">
        <v>716</v>
      </c>
      <c r="BE2" s="176" t="s">
        <v>709</v>
      </c>
      <c r="BF2" s="176" t="s">
        <v>46</v>
      </c>
      <c r="BG2" s="176" t="s">
        <v>54</v>
      </c>
      <c r="BH2" s="177" t="s">
        <v>53</v>
      </c>
      <c r="BI2" s="176" t="s">
        <v>708</v>
      </c>
      <c r="BJ2" s="176" t="s">
        <v>447</v>
      </c>
      <c r="BK2" s="176" t="s">
        <v>2490</v>
      </c>
      <c r="BL2" s="176" t="s">
        <v>716</v>
      </c>
      <c r="BM2" s="176" t="s">
        <v>709</v>
      </c>
      <c r="BN2" s="176" t="s">
        <v>46</v>
      </c>
      <c r="BO2" s="176" t="s">
        <v>54</v>
      </c>
      <c r="BP2" s="177" t="s">
        <v>53</v>
      </c>
      <c r="BQ2" s="65" t="s">
        <v>2491</v>
      </c>
      <c r="BR2" s="65" t="s">
        <v>2492</v>
      </c>
      <c r="BS2" s="65" t="s">
        <v>2493</v>
      </c>
      <c r="BT2" s="65" t="s">
        <v>2494</v>
      </c>
      <c r="BU2" s="65" t="s">
        <v>2495</v>
      </c>
      <c r="BV2" s="65" t="s">
        <v>2496</v>
      </c>
      <c r="BW2" s="65" t="s">
        <v>2497</v>
      </c>
      <c r="BX2" s="65" t="s">
        <v>2498</v>
      </c>
      <c r="BY2" s="65" t="s">
        <v>2499</v>
      </c>
      <c r="BZ2" s="65" t="s">
        <v>2500</v>
      </c>
      <c r="CA2" s="65" t="s">
        <v>2501</v>
      </c>
      <c r="CB2" s="65" t="s">
        <v>2502</v>
      </c>
      <c r="CC2" s="65" t="s">
        <v>2503</v>
      </c>
      <c r="CD2" s="65" t="s">
        <v>2504</v>
      </c>
      <c r="CE2" s="65" t="s">
        <v>2505</v>
      </c>
      <c r="CF2" s="65" t="s">
        <v>2506</v>
      </c>
      <c r="CG2" s="65" t="s">
        <v>2507</v>
      </c>
      <c r="CH2" s="166" t="s">
        <v>2508</v>
      </c>
      <c r="CI2" s="178" t="s">
        <v>2509</v>
      </c>
      <c r="CJ2" s="179" t="s">
        <v>2510</v>
      </c>
      <c r="CK2" s="180" t="s">
        <v>2511</v>
      </c>
      <c r="CL2" s="146" t="s">
        <v>2512</v>
      </c>
      <c r="CM2" s="65" t="s">
        <v>2513</v>
      </c>
    </row>
    <row r="3" spans="1:91" s="58" customFormat="1" x14ac:dyDescent="0.25">
      <c r="A3" s="181" t="str">
        <f>About!$C$2</f>
        <v>Maryland</v>
      </c>
      <c r="B3" s="182">
        <f>ROUND(SUMIFS(B$4:B$54, $A$4:$A$54, $A$3),0)</f>
        <v>19533</v>
      </c>
      <c r="C3" s="183">
        <f t="shared" ref="C3" si="0">ROUND(SUMIFS(C$4:C$54, $A$4:$A$54, $A$3),0)</f>
        <v>20</v>
      </c>
      <c r="D3" s="182">
        <f>SUMIFS(D$4:D$54, $A$4:$A$54, $A$3)</f>
        <v>22029904</v>
      </c>
      <c r="E3" s="182">
        <f>SUMIFS(E$4:E$54, $A$4:$A$54, $A$3)</f>
        <v>24532371.999999989</v>
      </c>
      <c r="F3" s="134">
        <f>ROUND(SUMIFS(F$4:F$54,$A$4:$A$54,$A$3)*100,0)</f>
        <v>11</v>
      </c>
      <c r="G3" s="58">
        <f>SUMIFS(G$4:G$54, $A$4:$A$54, $A$3)</f>
        <v>0</v>
      </c>
      <c r="H3" s="58">
        <f>SUMIFS(H$4:H$54, $A$4:$A$54, $A$3)</f>
        <v>0</v>
      </c>
      <c r="I3" s="134">
        <f>ROUND(SUMIFS(I$4:I$54,$A$4:$A$54,$A$3)*100,0)</f>
        <v>0</v>
      </c>
      <c r="J3" s="134">
        <f>ROUND(SUMIFS(J$4:J$54, $A$4:$A$54, $A$3),0)</f>
        <v>3939</v>
      </c>
      <c r="K3" s="58">
        <f t="shared" ref="K3:AI3" si="1">ROUND(SUMIFS(K$4:K$54, $A$4:$A$54, $A$3),0)</f>
        <v>1433</v>
      </c>
      <c r="L3" s="134">
        <f t="shared" si="1"/>
        <v>1884</v>
      </c>
      <c r="M3" s="58">
        <f t="shared" si="1"/>
        <v>1600</v>
      </c>
      <c r="N3" s="58">
        <f t="shared" si="1"/>
        <v>0</v>
      </c>
      <c r="O3" s="58">
        <f t="shared" si="1"/>
        <v>0</v>
      </c>
      <c r="P3" s="58">
        <f t="shared" si="1"/>
        <v>0</v>
      </c>
      <c r="Q3" s="58">
        <f t="shared" si="1"/>
        <v>0</v>
      </c>
      <c r="R3" s="58">
        <f t="shared" si="1"/>
        <v>0</v>
      </c>
      <c r="S3" s="134">
        <f t="shared" si="1"/>
        <v>0</v>
      </c>
      <c r="T3" s="58">
        <f t="shared" si="1"/>
        <v>4270</v>
      </c>
      <c r="U3" s="58">
        <f t="shared" si="1"/>
        <v>2685</v>
      </c>
      <c r="V3" s="58">
        <f t="shared" si="1"/>
        <v>1708</v>
      </c>
      <c r="W3" s="58">
        <f t="shared" si="1"/>
        <v>590</v>
      </c>
      <c r="X3" s="58">
        <f t="shared" si="1"/>
        <v>190</v>
      </c>
      <c r="Y3" s="58">
        <f t="shared" si="1"/>
        <v>305</v>
      </c>
      <c r="Z3" s="58">
        <f t="shared" si="1"/>
        <v>0</v>
      </c>
      <c r="AA3" s="58">
        <f t="shared" si="1"/>
        <v>17</v>
      </c>
      <c r="AB3" s="58">
        <f t="shared" si="1"/>
        <v>0</v>
      </c>
      <c r="AC3" s="58">
        <f t="shared" si="1"/>
        <v>1161</v>
      </c>
      <c r="AD3" s="58">
        <f t="shared" si="1"/>
        <v>3262</v>
      </c>
      <c r="AE3" s="58">
        <f t="shared" si="1"/>
        <v>0</v>
      </c>
      <c r="AF3" s="58">
        <f t="shared" si="1"/>
        <v>0</v>
      </c>
      <c r="AG3" s="58">
        <f t="shared" si="1"/>
        <v>0</v>
      </c>
      <c r="AH3" s="58">
        <f t="shared" si="1"/>
        <v>0</v>
      </c>
      <c r="AI3" s="134">
        <f t="shared" si="1"/>
        <v>115</v>
      </c>
      <c r="AJ3" s="58">
        <f>ROUND(SUMIFS(AJ$4:AJ$54,$A$4:$A$54,$A$3)*100,0)</f>
        <v>72</v>
      </c>
      <c r="AK3" s="58">
        <f t="shared" ref="AK3:AL3" si="2">ROUND(SUMIFS(AK$4:AK$54,$A$4:$A$54,$A$3)*100,0)</f>
        <v>89</v>
      </c>
      <c r="AL3" s="58">
        <f t="shared" si="2"/>
        <v>89</v>
      </c>
      <c r="AM3" s="58">
        <f>SUMIFS(AM$4:AM$54, $A$4:$A$54, $A$3)</f>
        <v>0</v>
      </c>
      <c r="AN3" s="58">
        <f t="shared" ref="AN3:AQ3" si="3">SUMIFS(AN$4:AN$54, $A$4:$A$54, $A$3)</f>
        <v>2500</v>
      </c>
      <c r="AO3" s="134">
        <f t="shared" si="3"/>
        <v>0</v>
      </c>
      <c r="AP3" s="134">
        <f t="shared" si="3"/>
        <v>2815</v>
      </c>
      <c r="AQ3" s="134">
        <f t="shared" si="3"/>
        <v>6196525</v>
      </c>
      <c r="AR3" s="134">
        <f>ROUND(SUMIFS(AR$4:AR$54,$A$4:$A$54,$A$3),2)</f>
        <v>45.43</v>
      </c>
      <c r="AS3" s="58">
        <f>SUMIFS(AS$4:AS$54, $A$4:$A$54, $A$3)</f>
        <v>0</v>
      </c>
      <c r="AT3" s="58">
        <f t="shared" ref="AT3:BH3" si="4">SUMIFS(AT$4:AT$54, $A$4:$A$54, $A$3)</f>
        <v>15683730879237</v>
      </c>
      <c r="AU3" s="58">
        <f t="shared" si="4"/>
        <v>0</v>
      </c>
      <c r="AV3" s="58">
        <f t="shared" si="4"/>
        <v>0</v>
      </c>
      <c r="AW3" s="58">
        <f t="shared" si="4"/>
        <v>0</v>
      </c>
      <c r="AX3" s="58">
        <f t="shared" si="4"/>
        <v>0</v>
      </c>
      <c r="AY3" s="58">
        <f t="shared" si="4"/>
        <v>0</v>
      </c>
      <c r="AZ3" s="58">
        <f t="shared" si="4"/>
        <v>0</v>
      </c>
      <c r="BA3" s="58">
        <f t="shared" si="4"/>
        <v>0</v>
      </c>
      <c r="BB3" s="58">
        <f t="shared" si="4"/>
        <v>30300388732975.398</v>
      </c>
      <c r="BC3" s="58">
        <f t="shared" si="4"/>
        <v>0</v>
      </c>
      <c r="BD3" s="58">
        <f t="shared" si="4"/>
        <v>0</v>
      </c>
      <c r="BE3" s="58">
        <f t="shared" si="4"/>
        <v>0</v>
      </c>
      <c r="BF3" s="58">
        <f t="shared" si="4"/>
        <v>10989178787.2679</v>
      </c>
      <c r="BG3" s="58">
        <f t="shared" si="4"/>
        <v>0</v>
      </c>
      <c r="BH3" s="58">
        <f t="shared" si="4"/>
        <v>0</v>
      </c>
      <c r="BI3" s="58">
        <f>ROUND(SUMIFS(BI$4:BI$54,$A$4:$A$54,$A$3),2)</f>
        <v>0</v>
      </c>
      <c r="BJ3" s="58">
        <f t="shared" ref="BJ3:BP3" si="5">ROUND(SUMIFS(BJ$4:BJ$54,$A$4:$A$54,$A$3),2)</f>
        <v>51.76</v>
      </c>
      <c r="BK3" s="58">
        <f t="shared" si="5"/>
        <v>0</v>
      </c>
      <c r="BL3" s="58">
        <f t="shared" si="5"/>
        <v>0</v>
      </c>
      <c r="BM3" s="58">
        <f t="shared" si="5"/>
        <v>0</v>
      </c>
      <c r="BN3" s="58">
        <f t="shared" si="5"/>
        <v>0</v>
      </c>
      <c r="BO3" s="58">
        <f t="shared" si="5"/>
        <v>0</v>
      </c>
      <c r="BP3" s="134">
        <f t="shared" si="5"/>
        <v>0</v>
      </c>
      <c r="BQ3" s="134">
        <f t="shared" ref="BQ3:BR3" si="6">ROUND(SUMIFS(BQ$4:BQ$54,$A$4:$A$54,$A$3)*100,0)</f>
        <v>6</v>
      </c>
      <c r="BR3" s="134">
        <f t="shared" si="6"/>
        <v>7</v>
      </c>
      <c r="BS3" s="134">
        <f>ROUND(SUMIFS(BS$4:BS$54,$A$4:$A$54,$A$3)*100,0)</f>
        <v>45</v>
      </c>
      <c r="BT3" s="134">
        <f>ROUND(SUMIFS(BT$4:BT$54,$A$4:$A$54,$A$3)*100,0)</f>
        <v>42</v>
      </c>
      <c r="BU3" s="134">
        <f t="shared" ref="BU3:CH3" si="7">ROUND(SUMIFS(BU$4:BU$54,$A$4:$A$54,$A$3)*100,0)</f>
        <v>61</v>
      </c>
      <c r="BV3" s="134">
        <f t="shared" si="7"/>
        <v>72</v>
      </c>
      <c r="BW3" s="134">
        <f t="shared" si="7"/>
        <v>20</v>
      </c>
      <c r="BX3" s="134">
        <f t="shared" si="7"/>
        <v>27</v>
      </c>
      <c r="BY3" s="134">
        <f t="shared" si="7"/>
        <v>57</v>
      </c>
      <c r="BZ3" s="134">
        <f>ROUND(SUMIFS(BZ$4:BZ$54,$A$4:$A$54,$A$3)*100,0)</f>
        <v>57</v>
      </c>
      <c r="CA3" s="134">
        <f>ROUND(SUMIFS(CA$4:CA$54,$A$4:$A$54,$A$3)*100,0)</f>
        <v>100</v>
      </c>
      <c r="CB3" s="134">
        <f>ROUND(SUMIFS(CB$4:CB$54,$A$4:$A$54,$A$3)*100,0)</f>
        <v>100</v>
      </c>
      <c r="CC3" s="134">
        <f t="shared" si="7"/>
        <v>20</v>
      </c>
      <c r="CD3" s="134">
        <f t="shared" si="7"/>
        <v>27</v>
      </c>
      <c r="CE3" s="134">
        <f t="shared" si="7"/>
        <v>57</v>
      </c>
      <c r="CF3" s="134">
        <f t="shared" si="7"/>
        <v>56</v>
      </c>
      <c r="CG3" s="134">
        <f t="shared" si="7"/>
        <v>100</v>
      </c>
      <c r="CH3" s="134">
        <f t="shared" si="7"/>
        <v>100</v>
      </c>
      <c r="CI3" s="58">
        <f>SUMIFS(CI$4:CI$54, $A$4:$A$54, $A$3)</f>
        <v>1</v>
      </c>
      <c r="CJ3" s="58">
        <f t="shared" ref="CJ3:CK3" si="8">SUMIFS(CJ$4:CJ$54, $A$4:$A$54, $A$3)</f>
        <v>1</v>
      </c>
      <c r="CK3" s="58">
        <f t="shared" si="8"/>
        <v>1</v>
      </c>
      <c r="CL3" s="58" t="str">
        <f>_xlfn.XLOOKUP($A$3,A4:A54,CL4:CL54,0,0,1)</f>
        <v>TRUE</v>
      </c>
      <c r="CM3" s="58">
        <f>SUMIFS(CM$4:CM$54, $A$4:$A$54, $A$3)</f>
        <v>30</v>
      </c>
    </row>
    <row r="4" spans="1:91" x14ac:dyDescent="0.25">
      <c r="A4" t="s">
        <v>2279</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2280</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2281</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2282</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2283</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2289</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2295</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2514</v>
      </c>
    </row>
    <row r="12" spans="1:91" x14ac:dyDescent="0.25">
      <c r="A12" t="s">
        <v>2301</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2306</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2310</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2311</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2312</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2313</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2314</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2315</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2316</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2317</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2320</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2325</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2330</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2336</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2341</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2347</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2353</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2354</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2355</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2357</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2361</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2362</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2363</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2368</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2374</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2377</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2381</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2385</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2386</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2387</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2392</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2397</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2402</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2403</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2404</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2405</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2406</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2407</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2409</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2413</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2417</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2418</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2419</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2648</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2649</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2650</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2651</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2652</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2653</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2654</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2700</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2698</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2655</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2584</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2656</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2657</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2658</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2701</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Maryland, the share of electricity among fuels used for heating in urban, residential buildings will rise from 20% to 27% through 2050.//**Urban Residential Appliances:** In the BAU case, in Maryland,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Maryland, the share of electricity among fuels used for heating in rural, residential buildings will rise from 20% to 27% through 2050.//**Rural Residential Appliances:** In the BAU case, in Maryland, the share of electricity among fuels used for appliances in rural, residential buildings will fall from 57% to 56% through 2050.//**Rural Residential Other Components:** In the United States, the share of electricity among fuels used by other components in rural, residential buildings is 100%.//**Commercial Heating:** In the BAU case, in Maryland, the share of electricity among fuels used for heating in commercial buildings will rise from 6% to 7% through 2050.//**Comercial Appliances:** In the BAU case, in Maryland, the share of electricity among fuels used for appliances in commercial buildings will fall from 45% to 42% through 2050.//**Comercial Other Components:** In the BAU case, in Maryland, the share of electricity among fuels used for other components in commercial buildings will rise from 61% to 72%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2659</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Maryland, the share of electricity among fuels used for heating in urban, residential buildings will rise from 20% to 27% through 2050.//**Urban Residential Appliances:** In the BAU case, in Maryland,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Maryland, the share of electricity among fuels used for heating in rural, residential buildings will rise from 20% to 27% through 2050.//**Rural Residential Appliances:** In the BAU case, in Maryland, the share of electricity among fuels used for appliances in rural, residential buildings will fall from 57% to 56% through 2050.//**Rural Residential Other Components:** In the United States, the share of electricity among fuels used by other components in rural, residential buildings is 100%.//**Commercial Heating:** In the BAU case, in Maryland, the share of electricity among fuels used for heating in commercial buildings will rise from 6% to 7% through 2050.//**Comercial Appliances:** In the BAU case, in Maryland, the share of electricity among fuels used for appliances in commercial buildings will fall from 45% to 42% through 2050.//**Comercial Other Components:** In the BAU case, in Maryland, the share of electricity among fuels used for other components in commercial buildings will rise from 61% to 72%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Maryland, the share of electricity among fuels used for heating in urban, residential buildings will rise from 20% to 27% through 2050.//**Urban Residential Appliances:** In the BAU case, in Maryland,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Maryland, the share of electricity among fuels used for heating in rural, residential buildings will rise from 20% to 27% through 2050.//**Rural Residential Appliances:** In the BAU case, in Maryland, the share of electricity among fuels used for appliances in rural, residential buildings will fall from 57% to 56% through 2050.//**Rural Residential Other Components:** In the United States, the share of electricity among fuels used by other components in rural, residential buildings is 100%.//**Commercial Heating:** In the BAU case, in Maryland, the share of electricity among fuels used for heating in commercial buildings will rise from 6% to 7% through 2050.//**Comercial Appliances:** In the BAU case, in Maryland, the share of electricity among fuels used for appliances in commercial buildings will fall from 45% to 42% through 2050.//**Comercial Other Components:** In the BAU case, in Maryland, the share of electricity among fuels used for other components in commercial buildings will rise from 61% to 72%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Maryland, the share of electricity among fuels used for heating in urban, residential buildings will rise from 20% to 27% through 2050.//**Urban Residential Appliances:** In the BAU case, in Maryland,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Maryland, the share of electricity among fuels used for heating in rural, residential buildings will rise from 20% to 27% through 2050.//**Rural Residential Appliances:** In the BAU case, in Maryland, the share of electricity among fuels used for appliances in rural, residential buildings will fall from 57% to 56% through 2050.//**Rural Residential Other Components:** In the United States, the share of electricity among fuels used by other components in rural, residential buildings is 100%.//**Commercial Heating:** In the BAU case, in Maryland, the share of electricity among fuels used for heating in commercial buildings will rise from 6% to 7% through 2050.//**Comercial Appliances:** In the BAU case, in Maryland, the share of electricity among fuels used for appliances in commercial buildings will fall from 45% to 42% through 2050.//**Comercial Other Components:** In the BAU case, in Maryland, the share of electricity among fuels used for other components in commercial buildings will rise from 61% to 72%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Maryland, the share of electricity among fuels used for heating in urban, residential buildings will rise from 20% to 27% through 2050.//**Urban Residential Appliances:** In the BAU case, in Maryland,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Maryland, the share of electricity among fuels used for heating in rural, residential buildings will rise from 20% to 27% through 2050.//**Rural Residential Appliances:** In the BAU case, in Maryland, the share of electricity among fuels used for appliances in rural, residential buildings will fall from 57% to 56% through 2050.//**Rural Residential Other Components:** In the United States, the share of electricity among fuels used by other components in rural, residential buildings is 100%.//**Commercial Heating:** In the BAU case, in Maryland, the share of electricity among fuels used for heating in commercial buildings will rise from 6% to 7% through 2050.//**Comercial Appliances:** In the BAU case, in Maryland, the share of electricity among fuels used for appliances in commercial buildings will fall from 45% to 42% through 2050.//**Comercial Other Components:** In the BAU case, in Maryland, the share of electricity among fuels used for other components in commercial buildings will rise from 61% to 72%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Maryland, the share of electricity among fuels used for heating in urban, residential buildings will rise from 20% to 27% through 2050.//**Urban Residential Appliances:** In the BAU case, in Maryland,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Maryland, the share of electricity among fuels used for heating in rural, residential buildings will rise from 20% to 27% through 2050.//**Rural Residential Appliances:** In the BAU case, in Maryland, the share of electricity among fuels used for appliances in rural, residential buildings will fall from 57% to 56% through 2050.//**Rural Residential Other Components:** In the United States, the share of electricity among fuels used by other components in rural, residential buildings is 100%.//**Commercial Heating:** In the BAU case, in Maryland, the share of electricity among fuels used for heating in commercial buildings will rise from 6% to 7% through 2050.//**Comercial Appliances:** In the BAU case, in Maryland, the share of electricity among fuels used for appliances in commercial buildings will fall from 45% to 42% through 2050.//**Comercial Other Components:** In the BAU case, in Maryland, the share of electricity among fuels used for other components in commercial buildings will rise from 61% to 72%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Maryland, the share of electricity among fuels used for heating in urban, residential buildings will rise from 20% to 27% through 2050.//**Urban Residential Appliances:** In the BAU case, in Maryland,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Maryland, the share of electricity among fuels used for heating in rural, residential buildings will rise from 20% to 27% through 2050.//**Rural Residential Appliances:** In the BAU case, in Maryland, the share of electricity among fuels used for appliances in rural, residential buildings will fall from 57% to 56% through 2050.//**Rural Residential Other Components:** In the United States, the share of electricity among fuels used by other components in rural, residential buildings is 100%.//**Commercial Heating:** In the BAU case, in Maryland, the share of electricity among fuels used for heating in commercial buildings will rise from 6% to 7% through 2050.//**Comercial Appliances:** In the BAU case, in Maryland, the share of electricity among fuels used for appliances in commercial buildings will fall from 45% to 42% through 2050.//**Comercial Other Components:** In the BAU case, in Maryland, the share of electricity among fuels used for other components in commercial buildings will rise from 61% to 72%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Maryland, the share of electricity among fuels used for heating in urban, residential buildings will rise from 20% to 27% through 2050.//**Urban Residential Appliances:** In the BAU case, in Maryland,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Maryland, the share of electricity among fuels used for heating in rural, residential buildings will rise from 20% to 27% through 2050.//**Rural Residential Appliances:** In the BAU case, in Maryland, the share of electricity among fuels used for appliances in rural, residential buildings will fall from 57% to 56% through 2050.//**Rural Residential Other Components:** In the United States, the share of electricity among fuels used by other components in rural, residential buildings is 100%.//**Commercial Heating:** In the BAU case, in Maryland, the share of electricity among fuels used for heating in commercial buildings will rise from 6% to 7% through 2050.//**Comercial Appliances:** In the BAU case, in Maryland, the share of electricity among fuels used for appliances in commercial buildings will fall from 45% to 42% through 2050.//**Comercial Other Components:** In the BAU case, in Maryland, the share of electricity among fuels used for other components in commercial buildings will rise from 61% to 72%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Maryland, the share of electricity among fuels used for heating in urban, residential buildings will rise from 20% to 27% through 2050.//**Urban Residential Appliances:** In the BAU case, in Maryland,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Maryland, the share of electricity among fuels used for heating in rural, residential buildings will rise from 20% to 27% through 2050.//**Rural Residential Appliances:** In the BAU case, in Maryland, the share of electricity among fuels used for appliances in rural, residential buildings will fall from 57% to 56% through 2050.//**Rural Residential Other Components:** In the United States, the share of electricity among fuels used by other components in rural, residential buildings is 100%.//**Commercial Heating:** In the BAU case, in Maryland, the share of electricity among fuels used for heating in commercial buildings will rise from 6% to 7% through 2050.//**Comercial Appliances:** In the BAU case, in Maryland, the share of electricity among fuels used for appliances in commercial buildings will fall from 45% to 42% through 2050.//**Comercial Other Components:** In the BAU case, in Maryland, the share of electricity among fuels used for other components in commercial buildings will rise from 61% to 72%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Maryland, the share of electricity among fuels used for heating in urban, residential buildings will rise from 20% to 27% through 2050.//**Urban Residential Appliances:** In the BAU case, in Maryland,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Maryland, the share of electricity among fuels used for heating in rural, residential buildings will rise from 20% to 27% through 2050.//**Rural Residential Appliances:** In the BAU case, in Maryland, the share of electricity among fuels used for appliances in rural, residential buildings will fall from 57% to 56% through 2050.//**Rural Residential Other Components:** In the United States, the share of electricity among fuels used by other components in rural, residential buildings is 100%.//**Commercial Heating:** In the BAU case, in Maryland, the share of electricity among fuels used for heating in commercial buildings will rise from 6% to 7% through 2050.//**Comercial Appliances:** In the BAU case, in Maryland, the share of electricity among fuels used for appliances in commercial buildings will fall from 45% to 42% through 2050.//**Comercial Other Components:** In the BAU case, in Maryland, the share of electricity among fuels used for other components in commercial buildings will rise from 61% to 72%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Maryland, the share of electricity among fuels used for heating in urban, residential buildings will rise from 20% to 27% through 2050.//**Urban Residential Appliances:** In the BAU case, in Maryland,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Maryland, the share of electricity among fuels used for heating in rural, residential buildings will rise from 20% to 27% through 2050.//**Rural Residential Appliances:** In the BAU case, in Maryland, the share of electricity among fuels used for appliances in rural, residential buildings will fall from 57% to 56% through 2050.//**Rural Residential Other Components:** In the United States, the share of electricity among fuels used by other components in rural, residential buildings is 100%.//**Commercial Heating:** In the BAU case, in Maryland, the share of electricity among fuels used for heating in commercial buildings will rise from 6% to 7% through 2050.//**Comercial Appliances:** In the BAU case, in Maryland, the share of electricity among fuels used for appliances in commercial buildings will fall from 45% to 42% through 2050.//**Comercial Other Components:** In the BAU case, in Maryland, the share of electricity among fuels used for other components in commercial buildings will rise from 61% to 72%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Maryland, the share of electricity among fuels used for heating in urban, residential buildings will rise from 20% to 27% through 2050.//**Urban Residential Appliances:** In the BAU case, in Maryland,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Maryland, the share of electricity among fuels used for heating in rural, residential buildings will rise from 20% to 27% through 2050.//**Rural Residential Appliances:** In the BAU case, in Maryland, the share of electricity among fuels used for appliances in rural, residential buildings will fall from 57% to 56% through 2050.//**Rural Residential Other Components:** In the United States, the share of electricity among fuels used by other components in rural, residential buildings is 100%.//**Commercial Heating:** In the BAU case, in Maryland, the share of electricity among fuels used for heating in commercial buildings will rise from 6% to 7% through 2050.//**Comercial Appliances:** In the BAU case, in Maryland, the share of electricity among fuels used for appliances in commercial buildings will fall from 45% to 42% through 2050.//**Comercial Other Components:** In the BAU case, in Maryland, the share of electricity among fuels used for other components in commercial buildings will rise from 61% to 72%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Maryland, the share of electricity among fuels used for heating in urban, residential buildings will rise from 20% to 27% through 2050.//**Urban Residential Appliances:** In the BAU case, in Maryland,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Maryland, the share of electricity among fuels used for heating in rural, residential buildings will rise from 20% to 27% through 2050.//**Rural Residential Appliances:** In the BAU case, in Maryland, the share of electricity among fuels used for appliances in rural, residential buildings will fall from 57% to 56% through 2050.//**Rural Residential Other Components:** In the United States, the share of electricity among fuels used by other components in rural, residential buildings is 100%.//**Commercial Heating:** In the BAU case, in Maryland, the share of electricity among fuels used for heating in commercial buildings will rise from 6% to 7% through 2050.//**Comercial Appliances:** In the BAU case, in Maryland, the share of electricity among fuels used for appliances in commercial buildings will fall from 45% to 42% through 2050.//**Comercial Other Components:** In the BAU case, in Maryland, the share of electricity among fuels used for other components in commercial buildings will rise from 61% to 72%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Maryland, the share of electricity among fuels used for heating in urban, residential buildings will rise from 20% to 27% through 2050.//**Urban Residential Appliances:** In the BAU case, in Maryland,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Maryland, the share of electricity among fuels used for heating in rural, residential buildings will rise from 20% to 27% through 2050.//**Rural Residential Appliances:** In the BAU case, in Maryland, the share of electricity among fuels used for appliances in rural, residential buildings will fall from 57% to 56% through 2050.//**Rural Residential Other Components:** In the United States, the share of electricity among fuels used by other components in rural, residential buildings is 100%.//**Commercial Heating:** In the BAU case, in Maryland, the share of electricity among fuels used for heating in commercial buildings will rise from 6% to 7% through 2050.//**Comercial Appliances:** In the BAU case, in Maryland, the share of electricity among fuels used for appliances in commercial buildings will fall from 45% to 42% through 2050.//**Comercial Other Components:** In the BAU case, in Maryland, the share of electricity among fuels used for other components in commercial buildings will rise from 61% to 72%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Maryland, the share of electricity among fuels used for heating in urban, residential buildings will rise from 20% to 27% through 2050.//**Urban Residential Appliances:** In the BAU case, in Maryland, the share of electricity among fuels used for appliances in urban, residential buildings will fall from 57% to 57% through 2050.//**Urban Residential Other Components:** In the United States, the share of electricity among fuels used by other components in urban, residential buildings is 100%.//**Rural Residential Heating:** In the BAU case, in Maryland, the share of electricity among fuels used for heating in rural, residential buildings will rise from 20% to 27% through 2050.//**Rural Residential Appliances:** In the BAU case, in Maryland, the share of electricity among fuels used for appliances in rural, residential buildings will fall from 57% to 56% through 2050.//**Rural Residential Other Components:** In the United States, the share of electricity among fuels used by other components in rural, residential buildings is 100%.//**Commercial Heating:** In the BAU case, in Maryland, the share of electricity among fuels used for heating in commercial buildings will rise from 6% to 7% through 2050.//**Comercial Appliances:** In the BAU case, in Maryland, the share of electricity among fuels used for appliances in commercial buildings will fall from 45% to 42% through 2050.//**Comercial Other Components:** In the BAU case, in Maryland, the share of electricity among fuels used for other components in commercial buildings will rise from 61% to 72%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2660</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2661</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2662</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2663</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2702</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2703</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2664</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2665</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2666</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Maryland.</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2667</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Maryland.</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Maryland.</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Maryland.</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Maryland.</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Maryland.</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Maryland.</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Maryland.</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Maryland.</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Maryland.</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Maryland.</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Maryland.</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Maryland.</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Maryland.</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Maryland.</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Maryland.</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Maryland.</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Maryland.</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Maryland.</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Maryland.</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Maryland.</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Maryland.</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Maryland.</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Maryland.</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2704</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2699</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Maryland.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2705</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The BAU scenario includes a CES alternative compliance payment of roughly 30 $/MWh.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2693</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Maryland.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2669</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2670</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11%.</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2706</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Maryland, a 100% setting provides for an additional  3939 MW of demand response capacity in 2050 (on top of a BAU quantity of 1884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2671</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Maryland will retire 1600 MW of coal by 2050. Maryland currently has 4270 MW of coal capacity.//**Natural gas non-peaker:** The EIA projects that MD will retire 0 MW of natural gas by 2050. MD currently has 2685 MW of natural gas non-peaker capacity.//**Nuclear:** The EIA projects that MD will retire 0 MW of nuclear by 2050. MD currently has 1708 MW of nuclear capacity.//**Natural gas peaker:** The EIA projects that MD will retire 0 MW of natural gas by 2050. MD currently has 3262 MW of natural gas peaker capacity.//**Lignite:** The EIA projects that MD will retire 0 MW of lignite by 2050. MD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2672</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Maryland will retire 1600 MW of coal by 2050. Maryland currently has 4270 MW of coal capacity.//**Natural gas non-peaker:** The EIA projects that MD will retire 0 MW of natural gas by 2050. MD currently has 2685 MW of natural gas non-peaker capacity.//**Nuclear:** The EIA projects that MD will retire 0 MW of nuclear by 2050. MD currently has 1708 MW of nuclear capacity.//**Natural gas peaker:** The EIA projects that MD will retire 0 MW of natural gas by 2050. MD currently has 3262 MW of natural gas peaker capacity.//**Lignite:** The EIA projects that MD will retire 0 MW of lignite by 2050. MD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Maryland will retire 1600 MW of coal by 2050. Maryland currently has 4270 MW of coal capacity.//**Natural gas non-peaker:** The EIA projects that MD will retire 0 MW of natural gas by 2050. MD currently has 2685 MW of natural gas non-peaker capacity.//**Nuclear:** The EIA projects that MD will retire 0 MW of nuclear by 2050. MD currently has 1708 MW of nuclear capacity.//**Natural gas peaker:** The EIA projects that MD will retire 0 MW of natural gas by 2050. MD currently has 3262 MW of natural gas peaker capacity.//**Lignite:** The EIA projects that MD will retire 0 MW of lignite by 2050. MD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Maryland will retire 1600 MW of coal by 2050. Maryland currently has 4270 MW of coal capacity.//**Natural gas non-peaker:** The EIA projects that MD will retire 0 MW of natural gas by 2050. MD currently has 2685 MW of natural gas non-peaker capacity.//**Nuclear:** The EIA projects that MD will retire 0 MW of nuclear by 2050. MD currently has 1708 MW of nuclear capacity.//**Natural gas peaker:** The EIA projects that MD will retire 0 MW of natural gas by 2050. MD currently has 3262 MW of natural gas peaker capacity.//**Lignite:** The EIA projects that MD will retire 0 MW of lignite by 2050. MD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Maryland will retire 1600 MW of coal by 2050. Maryland currently has 4270 MW of coal capacity.//**Natural gas non-peaker:** The EIA projects that MD will retire 0 MW of natural gas by 2050. MD currently has 2685 MW of natural gas non-peaker capacity.//**Nuclear:** The EIA projects that MD will retire 0 MW of nuclear by 2050. MD currently has 1708 MW of nuclear capacity.//**Natural gas peaker:** The EIA projects that MD will retire 0 MW of natural gas by 2050. MD currently has 3262 MW of natural gas peaker capacity.//**Lignite:** The EIA projects that MD will retire 0 MW of lignite by 2050. MD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Maryland will retire 1600 MW of coal by 2050. Maryland currently has 4270 MW of coal capacity.//**Natural gas non-peaker:** The EIA projects that MD will retire 0 MW of natural gas by 2050. MD currently has 2685 MW of natural gas non-peaker capacity.//**Nuclear:** The EIA projects that MD will retire 0 MW of nuclear by 2050. MD currently has 1708 MW of nuclear capacity.//**Natural gas peaker:** The EIA projects that MD will retire 0 MW of natural gas by 2050. MD currently has 3262 MW of natural gas peaker capacity.//**Lignite:** The EIA projects that MD will retire 0 MW of lignite by 2050. MD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Maryland will retire 1600 MW of coal by 2050. Maryland currently has 4270 MW of coal capacity.//**Natural gas non-peaker:** The EIA projects that MD will retire 0 MW of natural gas by 2050. MD currently has 2685 MW of natural gas non-peaker capacity.//**Nuclear:** The EIA projects that MD will retire 0 MW of nuclear by 2050. MD currently has 1708 MW of nuclear capacity.//**Natural gas peaker:** The EIA projects that MD will retire 0 MW of natural gas by 2050. MD currently has 3262 MW of natural gas peaker capacity.//**Lignite:** The EIA projects that MD will retire 0 MW of lignite by 2050. MD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Maryland will retire 1600 MW of coal by 2050. Maryland currently has 4270 MW of coal capacity.//**Natural gas non-peaker:** The EIA projects that MD will retire 0 MW of natural gas by 2050. MD currently has 2685 MW of natural gas non-peaker capacity.//**Nuclear:** The EIA projects that MD will retire 0 MW of nuclear by 2050. MD currently has 1708 MW of nuclear capacity.//**Natural gas peaker:** The EIA projects that MD will retire 0 MW of natural gas by 2050. MD currently has 3262 MW of natural gas peaker capacity.//**Lignite:** The EIA projects that MD will retire 0 MW of lignite by 2050. MD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Maryland will retire 1600 MW of coal by 2050. Maryland currently has 4270 MW of coal capacity.//**Natural gas non-peaker:** The EIA projects that MD will retire 0 MW of natural gas by 2050. MD currently has 2685 MW of natural gas non-peaker capacity.//**Nuclear:** The EIA projects that MD will retire 0 MW of nuclear by 2050. MD currently has 1708 MW of nuclear capacity.//**Natural gas peaker:** The EIA projects that MD will retire 0 MW of natural gas by 2050. MD currently has 3262 MW of natural gas peaker capacity.//**Lignite:** The EIA projects that MD will retire 0 MW of lignite by 2050. MD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Maryland will retire 1600 MW of coal by 2050. Maryland currently has 4270 MW of coal capacity.//**Natural gas non-peaker:** The EIA projects that MD will retire 0 MW of natural gas by 2050. MD currently has 2685 MW of natural gas non-peaker capacity.//**Nuclear:** The EIA projects that MD will retire 0 MW of nuclear by 2050. MD currently has 1708 MW of nuclear capacity.//**Natural gas peaker:** The EIA projects that MD will retire 0 MW of natural gas by 2050. MD currently has 3262 MW of natural gas peaker capacity.//**Lignite:** The EIA projects that MD will retire 0 MW of lignite by 2050. MD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Maryland will retire 1600 MW of coal by 2050. Maryland currently has 4270 MW of coal capacity.//**Natural gas non-peaker:** The EIA projects that MD will retire 0 MW of natural gas by 2050. MD currently has 2685 MW of natural gas non-peaker capacity.//**Nuclear:** The EIA projects that MD will retire 0 MW of nuclear by 2050. MD currently has 1708 MW of nuclear capacity.//**Natural gas peaker:** The EIA projects that MD will retire 0 MW of natural gas by 2050. MD currently has 3262 MW of natural gas peaker capacity.//**Lignite:** The EIA projects that MD will retire 0 MW of lignite by 2050. MD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Maryland will retire 1600 MW of coal by 2050. Maryland currently has 4270 MW of coal capacity.//**Natural gas non-peaker:** The EIA projects that MD will retire 0 MW of natural gas by 2050. MD currently has 2685 MW of natural gas non-peaker capacity.//**Nuclear:** The EIA projects that MD will retire 0 MW of nuclear by 2050. MD currently has 1708 MW of nuclear capacity.//**Natural gas peaker:** The EIA projects that MD will retire 0 MW of natural gas by 2050. MD currently has 3262 MW of natural gas peaker capacity.//**Lignite:** The EIA projects that MD will retire 0 MW of lignite by 2050. MD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Maryland will retire 1600 MW of coal by 2050. Maryland currently has 4270 MW of coal capacity.//**Natural gas non-peaker:** The EIA projects that MD will retire 0 MW of natural gas by 2050. MD currently has 2685 MW of natural gas non-peaker capacity.//**Nuclear:** The EIA projects that MD will retire 0 MW of nuclear by 2050. MD currently has 1708 MW of nuclear capacity.//**Natural gas peaker:** The EIA projects that MD will retire 0 MW of natural gas by 2050. MD currently has 3262 MW of natural gas peaker capacity.//**Lignite:** The EIA projects that MD will retire 0 MW of lignite by 2050. MD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Maryland will retire 1600 MW of coal by 2050. Maryland currently has 4270 MW of coal capacity.//**Natural gas non-peaker:** The EIA projects that MD will retire 0 MW of natural gas by 2050. MD currently has 2685 MW of natural gas non-peaker capacity.//**Nuclear:** The EIA projects that MD will retire 0 MW of nuclear by 2050. MD currently has 1708 MW of nuclear capacity.//**Natural gas peaker:** The EIA projects that MD will retire 0 MW of natural gas by 2050. MD currently has 3262 MW of natural gas peaker capacity.//**Lignite:** The EIA projects that MD will retire 0 MW of lignite by 2050. MD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Maryland will retire 1600 MW of coal by 2050. Maryland currently has 4270 MW of coal capacity.//**Natural gas non-peaker:** The EIA projects that MD will retire 0 MW of natural gas by 2050. MD currently has 2685 MW of natural gas non-peaker capacity.//**Nuclear:** The EIA projects that MD will retire 0 MW of nuclear by 2050. MD currently has 1708 MW of nuclear capacity.//**Natural gas peaker:** The EIA projects that MD will retire 0 MW of natural gas by 2050. MD currently has 3262 MW of natural gas peaker capacity.//**Lignite:** The EIA projects that MD will retire 0 MW of lignite by 2050. MD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Maryland will retire 1600 MW of coal by 2050. Maryland currently has 4270 MW of coal capacity.//**Natural gas non-peaker:** The EIA projects that MD will retire 0 MW of natural gas by 2050. MD currently has 2685 MW of natural gas non-peaker capacity.//**Nuclear:** The EIA projects that MD will retire 0 MW of nuclear by 2050. MD currently has 1708 MW of nuclear capacity.//**Natural gas peaker:** The EIA projects that MD will retire 0 MW of natural gas by 2050. MD currently has 3262 MW of natural gas peaker capacity.//**Lignite:** The EIA projects that MD will retire 0 MW of lignite by 2050. MD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Maryland will retire 1600 MW of coal by 2050. Maryland currently has 4270 MW of coal capacity.//**Natural gas non-peaker:** The EIA projects that MD will retire 0 MW of natural gas by 2050. MD currently has 2685 MW of natural gas non-peaker capacity.//**Nuclear:** The EIA projects that MD will retire 0 MW of nuclear by 2050. MD currently has 1708 MW of nuclear capacity.//**Natural gas peaker:** The EIA projects that MD will retire 0 MW of natural gas by 2050. MD currently has 3262 MW of natural gas peaker capacity.//**Lignite:** The EIA projects that MD will retire 0 MW of lignite by 2050. MD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Maryland will retire 1600 MW of coal by 2050. Maryland currently has 4270 MW of coal capacity.//**Natural gas non-peaker:** The EIA projects that MD will retire 0 MW of natural gas by 2050. MD currently has 2685 MW of natural gas non-peaker capacity.//**Nuclear:** The EIA projects that MD will retire 0 MW of nuclear by 2050. MD currently has 1708 MW of nuclear capacity.//**Natural gas peaker:** The EIA projects that MD will retire 0 MW of natural gas by 2050. MD currently has 3262 MW of natural gas peaker capacity.//**Lignite:** The EIA projects that MD will retire 0 MW of lignite by 2050. MD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Maryland will retire 1600 MW of coal by 2050. Maryland currently has 4270 MW of coal capacity.//**Natural gas non-peaker:** The EIA projects that MD will retire 0 MW of natural gas by 2050. MD currently has 2685 MW of natural gas non-peaker capacity.//**Nuclear:** The EIA projects that MD will retire 0 MW of nuclear by 2050. MD currently has 1708 MW of nuclear capacity.//**Natural gas peaker:** The EIA projects that MD will retire 0 MW of natural gas by 2050. MD currently has 3262 MW of natural gas peaker capacity.//**Lignite:** The EIA projects that MD will retire 0 MW of lignite by 2050. MD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Maryland will retire 1600 MW of coal by 2050. Maryland currently has 4270 MW of coal capacity.//**Natural gas non-peaker:** The EIA projects that MD will retire 0 MW of natural gas by 2050. MD currently has 2685 MW of natural gas non-peaker capacity.//**Nuclear:** The EIA projects that MD will retire 0 MW of nuclear by 2050. MD currently has 1708 MW of nuclear capacity.//**Natural gas peaker:** The EIA projects that MD will retire 0 MW of natural gas by 2050. MD currently has 3262 MW of natural gas peaker capacity.//**Lignite:** The EIA projects that MD will retire 0 MW of lignite by 2050. MD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Maryland will retire 1600 MW of coal by 2050. Maryland currently has 4270 MW of coal capacity.//**Natural gas non-peaker:** The EIA projects that MD will retire 0 MW of natural gas by 2050. MD currently has 2685 MW of natural gas non-peaker capacity.//**Nuclear:** The EIA projects that MD will retire 0 MW of nuclear by 2050. MD currently has 1708 MW of nuclear capacity.//**Natural gas peaker:** The EIA projects that MD will retire 0 MW of natural gas by 2050. MD currently has 3262 MW of natural gas peaker capacity.//**Lignite:** The EIA projects that MD will retire 0 MW of lignite by 2050. MD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Maryland will retire 1600 MW of coal by 2050. Maryland currently has 4270 MW of coal capacity.//**Natural gas non-peaker:** The EIA projects that MD will retire 0 MW of natural gas by 2050. MD currently has 2685 MW of natural gas non-peaker capacity.//**Nuclear:** The EIA projects that MD will retire 0 MW of nuclear by 2050. MD currently has 1708 MW of nuclear capacity.//**Natural gas peaker:** The EIA projects that MD will retire 0 MW of natural gas by 2050. MD currently has 3262 MW of natural gas peaker capacity.//**Lignite:** The EIA projects that MD will retire 0 MW of lignite by 2050. MD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Maryland will retire 1600 MW of coal by 2050. Maryland currently has 4270 MW of coal capacity.//**Natural gas non-peaker:** The EIA projects that MD will retire 0 MW of natural gas by 2050. MD currently has 2685 MW of natural gas non-peaker capacity.//**Nuclear:** The EIA projects that MD will retire 0 MW of nuclear by 2050. MD currently has 1708 MW of nuclear capacity.//**Natural gas peaker:** The EIA projects that MD will retire 0 MW of natural gas by 2050. MD currently has 3262 MW of natural gas peaker capacity.//**Lignite:** The EIA projects that MD will retire 0 MW of lignite by 2050. MD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Maryland will retire 1600 MW of coal by 2050. Maryland currently has 4270 MW of coal capacity.//**Natural gas non-peaker:** The EIA projects that MD will retire 0 MW of natural gas by 2050. MD currently has 2685 MW of natural gas non-peaker capacity.//**Nuclear:** The EIA projects that MD will retire 0 MW of nuclear by 2050. MD currently has 1708 MW of nuclear capacity.//**Natural gas peaker:** The EIA projects that MD will retire 0 MW of natural gas by 2050. MD currently has 3262 MW of natural gas peaker capacity.//**Lignite:** The EIA projects that MD will retire 0 MW of lignite by 2050. MD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2707</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2708</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2709</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2710</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2673</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2674</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2675</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2676</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2677</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2587</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2678</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2679</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2680</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2681</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2432</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2668</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2433</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2433</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2433</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2433</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2433</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2433</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2433</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2433</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2433</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2433</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2433</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2433</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2433</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2433</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2433</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2433</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2433</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2433</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2433</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2433</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2433</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2433</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2433</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2433</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2433</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2682</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2684</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2683</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2694</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2695</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2685</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2686</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2686</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2686</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2686</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2686</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2711</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2687</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2696</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2688</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2689</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2690</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2691</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2697</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2547</v>
      </c>
      <c r="E1578" s="88"/>
      <c r="F1578" s="88" t="s">
        <v>2548</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2549</v>
      </c>
      <c r="E1579" s="88"/>
      <c r="F1579" s="88" t="s">
        <v>2550</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2712</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2551</v>
      </c>
      <c r="E1580" s="88"/>
      <c r="F1580" s="88" t="s">
        <v>2552</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2553</v>
      </c>
      <c r="E1581" s="88"/>
      <c r="F1581" s="88" t="s">
        <v>2554</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2555</v>
      </c>
      <c r="E1582" s="88"/>
      <c r="F1582" s="88" t="s">
        <v>2556</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2557</v>
      </c>
      <c r="E1583" s="88"/>
      <c r="F1583" s="88" t="s">
        <v>2558</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2559</v>
      </c>
      <c r="E1584" s="88"/>
      <c r="F1584" s="88" t="s">
        <v>2560</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2561</v>
      </c>
      <c r="E1585" s="88"/>
      <c r="F1585" s="88" t="s">
        <v>2562</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2563</v>
      </c>
      <c r="E1586" s="88"/>
      <c r="F1586" s="88" t="s">
        <v>2564</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2565</v>
      </c>
      <c r="E1587" s="88"/>
      <c r="F1587" s="88" t="s">
        <v>2566</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2567</v>
      </c>
      <c r="E1588" s="88"/>
      <c r="F1588" s="88" t="s">
        <v>2568</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2569</v>
      </c>
      <c r="E1589" s="88"/>
      <c r="F1589" s="88" t="s">
        <v>2570</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2571</v>
      </c>
      <c r="E1590" s="88"/>
      <c r="F1590" s="88" t="s">
        <v>2572</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2573</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2574</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2575</v>
      </c>
      <c r="E1593" s="88"/>
      <c r="F1593" s="88" t="s">
        <v>2576</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2577</v>
      </c>
      <c r="E1594" s="88"/>
      <c r="F1594" s="88" t="s">
        <v>2578</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2579</v>
      </c>
      <c r="E1595" s="88"/>
      <c r="F1595" s="88" t="s">
        <v>2580</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51.76%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2692</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51.76%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51.76%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51.76%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51.76%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51.76%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51.76%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51.76%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51.76%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20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2713</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2714</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2715</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2716</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2717</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2718</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2719</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2720</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2721</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2722</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2723</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2724</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2725</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2633</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2726</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2727</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2728</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2729</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2730</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2731</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2732</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2733</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2734</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2735</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2589</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2663</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2601</v>
      </c>
      <c r="B5" t="str">
        <f>A5</f>
        <v>g CO2e / 2024 dollar</v>
      </c>
    </row>
    <row r="6" spans="1:2" x14ac:dyDescent="0.25">
      <c r="A6" s="68" t="s">
        <v>563</v>
      </c>
      <c r="B6" t="str">
        <f t="shared" ref="B6:B46" si="0">A6</f>
        <v>thousand metric tons / year</v>
      </c>
    </row>
    <row r="7" spans="1:2" x14ac:dyDescent="0.25">
      <c r="A7" s="68" t="s">
        <v>2602</v>
      </c>
      <c r="B7" t="str">
        <f>A7</f>
        <v>g CO2 / 2024 dollar</v>
      </c>
    </row>
    <row r="8" spans="1:2" ht="30" x14ac:dyDescent="0.25">
      <c r="A8" s="68" t="s">
        <v>2603</v>
      </c>
      <c r="B8" t="str">
        <f t="shared" si="0"/>
        <v>2024 dollars / metric ton CO2e abated, Annual average abatement (million metric tons CO2e)</v>
      </c>
    </row>
    <row r="9" spans="1:2" x14ac:dyDescent="0.25">
      <c r="A9" s="68" t="s">
        <v>2604</v>
      </c>
      <c r="B9" t="str">
        <f t="shared" si="0"/>
        <v>billion 2024 dollars / year</v>
      </c>
    </row>
    <row r="10" spans="1:2" x14ac:dyDescent="0.25">
      <c r="A10" s="68" t="s">
        <v>2605</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2606</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2607</v>
      </c>
      <c r="B20" t="str">
        <f t="shared" si="0"/>
        <v>kilowatt-hour / 2024 dollar</v>
      </c>
    </row>
    <row r="21" spans="1:2" x14ac:dyDescent="0.25">
      <c r="A21" s="68" t="s">
        <v>353</v>
      </c>
      <c r="B21" t="str">
        <f t="shared" si="0"/>
        <v>gigawatts (GW) / year</v>
      </c>
    </row>
    <row r="22" spans="1:2" x14ac:dyDescent="0.25">
      <c r="A22" s="68" t="s">
        <v>2608</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2609</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2610</v>
      </c>
      <c r="B37" t="str">
        <f t="shared" si="0"/>
        <v>2024 dollars / short ton</v>
      </c>
    </row>
    <row r="38" spans="1:2" x14ac:dyDescent="0.25">
      <c r="A38" s="68" t="s">
        <v>2611</v>
      </c>
      <c r="B38" t="str">
        <f t="shared" si="0"/>
        <v>2024 dollars / thousand cubic feet</v>
      </c>
    </row>
    <row r="39" spans="1:2" x14ac:dyDescent="0.25">
      <c r="A39" s="68" t="s">
        <v>2612</v>
      </c>
      <c r="B39" t="str">
        <f t="shared" si="0"/>
        <v>2024 dollars / gallon</v>
      </c>
    </row>
    <row r="40" spans="1:2" x14ac:dyDescent="0.25">
      <c r="A40" s="68" t="s">
        <v>2613</v>
      </c>
      <c r="B40" t="str">
        <f t="shared" si="0"/>
        <v>2024 dollars / barrel of oil</v>
      </c>
    </row>
    <row r="41" spans="1:2" x14ac:dyDescent="0.25">
      <c r="A41" s="68" t="s">
        <v>2614</v>
      </c>
      <c r="B41" t="str">
        <f t="shared" si="0"/>
        <v>2024 dollars / kg</v>
      </c>
    </row>
    <row r="42" spans="1:2" x14ac:dyDescent="0.25">
      <c r="A42" s="68" t="s">
        <v>2615</v>
      </c>
      <c r="B42" t="str">
        <f t="shared" si="0"/>
        <v>2024 dollars / kilowatt-hour (kWh)</v>
      </c>
    </row>
    <row r="43" spans="1:2" x14ac:dyDescent="0.25">
      <c r="A43" s="68" t="s">
        <v>2608</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2616</v>
      </c>
      <c r="B45" t="str">
        <f t="shared" si="0"/>
        <v>million 2024 dollars / megawatt (MW)</v>
      </c>
    </row>
    <row r="46" spans="1:2" ht="30" x14ac:dyDescent="0.25">
      <c r="A46" s="68" t="s">
        <v>2617</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2420</v>
      </c>
      <c r="H96" s="58" t="s">
        <v>2421</v>
      </c>
      <c r="I96" t="s">
        <v>2422</v>
      </c>
    </row>
    <row r="97" spans="1:10" x14ac:dyDescent="0.25">
      <c r="A97" s="143" t="s">
        <v>706</v>
      </c>
      <c r="B97" s="143" t="s">
        <v>582</v>
      </c>
      <c r="C97" s="15">
        <v>1</v>
      </c>
      <c r="D97" t="s">
        <v>65</v>
      </c>
      <c r="E97" t="s">
        <v>64</v>
      </c>
      <c r="F97" t="str">
        <f>UnitControlCenter!$B$16</f>
        <v>terawatt-hours (TWh) / year</v>
      </c>
      <c r="G97" s="58" t="s">
        <v>2423</v>
      </c>
      <c r="H97" s="58" t="s">
        <v>2424</v>
      </c>
      <c r="I97" t="s">
        <v>2422</v>
      </c>
    </row>
    <row r="98" spans="1:10" x14ac:dyDescent="0.25">
      <c r="A98" s="143" t="s">
        <v>706</v>
      </c>
      <c r="B98" s="143" t="s">
        <v>583</v>
      </c>
      <c r="C98" s="15">
        <v>1</v>
      </c>
      <c r="D98" t="s">
        <v>65</v>
      </c>
      <c r="E98" t="s">
        <v>66</v>
      </c>
      <c r="F98" t="str">
        <f>UnitControlCenter!$B$21</f>
        <v>gigawatts (GW) / year</v>
      </c>
      <c r="G98" s="58" t="s">
        <v>2425</v>
      </c>
      <c r="H98" s="58" t="s">
        <v>2426</v>
      </c>
      <c r="I98" t="s">
        <v>2427</v>
      </c>
    </row>
    <row r="99" spans="1:10" x14ac:dyDescent="0.25">
      <c r="A99" s="143" t="s">
        <v>706</v>
      </c>
      <c r="B99" s="143" t="s">
        <v>584</v>
      </c>
      <c r="C99" s="15">
        <v>1</v>
      </c>
      <c r="D99" t="s">
        <v>65</v>
      </c>
      <c r="E99" t="s">
        <v>64</v>
      </c>
      <c r="F99" t="str">
        <f>UnitControlCenter!$B$21</f>
        <v>gigawatts (GW) / year</v>
      </c>
      <c r="G99" s="58" t="s">
        <v>2428</v>
      </c>
      <c r="H99" s="58" t="s">
        <v>2429</v>
      </c>
      <c r="I99" t="s">
        <v>2430</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2431</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tabSelected="1" workbookViewId="0">
      <selection activeCell="A2" sqref="A2"/>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2736</v>
      </c>
      <c r="B2" t="s">
        <v>1595</v>
      </c>
      <c r="C2" s="40" t="s">
        <v>1596</v>
      </c>
    </row>
    <row r="3" spans="1:3" x14ac:dyDescent="0.25">
      <c r="A3" t="s">
        <v>1831</v>
      </c>
      <c r="B3" t="s">
        <v>1832</v>
      </c>
    </row>
    <row r="4" spans="1:3" x14ac:dyDescent="0.25">
      <c r="A4" t="s">
        <v>2600</v>
      </c>
      <c r="B4" t="s">
        <v>2599</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60% below 2006 levels by 2031</v>
      </c>
      <c r="C2" s="1">
        <f>IF(INDEX('State Targets'!I:I,MATCH(About!$C$2,'State Targets'!$B:$B,0))=0,"",INDEX('State Targets'!I:I,MATCH(About!$C$2,'State Targets'!$B:$B,0)))</f>
        <v>2031</v>
      </c>
      <c r="D2" s="1">
        <f>INDEX('State Targets'!J:J,MATCH(About!$C$2,'State Targets'!$B:$B,0))</f>
        <v>33.200000000000003</v>
      </c>
      <c r="E2" s="1">
        <f>INDEX('State Targets'!K:K,MATCH(About!$C$2,'State Targets'!$B:$B,0))</f>
        <v>33.200000000000003</v>
      </c>
      <c r="F2" s="1" t="str">
        <f>IF(INDEX('State Targets'!L:L,MATCH(About!$C$2,'State Targets'!$B:$B,0))=0,"",INDEX('State Targets'!L:L,MATCH(About!$C$2,'State Targets'!$B:$B,0)))</f>
        <v xml:space="preserve">Maryland enacted statutory targets in 2022 to reduce GHG emissions 60% below 2006 levels by 2031. </v>
      </c>
    </row>
    <row r="3" spans="1:6" x14ac:dyDescent="0.25">
      <c r="A3" s="1" t="s">
        <v>1739</v>
      </c>
      <c r="B3" s="1" t="str">
        <f>IF(INDEX('State Targets'!M:M,MATCH(About!$C$2,'State Targets'!$B:$B,0))=0,"",INDEX('State Targets'!M:M,MATCH(About!$C$2,'State Targets'!$B:$B,0)))</f>
        <v>Net-zero emissions by 2045</v>
      </c>
      <c r="C3" s="1">
        <f>IF(INDEX('State Targets'!N:N,MATCH(About!$C$2,'State Targets'!$B:$B,0))=0,"",INDEX('State Targets'!N:N,MATCH(About!$C$2,'State Targets'!$B:$B,0)))</f>
        <v>2045</v>
      </c>
      <c r="D3" s="1">
        <f>INDEX('State Targets'!O:O,MATCH(About!$C$2,'State Targets'!$B:$B,0))</f>
        <v>0</v>
      </c>
      <c r="E3" s="1">
        <f>INDEX('State Targets'!P:P,MATCH(About!$C$2,'State Targets'!$B:$B,0))</f>
        <v>0</v>
      </c>
      <c r="F3" s="1" t="str">
        <f>IF(INDEX('State Targets'!Q:Q,MATCH(About!$C$2,'State Targets'!$B:$B,0))=0,"",INDEX('State Targets'!Q:Q,MATCH(About!$C$2,'State Targets'!$B:$B,0)))</f>
        <v>Maryland enacted statutory targets in 2022 to to achieve net-zero GHG emissions by 2045.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2262</v>
      </c>
      <c r="B1" s="123" t="s">
        <v>2263</v>
      </c>
      <c r="C1" s="124" t="s">
        <v>2264</v>
      </c>
      <c r="D1" s="124" t="s">
        <v>2265</v>
      </c>
      <c r="E1" s="125" t="s">
        <v>2266</v>
      </c>
      <c r="F1" s="125" t="s">
        <v>2267</v>
      </c>
      <c r="G1" s="126" t="s">
        <v>2268</v>
      </c>
      <c r="H1" s="123" t="s">
        <v>2269</v>
      </c>
      <c r="I1" s="127" t="s">
        <v>2270</v>
      </c>
      <c r="J1" s="127" t="s">
        <v>2271</v>
      </c>
      <c r="K1" s="127" t="s">
        <v>2272</v>
      </c>
      <c r="L1" s="127" t="s">
        <v>2273</v>
      </c>
      <c r="M1" s="127" t="s">
        <v>2274</v>
      </c>
      <c r="N1" s="128" t="s">
        <v>2275</v>
      </c>
      <c r="O1" s="127" t="s">
        <v>2276</v>
      </c>
      <c r="P1" s="127" t="s">
        <v>2277</v>
      </c>
      <c r="Q1" s="129" t="s">
        <v>2278</v>
      </c>
    </row>
    <row r="2" spans="1:17" x14ac:dyDescent="0.25">
      <c r="A2" t="s">
        <v>2080</v>
      </c>
      <c r="B2" t="s">
        <v>2279</v>
      </c>
    </row>
    <row r="3" spans="1:17" x14ac:dyDescent="0.25">
      <c r="A3" t="s">
        <v>2081</v>
      </c>
      <c r="B3" t="s">
        <v>2280</v>
      </c>
    </row>
    <row r="4" spans="1:17" x14ac:dyDescent="0.25">
      <c r="A4" t="s">
        <v>2082</v>
      </c>
      <c r="B4" t="s">
        <v>2281</v>
      </c>
    </row>
    <row r="5" spans="1:17" x14ac:dyDescent="0.25">
      <c r="A5" t="s">
        <v>2083</v>
      </c>
      <c r="B5" t="s">
        <v>2282</v>
      </c>
    </row>
    <row r="6" spans="1:17" x14ac:dyDescent="0.25">
      <c r="A6" t="s">
        <v>2084</v>
      </c>
      <c r="B6" t="s">
        <v>2283</v>
      </c>
      <c r="C6" s="102" t="s">
        <v>2284</v>
      </c>
      <c r="D6">
        <v>1990</v>
      </c>
      <c r="E6" s="130">
        <v>0.4</v>
      </c>
      <c r="F6" s="130">
        <v>1</v>
      </c>
      <c r="G6" s="134">
        <f>ROUND(IF(About!$B$2=$A6,INDEX('State GHG Summary'!$C$1:$AH$1,MATCH('State Targets'!D6,'State GHG Summary'!$C$3:$AH$3,0)),0),0)</f>
        <v>0</v>
      </c>
      <c r="H6" t="s">
        <v>2285</v>
      </c>
      <c r="I6" s="132">
        <v>2030</v>
      </c>
      <c r="J6" s="132">
        <f>IF($E6="","",(1-$E6)*$G6)</f>
        <v>0</v>
      </c>
      <c r="K6" s="132">
        <f>J6</f>
        <v>0</v>
      </c>
      <c r="L6" s="132" t="s">
        <v>2286</v>
      </c>
      <c r="M6" t="s">
        <v>2287</v>
      </c>
      <c r="N6" s="133">
        <v>2045</v>
      </c>
      <c r="O6">
        <f>IF($F6="","",(1-$F6)*$G6)</f>
        <v>0</v>
      </c>
      <c r="P6">
        <f>O6</f>
        <v>0</v>
      </c>
      <c r="Q6" s="131" t="s">
        <v>2288</v>
      </c>
    </row>
    <row r="7" spans="1:17" x14ac:dyDescent="0.25">
      <c r="A7" t="s">
        <v>474</v>
      </c>
      <c r="B7" t="s">
        <v>2289</v>
      </c>
      <c r="C7" s="102" t="s">
        <v>2290</v>
      </c>
      <c r="D7">
        <v>2005</v>
      </c>
      <c r="E7" s="135">
        <v>0.5</v>
      </c>
      <c r="F7" s="135">
        <v>0.9</v>
      </c>
      <c r="G7" s="134">
        <f>ROUND(IF(About!$B$2=$A7,INDEX('State GHG Summary'!$C$1:$AH$1,MATCH('State Targets'!D7,'State GHG Summary'!$C$3:$AH$3,0)),0),0)</f>
        <v>0</v>
      </c>
      <c r="H7" t="s">
        <v>2291</v>
      </c>
      <c r="I7" s="136">
        <v>2030</v>
      </c>
      <c r="J7" s="132">
        <f t="shared" ref="J7:J52" si="0">IF($E7="","",(1-$E7)*$G7)</f>
        <v>0</v>
      </c>
      <c r="K7" s="132">
        <f t="shared" ref="K7:K52" si="1">J7</f>
        <v>0</v>
      </c>
      <c r="L7" s="136" t="s">
        <v>2292</v>
      </c>
      <c r="M7" t="s">
        <v>2293</v>
      </c>
      <c r="N7" s="137">
        <v>2050</v>
      </c>
      <c r="O7">
        <f t="shared" ref="O7:O52" si="2">IF($F7="","",(1-$F7)*$G7)</f>
        <v>0</v>
      </c>
      <c r="P7">
        <f t="shared" ref="P7:P52" si="3">O7</f>
        <v>0</v>
      </c>
      <c r="Q7" s="131" t="s">
        <v>2294</v>
      </c>
    </row>
    <row r="8" spans="1:17" x14ac:dyDescent="0.25">
      <c r="A8" t="s">
        <v>2085</v>
      </c>
      <c r="B8" t="s">
        <v>2295</v>
      </c>
      <c r="C8" s="102" t="s">
        <v>2296</v>
      </c>
      <c r="D8">
        <v>2001</v>
      </c>
      <c r="E8" s="130">
        <v>0.45</v>
      </c>
      <c r="F8" s="130">
        <v>0.8</v>
      </c>
      <c r="G8" s="134">
        <f>ROUND(IF(About!$B$2=$A8,INDEX('State GHG Summary'!$C$1:$AH$1,MATCH('State Targets'!D8,'State GHG Summary'!$C$3:$AH$3,0)),0),0)</f>
        <v>0</v>
      </c>
      <c r="H8" t="s">
        <v>2297</v>
      </c>
      <c r="I8" s="132">
        <v>2030</v>
      </c>
      <c r="J8" s="132">
        <f t="shared" si="0"/>
        <v>0</v>
      </c>
      <c r="K8" s="132">
        <f t="shared" si="1"/>
        <v>0</v>
      </c>
      <c r="L8" s="132" t="s">
        <v>2298</v>
      </c>
      <c r="M8" t="s">
        <v>2299</v>
      </c>
      <c r="N8" s="133">
        <v>2050</v>
      </c>
      <c r="O8">
        <f t="shared" si="2"/>
        <v>0</v>
      </c>
      <c r="P8">
        <f t="shared" si="3"/>
        <v>0</v>
      </c>
      <c r="Q8" s="131" t="s">
        <v>2300</v>
      </c>
    </row>
    <row r="9" spans="1:17" x14ac:dyDescent="0.25">
      <c r="A9" t="s">
        <v>2086</v>
      </c>
      <c r="B9" t="s">
        <v>2086</v>
      </c>
      <c r="J9" s="132" t="str">
        <f t="shared" si="0"/>
        <v/>
      </c>
      <c r="K9" s="132" t="str">
        <f t="shared" si="1"/>
        <v/>
      </c>
      <c r="O9" t="str">
        <f t="shared" si="2"/>
        <v/>
      </c>
      <c r="P9" t="str">
        <f t="shared" si="3"/>
        <v/>
      </c>
    </row>
    <row r="10" spans="1:17" x14ac:dyDescent="0.25">
      <c r="A10" t="s">
        <v>2087</v>
      </c>
      <c r="B10" t="s">
        <v>2301</v>
      </c>
      <c r="C10" s="102" t="s">
        <v>2302</v>
      </c>
      <c r="D10">
        <v>2005</v>
      </c>
      <c r="E10" s="130">
        <v>0.5</v>
      </c>
      <c r="F10" s="130">
        <v>1</v>
      </c>
      <c r="G10" s="134">
        <f>ROUND(IF(About!$B$2=$A10,INDEX('State GHG Summary'!$C$1:$AH$1,MATCH('State Targets'!D10,'State GHG Summary'!$C$3:$AH$3,0)),0),0)</f>
        <v>0</v>
      </c>
      <c r="H10" t="s">
        <v>2291</v>
      </c>
      <c r="I10" s="132">
        <v>2030</v>
      </c>
      <c r="J10" s="132">
        <f t="shared" si="0"/>
        <v>0</v>
      </c>
      <c r="K10" s="132">
        <f t="shared" si="1"/>
        <v>0</v>
      </c>
      <c r="L10" s="132" t="s">
        <v>2303</v>
      </c>
      <c r="M10" t="s">
        <v>2304</v>
      </c>
      <c r="N10" s="133">
        <v>2050</v>
      </c>
      <c r="O10">
        <f t="shared" si="2"/>
        <v>0</v>
      </c>
      <c r="P10">
        <f t="shared" si="3"/>
        <v>0</v>
      </c>
      <c r="Q10" s="131" t="s">
        <v>2305</v>
      </c>
    </row>
    <row r="11" spans="1:17" x14ac:dyDescent="0.25">
      <c r="A11" t="s">
        <v>2088</v>
      </c>
      <c r="B11" t="s">
        <v>2306</v>
      </c>
      <c r="C11" s="102" t="s">
        <v>2307</v>
      </c>
      <c r="D11">
        <v>1990</v>
      </c>
      <c r="E11" s="130">
        <v>0.8</v>
      </c>
      <c r="G11" s="134">
        <f>ROUND(IF(About!$B$2=$A11,INDEX('State GHG Summary'!$C$1:$AH$1,MATCH('State Targets'!D11,'State GHG Summary'!$C$3:$AH$3,0)),0),0)</f>
        <v>0</v>
      </c>
      <c r="H11" t="s">
        <v>2308</v>
      </c>
      <c r="I11" s="132">
        <v>2050</v>
      </c>
      <c r="J11" s="132">
        <f t="shared" si="0"/>
        <v>0</v>
      </c>
      <c r="K11" s="132">
        <f t="shared" si="1"/>
        <v>0</v>
      </c>
      <c r="L11" s="132" t="s">
        <v>2309</v>
      </c>
      <c r="O11" t="str">
        <f t="shared" si="2"/>
        <v/>
      </c>
      <c r="P11" t="str">
        <f t="shared" si="3"/>
        <v/>
      </c>
    </row>
    <row r="12" spans="1:17" x14ac:dyDescent="0.25">
      <c r="A12" t="s">
        <v>2089</v>
      </c>
      <c r="B12" t="s">
        <v>2310</v>
      </c>
      <c r="J12" s="132" t="str">
        <f t="shared" si="0"/>
        <v/>
      </c>
      <c r="K12" s="132" t="str">
        <f t="shared" si="1"/>
        <v/>
      </c>
      <c r="O12" t="str">
        <f t="shared" si="2"/>
        <v/>
      </c>
      <c r="P12" t="str">
        <f t="shared" si="3"/>
        <v/>
      </c>
    </row>
    <row r="13" spans="1:17" x14ac:dyDescent="0.25">
      <c r="A13" t="s">
        <v>2090</v>
      </c>
      <c r="B13" t="s">
        <v>2311</v>
      </c>
      <c r="J13" s="132" t="str">
        <f t="shared" si="0"/>
        <v/>
      </c>
      <c r="K13" s="132" t="str">
        <f t="shared" si="1"/>
        <v/>
      </c>
      <c r="O13" t="str">
        <f t="shared" si="2"/>
        <v/>
      </c>
      <c r="P13" t="str">
        <f t="shared" si="3"/>
        <v/>
      </c>
    </row>
    <row r="14" spans="1:17" x14ac:dyDescent="0.25">
      <c r="A14" t="s">
        <v>2091</v>
      </c>
      <c r="B14" t="s">
        <v>2312</v>
      </c>
      <c r="J14" s="132" t="str">
        <f t="shared" si="0"/>
        <v/>
      </c>
      <c r="K14" s="132" t="str">
        <f t="shared" si="1"/>
        <v/>
      </c>
      <c r="O14" t="str">
        <f t="shared" si="2"/>
        <v/>
      </c>
      <c r="P14" t="str">
        <f t="shared" si="3"/>
        <v/>
      </c>
    </row>
    <row r="15" spans="1:17" x14ac:dyDescent="0.25">
      <c r="A15" t="s">
        <v>2092</v>
      </c>
      <c r="B15" t="s">
        <v>2313</v>
      </c>
      <c r="J15" s="132" t="str">
        <f t="shared" si="0"/>
        <v/>
      </c>
      <c r="K15" s="132" t="str">
        <f t="shared" si="1"/>
        <v/>
      </c>
      <c r="O15" t="str">
        <f t="shared" si="2"/>
        <v/>
      </c>
      <c r="P15" t="str">
        <f t="shared" si="3"/>
        <v/>
      </c>
    </row>
    <row r="16" spans="1:17" x14ac:dyDescent="0.25">
      <c r="A16" t="s">
        <v>2093</v>
      </c>
      <c r="B16" t="s">
        <v>2314</v>
      </c>
      <c r="J16" s="132" t="str">
        <f t="shared" si="0"/>
        <v/>
      </c>
      <c r="K16" s="132" t="str">
        <f t="shared" si="1"/>
        <v/>
      </c>
      <c r="O16" t="str">
        <f t="shared" si="2"/>
        <v/>
      </c>
      <c r="P16" t="str">
        <f t="shared" si="3"/>
        <v/>
      </c>
    </row>
    <row r="17" spans="1:17" x14ac:dyDescent="0.25">
      <c r="A17" t="s">
        <v>2094</v>
      </c>
      <c r="B17" t="s">
        <v>2315</v>
      </c>
      <c r="J17" s="132" t="str">
        <f t="shared" si="0"/>
        <v/>
      </c>
      <c r="K17" s="132" t="str">
        <f t="shared" si="1"/>
        <v/>
      </c>
      <c r="O17" t="str">
        <f t="shared" si="2"/>
        <v/>
      </c>
      <c r="P17" t="str">
        <f t="shared" si="3"/>
        <v/>
      </c>
    </row>
    <row r="18" spans="1:17" x14ac:dyDescent="0.25">
      <c r="A18" t="s">
        <v>2095</v>
      </c>
      <c r="B18" t="s">
        <v>2316</v>
      </c>
      <c r="J18" s="132" t="str">
        <f t="shared" si="0"/>
        <v/>
      </c>
      <c r="K18" s="132" t="str">
        <f t="shared" si="1"/>
        <v/>
      </c>
      <c r="O18" t="str">
        <f t="shared" si="2"/>
        <v/>
      </c>
      <c r="P18" t="str">
        <f t="shared" si="3"/>
        <v/>
      </c>
    </row>
    <row r="19" spans="1:17" x14ac:dyDescent="0.25">
      <c r="A19" t="s">
        <v>2096</v>
      </c>
      <c r="B19" t="s">
        <v>2317</v>
      </c>
      <c r="C19" s="102" t="s">
        <v>2318</v>
      </c>
      <c r="D19">
        <v>1990</v>
      </c>
      <c r="E19" s="130">
        <v>0.2</v>
      </c>
      <c r="G19" s="134">
        <f>ROUND(IF(About!$B$2=$A19,INDEX('State GHG Summary'!$C$1:$AH$1,MATCH('State Targets'!D19,'State GHG Summary'!$C$3:$AH$3,0)),0),0)</f>
        <v>0</v>
      </c>
      <c r="H19" t="s">
        <v>2319</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2320</v>
      </c>
      <c r="C20" s="102" t="s">
        <v>2321</v>
      </c>
      <c r="D20">
        <v>2005</v>
      </c>
      <c r="E20" s="130">
        <v>0.45</v>
      </c>
      <c r="F20" s="130">
        <v>1</v>
      </c>
      <c r="G20" s="134">
        <f>ROUND(IF(About!$B$2=$A20,INDEX('State GHG Summary'!$C$1:$AH$1,MATCH('State Targets'!D20,'State GHG Summary'!$C$3:$AH$3,0)),0),0)</f>
        <v>0</v>
      </c>
      <c r="H20" t="s">
        <v>2322</v>
      </c>
      <c r="I20" s="132">
        <v>2030</v>
      </c>
      <c r="J20" s="132">
        <f t="shared" si="0"/>
        <v>0</v>
      </c>
      <c r="K20" s="132">
        <f t="shared" si="1"/>
        <v>0</v>
      </c>
      <c r="L20" s="132" t="s">
        <v>2323</v>
      </c>
      <c r="M20" t="s">
        <v>2304</v>
      </c>
      <c r="N20" s="133">
        <v>2050</v>
      </c>
      <c r="O20">
        <f t="shared" si="2"/>
        <v>0</v>
      </c>
      <c r="P20">
        <f t="shared" si="3"/>
        <v>0</v>
      </c>
      <c r="Q20" t="s">
        <v>2324</v>
      </c>
    </row>
    <row r="21" spans="1:17" x14ac:dyDescent="0.25">
      <c r="A21" t="s">
        <v>2098</v>
      </c>
      <c r="B21" t="s">
        <v>2325</v>
      </c>
      <c r="C21" s="102" t="s">
        <v>2326</v>
      </c>
      <c r="D21">
        <v>1990</v>
      </c>
      <c r="E21" s="130">
        <v>0.75</v>
      </c>
      <c r="F21" s="130">
        <v>1</v>
      </c>
      <c r="G21" s="134">
        <f>ROUND(IF(About!$B$2=$A21,INDEX('State GHG Summary'!$C$1:$AH$1,MATCH('State Targets'!D21,'State GHG Summary'!$C$3:$AH$3,0)),0),0)</f>
        <v>0</v>
      </c>
      <c r="H21" t="s">
        <v>2327</v>
      </c>
      <c r="I21" s="132">
        <v>2040</v>
      </c>
      <c r="J21" s="132">
        <f t="shared" si="0"/>
        <v>0</v>
      </c>
      <c r="K21" s="132">
        <f t="shared" si="1"/>
        <v>0</v>
      </c>
      <c r="L21" s="132" t="s">
        <v>2328</v>
      </c>
      <c r="M21" t="s">
        <v>2304</v>
      </c>
      <c r="N21" s="133">
        <v>2050</v>
      </c>
      <c r="O21">
        <f t="shared" si="2"/>
        <v>0</v>
      </c>
      <c r="P21">
        <f t="shared" si="3"/>
        <v>0</v>
      </c>
      <c r="Q21" t="s">
        <v>2329</v>
      </c>
    </row>
    <row r="22" spans="1:17" x14ac:dyDescent="0.25">
      <c r="A22" t="s">
        <v>2099</v>
      </c>
      <c r="B22" t="s">
        <v>2330</v>
      </c>
      <c r="C22" s="102" t="s">
        <v>2331</v>
      </c>
      <c r="D22">
        <v>2006</v>
      </c>
      <c r="E22" s="130">
        <v>0.6</v>
      </c>
      <c r="F22" s="130">
        <v>1</v>
      </c>
      <c r="G22" s="134">
        <f>ROUND(IF(About!$B$2=$A22,INDEX('State GHG Summary'!$C$1:$AH$1,MATCH('State Targets'!D22,'State GHG Summary'!$C$3:$AH$3,0)),0),0)</f>
        <v>83</v>
      </c>
      <c r="H22" t="s">
        <v>2332</v>
      </c>
      <c r="I22" s="132">
        <v>2031</v>
      </c>
      <c r="J22" s="132">
        <f t="shared" si="0"/>
        <v>33.200000000000003</v>
      </c>
      <c r="K22" s="132">
        <f t="shared" si="1"/>
        <v>33.200000000000003</v>
      </c>
      <c r="L22" s="132" t="s">
        <v>2333</v>
      </c>
      <c r="M22" t="s">
        <v>2334</v>
      </c>
      <c r="N22" s="133">
        <v>2045</v>
      </c>
      <c r="O22">
        <f t="shared" si="2"/>
        <v>0</v>
      </c>
      <c r="P22">
        <f t="shared" si="3"/>
        <v>0</v>
      </c>
      <c r="Q22" s="131" t="s">
        <v>2335</v>
      </c>
    </row>
    <row r="23" spans="1:17" x14ac:dyDescent="0.25">
      <c r="A23" t="s">
        <v>2100</v>
      </c>
      <c r="B23" t="s">
        <v>2336</v>
      </c>
      <c r="C23" s="102" t="s">
        <v>2337</v>
      </c>
      <c r="D23">
        <v>1990</v>
      </c>
      <c r="E23" s="130">
        <v>0.45</v>
      </c>
      <c r="F23" s="130">
        <v>1</v>
      </c>
      <c r="G23" s="134">
        <f>ROUND(IF(About!$B$2=$A23,INDEX('State GHG Summary'!$C$1:$AH$1,MATCH('State Targets'!D23,'State GHG Summary'!$C$3:$AH$3,0)),0),0)</f>
        <v>0</v>
      </c>
      <c r="H23" t="s">
        <v>2338</v>
      </c>
      <c r="I23" s="132">
        <v>2030</v>
      </c>
      <c r="J23" s="132">
        <f t="shared" si="0"/>
        <v>0</v>
      </c>
      <c r="K23" s="132">
        <f t="shared" si="1"/>
        <v>0</v>
      </c>
      <c r="L23" s="132" t="s">
        <v>2339</v>
      </c>
      <c r="M23" t="s">
        <v>2304</v>
      </c>
      <c r="N23" s="133">
        <v>2050</v>
      </c>
      <c r="O23">
        <f t="shared" si="2"/>
        <v>0</v>
      </c>
      <c r="P23">
        <f t="shared" si="3"/>
        <v>0</v>
      </c>
      <c r="Q23" s="131" t="s">
        <v>2340</v>
      </c>
    </row>
    <row r="24" spans="1:17" x14ac:dyDescent="0.25">
      <c r="A24" t="s">
        <v>2101</v>
      </c>
      <c r="B24" t="s">
        <v>2341</v>
      </c>
      <c r="C24" s="102" t="s">
        <v>2342</v>
      </c>
      <c r="D24">
        <v>2005</v>
      </c>
      <c r="E24" s="130">
        <v>0.52</v>
      </c>
      <c r="F24" s="130">
        <v>1</v>
      </c>
      <c r="G24" s="134">
        <f>ROUND(IF(About!$B$2=$A24,INDEX('State GHG Summary'!$C$1:$AH$1,MATCH('State Targets'!D24,'State GHG Summary'!$C$3:$AH$3,0)),0),0)</f>
        <v>0</v>
      </c>
      <c r="H24" t="s">
        <v>2343</v>
      </c>
      <c r="I24" s="132">
        <v>2030</v>
      </c>
      <c r="J24" s="132">
        <f t="shared" si="0"/>
        <v>0</v>
      </c>
      <c r="K24" s="132">
        <f t="shared" si="1"/>
        <v>0</v>
      </c>
      <c r="L24" s="132" t="s">
        <v>2344</v>
      </c>
      <c r="M24" t="s">
        <v>2345</v>
      </c>
      <c r="N24" s="133">
        <v>2050</v>
      </c>
      <c r="O24">
        <f t="shared" si="2"/>
        <v>0</v>
      </c>
      <c r="P24">
        <f t="shared" si="3"/>
        <v>0</v>
      </c>
      <c r="Q24" s="131" t="s">
        <v>2346</v>
      </c>
    </row>
    <row r="25" spans="1:17" x14ac:dyDescent="0.25">
      <c r="A25" t="s">
        <v>2102</v>
      </c>
      <c r="B25" t="s">
        <v>2347</v>
      </c>
      <c r="C25" s="102" t="s">
        <v>2348</v>
      </c>
      <c r="D25">
        <v>2005</v>
      </c>
      <c r="E25" s="130">
        <v>0.3</v>
      </c>
      <c r="F25" s="130">
        <v>0.8</v>
      </c>
      <c r="G25" s="134">
        <f>ROUND(IF(About!$B$2=$A25,INDEX('State GHG Summary'!$C$1:$AH$1,MATCH('State Targets'!D25,'State GHG Summary'!$C$3:$AH$3,0)),0),0)</f>
        <v>0</v>
      </c>
      <c r="H25" t="s">
        <v>2349</v>
      </c>
      <c r="I25" s="132">
        <v>2025</v>
      </c>
      <c r="J25" s="132">
        <f t="shared" si="0"/>
        <v>0</v>
      </c>
      <c r="K25" s="132">
        <f t="shared" si="1"/>
        <v>0</v>
      </c>
      <c r="L25" s="132" t="s">
        <v>2350</v>
      </c>
      <c r="M25" t="s">
        <v>2351</v>
      </c>
      <c r="N25" s="133">
        <v>2050</v>
      </c>
      <c r="O25">
        <f t="shared" si="2"/>
        <v>0</v>
      </c>
      <c r="P25">
        <f t="shared" si="3"/>
        <v>0</v>
      </c>
      <c r="Q25" s="131" t="s">
        <v>2352</v>
      </c>
    </row>
    <row r="26" spans="1:17" x14ac:dyDescent="0.25">
      <c r="A26" t="s">
        <v>2103</v>
      </c>
      <c r="B26" t="s">
        <v>2353</v>
      </c>
      <c r="J26" s="132" t="str">
        <f t="shared" si="0"/>
        <v/>
      </c>
      <c r="K26" s="132" t="str">
        <f t="shared" si="1"/>
        <v/>
      </c>
      <c r="O26" t="str">
        <f t="shared" si="2"/>
        <v/>
      </c>
      <c r="P26" t="str">
        <f t="shared" si="3"/>
        <v/>
      </c>
    </row>
    <row r="27" spans="1:17" x14ac:dyDescent="0.25">
      <c r="A27" t="s">
        <v>2104</v>
      </c>
      <c r="B27" t="s">
        <v>2354</v>
      </c>
      <c r="J27" s="132" t="str">
        <f t="shared" si="0"/>
        <v/>
      </c>
      <c r="K27" s="132" t="str">
        <f t="shared" si="1"/>
        <v/>
      </c>
      <c r="O27" t="str">
        <f t="shared" si="2"/>
        <v/>
      </c>
      <c r="P27" t="str">
        <f t="shared" si="3"/>
        <v/>
      </c>
    </row>
    <row r="28" spans="1:17" x14ac:dyDescent="0.25">
      <c r="A28" t="s">
        <v>2105</v>
      </c>
      <c r="B28" t="s">
        <v>2355</v>
      </c>
      <c r="C28" s="102" t="s">
        <v>2356</v>
      </c>
      <c r="D28">
        <v>2005</v>
      </c>
      <c r="E28" s="130">
        <v>1</v>
      </c>
      <c r="G28" s="134">
        <f>ROUND(IF(About!$B$2=$A28,INDEX('State GHG Summary'!$C$1:$AH$1,MATCH('State Targets'!D28,'State GHG Summary'!$C$3:$AH$3,0)),0),0)</f>
        <v>0</v>
      </c>
      <c r="H28" t="s">
        <v>2345</v>
      </c>
      <c r="I28" s="132">
        <v>2050</v>
      </c>
      <c r="J28" s="132">
        <f t="shared" si="0"/>
        <v>0</v>
      </c>
      <c r="K28" s="132">
        <f t="shared" si="1"/>
        <v>0</v>
      </c>
      <c r="L28" s="132" t="s">
        <v>2356</v>
      </c>
      <c r="O28" t="str">
        <f t="shared" si="2"/>
        <v/>
      </c>
      <c r="P28" t="str">
        <f t="shared" si="3"/>
        <v/>
      </c>
    </row>
    <row r="29" spans="1:17" x14ac:dyDescent="0.25">
      <c r="A29" t="s">
        <v>2106</v>
      </c>
      <c r="B29" t="s">
        <v>2357</v>
      </c>
      <c r="C29" s="102" t="s">
        <v>2358</v>
      </c>
      <c r="D29">
        <v>2005</v>
      </c>
      <c r="E29" s="130">
        <v>0.5</v>
      </c>
      <c r="F29" s="130">
        <v>1</v>
      </c>
      <c r="G29" s="134">
        <f>ROUND(IF(About!$B$2=$A29,INDEX('State GHG Summary'!$C$1:$AH$1,MATCH('State Targets'!D29,'State GHG Summary'!$C$3:$AH$3,0)),0),0)</f>
        <v>0</v>
      </c>
      <c r="H29" t="s">
        <v>2291</v>
      </c>
      <c r="I29" s="132">
        <v>2030</v>
      </c>
      <c r="J29" s="132">
        <f t="shared" si="0"/>
        <v>0</v>
      </c>
      <c r="K29" s="132">
        <f t="shared" si="1"/>
        <v>0</v>
      </c>
      <c r="L29" s="132" t="s">
        <v>2359</v>
      </c>
      <c r="M29" s="132" t="s">
        <v>2304</v>
      </c>
      <c r="N29" s="133">
        <v>2050</v>
      </c>
      <c r="O29">
        <f t="shared" si="2"/>
        <v>0</v>
      </c>
      <c r="P29">
        <f t="shared" si="3"/>
        <v>0</v>
      </c>
      <c r="Q29" s="131" t="s">
        <v>2360</v>
      </c>
    </row>
    <row r="30" spans="1:17" x14ac:dyDescent="0.25">
      <c r="A30" t="s">
        <v>2107</v>
      </c>
      <c r="B30" t="s">
        <v>2361</v>
      </c>
      <c r="J30" s="132" t="str">
        <f t="shared" si="0"/>
        <v/>
      </c>
      <c r="K30" s="132" t="str">
        <f t="shared" si="1"/>
        <v/>
      </c>
      <c r="O30" t="str">
        <f t="shared" si="2"/>
        <v/>
      </c>
      <c r="P30" t="str">
        <f t="shared" si="3"/>
        <v/>
      </c>
    </row>
    <row r="31" spans="1:17" x14ac:dyDescent="0.25">
      <c r="A31" t="s">
        <v>475</v>
      </c>
      <c r="B31" t="s">
        <v>2362</v>
      </c>
      <c r="J31" s="132" t="str">
        <f t="shared" si="0"/>
        <v/>
      </c>
      <c r="K31" s="132" t="str">
        <f t="shared" si="1"/>
        <v/>
      </c>
      <c r="O31" t="str">
        <f t="shared" si="2"/>
        <v/>
      </c>
      <c r="P31" t="str">
        <f t="shared" si="3"/>
        <v/>
      </c>
    </row>
    <row r="32" spans="1:17" x14ac:dyDescent="0.25">
      <c r="A32" t="s">
        <v>2108</v>
      </c>
      <c r="B32" t="s">
        <v>2363</v>
      </c>
      <c r="C32" s="102" t="s">
        <v>2364</v>
      </c>
      <c r="D32">
        <v>1990</v>
      </c>
      <c r="E32" s="130">
        <v>0.2</v>
      </c>
      <c r="F32" s="130">
        <v>0.8</v>
      </c>
      <c r="G32" s="134">
        <f>ROUND(IF(About!$B$2=$A32,INDEX('State GHG Summary'!$C$1:$AH$1,MATCH('State Targets'!D32,'State GHG Summary'!$C$3:$AH$3,0)),0),0)</f>
        <v>0</v>
      </c>
      <c r="H32" t="s">
        <v>2365</v>
      </c>
      <c r="I32" s="132">
        <v>2025</v>
      </c>
      <c r="J32" s="132">
        <f t="shared" si="0"/>
        <v>0</v>
      </c>
      <c r="K32" s="132">
        <f t="shared" si="1"/>
        <v>0</v>
      </c>
      <c r="L32" s="132" t="s">
        <v>2366</v>
      </c>
      <c r="M32" t="s">
        <v>2308</v>
      </c>
      <c r="N32" s="133">
        <v>2050</v>
      </c>
      <c r="O32">
        <f t="shared" si="2"/>
        <v>0</v>
      </c>
      <c r="P32">
        <f t="shared" si="3"/>
        <v>0</v>
      </c>
      <c r="Q32" s="131" t="s">
        <v>2367</v>
      </c>
    </row>
    <row r="33" spans="1:17" x14ac:dyDescent="0.25">
      <c r="A33" t="s">
        <v>2109</v>
      </c>
      <c r="B33" t="s">
        <v>2368</v>
      </c>
      <c r="C33" s="102" t="s">
        <v>2369</v>
      </c>
      <c r="D33">
        <v>2006</v>
      </c>
      <c r="E33" s="130">
        <v>0.5</v>
      </c>
      <c r="F33" s="130">
        <v>0.8</v>
      </c>
      <c r="G33" s="134">
        <f>ROUND(IF(About!$B$2=$A33,INDEX('State GHG Summary'!$C$1:$AH$1,MATCH('State Targets'!D33,'State GHG Summary'!$C$3:$AH$3,0)),0),0)</f>
        <v>0</v>
      </c>
      <c r="H33" t="s">
        <v>2370</v>
      </c>
      <c r="I33" s="132">
        <v>2030</v>
      </c>
      <c r="J33" s="132">
        <f t="shared" si="0"/>
        <v>0</v>
      </c>
      <c r="K33" s="132">
        <f t="shared" si="1"/>
        <v>0</v>
      </c>
      <c r="L33" s="132" t="s">
        <v>2371</v>
      </c>
      <c r="M33" t="s">
        <v>2372</v>
      </c>
      <c r="N33" s="133">
        <v>2050</v>
      </c>
      <c r="O33">
        <f t="shared" si="2"/>
        <v>0</v>
      </c>
      <c r="P33">
        <f t="shared" si="3"/>
        <v>0</v>
      </c>
      <c r="Q33" s="131" t="s">
        <v>2373</v>
      </c>
    </row>
    <row r="34" spans="1:17" x14ac:dyDescent="0.25">
      <c r="A34" t="s">
        <v>2110</v>
      </c>
      <c r="B34" t="s">
        <v>2374</v>
      </c>
      <c r="C34" s="102" t="s">
        <v>2375</v>
      </c>
      <c r="D34">
        <v>2005</v>
      </c>
      <c r="E34" s="130">
        <v>0.45</v>
      </c>
      <c r="G34" s="134">
        <f>ROUND(IF(About!$B$2=$A34,INDEX('State GHG Summary'!$C$1:$AH$1,MATCH('State Targets'!D34,'State GHG Summary'!$C$3:$AH$3,0)),0),0)</f>
        <v>0</v>
      </c>
      <c r="H34" t="s">
        <v>2376</v>
      </c>
      <c r="I34" s="132">
        <v>2030</v>
      </c>
      <c r="J34" s="132">
        <f t="shared" si="0"/>
        <v>0</v>
      </c>
      <c r="K34" s="132">
        <f t="shared" si="1"/>
        <v>0</v>
      </c>
      <c r="L34" t="s">
        <v>2375</v>
      </c>
      <c r="O34" t="str">
        <f t="shared" si="2"/>
        <v/>
      </c>
      <c r="P34" t="str">
        <f t="shared" si="3"/>
        <v/>
      </c>
    </row>
    <row r="35" spans="1:17" x14ac:dyDescent="0.25">
      <c r="A35" t="s">
        <v>2111</v>
      </c>
      <c r="B35" t="s">
        <v>2377</v>
      </c>
      <c r="C35" s="102" t="s">
        <v>2378</v>
      </c>
      <c r="D35">
        <v>2005</v>
      </c>
      <c r="E35" s="130">
        <v>0.45</v>
      </c>
      <c r="F35" s="130">
        <v>1</v>
      </c>
      <c r="G35" s="134">
        <f>ROUND(IF(About!$B$2=$A35,INDEX('State GHG Summary'!$C$1:$AH$1,MATCH('State Targets'!D35,'State GHG Summary'!$C$3:$AH$3,0)),0),0)</f>
        <v>0</v>
      </c>
      <c r="H35" t="s">
        <v>2376</v>
      </c>
      <c r="I35" s="132">
        <v>2030</v>
      </c>
      <c r="J35" s="132">
        <f t="shared" si="0"/>
        <v>0</v>
      </c>
      <c r="K35" s="132">
        <f t="shared" si="1"/>
        <v>0</v>
      </c>
      <c r="L35" s="132" t="s">
        <v>2379</v>
      </c>
      <c r="M35" s="132" t="s">
        <v>2304</v>
      </c>
      <c r="N35" s="133">
        <v>2050</v>
      </c>
      <c r="O35">
        <f t="shared" si="2"/>
        <v>0</v>
      </c>
      <c r="P35">
        <f t="shared" si="3"/>
        <v>0</v>
      </c>
      <c r="Q35" s="131" t="s">
        <v>2380</v>
      </c>
    </row>
    <row r="36" spans="1:17" x14ac:dyDescent="0.25">
      <c r="A36" t="s">
        <v>2112</v>
      </c>
      <c r="B36" t="s">
        <v>2381</v>
      </c>
      <c r="C36" s="102" t="s">
        <v>2382</v>
      </c>
      <c r="D36">
        <v>1990</v>
      </c>
      <c r="E36" s="130">
        <v>0.4</v>
      </c>
      <c r="F36" s="130">
        <v>1</v>
      </c>
      <c r="G36" s="134">
        <f>ROUND(IF(About!$B$2=$A36,INDEX('State GHG Summary'!$C$1:$AH$1,MATCH('State Targets'!D36,'State GHG Summary'!$C$3:$AH$3,0)),0),0)</f>
        <v>0</v>
      </c>
      <c r="H36" t="s">
        <v>2285</v>
      </c>
      <c r="I36" s="132">
        <v>2030</v>
      </c>
      <c r="J36" s="132">
        <f t="shared" si="0"/>
        <v>0</v>
      </c>
      <c r="K36" s="132">
        <f t="shared" si="1"/>
        <v>0</v>
      </c>
      <c r="L36" s="132" t="s">
        <v>2383</v>
      </c>
      <c r="M36" s="132" t="s">
        <v>2304</v>
      </c>
      <c r="N36" s="133">
        <v>2050</v>
      </c>
      <c r="O36">
        <f t="shared" si="2"/>
        <v>0</v>
      </c>
      <c r="P36">
        <f t="shared" si="3"/>
        <v>0</v>
      </c>
      <c r="Q36" s="131" t="s">
        <v>2384</v>
      </c>
    </row>
    <row r="37" spans="1:17" x14ac:dyDescent="0.25">
      <c r="A37" t="s">
        <v>2113</v>
      </c>
      <c r="B37" t="s">
        <v>2385</v>
      </c>
      <c r="J37" s="132" t="str">
        <f t="shared" si="0"/>
        <v/>
      </c>
      <c r="K37" s="132" t="str">
        <f t="shared" si="1"/>
        <v/>
      </c>
      <c r="O37" t="str">
        <f t="shared" si="2"/>
        <v/>
      </c>
      <c r="P37" t="str">
        <f t="shared" si="3"/>
        <v/>
      </c>
    </row>
    <row r="38" spans="1:17" x14ac:dyDescent="0.25">
      <c r="A38" t="s">
        <v>2114</v>
      </c>
      <c r="B38" t="s">
        <v>2386</v>
      </c>
      <c r="J38" s="132" t="str">
        <f t="shared" si="0"/>
        <v/>
      </c>
      <c r="K38" s="132" t="str">
        <f t="shared" si="1"/>
        <v/>
      </c>
      <c r="O38" t="str">
        <f t="shared" si="2"/>
        <v/>
      </c>
      <c r="P38" t="str">
        <f t="shared" si="3"/>
        <v/>
      </c>
    </row>
    <row r="39" spans="1:17" x14ac:dyDescent="0.25">
      <c r="A39" t="s">
        <v>2115</v>
      </c>
      <c r="B39" t="s">
        <v>2387</v>
      </c>
      <c r="C39" s="102" t="s">
        <v>2388</v>
      </c>
      <c r="D39">
        <v>1990</v>
      </c>
      <c r="E39" s="130">
        <v>0.45</v>
      </c>
      <c r="F39" s="130">
        <v>0.8</v>
      </c>
      <c r="G39" s="134">
        <f>ROUND(IF(About!$B$2=$A39,INDEX('State GHG Summary'!$C$1:$AH$1,MATCH('State Targets'!D39,'State GHG Summary'!$C$3:$AH$3,0)),0),0)</f>
        <v>0</v>
      </c>
      <c r="H39" t="s">
        <v>2389</v>
      </c>
      <c r="I39" s="132">
        <v>2035</v>
      </c>
      <c r="J39" s="132">
        <f t="shared" si="0"/>
        <v>0</v>
      </c>
      <c r="K39" s="132">
        <f t="shared" si="1"/>
        <v>0</v>
      </c>
      <c r="L39" s="132" t="s">
        <v>2390</v>
      </c>
      <c r="M39" t="s">
        <v>2308</v>
      </c>
      <c r="N39" s="133">
        <v>2050</v>
      </c>
      <c r="O39">
        <f t="shared" si="2"/>
        <v>0</v>
      </c>
      <c r="P39">
        <f t="shared" si="3"/>
        <v>0</v>
      </c>
      <c r="Q39" s="131" t="s">
        <v>2391</v>
      </c>
    </row>
    <row r="40" spans="1:17" x14ac:dyDescent="0.25">
      <c r="A40" t="s">
        <v>2116</v>
      </c>
      <c r="B40" t="s">
        <v>2392</v>
      </c>
      <c r="C40" s="102" t="s">
        <v>2393</v>
      </c>
      <c r="D40">
        <v>2005</v>
      </c>
      <c r="E40" s="130">
        <v>0.26</v>
      </c>
      <c r="F40" s="130">
        <v>0.8</v>
      </c>
      <c r="G40" s="134">
        <f>ROUND(IF(About!$B$2=$A40,INDEX('State GHG Summary'!$C$1:$AH$1,MATCH('State Targets'!D40,'State GHG Summary'!$C$3:$AH$3,0)),0),0)</f>
        <v>0</v>
      </c>
      <c r="H40" t="s">
        <v>2394</v>
      </c>
      <c r="I40" s="132">
        <v>2025</v>
      </c>
      <c r="J40" s="132">
        <f t="shared" si="0"/>
        <v>0</v>
      </c>
      <c r="K40" s="132">
        <f t="shared" si="1"/>
        <v>0</v>
      </c>
      <c r="L40" s="132" t="s">
        <v>2395</v>
      </c>
      <c r="M40" t="s">
        <v>2351</v>
      </c>
      <c r="N40" s="133">
        <v>2050</v>
      </c>
      <c r="O40">
        <f t="shared" si="2"/>
        <v>0</v>
      </c>
      <c r="P40">
        <f t="shared" si="3"/>
        <v>0</v>
      </c>
      <c r="Q40" s="131" t="s">
        <v>2396</v>
      </c>
    </row>
    <row r="41" spans="1:17" x14ac:dyDescent="0.25">
      <c r="A41" t="s">
        <v>2117</v>
      </c>
      <c r="B41" t="s">
        <v>2397</v>
      </c>
      <c r="C41" s="102" t="s">
        <v>2398</v>
      </c>
      <c r="D41">
        <v>1990</v>
      </c>
      <c r="E41" s="130">
        <v>0.8</v>
      </c>
      <c r="F41" s="130">
        <v>1</v>
      </c>
      <c r="G41" s="134">
        <f>ROUND(IF(About!$B$2=$A41,INDEX('State GHG Summary'!$C$1:$AH$1,MATCH('State Targets'!D41,'State GHG Summary'!$C$3:$AH$3,0)),0),0)</f>
        <v>0</v>
      </c>
      <c r="H41" t="s">
        <v>2399</v>
      </c>
      <c r="I41" s="132">
        <v>2040</v>
      </c>
      <c r="J41" s="132">
        <f t="shared" si="0"/>
        <v>0</v>
      </c>
      <c r="K41" s="132">
        <f t="shared" si="1"/>
        <v>0</v>
      </c>
      <c r="L41" s="132" t="s">
        <v>2400</v>
      </c>
      <c r="M41" s="132" t="s">
        <v>2304</v>
      </c>
      <c r="N41" s="133">
        <v>2050</v>
      </c>
      <c r="O41">
        <f t="shared" si="2"/>
        <v>0</v>
      </c>
      <c r="P41">
        <f t="shared" si="3"/>
        <v>0</v>
      </c>
      <c r="Q41" s="131" t="s">
        <v>2401</v>
      </c>
    </row>
    <row r="42" spans="1:17" x14ac:dyDescent="0.25">
      <c r="A42" t="s">
        <v>2118</v>
      </c>
      <c r="B42" t="s">
        <v>2402</v>
      </c>
      <c r="J42" s="132" t="str">
        <f t="shared" si="0"/>
        <v/>
      </c>
      <c r="K42" s="132" t="str">
        <f t="shared" si="1"/>
        <v/>
      </c>
      <c r="O42" t="str">
        <f t="shared" si="2"/>
        <v/>
      </c>
      <c r="P42" t="str">
        <f t="shared" si="3"/>
        <v/>
      </c>
    </row>
    <row r="43" spans="1:17" x14ac:dyDescent="0.25">
      <c r="A43" t="s">
        <v>2119</v>
      </c>
      <c r="B43" t="s">
        <v>2403</v>
      </c>
      <c r="J43" s="132" t="str">
        <f t="shared" si="0"/>
        <v/>
      </c>
      <c r="K43" s="132" t="str">
        <f t="shared" si="1"/>
        <v/>
      </c>
      <c r="O43" t="str">
        <f t="shared" si="2"/>
        <v/>
      </c>
      <c r="P43" t="str">
        <f t="shared" si="3"/>
        <v/>
      </c>
    </row>
    <row r="44" spans="1:17" x14ac:dyDescent="0.25">
      <c r="A44" t="s">
        <v>2120</v>
      </c>
      <c r="B44" t="s">
        <v>2404</v>
      </c>
      <c r="J44" s="132" t="str">
        <f t="shared" si="0"/>
        <v/>
      </c>
      <c r="K44" s="132" t="str">
        <f t="shared" si="1"/>
        <v/>
      </c>
      <c r="O44" t="str">
        <f t="shared" si="2"/>
        <v/>
      </c>
      <c r="P44" t="str">
        <f t="shared" si="3"/>
        <v/>
      </c>
    </row>
    <row r="45" spans="1:17" x14ac:dyDescent="0.25">
      <c r="A45" t="s">
        <v>2121</v>
      </c>
      <c r="B45" t="s">
        <v>2405</v>
      </c>
      <c r="J45" s="132" t="str">
        <f t="shared" si="0"/>
        <v/>
      </c>
      <c r="K45" s="132" t="str">
        <f t="shared" si="1"/>
        <v/>
      </c>
      <c r="O45" t="str">
        <f t="shared" si="2"/>
        <v/>
      </c>
      <c r="P45" t="str">
        <f t="shared" si="3"/>
        <v/>
      </c>
    </row>
    <row r="46" spans="1:17" x14ac:dyDescent="0.25">
      <c r="A46" t="s">
        <v>2122</v>
      </c>
      <c r="B46" t="s">
        <v>2406</v>
      </c>
      <c r="J46" s="132" t="str">
        <f t="shared" si="0"/>
        <v/>
      </c>
      <c r="K46" s="132" t="str">
        <f t="shared" si="1"/>
        <v/>
      </c>
      <c r="O46" t="str">
        <f t="shared" si="2"/>
        <v/>
      </c>
      <c r="P46" t="str">
        <f t="shared" si="3"/>
        <v/>
      </c>
    </row>
    <row r="47" spans="1:17" x14ac:dyDescent="0.25">
      <c r="A47" t="s">
        <v>2123</v>
      </c>
      <c r="B47" t="s">
        <v>2407</v>
      </c>
      <c r="C47" s="102" t="s">
        <v>2408</v>
      </c>
      <c r="E47" s="130">
        <v>1</v>
      </c>
      <c r="H47" s="132" t="s">
        <v>2334</v>
      </c>
      <c r="I47" s="132">
        <v>2045</v>
      </c>
      <c r="J47" s="132">
        <f t="shared" si="0"/>
        <v>0</v>
      </c>
      <c r="K47" s="132">
        <f t="shared" si="1"/>
        <v>0</v>
      </c>
      <c r="L47" t="s">
        <v>2408</v>
      </c>
      <c r="O47" t="str">
        <f t="shared" si="2"/>
        <v/>
      </c>
      <c r="P47" t="str">
        <f t="shared" si="3"/>
        <v/>
      </c>
    </row>
    <row r="48" spans="1:17" x14ac:dyDescent="0.25">
      <c r="A48" t="s">
        <v>2124</v>
      </c>
      <c r="B48" t="s">
        <v>2409</v>
      </c>
      <c r="C48" s="102" t="s">
        <v>2410</v>
      </c>
      <c r="D48">
        <v>1990</v>
      </c>
      <c r="E48" s="130">
        <v>0.4</v>
      </c>
      <c r="F48" s="130">
        <v>0.8</v>
      </c>
      <c r="G48" s="134">
        <f>ROUND(IF(About!$B$2=$A48,INDEX('State GHG Summary'!$C$1:$AH$1,MATCH('State Targets'!D48,'State GHG Summary'!$C$3:$AH$3,0)),0),0)</f>
        <v>0</v>
      </c>
      <c r="H48" t="s">
        <v>2285</v>
      </c>
      <c r="I48" s="132">
        <v>2030</v>
      </c>
      <c r="J48" s="132">
        <f t="shared" si="0"/>
        <v>0</v>
      </c>
      <c r="K48" s="132">
        <f t="shared" si="1"/>
        <v>0</v>
      </c>
      <c r="L48" s="132" t="s">
        <v>2411</v>
      </c>
      <c r="M48" t="s">
        <v>2308</v>
      </c>
      <c r="N48" s="133">
        <v>2050</v>
      </c>
      <c r="O48">
        <f t="shared" si="2"/>
        <v>0</v>
      </c>
      <c r="P48">
        <f t="shared" si="3"/>
        <v>0</v>
      </c>
      <c r="Q48" s="138" t="s">
        <v>2412</v>
      </c>
    </row>
    <row r="49" spans="1:17" x14ac:dyDescent="0.25">
      <c r="A49" t="s">
        <v>2125</v>
      </c>
      <c r="B49" t="s">
        <v>2413</v>
      </c>
      <c r="C49" s="102" t="s">
        <v>2414</v>
      </c>
      <c r="D49">
        <v>1990</v>
      </c>
      <c r="E49" s="130">
        <v>0.45</v>
      </c>
      <c r="F49" s="130">
        <v>1</v>
      </c>
      <c r="G49" s="134">
        <f>ROUND(IF(About!$B$2=$A49,INDEX('State GHG Summary'!$C$1:$AH$1,MATCH('State Targets'!D49,'State GHG Summary'!$C$3:$AH$3,0)),0),0)</f>
        <v>0</v>
      </c>
      <c r="H49" t="s">
        <v>2338</v>
      </c>
      <c r="I49" s="132">
        <v>2030</v>
      </c>
      <c r="J49" s="132">
        <f t="shared" si="0"/>
        <v>0</v>
      </c>
      <c r="K49" s="132">
        <f t="shared" si="1"/>
        <v>0</v>
      </c>
      <c r="L49" t="s">
        <v>2415</v>
      </c>
      <c r="M49" s="132" t="s">
        <v>2345</v>
      </c>
      <c r="N49" s="133">
        <v>2050</v>
      </c>
      <c r="O49">
        <f t="shared" si="2"/>
        <v>0</v>
      </c>
      <c r="P49">
        <f t="shared" si="3"/>
        <v>0</v>
      </c>
      <c r="Q49" s="131" t="s">
        <v>2416</v>
      </c>
    </row>
    <row r="50" spans="1:17" x14ac:dyDescent="0.25">
      <c r="A50" t="s">
        <v>2126</v>
      </c>
      <c r="B50" t="s">
        <v>2417</v>
      </c>
      <c r="J50" s="132" t="str">
        <f t="shared" si="0"/>
        <v/>
      </c>
      <c r="K50" s="132" t="str">
        <f t="shared" si="1"/>
        <v/>
      </c>
      <c r="O50" t="str">
        <f t="shared" si="2"/>
        <v/>
      </c>
      <c r="P50" t="str">
        <f t="shared" si="3"/>
        <v/>
      </c>
    </row>
    <row r="51" spans="1:17" x14ac:dyDescent="0.25">
      <c r="A51" t="s">
        <v>2127</v>
      </c>
      <c r="B51" t="s">
        <v>2418</v>
      </c>
      <c r="J51" s="132" t="str">
        <f t="shared" si="0"/>
        <v/>
      </c>
      <c r="K51" s="132" t="str">
        <f t="shared" si="1"/>
        <v/>
      </c>
      <c r="O51" t="str">
        <f t="shared" si="2"/>
        <v/>
      </c>
      <c r="P51" t="str">
        <f t="shared" si="3"/>
        <v/>
      </c>
    </row>
    <row r="52" spans="1:17" x14ac:dyDescent="0.25">
      <c r="A52" t="s">
        <v>2128</v>
      </c>
      <c r="B52" t="s">
        <v>2419</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MD</v>
      </c>
      <c r="C1" s="115">
        <f>SUM(C4:C87)</f>
        <v>75.067385961301198</v>
      </c>
      <c r="D1" s="115">
        <f t="shared" ref="D1:AG1" si="0">SUM(D4:D87)</f>
        <v>72.969192490314839</v>
      </c>
      <c r="E1" s="115">
        <f t="shared" si="0"/>
        <v>73.293505784542404</v>
      </c>
      <c r="F1" s="115">
        <f t="shared" si="0"/>
        <v>75.46777102138978</v>
      </c>
      <c r="G1" s="115">
        <f t="shared" si="0"/>
        <v>76.78299593933761</v>
      </c>
      <c r="H1" s="115">
        <f t="shared" si="0"/>
        <v>76.344738971151301</v>
      </c>
      <c r="I1" s="115">
        <f t="shared" si="0"/>
        <v>79.132680835169893</v>
      </c>
      <c r="J1" s="115">
        <f t="shared" si="0"/>
        <v>79.064955611316279</v>
      </c>
      <c r="K1" s="115">
        <f t="shared" si="0"/>
        <v>80.255932618985483</v>
      </c>
      <c r="L1" s="115">
        <f t="shared" si="0"/>
        <v>82.556435319009609</v>
      </c>
      <c r="M1" s="115">
        <f t="shared" si="0"/>
        <v>83.056630249096116</v>
      </c>
      <c r="N1" s="115">
        <f t="shared" si="0"/>
        <v>83.505268422893906</v>
      </c>
      <c r="O1" s="115">
        <f t="shared" si="0"/>
        <v>84.369511196915013</v>
      </c>
      <c r="P1" s="115">
        <f t="shared" si="0"/>
        <v>86.862661172012963</v>
      </c>
      <c r="Q1" s="115">
        <f t="shared" si="0"/>
        <v>88.040783716623679</v>
      </c>
      <c r="R1" s="115">
        <f t="shared" si="0"/>
        <v>89.413312941833425</v>
      </c>
      <c r="S1" s="115">
        <f t="shared" si="0"/>
        <v>82.610368535873718</v>
      </c>
      <c r="T1" s="115">
        <f t="shared" si="0"/>
        <v>83.522559660954798</v>
      </c>
      <c r="U1" s="115">
        <f t="shared" si="0"/>
        <v>78.442605810193584</v>
      </c>
      <c r="V1" s="115">
        <f t="shared" si="0"/>
        <v>74.913403184737589</v>
      </c>
      <c r="W1" s="115">
        <f t="shared" si="0"/>
        <v>74.460550943024288</v>
      </c>
      <c r="X1" s="115">
        <f t="shared" si="0"/>
        <v>74.147296645289657</v>
      </c>
      <c r="Y1" s="115">
        <f t="shared" si="0"/>
        <v>66.319099601215115</v>
      </c>
      <c r="Z1" s="115">
        <f t="shared" si="0"/>
        <v>65.9906851043486</v>
      </c>
      <c r="AA1" s="115">
        <f t="shared" si="0"/>
        <v>69.110906138744255</v>
      </c>
      <c r="AB1" s="115">
        <f t="shared" si="0"/>
        <v>67.282551044129207</v>
      </c>
      <c r="AC1" s="115">
        <f t="shared" si="0"/>
        <v>65.340826363593166</v>
      </c>
      <c r="AD1" s="115">
        <f t="shared" si="0"/>
        <v>59.388304096818764</v>
      </c>
      <c r="AE1" s="115">
        <f t="shared" si="0"/>
        <v>66.059830780810373</v>
      </c>
      <c r="AF1" s="115">
        <f t="shared" si="0"/>
        <v>61.364005985440116</v>
      </c>
      <c r="AG1" s="115">
        <f t="shared" si="0"/>
        <v>52.857540700000676</v>
      </c>
      <c r="AH1" s="115">
        <f>SUM(AH4:AH87)</f>
        <v>57.727878693298393</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26.355732801240801</v>
      </c>
      <c r="D4">
        <f>SUMIFS('EPA Export Aggregation'!G:G,'EPA Export Aggregation'!$A:$A,$B4,'EPA Export Aggregation'!$D:$D,$A$1)*IF($A4="CH4",About!$D$58,IF($A4="N2O",About!$D$59,1))</f>
        <v>25.986639399414901</v>
      </c>
      <c r="E4">
        <f>SUMIFS('EPA Export Aggregation'!H:H,'EPA Export Aggregation'!$A:$A,$B4,'EPA Export Aggregation'!$D:$D,$A$1)*IF($A4="CH4",About!$D$58,IF($A4="N2O",About!$D$59,1))</f>
        <v>25.278371501967801</v>
      </c>
      <c r="F4">
        <f>SUMIFS('EPA Export Aggregation'!I:I,'EPA Export Aggregation'!$A:$A,$B4,'EPA Export Aggregation'!$D:$D,$A$1)*IF($A4="CH4",About!$D$58,IF($A4="N2O",About!$D$59,1))</f>
        <v>27.491883360073899</v>
      </c>
      <c r="G4">
        <f>SUMIFS('EPA Export Aggregation'!J:J,'EPA Export Aggregation'!$A:$A,$B4,'EPA Export Aggregation'!$D:$D,$A$1)*IF($A4="CH4",About!$D$58,IF($A4="N2O",About!$D$59,1))</f>
        <v>28.259808396354401</v>
      </c>
      <c r="H4">
        <f>SUMIFS('EPA Export Aggregation'!K:K,'EPA Export Aggregation'!$A:$A,$B4,'EPA Export Aggregation'!$D:$D,$A$1)*IF($A4="CH4",About!$D$58,IF($A4="N2O",About!$D$59,1))</f>
        <v>27.3881261396611</v>
      </c>
      <c r="I4">
        <f>SUMIFS('EPA Export Aggregation'!L:L,'EPA Export Aggregation'!$A:$A,$B4,'EPA Export Aggregation'!$D:$D,$A$1)*IF($A4="CH4",About!$D$58,IF($A4="N2O",About!$D$59,1))</f>
        <v>27.897133865372599</v>
      </c>
      <c r="J4">
        <f>SUMIFS('EPA Export Aggregation'!M:M,'EPA Export Aggregation'!$A:$A,$B4,'EPA Export Aggregation'!$D:$D,$A$1)*IF($A4="CH4",About!$D$58,IF($A4="N2O",About!$D$59,1))</f>
        <v>27.9182839220306</v>
      </c>
      <c r="K4">
        <f>SUMIFS('EPA Export Aggregation'!N:N,'EPA Export Aggregation'!$A:$A,$B4,'EPA Export Aggregation'!$D:$D,$A$1)*IF($A4="CH4",About!$D$58,IF($A4="N2O",About!$D$59,1))</f>
        <v>31.133215496058899</v>
      </c>
      <c r="L4">
        <f>SUMIFS('EPA Export Aggregation'!O:O,'EPA Export Aggregation'!$A:$A,$B4,'EPA Export Aggregation'!$D:$D,$A$1)*IF($A4="CH4",About!$D$58,IF($A4="N2O",About!$D$59,1))</f>
        <v>32.0482344587085</v>
      </c>
      <c r="M4">
        <f>SUMIFS('EPA Export Aggregation'!P:P,'EPA Export Aggregation'!$A:$A,$B4,'EPA Export Aggregation'!$D:$D,$A$1)*IF($A4="CH4",About!$D$58,IF($A4="N2O",About!$D$59,1))</f>
        <v>31.210810172034499</v>
      </c>
      <c r="N4">
        <f>SUMIFS('EPA Export Aggregation'!Q:Q,'EPA Export Aggregation'!$A:$A,$B4,'EPA Export Aggregation'!$D:$D,$A$1)*IF($A4="CH4",About!$D$58,IF($A4="N2O",About!$D$59,1))</f>
        <v>30.5420495824475</v>
      </c>
      <c r="O4">
        <f>SUMIFS('EPA Export Aggregation'!R:R,'EPA Export Aggregation'!$A:$A,$B4,'EPA Export Aggregation'!$D:$D,$A$1)*IF($A4="CH4",About!$D$58,IF($A4="N2O",About!$D$59,1))</f>
        <v>30.9948082702997</v>
      </c>
      <c r="P4">
        <f>SUMIFS('EPA Export Aggregation'!S:S,'EPA Export Aggregation'!$A:$A,$B4,'EPA Export Aggregation'!$D:$D,$A$1)*IF($A4="CH4",About!$D$58,IF($A4="N2O",About!$D$59,1))</f>
        <v>31.9342550570071</v>
      </c>
      <c r="Q4">
        <f>SUMIFS('EPA Export Aggregation'!T:T,'EPA Export Aggregation'!$A:$A,$B4,'EPA Export Aggregation'!$D:$D,$A$1)*IF($A4="CH4",About!$D$58,IF($A4="N2O",About!$D$59,1))</f>
        <v>31.154400533268699</v>
      </c>
      <c r="R4">
        <f>SUMIFS('EPA Export Aggregation'!U:U,'EPA Export Aggregation'!$A:$A,$B4,'EPA Export Aggregation'!$D:$D,$A$1)*IF($A4="CH4",About!$D$58,IF($A4="N2O",About!$D$59,1))</f>
        <v>32.429808422713101</v>
      </c>
      <c r="S4">
        <f>SUMIFS('EPA Export Aggregation'!V:V,'EPA Export Aggregation'!$A:$A,$B4,'EPA Export Aggregation'!$D:$D,$A$1)*IF($A4="CH4",About!$D$58,IF($A4="N2O",About!$D$59,1))</f>
        <v>29.665075192307299</v>
      </c>
      <c r="T4">
        <f>SUMIFS('EPA Export Aggregation'!W:W,'EPA Export Aggregation'!$A:$A,$B4,'EPA Export Aggregation'!$D:$D,$A$1)*IF($A4="CH4",About!$D$58,IF($A4="N2O",About!$D$59,1))</f>
        <v>30.4691801867585</v>
      </c>
      <c r="U4">
        <f>SUMIFS('EPA Export Aggregation'!X:X,'EPA Export Aggregation'!$A:$A,$B4,'EPA Export Aggregation'!$D:$D,$A$1)*IF($A4="CH4",About!$D$58,IF($A4="N2O",About!$D$59,1))</f>
        <v>28.168922171581698</v>
      </c>
      <c r="V4">
        <f>SUMIFS('EPA Export Aggregation'!Y:Y,'EPA Export Aggregation'!$A:$A,$B4,'EPA Export Aggregation'!$D:$D,$A$1)*IF($A4="CH4",About!$D$58,IF($A4="N2O",About!$D$59,1))</f>
        <v>24.581875571455001</v>
      </c>
      <c r="W4">
        <f>SUMIFS('EPA Export Aggregation'!Z:Z,'EPA Export Aggregation'!$A:$A,$B4,'EPA Export Aggregation'!$D:$D,$A$1)*IF($A4="CH4",About!$D$58,IF($A4="N2O",About!$D$59,1))</f>
        <v>25.168688821923801</v>
      </c>
      <c r="X4">
        <f>SUMIFS('EPA Export Aggregation'!AA:AA,'EPA Export Aggregation'!$A:$A,$B4,'EPA Export Aggregation'!$D:$D,$A$1)*IF($A4="CH4",About!$D$58,IF($A4="N2O",About!$D$59,1))</f>
        <v>22.254400468416101</v>
      </c>
      <c r="Y4">
        <f>SUMIFS('EPA Export Aggregation'!AB:AB,'EPA Export Aggregation'!$A:$A,$B4,'EPA Export Aggregation'!$D:$D,$A$1)*IF($A4="CH4",About!$D$58,IF($A4="N2O",About!$D$59,1))</f>
        <v>19.183917248206399</v>
      </c>
      <c r="Z4">
        <f>SUMIFS('EPA Export Aggregation'!AC:AC,'EPA Export Aggregation'!$A:$A,$B4,'EPA Export Aggregation'!$D:$D,$A$1)*IF($A4="CH4",About!$D$58,IF($A4="N2O",About!$D$59,1))</f>
        <v>17.535894796748</v>
      </c>
      <c r="AA4">
        <f>SUMIFS('EPA Export Aggregation'!AD:AD,'EPA Export Aggregation'!$A:$A,$B4,'EPA Export Aggregation'!$D:$D,$A$1)*IF($A4="CH4",About!$D$58,IF($A4="N2O",About!$D$59,1))</f>
        <v>19.222359642754899</v>
      </c>
      <c r="AB4">
        <f>SUMIFS('EPA Export Aggregation'!AE:AE,'EPA Export Aggregation'!$A:$A,$B4,'EPA Export Aggregation'!$D:$D,$A$1)*IF($A4="CH4",About!$D$58,IF($A4="N2O",About!$D$59,1))</f>
        <v>16.829794579844599</v>
      </c>
      <c r="AC4">
        <f>SUMIFS('EPA Export Aggregation'!AF:AF,'EPA Export Aggregation'!$A:$A,$B4,'EPA Export Aggregation'!$D:$D,$A$1)*IF($A4="CH4",About!$D$58,IF($A4="N2O",About!$D$59,1))</f>
        <v>17.3110756332172</v>
      </c>
      <c r="AD4">
        <f>SUMIFS('EPA Export Aggregation'!AG:AG,'EPA Export Aggregation'!$A:$A,$B4,'EPA Export Aggregation'!$D:$D,$A$1)*IF($A4="CH4",About!$D$58,IF($A4="N2O",About!$D$59,1))</f>
        <v>11.9561564595063</v>
      </c>
      <c r="AE4">
        <f>SUMIFS('EPA Export Aggregation'!AH:AH,'EPA Export Aggregation'!$A:$A,$B4,'EPA Export Aggregation'!$D:$D,$A$1)*IF($A4="CH4",About!$D$58,IF($A4="N2O",About!$D$59,1))</f>
        <v>16.3215124844439</v>
      </c>
      <c r="AF4">
        <f>SUMIFS('EPA Export Aggregation'!AI:AI,'EPA Export Aggregation'!$A:$A,$B4,'EPA Export Aggregation'!$D:$D,$A$1)*IF($A4="CH4",About!$D$58,IF($A4="N2O",About!$D$59,1))</f>
        <v>11.788401871237999</v>
      </c>
      <c r="AG4">
        <f>SUMIFS('EPA Export Aggregation'!AJ:AJ,'EPA Export Aggregation'!$A:$A,$B4,'EPA Export Aggregation'!$D:$D,$A$1)*IF($A4="CH4",About!$D$58,IF($A4="N2O",About!$D$59,1))</f>
        <v>9.2117071080832993</v>
      </c>
      <c r="AH4">
        <f>SUMIFS('EPA Export Aggregation'!AK:AK,'EPA Export Aggregation'!$A:$A,$B4,'EPA Export Aggregation'!$D:$D,$A$1)*IF($A4="CH4",About!$D$58,IF($A4="N2O",About!$D$59,1))</f>
        <v>11.222991851554101</v>
      </c>
    </row>
    <row r="5" spans="1:34" x14ac:dyDescent="0.25">
      <c r="A5" s="119" t="s">
        <v>479</v>
      </c>
      <c r="B5" s="120" t="s">
        <v>1957</v>
      </c>
      <c r="C5">
        <f>SUMIFS('EPA Export Aggregation'!F:F,'EPA Export Aggregation'!$A:$A,$B5,'EPA Export Aggregation'!$D:$D,$A$1)*IF($A5="CH4",About!$D$58,IF($A5="N2O",About!$D$59,1))</f>
        <v>23.519907774010999</v>
      </c>
      <c r="D5">
        <f>SUMIFS('EPA Export Aggregation'!G:G,'EPA Export Aggregation'!$A:$A,$B5,'EPA Export Aggregation'!$D:$D,$A$1)*IF($A5="CH4",About!$D$58,IF($A5="N2O",About!$D$59,1))</f>
        <v>23.180482918328199</v>
      </c>
      <c r="E5">
        <f>SUMIFS('EPA Export Aggregation'!H:H,'EPA Export Aggregation'!$A:$A,$B5,'EPA Export Aggregation'!$D:$D,$A$1)*IF($A5="CH4",About!$D$58,IF($A5="N2O",About!$D$59,1))</f>
        <v>23.885880982154202</v>
      </c>
      <c r="F5">
        <f>SUMIFS('EPA Export Aggregation'!I:I,'EPA Export Aggregation'!$A:$A,$B5,'EPA Export Aggregation'!$D:$D,$A$1)*IF($A5="CH4",About!$D$58,IF($A5="N2O",About!$D$59,1))</f>
        <v>23.843708211793398</v>
      </c>
      <c r="G5">
        <f>SUMIFS('EPA Export Aggregation'!J:J,'EPA Export Aggregation'!$A:$A,$B5,'EPA Export Aggregation'!$D:$D,$A$1)*IF($A5="CH4",About!$D$58,IF($A5="N2O",About!$D$59,1))</f>
        <v>23.790209399663901</v>
      </c>
      <c r="H5">
        <f>SUMIFS('EPA Export Aggregation'!K:K,'EPA Export Aggregation'!$A:$A,$B5,'EPA Export Aggregation'!$D:$D,$A$1)*IF($A5="CH4",About!$D$58,IF($A5="N2O",About!$D$59,1))</f>
        <v>24.043034860794702</v>
      </c>
      <c r="I5">
        <f>SUMIFS('EPA Export Aggregation'!L:L,'EPA Export Aggregation'!$A:$A,$B5,'EPA Export Aggregation'!$D:$D,$A$1)*IF($A5="CH4",About!$D$58,IF($A5="N2O",About!$D$59,1))</f>
        <v>24.838820400902399</v>
      </c>
      <c r="J5">
        <f>SUMIFS('EPA Export Aggregation'!M:M,'EPA Export Aggregation'!$A:$A,$B5,'EPA Export Aggregation'!$D:$D,$A$1)*IF($A5="CH4",About!$D$58,IF($A5="N2O",About!$D$59,1))</f>
        <v>26.1369407562904</v>
      </c>
      <c r="K5">
        <f>SUMIFS('EPA Export Aggregation'!N:N,'EPA Export Aggregation'!$A:$A,$B5,'EPA Export Aggregation'!$D:$D,$A$1)*IF($A5="CH4",About!$D$58,IF($A5="N2O",About!$D$59,1))</f>
        <v>26.531035749265701</v>
      </c>
      <c r="L5">
        <f>SUMIFS('EPA Export Aggregation'!O:O,'EPA Export Aggregation'!$A:$A,$B5,'EPA Export Aggregation'!$D:$D,$A$1)*IF($A5="CH4",About!$D$58,IF($A5="N2O",About!$D$59,1))</f>
        <v>28.260309766045399</v>
      </c>
      <c r="M5">
        <f>SUMIFS('EPA Export Aggregation'!P:P,'EPA Export Aggregation'!$A:$A,$B5,'EPA Export Aggregation'!$D:$D,$A$1)*IF($A5="CH4",About!$D$58,IF($A5="N2O",About!$D$59,1))</f>
        <v>28.542764206356399</v>
      </c>
      <c r="N5">
        <f>SUMIFS('EPA Export Aggregation'!Q:Q,'EPA Export Aggregation'!$A:$A,$B5,'EPA Export Aggregation'!$D:$D,$A$1)*IF($A5="CH4",About!$D$58,IF($A5="N2O",About!$D$59,1))</f>
        <v>28.549283650521399</v>
      </c>
      <c r="O5">
        <f>SUMIFS('EPA Export Aggregation'!R:R,'EPA Export Aggregation'!$A:$A,$B5,'EPA Export Aggregation'!$D:$D,$A$1)*IF($A5="CH4",About!$D$58,IF($A5="N2O",About!$D$59,1))</f>
        <v>28.474589701239999</v>
      </c>
      <c r="P5">
        <f>SUMIFS('EPA Export Aggregation'!S:S,'EPA Export Aggregation'!$A:$A,$B5,'EPA Export Aggregation'!$D:$D,$A$1)*IF($A5="CH4",About!$D$58,IF($A5="N2O",About!$D$59,1))</f>
        <v>29.462171181390701</v>
      </c>
      <c r="Q5">
        <f>SUMIFS('EPA Export Aggregation'!T:T,'EPA Export Aggregation'!$A:$A,$B5,'EPA Export Aggregation'!$D:$D,$A$1)*IF($A5="CH4",About!$D$58,IF($A5="N2O",About!$D$59,1))</f>
        <v>30.3319149708739</v>
      </c>
      <c r="R5">
        <f>SUMIFS('EPA Export Aggregation'!U:U,'EPA Export Aggregation'!$A:$A,$B5,'EPA Export Aggregation'!$D:$D,$A$1)*IF($A5="CH4",About!$D$58,IF($A5="N2O",About!$D$59,1))</f>
        <v>30.922041872225499</v>
      </c>
      <c r="S5">
        <f>SUMIFS('EPA Export Aggregation'!V:V,'EPA Export Aggregation'!$A:$A,$B5,'EPA Export Aggregation'!$D:$D,$A$1)*IF($A5="CH4",About!$D$58,IF($A5="N2O",About!$D$59,1))</f>
        <v>30.816927591160699</v>
      </c>
      <c r="T5">
        <f>SUMIFS('EPA Export Aggregation'!W:W,'EPA Export Aggregation'!$A:$A,$B5,'EPA Export Aggregation'!$D:$D,$A$1)*IF($A5="CH4",About!$D$58,IF($A5="N2O",About!$D$59,1))</f>
        <v>30.5711030593488</v>
      </c>
      <c r="U5">
        <f>SUMIFS('EPA Export Aggregation'!X:X,'EPA Export Aggregation'!$A:$A,$B5,'EPA Export Aggregation'!$D:$D,$A$1)*IF($A5="CH4",About!$D$58,IF($A5="N2O",About!$D$59,1))</f>
        <v>29.1930231462295</v>
      </c>
      <c r="V5">
        <f>SUMIFS('EPA Export Aggregation'!Y:Y,'EPA Export Aggregation'!$A:$A,$B5,'EPA Export Aggregation'!$D:$D,$A$1)*IF($A5="CH4",About!$D$58,IF($A5="N2O",About!$D$59,1))</f>
        <v>30.080184541485401</v>
      </c>
      <c r="W5">
        <f>SUMIFS('EPA Export Aggregation'!Z:Z,'EPA Export Aggregation'!$A:$A,$B5,'EPA Export Aggregation'!$D:$D,$A$1)*IF($A5="CH4",About!$D$58,IF($A5="N2O",About!$D$59,1))</f>
        <v>29.339486593900101</v>
      </c>
      <c r="X5">
        <f>SUMIFS('EPA Export Aggregation'!AA:AA,'EPA Export Aggregation'!$A:$A,$B5,'EPA Export Aggregation'!$D:$D,$A$1)*IF($A5="CH4",About!$D$58,IF($A5="N2O",About!$D$59,1))</f>
        <v>28.762411241397601</v>
      </c>
      <c r="Y5">
        <f>SUMIFS('EPA Export Aggregation'!AB:AB,'EPA Export Aggregation'!$A:$A,$B5,'EPA Export Aggregation'!$D:$D,$A$1)*IF($A5="CH4",About!$D$58,IF($A5="N2O",About!$D$59,1))</f>
        <v>29.049111688845901</v>
      </c>
      <c r="Z5">
        <f>SUMIFS('EPA Export Aggregation'!AC:AC,'EPA Export Aggregation'!$A:$A,$B5,'EPA Export Aggregation'!$D:$D,$A$1)*IF($A5="CH4",About!$D$58,IF($A5="N2O",About!$D$59,1))</f>
        <v>29.0937966969081</v>
      </c>
      <c r="AA5">
        <f>SUMIFS('EPA Export Aggregation'!AD:AD,'EPA Export Aggregation'!$A:$A,$B5,'EPA Export Aggregation'!$D:$D,$A$1)*IF($A5="CH4",About!$D$58,IF($A5="N2O",About!$D$59,1))</f>
        <v>29.161508957667898</v>
      </c>
      <c r="AB5">
        <f>SUMIFS('EPA Export Aggregation'!AE:AE,'EPA Export Aggregation'!$A:$A,$B5,'EPA Export Aggregation'!$D:$D,$A$1)*IF($A5="CH4",About!$D$58,IF($A5="N2O",About!$D$59,1))</f>
        <v>30.0448762605069</v>
      </c>
      <c r="AC5">
        <f>SUMIFS('EPA Export Aggregation'!AF:AF,'EPA Export Aggregation'!$A:$A,$B5,'EPA Export Aggregation'!$D:$D,$A$1)*IF($A5="CH4",About!$D$58,IF($A5="N2O",About!$D$59,1))</f>
        <v>29.339174368308498</v>
      </c>
      <c r="AD5">
        <f>SUMIFS('EPA Export Aggregation'!AG:AG,'EPA Export Aggregation'!$A:$A,$B5,'EPA Export Aggregation'!$D:$D,$A$1)*IF($A5="CH4",About!$D$58,IF($A5="N2O",About!$D$59,1))</f>
        <v>29.202149468524802</v>
      </c>
      <c r="AE5">
        <f>SUMIFS('EPA Export Aggregation'!AH:AH,'EPA Export Aggregation'!$A:$A,$B5,'EPA Export Aggregation'!$D:$D,$A$1)*IF($A5="CH4",About!$D$58,IF($A5="N2O",About!$D$59,1))</f>
        <v>30.2324662072898</v>
      </c>
      <c r="AF5">
        <f>SUMIFS('EPA Export Aggregation'!AI:AI,'EPA Export Aggregation'!$A:$A,$B5,'EPA Export Aggregation'!$D:$D,$A$1)*IF($A5="CH4",About!$D$58,IF($A5="N2O",About!$D$59,1))</f>
        <v>30.364123150821701</v>
      </c>
      <c r="AG5">
        <f>SUMIFS('EPA Export Aggregation'!AJ:AJ,'EPA Export Aggregation'!$A:$A,$B5,'EPA Export Aggregation'!$D:$D,$A$1)*IF($A5="CH4",About!$D$58,IF($A5="N2O",About!$D$59,1))</f>
        <v>25.1144377980653</v>
      </c>
      <c r="AH5">
        <f>SUMIFS('EPA Export Aggregation'!AK:AK,'EPA Export Aggregation'!$A:$A,$B5,'EPA Export Aggregation'!$D:$D,$A$1)*IF($A5="CH4",About!$D$58,IF($A5="N2O",About!$D$59,1))</f>
        <v>27.967810801508101</v>
      </c>
    </row>
    <row r="6" spans="1:34" x14ac:dyDescent="0.25">
      <c r="A6" s="119" t="s">
        <v>479</v>
      </c>
      <c r="B6" s="120" t="s">
        <v>1958</v>
      </c>
      <c r="C6">
        <f>SUMIFS('EPA Export Aggregation'!F:F,'EPA Export Aggregation'!$A:$A,$B6,'EPA Export Aggregation'!$D:$D,$A$1)*IF($A6="CH4",About!$D$58,IF($A6="N2O",About!$D$59,1))</f>
        <v>7.6600445016882999</v>
      </c>
      <c r="D6">
        <f>SUMIFS('EPA Export Aggregation'!G:G,'EPA Export Aggregation'!$A:$A,$B6,'EPA Export Aggregation'!$D:$D,$A$1)*IF($A6="CH4",About!$D$58,IF($A6="N2O",About!$D$59,1))</f>
        <v>6.6896727378994001</v>
      </c>
      <c r="E6">
        <f>SUMIFS('EPA Export Aggregation'!H:H,'EPA Export Aggregation'!$A:$A,$B6,'EPA Export Aggregation'!$D:$D,$A$1)*IF($A6="CH4",About!$D$58,IF($A6="N2O",About!$D$59,1))</f>
        <v>6.2653745803863998</v>
      </c>
      <c r="F6">
        <f>SUMIFS('EPA Export Aggregation'!I:I,'EPA Export Aggregation'!$A:$A,$B6,'EPA Export Aggregation'!$D:$D,$A$1)*IF($A6="CH4",About!$D$58,IF($A6="N2O",About!$D$59,1))</f>
        <v>6.2819923364113004</v>
      </c>
      <c r="G6">
        <f>SUMIFS('EPA Export Aggregation'!J:J,'EPA Export Aggregation'!$A:$A,$B6,'EPA Export Aggregation'!$D:$D,$A$1)*IF($A6="CH4",About!$D$58,IF($A6="N2O",About!$D$59,1))</f>
        <v>6.3835220809272002</v>
      </c>
      <c r="H6">
        <f>SUMIFS('EPA Export Aggregation'!K:K,'EPA Export Aggregation'!$A:$A,$B6,'EPA Export Aggregation'!$D:$D,$A$1)*IF($A6="CH4",About!$D$58,IF($A6="N2O",About!$D$59,1))</f>
        <v>6.1682009577530001</v>
      </c>
      <c r="I6">
        <f>SUMIFS('EPA Export Aggregation'!L:L,'EPA Export Aggregation'!$A:$A,$B6,'EPA Export Aggregation'!$D:$D,$A$1)*IF($A6="CH4",About!$D$58,IF($A6="N2O",About!$D$59,1))</f>
        <v>6.6404986684190002</v>
      </c>
      <c r="J6">
        <f>SUMIFS('EPA Export Aggregation'!M:M,'EPA Export Aggregation'!$A:$A,$B6,'EPA Export Aggregation'!$D:$D,$A$1)*IF($A6="CH4",About!$D$58,IF($A6="N2O",About!$D$59,1))</f>
        <v>6.8961497723300997</v>
      </c>
      <c r="K6">
        <f>SUMIFS('EPA Export Aggregation'!N:N,'EPA Export Aggregation'!$A:$A,$B6,'EPA Export Aggregation'!$D:$D,$A$1)*IF($A6="CH4",About!$D$58,IF($A6="N2O",About!$D$59,1))</f>
        <v>6.3089691108019998</v>
      </c>
      <c r="L6">
        <f>SUMIFS('EPA Export Aggregation'!O:O,'EPA Export Aggregation'!$A:$A,$B6,'EPA Export Aggregation'!$D:$D,$A$1)*IF($A6="CH4",About!$D$58,IF($A6="N2O",About!$D$59,1))</f>
        <v>6.0194766272039004</v>
      </c>
      <c r="M6">
        <f>SUMIFS('EPA Export Aggregation'!P:P,'EPA Export Aggregation'!$A:$A,$B6,'EPA Export Aggregation'!$D:$D,$A$1)*IF($A6="CH4",About!$D$58,IF($A6="N2O",About!$D$59,1))</f>
        <v>5.9172537841426003</v>
      </c>
      <c r="N6">
        <f>SUMIFS('EPA Export Aggregation'!Q:Q,'EPA Export Aggregation'!$A:$A,$B6,'EPA Export Aggregation'!$D:$D,$A$1)*IF($A6="CH4",About!$D$58,IF($A6="N2O",About!$D$59,1))</f>
        <v>7.6172632597023</v>
      </c>
      <c r="O6">
        <f>SUMIFS('EPA Export Aggregation'!R:R,'EPA Export Aggregation'!$A:$A,$B6,'EPA Export Aggregation'!$D:$D,$A$1)*IF($A6="CH4",About!$D$58,IF($A6="N2O",About!$D$59,1))</f>
        <v>7.4019304376489998</v>
      </c>
      <c r="P6">
        <f>SUMIFS('EPA Export Aggregation'!S:S,'EPA Export Aggregation'!$A:$A,$B6,'EPA Export Aggregation'!$D:$D,$A$1)*IF($A6="CH4",About!$D$58,IF($A6="N2O",About!$D$59,1))</f>
        <v>7.1871385272225998</v>
      </c>
      <c r="Q6">
        <f>SUMIFS('EPA Export Aggregation'!T:T,'EPA Export Aggregation'!$A:$A,$B6,'EPA Export Aggregation'!$D:$D,$A$1)*IF($A6="CH4",About!$D$58,IF($A6="N2O",About!$D$59,1))</f>
        <v>8.0296570875640008</v>
      </c>
      <c r="R6">
        <f>SUMIFS('EPA Export Aggregation'!U:U,'EPA Export Aggregation'!$A:$A,$B6,'EPA Export Aggregation'!$D:$D,$A$1)*IF($A6="CH4",About!$D$58,IF($A6="N2O",About!$D$59,1))</f>
        <v>7.8984226550140999</v>
      </c>
      <c r="S6">
        <f>SUMIFS('EPA Export Aggregation'!V:V,'EPA Export Aggregation'!$A:$A,$B6,'EPA Export Aggregation'!$D:$D,$A$1)*IF($A6="CH4",About!$D$58,IF($A6="N2O",About!$D$59,1))</f>
        <v>6.1695823557134997</v>
      </c>
      <c r="T6">
        <f>SUMIFS('EPA Export Aggregation'!W:W,'EPA Export Aggregation'!$A:$A,$B6,'EPA Export Aggregation'!$D:$D,$A$1)*IF($A6="CH4",About!$D$58,IF($A6="N2O",About!$D$59,1))</f>
        <v>5.7304082682609998</v>
      </c>
      <c r="U6">
        <f>SUMIFS('EPA Export Aggregation'!X:X,'EPA Export Aggregation'!$A:$A,$B6,'EPA Export Aggregation'!$D:$D,$A$1)*IF($A6="CH4",About!$D$58,IF($A6="N2O",About!$D$59,1))</f>
        <v>5.5031817734758004</v>
      </c>
      <c r="V6">
        <f>SUMIFS('EPA Export Aggregation'!Y:Y,'EPA Export Aggregation'!$A:$A,$B6,'EPA Export Aggregation'!$D:$D,$A$1)*IF($A6="CH4",About!$D$58,IF($A6="N2O",About!$D$59,1))</f>
        <v>4.7108594250972997</v>
      </c>
      <c r="W6">
        <f>SUMIFS('EPA Export Aggregation'!Z:Z,'EPA Export Aggregation'!$A:$A,$B6,'EPA Export Aggregation'!$D:$D,$A$1)*IF($A6="CH4",About!$D$58,IF($A6="N2O",About!$D$59,1))</f>
        <v>4.4794397953666998</v>
      </c>
      <c r="X6">
        <f>SUMIFS('EPA Export Aggregation'!AA:AA,'EPA Export Aggregation'!$A:$A,$B6,'EPA Export Aggregation'!$D:$D,$A$1)*IF($A6="CH4",About!$D$58,IF($A6="N2O",About!$D$59,1))</f>
        <v>3.6256800410932999</v>
      </c>
      <c r="Y6">
        <f>SUMIFS('EPA Export Aggregation'!AB:AB,'EPA Export Aggregation'!$A:$A,$B6,'EPA Export Aggregation'!$D:$D,$A$1)*IF($A6="CH4",About!$D$58,IF($A6="N2O",About!$D$59,1))</f>
        <v>3.8357432706494001</v>
      </c>
      <c r="Z6">
        <f>SUMIFS('EPA Export Aggregation'!AC:AC,'EPA Export Aggregation'!$A:$A,$B6,'EPA Export Aggregation'!$D:$D,$A$1)*IF($A6="CH4",About!$D$58,IF($A6="N2O",About!$D$59,1))</f>
        <v>3.2705063800857999</v>
      </c>
      <c r="AA6">
        <f>SUMIFS('EPA Export Aggregation'!AD:AD,'EPA Export Aggregation'!$A:$A,$B6,'EPA Export Aggregation'!$D:$D,$A$1)*IF($A6="CH4",About!$D$58,IF($A6="N2O",About!$D$59,1))</f>
        <v>3.0751116920475998</v>
      </c>
      <c r="AB6">
        <f>SUMIFS('EPA Export Aggregation'!AE:AE,'EPA Export Aggregation'!$A:$A,$B6,'EPA Export Aggregation'!$D:$D,$A$1)*IF($A6="CH4",About!$D$58,IF($A6="N2O",About!$D$59,1))</f>
        <v>2.9228891520758</v>
      </c>
      <c r="AC6">
        <f>SUMIFS('EPA Export Aggregation'!AF:AF,'EPA Export Aggregation'!$A:$A,$B6,'EPA Export Aggregation'!$D:$D,$A$1)*IF($A6="CH4",About!$D$58,IF($A6="N2O",About!$D$59,1))</f>
        <v>2.6110117613214001</v>
      </c>
      <c r="AD6">
        <f>SUMIFS('EPA Export Aggregation'!AG:AG,'EPA Export Aggregation'!$A:$A,$B6,'EPA Export Aggregation'!$D:$D,$A$1)*IF($A6="CH4",About!$D$58,IF($A6="N2O",About!$D$59,1))</f>
        <v>2.5731335657928001</v>
      </c>
      <c r="AE6">
        <f>SUMIFS('EPA Export Aggregation'!AH:AH,'EPA Export Aggregation'!$A:$A,$B6,'EPA Export Aggregation'!$D:$D,$A$1)*IF($A6="CH4",About!$D$58,IF($A6="N2O",About!$D$59,1))</f>
        <v>2.5403922206977998</v>
      </c>
      <c r="AF6">
        <f>SUMIFS('EPA Export Aggregation'!AI:AI,'EPA Export Aggregation'!$A:$A,$B6,'EPA Export Aggregation'!$D:$D,$A$1)*IF($A6="CH4",About!$D$58,IF($A6="N2O",About!$D$59,1))</f>
        <v>2.5923631576315</v>
      </c>
      <c r="AG6">
        <f>SUMIFS('EPA Export Aggregation'!AJ:AJ,'EPA Export Aggregation'!$A:$A,$B6,'EPA Export Aggregation'!$D:$D,$A$1)*IF($A6="CH4",About!$D$58,IF($A6="N2O",About!$D$59,1))</f>
        <v>2.3101215705018001</v>
      </c>
      <c r="AH6">
        <f>SUMIFS('EPA Export Aggregation'!AK:AK,'EPA Export Aggregation'!$A:$A,$B6,'EPA Export Aggregation'!$D:$D,$A$1)*IF($A6="CH4",About!$D$58,IF($A6="N2O",About!$D$59,1))</f>
        <v>2.4062638000417</v>
      </c>
    </row>
    <row r="7" spans="1:34" x14ac:dyDescent="0.25">
      <c r="A7" s="119" t="s">
        <v>479</v>
      </c>
      <c r="B7" s="120" t="s">
        <v>1959</v>
      </c>
      <c r="C7">
        <f>SUMIFS('EPA Export Aggregation'!F:F,'EPA Export Aggregation'!$A:$A,$B7,'EPA Export Aggregation'!$D:$D,$A$1)*IF($A7="CH4",About!$D$58,IF($A7="N2O",About!$D$59,1))</f>
        <v>6.1718521139418003</v>
      </c>
      <c r="D7">
        <f>SUMIFS('EPA Export Aggregation'!G:G,'EPA Export Aggregation'!$A:$A,$B7,'EPA Export Aggregation'!$D:$D,$A$1)*IF($A7="CH4",About!$D$58,IF($A7="N2O",About!$D$59,1))</f>
        <v>6.2847875074205</v>
      </c>
      <c r="E7">
        <f>SUMIFS('EPA Export Aggregation'!H:H,'EPA Export Aggregation'!$A:$A,$B7,'EPA Export Aggregation'!$D:$D,$A$1)*IF($A7="CH4",About!$D$58,IF($A7="N2O",About!$D$59,1))</f>
        <v>6.6344099256181002</v>
      </c>
      <c r="F7">
        <f>SUMIFS('EPA Export Aggregation'!I:I,'EPA Export Aggregation'!$A:$A,$B7,'EPA Export Aggregation'!$D:$D,$A$1)*IF($A7="CH4",About!$D$58,IF($A7="N2O",About!$D$59,1))</f>
        <v>6.8535420708650996</v>
      </c>
      <c r="G7">
        <f>SUMIFS('EPA Export Aggregation'!J:J,'EPA Export Aggregation'!$A:$A,$B7,'EPA Export Aggregation'!$D:$D,$A$1)*IF($A7="CH4",About!$D$58,IF($A7="N2O",About!$D$59,1))</f>
        <v>6.7639942808443001</v>
      </c>
      <c r="H7">
        <f>SUMIFS('EPA Export Aggregation'!K:K,'EPA Export Aggregation'!$A:$A,$B7,'EPA Export Aggregation'!$D:$D,$A$1)*IF($A7="CH4",About!$D$58,IF($A7="N2O",About!$D$59,1))</f>
        <v>6.6439416941536003</v>
      </c>
      <c r="I7">
        <f>SUMIFS('EPA Export Aggregation'!L:L,'EPA Export Aggregation'!$A:$A,$B7,'EPA Export Aggregation'!$D:$D,$A$1)*IF($A7="CH4",About!$D$58,IF($A7="N2O",About!$D$59,1))</f>
        <v>7.5326080017701997</v>
      </c>
      <c r="J7">
        <f>SUMIFS('EPA Export Aggregation'!M:M,'EPA Export Aggregation'!$A:$A,$B7,'EPA Export Aggregation'!$D:$D,$A$1)*IF($A7="CH4",About!$D$58,IF($A7="N2O",About!$D$59,1))</f>
        <v>6.8371380527783998</v>
      </c>
      <c r="K7">
        <f>SUMIFS('EPA Export Aggregation'!N:N,'EPA Export Aggregation'!$A:$A,$B7,'EPA Export Aggregation'!$D:$D,$A$1)*IF($A7="CH4",About!$D$58,IF($A7="N2O",About!$D$59,1))</f>
        <v>6.0293242197665</v>
      </c>
      <c r="L7">
        <f>SUMIFS('EPA Export Aggregation'!O:O,'EPA Export Aggregation'!$A:$A,$B7,'EPA Export Aggregation'!$D:$D,$A$1)*IF($A7="CH4",About!$D$58,IF($A7="N2O",About!$D$59,1))</f>
        <v>6.3641261267470002</v>
      </c>
      <c r="M7">
        <f>SUMIFS('EPA Export Aggregation'!P:P,'EPA Export Aggregation'!$A:$A,$B7,'EPA Export Aggregation'!$D:$D,$A$1)*IF($A7="CH4",About!$D$58,IF($A7="N2O",About!$D$59,1))</f>
        <v>6.9416388772718003</v>
      </c>
      <c r="N7">
        <f>SUMIFS('EPA Export Aggregation'!Q:Q,'EPA Export Aggregation'!$A:$A,$B7,'EPA Export Aggregation'!$D:$D,$A$1)*IF($A7="CH4",About!$D$58,IF($A7="N2O",About!$D$59,1))</f>
        <v>6.3584560036803</v>
      </c>
      <c r="O7">
        <f>SUMIFS('EPA Export Aggregation'!R:R,'EPA Export Aggregation'!$A:$A,$B7,'EPA Export Aggregation'!$D:$D,$A$1)*IF($A7="CH4",About!$D$58,IF($A7="N2O",About!$D$59,1))</f>
        <v>6.5609212106902</v>
      </c>
      <c r="P7">
        <f>SUMIFS('EPA Export Aggregation'!S:S,'EPA Export Aggregation'!$A:$A,$B7,'EPA Export Aggregation'!$D:$D,$A$1)*IF($A7="CH4",About!$D$58,IF($A7="N2O",About!$D$59,1))</f>
        <v>7.3023226331286999</v>
      </c>
      <c r="Q7">
        <f>SUMIFS('EPA Export Aggregation'!T:T,'EPA Export Aggregation'!$A:$A,$B7,'EPA Export Aggregation'!$D:$D,$A$1)*IF($A7="CH4",About!$D$58,IF($A7="N2O",About!$D$59,1))</f>
        <v>7.0779753454141003</v>
      </c>
      <c r="R7">
        <f>SUMIFS('EPA Export Aggregation'!U:U,'EPA Export Aggregation'!$A:$A,$B7,'EPA Export Aggregation'!$D:$D,$A$1)*IF($A7="CH4",About!$D$58,IF($A7="N2O",About!$D$59,1))</f>
        <v>7.0253436909170004</v>
      </c>
      <c r="S7">
        <f>SUMIFS('EPA Export Aggregation'!V:V,'EPA Export Aggregation'!$A:$A,$B7,'EPA Export Aggregation'!$D:$D,$A$1)*IF($A7="CH4",About!$D$58,IF($A7="N2O",About!$D$59,1))</f>
        <v>5.8733099284093004</v>
      </c>
      <c r="T7">
        <f>SUMIFS('EPA Export Aggregation'!W:W,'EPA Export Aggregation'!$A:$A,$B7,'EPA Export Aggregation'!$D:$D,$A$1)*IF($A7="CH4",About!$D$58,IF($A7="N2O",About!$D$59,1))</f>
        <v>6.4213933834042001</v>
      </c>
      <c r="U7">
        <f>SUMIFS('EPA Export Aggregation'!X:X,'EPA Export Aggregation'!$A:$A,$B7,'EPA Export Aggregation'!$D:$D,$A$1)*IF($A7="CH4",About!$D$58,IF($A7="N2O",About!$D$59,1))</f>
        <v>6.1090642188507003</v>
      </c>
      <c r="V7">
        <f>SUMIFS('EPA Export Aggregation'!Y:Y,'EPA Export Aggregation'!$A:$A,$B7,'EPA Export Aggregation'!$D:$D,$A$1)*IF($A7="CH4",About!$D$58,IF($A7="N2O",About!$D$59,1))</f>
        <v>6.4063880952267001</v>
      </c>
      <c r="W7">
        <f>SUMIFS('EPA Export Aggregation'!Z:Z,'EPA Export Aggregation'!$A:$A,$B7,'EPA Export Aggregation'!$D:$D,$A$1)*IF($A7="CH4",About!$D$58,IF($A7="N2O",About!$D$59,1))</f>
        <v>6.5436085132346999</v>
      </c>
      <c r="X7">
        <f>SUMIFS('EPA Export Aggregation'!AA:AA,'EPA Export Aggregation'!$A:$A,$B7,'EPA Export Aggregation'!$D:$D,$A$1)*IF($A7="CH4",About!$D$58,IF($A7="N2O",About!$D$59,1))</f>
        <v>5.9281314175602997</v>
      </c>
      <c r="Y7">
        <f>SUMIFS('EPA Export Aggregation'!AB:AB,'EPA Export Aggregation'!$A:$A,$B7,'EPA Export Aggregation'!$D:$D,$A$1)*IF($A7="CH4",About!$D$58,IF($A7="N2O",About!$D$59,1))</f>
        <v>5.1252352427685999</v>
      </c>
      <c r="Z7">
        <f>SUMIFS('EPA Export Aggregation'!AC:AC,'EPA Export Aggregation'!$A:$A,$B7,'EPA Export Aggregation'!$D:$D,$A$1)*IF($A7="CH4",About!$D$58,IF($A7="N2O",About!$D$59,1))</f>
        <v>6.1146135786258</v>
      </c>
      <c r="AA7">
        <f>SUMIFS('EPA Export Aggregation'!AD:AD,'EPA Export Aggregation'!$A:$A,$B7,'EPA Export Aggregation'!$D:$D,$A$1)*IF($A7="CH4",About!$D$58,IF($A7="N2O",About!$D$59,1))</f>
        <v>6.8771010809454998</v>
      </c>
      <c r="AB7">
        <f>SUMIFS('EPA Export Aggregation'!AE:AE,'EPA Export Aggregation'!$A:$A,$B7,'EPA Export Aggregation'!$D:$D,$A$1)*IF($A7="CH4",About!$D$58,IF($A7="N2O",About!$D$59,1))</f>
        <v>6.3665014617461999</v>
      </c>
      <c r="AC7">
        <f>SUMIFS('EPA Export Aggregation'!AF:AF,'EPA Export Aggregation'!$A:$A,$B7,'EPA Export Aggregation'!$D:$D,$A$1)*IF($A7="CH4",About!$D$58,IF($A7="N2O",About!$D$59,1))</f>
        <v>5.3312119878836004</v>
      </c>
      <c r="AD7">
        <f>SUMIFS('EPA Export Aggregation'!AG:AG,'EPA Export Aggregation'!$A:$A,$B7,'EPA Export Aggregation'!$D:$D,$A$1)*IF($A7="CH4",About!$D$58,IF($A7="N2O",About!$D$59,1))</f>
        <v>5.1666082174341001</v>
      </c>
      <c r="AE7">
        <f>SUMIFS('EPA Export Aggregation'!AH:AH,'EPA Export Aggregation'!$A:$A,$B7,'EPA Export Aggregation'!$D:$D,$A$1)*IF($A7="CH4",About!$D$58,IF($A7="N2O",About!$D$59,1))</f>
        <v>6.1302469845919996</v>
      </c>
      <c r="AF7">
        <f>SUMIFS('EPA Export Aggregation'!AI:AI,'EPA Export Aggregation'!$A:$A,$B7,'EPA Export Aggregation'!$D:$D,$A$1)*IF($A7="CH4",About!$D$58,IF($A7="N2O",About!$D$59,1))</f>
        <v>5.6300781190710998</v>
      </c>
      <c r="AG7">
        <f>SUMIFS('EPA Export Aggregation'!AJ:AJ,'EPA Export Aggregation'!$A:$A,$B7,'EPA Export Aggregation'!$D:$D,$A$1)*IF($A7="CH4",About!$D$58,IF($A7="N2O",About!$D$59,1))</f>
        <v>5.3644165002518003</v>
      </c>
      <c r="AH7">
        <f>SUMIFS('EPA Export Aggregation'!AK:AK,'EPA Export Aggregation'!$A:$A,$B7,'EPA Export Aggregation'!$D:$D,$A$1)*IF($A7="CH4",About!$D$58,IF($A7="N2O",About!$D$59,1))</f>
        <v>5.3284284519486</v>
      </c>
    </row>
    <row r="8" spans="1:34" x14ac:dyDescent="0.25">
      <c r="A8" s="119" t="s">
        <v>479</v>
      </c>
      <c r="B8" s="120" t="s">
        <v>1960</v>
      </c>
      <c r="C8">
        <f>SUMIFS('EPA Export Aggregation'!F:F,'EPA Export Aggregation'!$A:$A,$B8,'EPA Export Aggregation'!$D:$D,$A$1)*IF($A8="CH4",About!$D$58,IF($A8="N2O",About!$D$59,1))</f>
        <v>2.9538663926440001</v>
      </c>
      <c r="D8">
        <f>SUMIFS('EPA Export Aggregation'!G:G,'EPA Export Aggregation'!$A:$A,$B8,'EPA Export Aggregation'!$D:$D,$A$1)*IF($A8="CH4",About!$D$58,IF($A8="N2O",About!$D$59,1))</f>
        <v>3.5874658366976</v>
      </c>
      <c r="E8">
        <f>SUMIFS('EPA Export Aggregation'!H:H,'EPA Export Aggregation'!$A:$A,$B8,'EPA Export Aggregation'!$D:$D,$A$1)*IF($A8="CH4",About!$D$58,IF($A8="N2O",About!$D$59,1))</f>
        <v>3.9861491182112001</v>
      </c>
      <c r="F8">
        <f>SUMIFS('EPA Export Aggregation'!I:I,'EPA Export Aggregation'!$A:$A,$B8,'EPA Export Aggregation'!$D:$D,$A$1)*IF($A8="CH4",About!$D$58,IF($A8="N2O",About!$D$59,1))</f>
        <v>3.7918987282543002</v>
      </c>
      <c r="G8">
        <f>SUMIFS('EPA Export Aggregation'!J:J,'EPA Export Aggregation'!$A:$A,$B8,'EPA Export Aggregation'!$D:$D,$A$1)*IF($A8="CH4",About!$D$58,IF($A8="N2O",About!$D$59,1))</f>
        <v>4.1185154525480998</v>
      </c>
      <c r="H8">
        <f>SUMIFS('EPA Export Aggregation'!K:K,'EPA Export Aggregation'!$A:$A,$B8,'EPA Export Aggregation'!$D:$D,$A$1)*IF($A8="CH4",About!$D$58,IF($A8="N2O",About!$D$59,1))</f>
        <v>4.6383373859677999</v>
      </c>
      <c r="I8">
        <f>SUMIFS('EPA Export Aggregation'!L:L,'EPA Export Aggregation'!$A:$A,$B8,'EPA Export Aggregation'!$D:$D,$A$1)*IF($A8="CH4",About!$D$58,IF($A8="N2O",About!$D$59,1))</f>
        <v>4.1489090539306996</v>
      </c>
      <c r="J8">
        <f>SUMIFS('EPA Export Aggregation'!M:M,'EPA Export Aggregation'!$A:$A,$B8,'EPA Export Aggregation'!$D:$D,$A$1)*IF($A8="CH4",About!$D$58,IF($A8="N2O",About!$D$59,1))</f>
        <v>4.1162391218190004</v>
      </c>
      <c r="K8">
        <f>SUMIFS('EPA Export Aggregation'!N:N,'EPA Export Aggregation'!$A:$A,$B8,'EPA Export Aggregation'!$D:$D,$A$1)*IF($A8="CH4",About!$D$58,IF($A8="N2O",About!$D$59,1))</f>
        <v>4.5510169827186999</v>
      </c>
      <c r="L8">
        <f>SUMIFS('EPA Export Aggregation'!O:O,'EPA Export Aggregation'!$A:$A,$B8,'EPA Export Aggregation'!$D:$D,$A$1)*IF($A8="CH4",About!$D$58,IF($A8="N2O",About!$D$59,1))</f>
        <v>4.3774086887454997</v>
      </c>
      <c r="M8">
        <f>SUMIFS('EPA Export Aggregation'!P:P,'EPA Export Aggregation'!$A:$A,$B8,'EPA Export Aggregation'!$D:$D,$A$1)*IF($A8="CH4",About!$D$58,IF($A8="N2O",About!$D$59,1))</f>
        <v>4.5931417617879999</v>
      </c>
      <c r="N8">
        <f>SUMIFS('EPA Export Aggregation'!Q:Q,'EPA Export Aggregation'!$A:$A,$B8,'EPA Export Aggregation'!$D:$D,$A$1)*IF($A8="CH4",About!$D$58,IF($A8="N2O",About!$D$59,1))</f>
        <v>4.7989056087081003</v>
      </c>
      <c r="O8">
        <f>SUMIFS('EPA Export Aggregation'!R:R,'EPA Export Aggregation'!$A:$A,$B8,'EPA Export Aggregation'!$D:$D,$A$1)*IF($A8="CH4",About!$D$58,IF($A8="N2O",About!$D$59,1))</f>
        <v>4.7587018389453997</v>
      </c>
      <c r="P8">
        <f>SUMIFS('EPA Export Aggregation'!S:S,'EPA Export Aggregation'!$A:$A,$B8,'EPA Export Aggregation'!$D:$D,$A$1)*IF($A8="CH4",About!$D$58,IF($A8="N2O",About!$D$59,1))</f>
        <v>5.2496514431751997</v>
      </c>
      <c r="Q8">
        <f>SUMIFS('EPA Export Aggregation'!T:T,'EPA Export Aggregation'!$A:$A,$B8,'EPA Export Aggregation'!$D:$D,$A$1)*IF($A8="CH4",About!$D$58,IF($A8="N2O",About!$D$59,1))</f>
        <v>5.1454242786927002</v>
      </c>
      <c r="R8">
        <f>SUMIFS('EPA Export Aggregation'!U:U,'EPA Export Aggregation'!$A:$A,$B8,'EPA Export Aggregation'!$D:$D,$A$1)*IF($A8="CH4",About!$D$58,IF($A8="N2O",About!$D$59,1))</f>
        <v>4.9374217699946996</v>
      </c>
      <c r="S8">
        <f>SUMIFS('EPA Export Aggregation'!V:V,'EPA Export Aggregation'!$A:$A,$B8,'EPA Export Aggregation'!$D:$D,$A$1)*IF($A8="CH4",About!$D$58,IF($A8="N2O",About!$D$59,1))</f>
        <v>4.5698551670181997</v>
      </c>
      <c r="T8">
        <f>SUMIFS('EPA Export Aggregation'!W:W,'EPA Export Aggregation'!$A:$A,$B8,'EPA Export Aggregation'!$D:$D,$A$1)*IF($A8="CH4",About!$D$58,IF($A8="N2O",About!$D$59,1))</f>
        <v>4.6539704714824</v>
      </c>
      <c r="U8">
        <f>SUMIFS('EPA Export Aggregation'!X:X,'EPA Export Aggregation'!$A:$A,$B8,'EPA Export Aggregation'!$D:$D,$A$1)*IF($A8="CH4",About!$D$58,IF($A8="N2O",About!$D$59,1))</f>
        <v>4.6164737244551999</v>
      </c>
      <c r="V8">
        <f>SUMIFS('EPA Export Aggregation'!Y:Y,'EPA Export Aggregation'!$A:$A,$B8,'EPA Export Aggregation'!$D:$D,$A$1)*IF($A8="CH4",About!$D$58,IF($A8="N2O",About!$D$59,1))</f>
        <v>4.7503479172996004</v>
      </c>
      <c r="W8">
        <f>SUMIFS('EPA Export Aggregation'!Z:Z,'EPA Export Aggregation'!$A:$A,$B8,'EPA Export Aggregation'!$D:$D,$A$1)*IF($A8="CH4",About!$D$58,IF($A8="N2O",About!$D$59,1))</f>
        <v>4.5789548233052999</v>
      </c>
      <c r="X8">
        <f>SUMIFS('EPA Export Aggregation'!AA:AA,'EPA Export Aggregation'!$A:$A,$B8,'EPA Export Aggregation'!$D:$D,$A$1)*IF($A8="CH4",About!$D$58,IF($A8="N2O",About!$D$59,1))</f>
        <v>4.5925520181761001</v>
      </c>
      <c r="Y8">
        <f>SUMIFS('EPA Export Aggregation'!AB:AB,'EPA Export Aggregation'!$A:$A,$B8,'EPA Export Aggregation'!$D:$D,$A$1)*IF($A8="CH4",About!$D$58,IF($A8="N2O",About!$D$59,1))</f>
        <v>4.3324234908493002</v>
      </c>
      <c r="Z8">
        <f>SUMIFS('EPA Export Aggregation'!AC:AC,'EPA Export Aggregation'!$A:$A,$B8,'EPA Export Aggregation'!$D:$D,$A$1)*IF($A8="CH4",About!$D$58,IF($A8="N2O",About!$D$59,1))</f>
        <v>4.6820873445103004</v>
      </c>
      <c r="AA8">
        <f>SUMIFS('EPA Export Aggregation'!AD:AD,'EPA Export Aggregation'!$A:$A,$B8,'EPA Export Aggregation'!$D:$D,$A$1)*IF($A8="CH4",About!$D$58,IF($A8="N2O",About!$D$59,1))</f>
        <v>5.0170937109312002</v>
      </c>
      <c r="AB8">
        <f>SUMIFS('EPA Export Aggregation'!AE:AE,'EPA Export Aggregation'!$A:$A,$B8,'EPA Export Aggregation'!$D:$D,$A$1)*IF($A8="CH4",About!$D$58,IF($A8="N2O",About!$D$59,1))</f>
        <v>5.3967738222142998</v>
      </c>
      <c r="AC8">
        <f>SUMIFS('EPA Export Aggregation'!AF:AF,'EPA Export Aggregation'!$A:$A,$B8,'EPA Export Aggregation'!$D:$D,$A$1)*IF($A8="CH4",About!$D$58,IF($A8="N2O",About!$D$59,1))</f>
        <v>5.1198241923163001</v>
      </c>
      <c r="AD8">
        <f>SUMIFS('EPA Export Aggregation'!AG:AG,'EPA Export Aggregation'!$A:$A,$B8,'EPA Export Aggregation'!$D:$D,$A$1)*IF($A8="CH4",About!$D$58,IF($A8="N2O",About!$D$59,1))</f>
        <v>5.1856518307251998</v>
      </c>
      <c r="AE8">
        <f>SUMIFS('EPA Export Aggregation'!AH:AH,'EPA Export Aggregation'!$A:$A,$B8,'EPA Export Aggregation'!$D:$D,$A$1)*IF($A8="CH4",About!$D$58,IF($A8="N2O",About!$D$59,1))</f>
        <v>5.3778865194897998</v>
      </c>
      <c r="AF8">
        <f>SUMIFS('EPA Export Aggregation'!AI:AI,'EPA Export Aggregation'!$A:$A,$B8,'EPA Export Aggregation'!$D:$D,$A$1)*IF($A8="CH4",About!$D$58,IF($A8="N2O",About!$D$59,1))</f>
        <v>5.5173351739798999</v>
      </c>
      <c r="AG8">
        <f>SUMIFS('EPA Export Aggregation'!AJ:AJ,'EPA Export Aggregation'!$A:$A,$B8,'EPA Export Aggregation'!$D:$D,$A$1)*IF($A8="CH4",About!$D$58,IF($A8="N2O",About!$D$59,1))</f>
        <v>5.0086276619643</v>
      </c>
      <c r="AH8">
        <f>SUMIFS('EPA Export Aggregation'!AK:AK,'EPA Export Aggregation'!$A:$A,$B8,'EPA Export Aggregation'!$D:$D,$A$1)*IF($A8="CH4",About!$D$58,IF($A8="N2O",About!$D$59,1))</f>
        <v>4.8845051430612996</v>
      </c>
    </row>
    <row r="9" spans="1:34" x14ac:dyDescent="0.25">
      <c r="A9" s="119" t="s">
        <v>479</v>
      </c>
      <c r="B9" s="120" t="s">
        <v>1961</v>
      </c>
      <c r="C9">
        <f>SUMIFS('EPA Export Aggregation'!F:F,'EPA Export Aggregation'!$A:$A,$B9,'EPA Export Aggregation'!$D:$D,$A$1)*IF($A9="CH4",About!$D$58,IF($A9="N2O",About!$D$59,1))</f>
        <v>0.61264567571749995</v>
      </c>
      <c r="D9">
        <f>SUMIFS('EPA Export Aggregation'!G:G,'EPA Export Aggregation'!$A:$A,$B9,'EPA Export Aggregation'!$D:$D,$A$1)*IF($A9="CH4",About!$D$58,IF($A9="N2O",About!$D$59,1))</f>
        <v>0.4242006422597</v>
      </c>
      <c r="E9">
        <f>SUMIFS('EPA Export Aggregation'!H:H,'EPA Export Aggregation'!$A:$A,$B9,'EPA Export Aggregation'!$D:$D,$A$1)*IF($A9="CH4",About!$D$58,IF($A9="N2O",About!$D$59,1))</f>
        <v>0.53253855591749999</v>
      </c>
      <c r="F9">
        <f>SUMIFS('EPA Export Aggregation'!I:I,'EPA Export Aggregation'!$A:$A,$B9,'EPA Export Aggregation'!$D:$D,$A$1)*IF($A9="CH4",About!$D$58,IF($A9="N2O",About!$D$59,1))</f>
        <v>0.46201873634809998</v>
      </c>
      <c r="G9">
        <f>SUMIFS('EPA Export Aggregation'!J:J,'EPA Export Aggregation'!$A:$A,$B9,'EPA Export Aggregation'!$D:$D,$A$1)*IF($A9="CH4",About!$D$58,IF($A9="N2O",About!$D$59,1))</f>
        <v>0.50957490939729999</v>
      </c>
      <c r="H9">
        <f>SUMIFS('EPA Export Aggregation'!K:K,'EPA Export Aggregation'!$A:$A,$B9,'EPA Export Aggregation'!$D:$D,$A$1)*IF($A9="CH4",About!$D$58,IF($A9="N2O",About!$D$59,1))</f>
        <v>0.45303651126729999</v>
      </c>
      <c r="I9">
        <f>SUMIFS('EPA Export Aggregation'!L:L,'EPA Export Aggregation'!$A:$A,$B9,'EPA Export Aggregation'!$D:$D,$A$1)*IF($A9="CH4",About!$D$58,IF($A9="N2O",About!$D$59,1))</f>
        <v>0.46112304159259998</v>
      </c>
      <c r="J9">
        <f>SUMIFS('EPA Export Aggregation'!M:M,'EPA Export Aggregation'!$A:$A,$B9,'EPA Export Aggregation'!$D:$D,$A$1)*IF($A9="CH4",About!$D$58,IF($A9="N2O",About!$D$59,1))</f>
        <v>0.43637050109510001</v>
      </c>
      <c r="K9">
        <f>SUMIFS('EPA Export Aggregation'!N:N,'EPA Export Aggregation'!$A:$A,$B9,'EPA Export Aggregation'!$D:$D,$A$1)*IF($A9="CH4",About!$D$58,IF($A9="N2O",About!$D$59,1))</f>
        <v>0.53537756971130002</v>
      </c>
      <c r="L9">
        <f>SUMIFS('EPA Export Aggregation'!O:O,'EPA Export Aggregation'!$A:$A,$B9,'EPA Export Aggregation'!$D:$D,$A$1)*IF($A9="CH4",About!$D$58,IF($A9="N2O",About!$D$59,1))</f>
        <v>0.64698472044120003</v>
      </c>
      <c r="M9">
        <f>SUMIFS('EPA Export Aggregation'!P:P,'EPA Export Aggregation'!$A:$A,$B9,'EPA Export Aggregation'!$D:$D,$A$1)*IF($A9="CH4",About!$D$58,IF($A9="N2O",About!$D$59,1))</f>
        <v>0.48540738969750002</v>
      </c>
      <c r="N9">
        <f>SUMIFS('EPA Export Aggregation'!Q:Q,'EPA Export Aggregation'!$A:$A,$B9,'EPA Export Aggregation'!$D:$D,$A$1)*IF($A9="CH4",About!$D$58,IF($A9="N2O",About!$D$59,1))</f>
        <v>0.5859722018222</v>
      </c>
      <c r="O9">
        <f>SUMIFS('EPA Export Aggregation'!R:R,'EPA Export Aggregation'!$A:$A,$B9,'EPA Export Aggregation'!$D:$D,$A$1)*IF($A9="CH4",About!$D$58,IF($A9="N2O",About!$D$59,1))</f>
        <v>0.53172954313940002</v>
      </c>
      <c r="P9">
        <f>SUMIFS('EPA Export Aggregation'!S:S,'EPA Export Aggregation'!$A:$A,$B9,'EPA Export Aggregation'!$D:$D,$A$1)*IF($A9="CH4",About!$D$58,IF($A9="N2O",About!$D$59,1))</f>
        <v>0.46668244445489998</v>
      </c>
      <c r="Q9">
        <f>SUMIFS('EPA Export Aggregation'!T:T,'EPA Export Aggregation'!$A:$A,$B9,'EPA Export Aggregation'!$D:$D,$A$1)*IF($A9="CH4",About!$D$58,IF($A9="N2O",About!$D$59,1))</f>
        <v>0.61765372783299999</v>
      </c>
      <c r="R9">
        <f>SUMIFS('EPA Export Aggregation'!U:U,'EPA Export Aggregation'!$A:$A,$B9,'EPA Export Aggregation'!$D:$D,$A$1)*IF($A9="CH4",About!$D$58,IF($A9="N2O",About!$D$59,1))</f>
        <v>0.57384860561390005</v>
      </c>
      <c r="S9">
        <f>SUMIFS('EPA Export Aggregation'!V:V,'EPA Export Aggregation'!$A:$A,$B9,'EPA Export Aggregation'!$D:$D,$A$1)*IF($A9="CH4",About!$D$58,IF($A9="N2O",About!$D$59,1))</f>
        <v>0.37868440146549998</v>
      </c>
      <c r="T9">
        <f>SUMIFS('EPA Export Aggregation'!W:W,'EPA Export Aggregation'!$A:$A,$B9,'EPA Export Aggregation'!$D:$D,$A$1)*IF($A9="CH4",About!$D$58,IF($A9="N2O",About!$D$59,1))</f>
        <v>0.36484575892810001</v>
      </c>
      <c r="U9">
        <f>SUMIFS('EPA Export Aggregation'!X:X,'EPA Export Aggregation'!$A:$A,$B9,'EPA Export Aggregation'!$D:$D,$A$1)*IF($A9="CH4",About!$D$58,IF($A9="N2O",About!$D$59,1))</f>
        <v>0.33772189118419998</v>
      </c>
      <c r="V9">
        <f>SUMIFS('EPA Export Aggregation'!Y:Y,'EPA Export Aggregation'!$A:$A,$B9,'EPA Export Aggregation'!$D:$D,$A$1)*IF($A9="CH4",About!$D$58,IF($A9="N2O",About!$D$59,1))</f>
        <v>0.27944446520499999</v>
      </c>
      <c r="W9">
        <f>SUMIFS('EPA Export Aggregation'!Z:Z,'EPA Export Aggregation'!$A:$A,$B9,'EPA Export Aggregation'!$D:$D,$A$1)*IF($A9="CH4",About!$D$58,IF($A9="N2O",About!$D$59,1))</f>
        <v>0.31916971345970002</v>
      </c>
      <c r="X9">
        <f>SUMIFS('EPA Export Aggregation'!AA:AA,'EPA Export Aggregation'!$A:$A,$B9,'EPA Export Aggregation'!$D:$D,$A$1)*IF($A9="CH4",About!$D$58,IF($A9="N2O",About!$D$59,1))</f>
        <v>0.29113758111810001</v>
      </c>
      <c r="Y9">
        <f>SUMIFS('EPA Export Aggregation'!AB:AB,'EPA Export Aggregation'!$A:$A,$B9,'EPA Export Aggregation'!$D:$D,$A$1)*IF($A9="CH4",About!$D$58,IF($A9="N2O",About!$D$59,1))</f>
        <v>0.25295864678719998</v>
      </c>
      <c r="Z9">
        <f>SUMIFS('EPA Export Aggregation'!AC:AC,'EPA Export Aggregation'!$A:$A,$B9,'EPA Export Aggregation'!$D:$D,$A$1)*IF($A9="CH4",About!$D$58,IF($A9="N2O",About!$D$59,1))</f>
        <v>0.32866894899970001</v>
      </c>
      <c r="AA9">
        <f>SUMIFS('EPA Export Aggregation'!AD:AD,'EPA Export Aggregation'!$A:$A,$B9,'EPA Export Aggregation'!$D:$D,$A$1)*IF($A9="CH4",About!$D$58,IF($A9="N2O",About!$D$59,1))</f>
        <v>0.3432049907318</v>
      </c>
      <c r="AB9">
        <f>SUMIFS('EPA Export Aggregation'!AE:AE,'EPA Export Aggregation'!$A:$A,$B9,'EPA Export Aggregation'!$D:$D,$A$1)*IF($A9="CH4",About!$D$58,IF($A9="N2O",About!$D$59,1))</f>
        <v>0.3603587532352</v>
      </c>
      <c r="AC9">
        <f>SUMIFS('EPA Export Aggregation'!AF:AF,'EPA Export Aggregation'!$A:$A,$B9,'EPA Export Aggregation'!$D:$D,$A$1)*IF($A9="CH4",About!$D$58,IF($A9="N2O",About!$D$59,1))</f>
        <v>0.33264149474440002</v>
      </c>
      <c r="AD9">
        <f>SUMIFS('EPA Export Aggregation'!AG:AG,'EPA Export Aggregation'!$A:$A,$B9,'EPA Export Aggregation'!$D:$D,$A$1)*IF($A9="CH4",About!$D$58,IF($A9="N2O",About!$D$59,1))</f>
        <v>0.32882654193560001</v>
      </c>
      <c r="AE9">
        <f>SUMIFS('EPA Export Aggregation'!AH:AH,'EPA Export Aggregation'!$A:$A,$B9,'EPA Export Aggregation'!$D:$D,$A$1)*IF($A9="CH4",About!$D$58,IF($A9="N2O",About!$D$59,1))</f>
        <v>0.32408112278509998</v>
      </c>
      <c r="AF9">
        <f>SUMIFS('EPA Export Aggregation'!AI:AI,'EPA Export Aggregation'!$A:$A,$B9,'EPA Export Aggregation'!$D:$D,$A$1)*IF($A9="CH4",About!$D$58,IF($A9="N2O",About!$D$59,1))</f>
        <v>0.31750746583650002</v>
      </c>
      <c r="AG9">
        <f>SUMIFS('EPA Export Aggregation'!AJ:AJ,'EPA Export Aggregation'!$A:$A,$B9,'EPA Export Aggregation'!$D:$D,$A$1)*IF($A9="CH4",About!$D$58,IF($A9="N2O",About!$D$59,1))</f>
        <v>0.28568461274180001</v>
      </c>
      <c r="AH9">
        <f>SUMIFS('EPA Export Aggregation'!AK:AK,'EPA Export Aggregation'!$A:$A,$B9,'EPA Export Aggregation'!$D:$D,$A$1)*IF($A9="CH4",About!$D$58,IF($A9="N2O",About!$D$59,1))</f>
        <v>0.30679822984650001</v>
      </c>
    </row>
    <row r="10" spans="1:34" x14ac:dyDescent="0.25">
      <c r="A10" s="119" t="s">
        <v>479</v>
      </c>
      <c r="B10" s="120" t="s">
        <v>1962</v>
      </c>
      <c r="C10">
        <f>SUMIFS('EPA Export Aggregation'!F:F,'EPA Export Aggregation'!$A:$A,$B10,'EPA Export Aggregation'!$D:$D,$A$1)*IF($A10="CH4",About!$D$58,IF($A10="N2O",About!$D$59,1))</f>
        <v>1.0980151398999999E-3</v>
      </c>
      <c r="D10">
        <f>SUMIFS('EPA Export Aggregation'!G:G,'EPA Export Aggregation'!$A:$A,$B10,'EPA Export Aggregation'!$D:$D,$A$1)*IF($A10="CH4",About!$D$58,IF($A10="N2O",About!$D$59,1))</f>
        <v>1.0811813993E-3</v>
      </c>
      <c r="E10">
        <f>SUMIFS('EPA Export Aggregation'!H:H,'EPA Export Aggregation'!$A:$A,$B10,'EPA Export Aggregation'!$D:$D,$A$1)*IF($A10="CH4",About!$D$58,IF($A10="N2O",About!$D$59,1))</f>
        <v>1.0887539924000001E-3</v>
      </c>
      <c r="F10">
        <f>SUMIFS('EPA Export Aggregation'!I:I,'EPA Export Aggregation'!$A:$A,$B10,'EPA Export Aggregation'!$D:$D,$A$1)*IF($A10="CH4",About!$D$58,IF($A10="N2O",About!$D$59,1))</f>
        <v>1.0522652656999999E-3</v>
      </c>
      <c r="G10">
        <f>SUMIFS('EPA Export Aggregation'!J:J,'EPA Export Aggregation'!$A:$A,$B10,'EPA Export Aggregation'!$D:$D,$A$1)*IF($A10="CH4",About!$D$58,IF($A10="N2O",About!$D$59,1))</f>
        <v>1.0446692158000001E-3</v>
      </c>
      <c r="H10">
        <f>SUMIFS('EPA Export Aggregation'!K:K,'EPA Export Aggregation'!$A:$A,$B10,'EPA Export Aggregation'!$D:$D,$A$1)*IF($A10="CH4",About!$D$58,IF($A10="N2O",About!$D$59,1))</f>
        <v>9.6713293149999996E-4</v>
      </c>
      <c r="I10">
        <f>SUMIFS('EPA Export Aggregation'!L:L,'EPA Export Aggregation'!$A:$A,$B10,'EPA Export Aggregation'!$D:$D,$A$1)*IF($A10="CH4",About!$D$58,IF($A10="N2O",About!$D$59,1))</f>
        <v>1.118875568E-3</v>
      </c>
      <c r="J10">
        <f>SUMIFS('EPA Export Aggregation'!M:M,'EPA Export Aggregation'!$A:$A,$B10,'EPA Export Aggregation'!$D:$D,$A$1)*IF($A10="CH4",About!$D$58,IF($A10="N2O",About!$D$59,1))</f>
        <v>1.0582718340000001E-3</v>
      </c>
      <c r="K10">
        <f>SUMIFS('EPA Export Aggregation'!N:N,'EPA Export Aggregation'!$A:$A,$B10,'EPA Export Aggregation'!$D:$D,$A$1)*IF($A10="CH4",About!$D$58,IF($A10="N2O",About!$D$59,1))</f>
        <v>9.3397988789999998E-4</v>
      </c>
      <c r="L10">
        <f>SUMIFS('EPA Export Aggregation'!O:O,'EPA Export Aggregation'!$A:$A,$B10,'EPA Export Aggregation'!$D:$D,$A$1)*IF($A10="CH4",About!$D$58,IF($A10="N2O",About!$D$59,1))</f>
        <v>8.4248668079999996E-4</v>
      </c>
      <c r="M10">
        <f>SUMIFS('EPA Export Aggregation'!P:P,'EPA Export Aggregation'!$A:$A,$B10,'EPA Export Aggregation'!$D:$D,$A$1)*IF($A10="CH4",About!$D$58,IF($A10="N2O",About!$D$59,1))</f>
        <v>8.3897844189999998E-4</v>
      </c>
      <c r="N10">
        <f>SUMIFS('EPA Export Aggregation'!Q:Q,'EPA Export Aggregation'!$A:$A,$B10,'EPA Export Aggregation'!$D:$D,$A$1)*IF($A10="CH4",About!$D$58,IF($A10="N2O",About!$D$59,1))</f>
        <v>8.2212364779999996E-4</v>
      </c>
      <c r="O10">
        <f>SUMIFS('EPA Export Aggregation'!R:R,'EPA Export Aggregation'!$A:$A,$B10,'EPA Export Aggregation'!$D:$D,$A$1)*IF($A10="CH4",About!$D$58,IF($A10="N2O",About!$D$59,1))</f>
        <v>9.6271057199999997E-4</v>
      </c>
      <c r="P10">
        <f>SUMIFS('EPA Export Aggregation'!S:S,'EPA Export Aggregation'!$A:$A,$B10,'EPA Export Aggregation'!$D:$D,$A$1)*IF($A10="CH4",About!$D$58,IF($A10="N2O",About!$D$59,1))</f>
        <v>9.8639798390000007E-4</v>
      </c>
      <c r="Q10">
        <f>SUMIFS('EPA Export Aggregation'!T:T,'EPA Export Aggregation'!$A:$A,$B10,'EPA Export Aggregation'!$D:$D,$A$1)*IF($A10="CH4",About!$D$58,IF($A10="N2O",About!$D$59,1))</f>
        <v>9.5021288010000001E-4</v>
      </c>
      <c r="R10">
        <f>SUMIFS('EPA Export Aggregation'!U:U,'EPA Export Aggregation'!$A:$A,$B10,'EPA Export Aggregation'!$D:$D,$A$1)*IF($A10="CH4",About!$D$58,IF($A10="N2O",About!$D$59,1))</f>
        <v>9.6755772609999997E-4</v>
      </c>
      <c r="S10">
        <f>SUMIFS('EPA Export Aggregation'!V:V,'EPA Export Aggregation'!$A:$A,$B10,'EPA Export Aggregation'!$D:$D,$A$1)*IF($A10="CH4",About!$D$58,IF($A10="N2O",About!$D$59,1))</f>
        <v>9.731791341E-4</v>
      </c>
      <c r="T10">
        <f>SUMIFS('EPA Export Aggregation'!W:W,'EPA Export Aggregation'!$A:$A,$B10,'EPA Export Aggregation'!$D:$D,$A$1)*IF($A10="CH4",About!$D$58,IF($A10="N2O",About!$D$59,1))</f>
        <v>9.2186472479999996E-4</v>
      </c>
      <c r="U10">
        <f>SUMIFS('EPA Export Aggregation'!X:X,'EPA Export Aggregation'!$A:$A,$B10,'EPA Export Aggregation'!$D:$D,$A$1)*IF($A10="CH4",About!$D$58,IF($A10="N2O",About!$D$59,1))</f>
        <v>9.5448094609999995E-4</v>
      </c>
      <c r="V10">
        <f>SUMIFS('EPA Export Aggregation'!Y:Y,'EPA Export Aggregation'!$A:$A,$B10,'EPA Export Aggregation'!$D:$D,$A$1)*IF($A10="CH4",About!$D$58,IF($A10="N2O",About!$D$59,1))</f>
        <v>1.0001848122000001E-3</v>
      </c>
      <c r="W10">
        <f>SUMIFS('EPA Export Aggregation'!Z:Z,'EPA Export Aggregation'!$A:$A,$B10,'EPA Export Aggregation'!$D:$D,$A$1)*IF($A10="CH4",About!$D$58,IF($A10="N2O",About!$D$59,1))</f>
        <v>1.0416385929999999E-3</v>
      </c>
      <c r="X10">
        <f>SUMIFS('EPA Export Aggregation'!AA:AA,'EPA Export Aggregation'!$A:$A,$B10,'EPA Export Aggregation'!$D:$D,$A$1)*IF($A10="CH4",About!$D$58,IF($A10="N2O",About!$D$59,1))</f>
        <v>1.0279137071E-3</v>
      </c>
      <c r="Y10">
        <f>SUMIFS('EPA Export Aggregation'!AB:AB,'EPA Export Aggregation'!$A:$A,$B10,'EPA Export Aggregation'!$D:$D,$A$1)*IF($A10="CH4",About!$D$58,IF($A10="N2O",About!$D$59,1))</f>
        <v>1.0722025102000001E-3</v>
      </c>
      <c r="Z10">
        <f>SUMIFS('EPA Export Aggregation'!AC:AC,'EPA Export Aggregation'!$A:$A,$B10,'EPA Export Aggregation'!$D:$D,$A$1)*IF($A10="CH4",About!$D$58,IF($A10="N2O",About!$D$59,1))</f>
        <v>1.0510795889999999E-3</v>
      </c>
      <c r="AA10">
        <f>SUMIFS('EPA Export Aggregation'!AD:AD,'EPA Export Aggregation'!$A:$A,$B10,'EPA Export Aggregation'!$D:$D,$A$1)*IF($A10="CH4",About!$D$58,IF($A10="N2O",About!$D$59,1))</f>
        <v>1.0532920624E-3</v>
      </c>
      <c r="AB10">
        <f>SUMIFS('EPA Export Aggregation'!AE:AE,'EPA Export Aggregation'!$A:$A,$B10,'EPA Export Aggregation'!$D:$D,$A$1)*IF($A10="CH4",About!$D$58,IF($A10="N2O",About!$D$59,1))</f>
        <v>1.0753906306E-3</v>
      </c>
      <c r="AC10">
        <f>SUMIFS('EPA Export Aggregation'!AF:AF,'EPA Export Aggregation'!$A:$A,$B10,'EPA Export Aggregation'!$D:$D,$A$1)*IF($A10="CH4",About!$D$58,IF($A10="N2O",About!$D$59,1))</f>
        <v>1.4451312953000001E-3</v>
      </c>
      <c r="AD10">
        <f>SUMIFS('EPA Export Aggregation'!AG:AG,'EPA Export Aggregation'!$A:$A,$B10,'EPA Export Aggregation'!$D:$D,$A$1)*IF($A10="CH4",About!$D$58,IF($A10="N2O",About!$D$59,1))</f>
        <v>1.9795025116999998E-3</v>
      </c>
      <c r="AE10">
        <f>SUMIFS('EPA Export Aggregation'!AH:AH,'EPA Export Aggregation'!$A:$A,$B10,'EPA Export Aggregation'!$D:$D,$A$1)*IF($A10="CH4",About!$D$58,IF($A10="N2O",About!$D$59,1))</f>
        <v>2.1232197051000001E-3</v>
      </c>
      <c r="AF10">
        <f>SUMIFS('EPA Export Aggregation'!AI:AI,'EPA Export Aggregation'!$A:$A,$B10,'EPA Export Aggregation'!$D:$D,$A$1)*IF($A10="CH4",About!$D$58,IF($A10="N2O",About!$D$59,1))</f>
        <v>4.3863861390999997E-3</v>
      </c>
      <c r="AG10">
        <f>SUMIFS('EPA Export Aggregation'!AJ:AJ,'EPA Export Aggregation'!$A:$A,$B10,'EPA Export Aggregation'!$D:$D,$A$1)*IF($A10="CH4",About!$D$58,IF($A10="N2O",About!$D$59,1))</f>
        <v>7.0553240937999999E-3</v>
      </c>
      <c r="AH10">
        <f>SUMIFS('EPA Export Aggregation'!AK:AK,'EPA Export Aggregation'!$A:$A,$B10,'EPA Export Aggregation'!$D:$D,$A$1)*IF($A10="CH4",About!$D$58,IF($A10="N2O",About!$D$59,1))</f>
        <v>3.2412185308E-3</v>
      </c>
    </row>
    <row r="11" spans="1:34" x14ac:dyDescent="0.25">
      <c r="A11" s="119" t="s">
        <v>479</v>
      </c>
      <c r="B11" s="120" t="s">
        <v>1963</v>
      </c>
      <c r="C11">
        <f>SUMIFS('EPA Export Aggregation'!F:F,'EPA Export Aggregation'!$A:$A,$B11,'EPA Export Aggregation'!$D:$D,$A$1)*IF($A11="CH4",About!$D$58,IF($A11="N2O",About!$D$59,1))</f>
        <v>0.88925577991530003</v>
      </c>
      <c r="D11">
        <f>SUMIFS('EPA Export Aggregation'!G:G,'EPA Export Aggregation'!$A:$A,$B11,'EPA Export Aggregation'!$D:$D,$A$1)*IF($A11="CH4",About!$D$58,IF($A11="N2O",About!$D$59,1))</f>
        <v>0.82791092600250005</v>
      </c>
      <c r="E11">
        <f>SUMIFS('EPA Export Aggregation'!H:H,'EPA Export Aggregation'!$A:$A,$B11,'EPA Export Aggregation'!$D:$D,$A$1)*IF($A11="CH4",About!$D$58,IF($A11="N2O",About!$D$59,1))</f>
        <v>0.73491843930190004</v>
      </c>
      <c r="F11">
        <f>SUMIFS('EPA Export Aggregation'!I:I,'EPA Export Aggregation'!$A:$A,$B11,'EPA Export Aggregation'!$D:$D,$A$1)*IF($A11="CH4",About!$D$58,IF($A11="N2O",About!$D$59,1))</f>
        <v>0.53801006853269995</v>
      </c>
      <c r="G11">
        <f>SUMIFS('EPA Export Aggregation'!J:J,'EPA Export Aggregation'!$A:$A,$B11,'EPA Export Aggregation'!$D:$D,$A$1)*IF($A11="CH4",About!$D$58,IF($A11="N2O",About!$D$59,1))</f>
        <v>0.53939693305759995</v>
      </c>
      <c r="H11">
        <f>SUMIFS('EPA Export Aggregation'!K:K,'EPA Export Aggregation'!$A:$A,$B11,'EPA Export Aggregation'!$D:$D,$A$1)*IF($A11="CH4",About!$D$58,IF($A11="N2O",About!$D$59,1))</f>
        <v>0.53694585552829999</v>
      </c>
      <c r="I11">
        <f>SUMIFS('EPA Export Aggregation'!L:L,'EPA Export Aggregation'!$A:$A,$B11,'EPA Export Aggregation'!$D:$D,$A$1)*IF($A11="CH4",About!$D$58,IF($A11="N2O",About!$D$59,1))</f>
        <v>0.8397310379313</v>
      </c>
      <c r="J11">
        <f>SUMIFS('EPA Export Aggregation'!M:M,'EPA Export Aggregation'!$A:$A,$B11,'EPA Export Aggregation'!$D:$D,$A$1)*IF($A11="CH4",About!$D$58,IF($A11="N2O",About!$D$59,1))</f>
        <v>0.87619138587730006</v>
      </c>
      <c r="K11">
        <f>SUMIFS('EPA Export Aggregation'!N:N,'EPA Export Aggregation'!$A:$A,$B11,'EPA Export Aggregation'!$D:$D,$A$1)*IF($A11="CH4",About!$D$58,IF($A11="N2O",About!$D$59,1))</f>
        <v>0.87516231781389997</v>
      </c>
      <c r="L11">
        <f>SUMIFS('EPA Export Aggregation'!O:O,'EPA Export Aggregation'!$A:$A,$B11,'EPA Export Aggregation'!$D:$D,$A$1)*IF($A11="CH4",About!$D$58,IF($A11="N2O",About!$D$59,1))</f>
        <v>0.85066350757160003</v>
      </c>
      <c r="M11">
        <f>SUMIFS('EPA Export Aggregation'!P:P,'EPA Export Aggregation'!$A:$A,$B11,'EPA Export Aggregation'!$D:$D,$A$1)*IF($A11="CH4",About!$D$58,IF($A11="N2O",About!$D$59,1))</f>
        <v>0.86056066875110004</v>
      </c>
      <c r="N11">
        <f>SUMIFS('EPA Export Aggregation'!Q:Q,'EPA Export Aggregation'!$A:$A,$B11,'EPA Export Aggregation'!$D:$D,$A$1)*IF($A11="CH4",About!$D$58,IF($A11="N2O",About!$D$59,1))</f>
        <v>0.84391145480520002</v>
      </c>
      <c r="O11">
        <f>SUMIFS('EPA Export Aggregation'!R:R,'EPA Export Aggregation'!$A:$A,$B11,'EPA Export Aggregation'!$D:$D,$A$1)*IF($A11="CH4",About!$D$58,IF($A11="N2O",About!$D$59,1))</f>
        <v>1.0275502098485001</v>
      </c>
      <c r="P11">
        <f>SUMIFS('EPA Export Aggregation'!S:S,'EPA Export Aggregation'!$A:$A,$B11,'EPA Export Aggregation'!$D:$D,$A$1)*IF($A11="CH4",About!$D$58,IF($A11="N2O",About!$D$59,1))</f>
        <v>1.0837925515335001</v>
      </c>
      <c r="Q11">
        <f>SUMIFS('EPA Export Aggregation'!T:T,'EPA Export Aggregation'!$A:$A,$B11,'EPA Export Aggregation'!$D:$D,$A$1)*IF($A11="CH4",About!$D$58,IF($A11="N2O",About!$D$59,1))</f>
        <v>1.2979266812682999</v>
      </c>
      <c r="R11">
        <f>SUMIFS('EPA Export Aggregation'!U:U,'EPA Export Aggregation'!$A:$A,$B11,'EPA Export Aggregation'!$D:$D,$A$1)*IF($A11="CH4",About!$D$58,IF($A11="N2O",About!$D$59,1))</f>
        <v>1.2789208340492999</v>
      </c>
      <c r="S11">
        <f>SUMIFS('EPA Export Aggregation'!V:V,'EPA Export Aggregation'!$A:$A,$B11,'EPA Export Aggregation'!$D:$D,$A$1)*IF($A11="CH4",About!$D$58,IF($A11="N2O",About!$D$59,1))</f>
        <v>1.3856521256353</v>
      </c>
      <c r="T11">
        <f>SUMIFS('EPA Export Aggregation'!W:W,'EPA Export Aggregation'!$A:$A,$B11,'EPA Export Aggregation'!$D:$D,$A$1)*IF($A11="CH4",About!$D$58,IF($A11="N2O",About!$D$59,1))</f>
        <v>1.4717914369436</v>
      </c>
      <c r="U11">
        <f>SUMIFS('EPA Export Aggregation'!X:X,'EPA Export Aggregation'!$A:$A,$B11,'EPA Export Aggregation'!$D:$D,$A$1)*IF($A11="CH4",About!$D$58,IF($A11="N2O",About!$D$59,1))</f>
        <v>0.62859173339980001</v>
      </c>
      <c r="V11">
        <f>SUMIFS('EPA Export Aggregation'!Y:Y,'EPA Export Aggregation'!$A:$A,$B11,'EPA Export Aggregation'!$D:$D,$A$1)*IF($A11="CH4",About!$D$58,IF($A11="N2O",About!$D$59,1))</f>
        <v>0.48487384542950002</v>
      </c>
      <c r="W11">
        <f>SUMIFS('EPA Export Aggregation'!Z:Z,'EPA Export Aggregation'!$A:$A,$B11,'EPA Export Aggregation'!$D:$D,$A$1)*IF($A11="CH4",About!$D$58,IF($A11="N2O",About!$D$59,1))</f>
        <v>0.90352715449270005</v>
      </c>
      <c r="X11">
        <f>SUMIFS('EPA Export Aggregation'!AA:AA,'EPA Export Aggregation'!$A:$A,$B11,'EPA Export Aggregation'!$D:$D,$A$1)*IF($A11="CH4",About!$D$58,IF($A11="N2O",About!$D$59,1))</f>
        <v>0.91194998039740005</v>
      </c>
      <c r="Y11">
        <f>SUMIFS('EPA Export Aggregation'!AB:AB,'EPA Export Aggregation'!$A:$A,$B11,'EPA Export Aggregation'!$D:$D,$A$1)*IF($A11="CH4",About!$D$58,IF($A11="N2O",About!$D$59,1))</f>
        <v>1.2334730664782001</v>
      </c>
      <c r="Z11">
        <f>SUMIFS('EPA Export Aggregation'!AC:AC,'EPA Export Aggregation'!$A:$A,$B11,'EPA Export Aggregation'!$D:$D,$A$1)*IF($A11="CH4",About!$D$58,IF($A11="N2O",About!$D$59,1))</f>
        <v>1.1859205860024</v>
      </c>
      <c r="AA11">
        <f>SUMIFS('EPA Export Aggregation'!AD:AD,'EPA Export Aggregation'!$A:$A,$B11,'EPA Export Aggregation'!$D:$D,$A$1)*IF($A11="CH4",About!$D$58,IF($A11="N2O",About!$D$59,1))</f>
        <v>1.2804092000500999</v>
      </c>
      <c r="AB11">
        <f>SUMIFS('EPA Export Aggregation'!AE:AE,'EPA Export Aggregation'!$A:$A,$B11,'EPA Export Aggregation'!$D:$D,$A$1)*IF($A11="CH4",About!$D$58,IF($A11="N2O",About!$D$59,1))</f>
        <v>1.3650605555209001</v>
      </c>
      <c r="AC11">
        <f>SUMIFS('EPA Export Aggregation'!AF:AF,'EPA Export Aggregation'!$A:$A,$B11,'EPA Export Aggregation'!$D:$D,$A$1)*IF($A11="CH4",About!$D$58,IF($A11="N2O",About!$D$59,1))</f>
        <v>1.2451667468322001</v>
      </c>
      <c r="AD11">
        <f>SUMIFS('EPA Export Aggregation'!AG:AG,'EPA Export Aggregation'!$A:$A,$B11,'EPA Export Aggregation'!$D:$D,$A$1)*IF($A11="CH4",About!$D$58,IF($A11="N2O",About!$D$59,1))</f>
        <v>1.3769032066208999</v>
      </c>
      <c r="AE11">
        <f>SUMIFS('EPA Export Aggregation'!AH:AH,'EPA Export Aggregation'!$A:$A,$B11,'EPA Export Aggregation'!$D:$D,$A$1)*IF($A11="CH4",About!$D$58,IF($A11="N2O",About!$D$59,1))</f>
        <v>1.2856751497629</v>
      </c>
      <c r="AF11">
        <f>SUMIFS('EPA Export Aggregation'!AI:AI,'EPA Export Aggregation'!$A:$A,$B11,'EPA Export Aggregation'!$D:$D,$A$1)*IF($A11="CH4",About!$D$58,IF($A11="N2O",About!$D$59,1))</f>
        <v>1.3762179647054</v>
      </c>
      <c r="AG11">
        <f>SUMIFS('EPA Export Aggregation'!AJ:AJ,'EPA Export Aggregation'!$A:$A,$B11,'EPA Export Aggregation'!$D:$D,$A$1)*IF($A11="CH4",About!$D$58,IF($A11="N2O",About!$D$59,1))</f>
        <v>1.5347281217137001</v>
      </c>
      <c r="AH11">
        <f>SUMIFS('EPA Export Aggregation'!AK:AK,'EPA Export Aggregation'!$A:$A,$B11,'EPA Export Aggregation'!$D:$D,$A$1)*IF($A11="CH4",About!$D$58,IF($A11="N2O",About!$D$59,1))</f>
        <v>1.4691402513833001</v>
      </c>
    </row>
    <row r="12" spans="1:34" x14ac:dyDescent="0.25">
      <c r="A12" s="119" t="s">
        <v>479</v>
      </c>
      <c r="B12" s="120" t="s">
        <v>1964</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1965</v>
      </c>
      <c r="C13">
        <f>SUMIFS('EPA Export Aggregation'!F:F,'EPA Export Aggregation'!$A:$A,$B13,'EPA Export Aggregation'!$D:$D,$A$1)*IF($A13="CH4",About!$D$58,IF($A13="N2O",About!$D$59,1))</f>
        <v>0.11802693387300001</v>
      </c>
      <c r="D13">
        <f>SUMIFS('EPA Export Aggregation'!G:G,'EPA Export Aggregation'!$A:$A,$B13,'EPA Export Aggregation'!$D:$D,$A$1)*IF($A13="CH4",About!$D$58,IF($A13="N2O",About!$D$59,1))</f>
        <v>0.10631692343180001</v>
      </c>
      <c r="E13">
        <f>SUMIFS('EPA Export Aggregation'!H:H,'EPA Export Aggregation'!$A:$A,$B13,'EPA Export Aggregation'!$D:$D,$A$1)*IF($A13="CH4",About!$D$58,IF($A13="N2O",About!$D$59,1))</f>
        <v>0.10500150411630001</v>
      </c>
      <c r="F13">
        <f>SUMIFS('EPA Export Aggregation'!I:I,'EPA Export Aggregation'!$A:$A,$B13,'EPA Export Aggregation'!$D:$D,$A$1)*IF($A13="CH4",About!$D$58,IF($A13="N2O",About!$D$59,1))</f>
        <v>9.7403883205399999E-2</v>
      </c>
      <c r="G13">
        <f>SUMIFS('EPA Export Aggregation'!J:J,'EPA Export Aggregation'!$A:$A,$B13,'EPA Export Aggregation'!$D:$D,$A$1)*IF($A13="CH4",About!$D$58,IF($A13="N2O",About!$D$59,1))</f>
        <v>0.1025002356559</v>
      </c>
      <c r="H13">
        <f>SUMIFS('EPA Export Aggregation'!K:K,'EPA Export Aggregation'!$A:$A,$B13,'EPA Export Aggregation'!$D:$D,$A$1)*IF($A13="CH4",About!$D$58,IF($A13="N2O",About!$D$59,1))</f>
        <v>0.13782991085570001</v>
      </c>
      <c r="I13">
        <f>SUMIFS('EPA Export Aggregation'!L:L,'EPA Export Aggregation'!$A:$A,$B13,'EPA Export Aggregation'!$D:$D,$A$1)*IF($A13="CH4",About!$D$58,IF($A13="N2O",About!$D$59,1))</f>
        <v>0.1487258869583</v>
      </c>
      <c r="J13">
        <f>SUMIFS('EPA Export Aggregation'!M:M,'EPA Export Aggregation'!$A:$A,$B13,'EPA Export Aggregation'!$D:$D,$A$1)*IF($A13="CH4",About!$D$58,IF($A13="N2O",About!$D$59,1))</f>
        <v>0.14333662930579999</v>
      </c>
      <c r="K13">
        <f>SUMIFS('EPA Export Aggregation'!N:N,'EPA Export Aggregation'!$A:$A,$B13,'EPA Export Aggregation'!$D:$D,$A$1)*IF($A13="CH4",About!$D$58,IF($A13="N2O",About!$D$59,1))</f>
        <v>0.14588823571359999</v>
      </c>
      <c r="L13">
        <f>SUMIFS('EPA Export Aggregation'!O:O,'EPA Export Aggregation'!$A:$A,$B13,'EPA Export Aggregation'!$D:$D,$A$1)*IF($A13="CH4",About!$D$58,IF($A13="N2O",About!$D$59,1))</f>
        <v>0.16022402321449999</v>
      </c>
      <c r="M13">
        <f>SUMIFS('EPA Export Aggregation'!P:P,'EPA Export Aggregation'!$A:$A,$B13,'EPA Export Aggregation'!$D:$D,$A$1)*IF($A13="CH4",About!$D$58,IF($A13="N2O",About!$D$59,1))</f>
        <v>0.1068759195309</v>
      </c>
      <c r="N13">
        <f>SUMIFS('EPA Export Aggregation'!Q:Q,'EPA Export Aggregation'!$A:$A,$B13,'EPA Export Aggregation'!$D:$D,$A$1)*IF($A13="CH4",About!$D$58,IF($A13="N2O",About!$D$59,1))</f>
        <v>0.1111286384974</v>
      </c>
      <c r="O13">
        <f>SUMIFS('EPA Export Aggregation'!R:R,'EPA Export Aggregation'!$A:$A,$B13,'EPA Export Aggregation'!$D:$D,$A$1)*IF($A13="CH4",About!$D$58,IF($A13="N2O",About!$D$59,1))</f>
        <v>0.11706911431189999</v>
      </c>
      <c r="P13">
        <f>SUMIFS('EPA Export Aggregation'!S:S,'EPA Export Aggregation'!$A:$A,$B13,'EPA Export Aggregation'!$D:$D,$A$1)*IF($A13="CH4",About!$D$58,IF($A13="N2O",About!$D$59,1))</f>
        <v>9.0900374331600003E-2</v>
      </c>
      <c r="Q13">
        <f>SUMIFS('EPA Export Aggregation'!T:T,'EPA Export Aggregation'!$A:$A,$B13,'EPA Export Aggregation'!$D:$D,$A$1)*IF($A13="CH4",About!$D$58,IF($A13="N2O",About!$D$59,1))</f>
        <v>0.1249608632941</v>
      </c>
      <c r="R13">
        <f>SUMIFS('EPA Export Aggregation'!U:U,'EPA Export Aggregation'!$A:$A,$B13,'EPA Export Aggregation'!$D:$D,$A$1)*IF($A13="CH4",About!$D$58,IF($A13="N2O",About!$D$59,1))</f>
        <v>0.1391744237169</v>
      </c>
      <c r="S13">
        <f>SUMIFS('EPA Export Aggregation'!V:V,'EPA Export Aggregation'!$A:$A,$B13,'EPA Export Aggregation'!$D:$D,$A$1)*IF($A13="CH4",About!$D$58,IF($A13="N2O",About!$D$59,1))</f>
        <v>0.15919663274170001</v>
      </c>
      <c r="T13">
        <f>SUMIFS('EPA Export Aggregation'!W:W,'EPA Export Aggregation'!$A:$A,$B13,'EPA Export Aggregation'!$D:$D,$A$1)*IF($A13="CH4",About!$D$58,IF($A13="N2O",About!$D$59,1))</f>
        <v>0.14562223744739999</v>
      </c>
      <c r="U13">
        <f>SUMIFS('EPA Export Aggregation'!X:X,'EPA Export Aggregation'!$A:$A,$B13,'EPA Export Aggregation'!$D:$D,$A$1)*IF($A13="CH4",About!$D$58,IF($A13="N2O",About!$D$59,1))</f>
        <v>0.1235915981716</v>
      </c>
      <c r="V13">
        <f>SUMIFS('EPA Export Aggregation'!Y:Y,'EPA Export Aggregation'!$A:$A,$B13,'EPA Export Aggregation'!$D:$D,$A$1)*IF($A13="CH4",About!$D$58,IF($A13="N2O",About!$D$59,1))</f>
        <v>0.15947482104739999</v>
      </c>
      <c r="W13">
        <f>SUMIFS('EPA Export Aggregation'!Z:Z,'EPA Export Aggregation'!$A:$A,$B13,'EPA Export Aggregation'!$D:$D,$A$1)*IF($A13="CH4",About!$D$58,IF($A13="N2O",About!$D$59,1))</f>
        <v>0.19604573969979999</v>
      </c>
      <c r="X13">
        <f>SUMIFS('EPA Export Aggregation'!AA:AA,'EPA Export Aggregation'!$A:$A,$B13,'EPA Export Aggregation'!$D:$D,$A$1)*IF($A13="CH4",About!$D$58,IF($A13="N2O",About!$D$59,1))</f>
        <v>0.17985596956159999</v>
      </c>
      <c r="Y13">
        <f>SUMIFS('EPA Export Aggregation'!AB:AB,'EPA Export Aggregation'!$A:$A,$B13,'EPA Export Aggregation'!$D:$D,$A$1)*IF($A13="CH4",About!$D$58,IF($A13="N2O",About!$D$59,1))</f>
        <v>0.16555629238950001</v>
      </c>
      <c r="Z13">
        <f>SUMIFS('EPA Export Aggregation'!AC:AC,'EPA Export Aggregation'!$A:$A,$B13,'EPA Export Aggregation'!$D:$D,$A$1)*IF($A13="CH4",About!$D$58,IF($A13="N2O",About!$D$59,1))</f>
        <v>0.2017487381326</v>
      </c>
      <c r="AA13">
        <f>SUMIFS('EPA Export Aggregation'!AD:AD,'EPA Export Aggregation'!$A:$A,$B13,'EPA Export Aggregation'!$D:$D,$A$1)*IF($A13="CH4",About!$D$58,IF($A13="N2O",About!$D$59,1))</f>
        <v>0.2326598276364</v>
      </c>
      <c r="AB13">
        <f>SUMIFS('EPA Export Aggregation'!AE:AE,'EPA Export Aggregation'!$A:$A,$B13,'EPA Export Aggregation'!$D:$D,$A$1)*IF($A13="CH4",About!$D$58,IF($A13="N2O",About!$D$59,1))</f>
        <v>0.2240444374501</v>
      </c>
      <c r="AC13">
        <f>SUMIFS('EPA Export Aggregation'!AF:AF,'EPA Export Aggregation'!$A:$A,$B13,'EPA Export Aggregation'!$D:$D,$A$1)*IF($A13="CH4",About!$D$58,IF($A13="N2O",About!$D$59,1))</f>
        <v>0.1987196660012</v>
      </c>
      <c r="AD13">
        <f>SUMIFS('EPA Export Aggregation'!AG:AG,'EPA Export Aggregation'!$A:$A,$B13,'EPA Export Aggregation'!$D:$D,$A$1)*IF($A13="CH4",About!$D$58,IF($A13="N2O",About!$D$59,1))</f>
        <v>0.18091989243289999</v>
      </c>
      <c r="AE13">
        <f>SUMIFS('EPA Export Aggregation'!AH:AH,'EPA Export Aggregation'!$A:$A,$B13,'EPA Export Aggregation'!$D:$D,$A$1)*IF($A13="CH4",About!$D$58,IF($A13="N2O",About!$D$59,1))</f>
        <v>0.13443576175390001</v>
      </c>
      <c r="AF13">
        <f>SUMIFS('EPA Export Aggregation'!AI:AI,'EPA Export Aggregation'!$A:$A,$B13,'EPA Export Aggregation'!$D:$D,$A$1)*IF($A13="CH4",About!$D$58,IF($A13="N2O",About!$D$59,1))</f>
        <v>0.1536398102058</v>
      </c>
      <c r="AG13">
        <f>SUMIFS('EPA Export Aggregation'!AJ:AJ,'EPA Export Aggregation'!$A:$A,$B13,'EPA Export Aggregation'!$D:$D,$A$1)*IF($A13="CH4",About!$D$58,IF($A13="N2O",About!$D$59,1))</f>
        <v>0.1546913270834</v>
      </c>
      <c r="AH13">
        <f>SUMIFS('EPA Export Aggregation'!AK:AK,'EPA Export Aggregation'!$A:$A,$B13,'EPA Export Aggregation'!$D:$D,$A$1)*IF($A13="CH4",About!$D$58,IF($A13="N2O",About!$D$59,1))</f>
        <v>0.14610084282079999</v>
      </c>
    </row>
    <row r="14" spans="1:34" x14ac:dyDescent="0.2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2.78698584901E-2</v>
      </c>
      <c r="D16">
        <f>SUMIFS('EPA Export Aggregation'!G:G,'EPA Export Aggregation'!$A:$A,$B16,'EPA Export Aggregation'!$D:$D,$A$1)*IF($A16="CH4",About!$D$58,IF($A16="N2O",About!$D$59,1))</f>
        <v>2.7843660802999999E-2</v>
      </c>
      <c r="E16">
        <f>SUMIFS('EPA Export Aggregation'!H:H,'EPA Export Aggregation'!$A:$A,$B16,'EPA Export Aggregation'!$D:$D,$A$1)*IF($A16="CH4",About!$D$58,IF($A16="N2O",About!$D$59,1))</f>
        <v>2.76533506595E-2</v>
      </c>
      <c r="F16">
        <f>SUMIFS('EPA Export Aggregation'!I:I,'EPA Export Aggregation'!$A:$A,$B16,'EPA Export Aggregation'!$D:$D,$A$1)*IF($A16="CH4",About!$D$58,IF($A16="N2O",About!$D$59,1))</f>
        <v>2.76960549688E-2</v>
      </c>
      <c r="G16">
        <f>SUMIFS('EPA Export Aggregation'!J:J,'EPA Export Aggregation'!$A:$A,$B16,'EPA Export Aggregation'!$D:$D,$A$1)*IF($A16="CH4",About!$D$58,IF($A16="N2O",About!$D$59,1))</f>
        <v>2.7764649576699999E-2</v>
      </c>
      <c r="H16">
        <f>SUMIFS('EPA Export Aggregation'!K:K,'EPA Export Aggregation'!$A:$A,$B16,'EPA Export Aggregation'!$D:$D,$A$1)*IF($A16="CH4",About!$D$58,IF($A16="N2O",About!$D$59,1))</f>
        <v>2.7711968798699999E-2</v>
      </c>
      <c r="I16">
        <f>SUMIFS('EPA Export Aggregation'!L:L,'EPA Export Aggregation'!$A:$A,$B16,'EPA Export Aggregation'!$D:$D,$A$1)*IF($A16="CH4",About!$D$58,IF($A16="N2O",About!$D$59,1))</f>
        <v>2.77772788076E-2</v>
      </c>
      <c r="J16">
        <f>SUMIFS('EPA Export Aggregation'!M:M,'EPA Export Aggregation'!$A:$A,$B16,'EPA Export Aggregation'!$D:$D,$A$1)*IF($A16="CH4",About!$D$58,IF($A16="N2O",About!$D$59,1))</f>
        <v>2.7658400758199999E-2</v>
      </c>
      <c r="K16">
        <f>SUMIFS('EPA Export Aggregation'!N:N,'EPA Export Aggregation'!$A:$A,$B16,'EPA Export Aggregation'!$D:$D,$A$1)*IF($A16="CH4",About!$D$58,IF($A16="N2O",About!$D$59,1))</f>
        <v>2.7534048278899999E-2</v>
      </c>
      <c r="L16">
        <f>SUMIFS('EPA Export Aggregation'!O:O,'EPA Export Aggregation'!$A:$A,$B16,'EPA Export Aggregation'!$D:$D,$A$1)*IF($A16="CH4",About!$D$58,IF($A16="N2O",About!$D$59,1))</f>
        <v>2.7443960823400001E-2</v>
      </c>
      <c r="M16">
        <f>SUMIFS('EPA Export Aggregation'!P:P,'EPA Export Aggregation'!$A:$A,$B16,'EPA Export Aggregation'!$D:$D,$A$1)*IF($A16="CH4",About!$D$58,IF($A16="N2O",About!$D$59,1))</f>
        <v>2.7409756604599999E-2</v>
      </c>
      <c r="N16">
        <f>SUMIFS('EPA Export Aggregation'!Q:Q,'EPA Export Aggregation'!$A:$A,$B16,'EPA Export Aggregation'!$D:$D,$A$1)*IF($A16="CH4",About!$D$58,IF($A16="N2O",About!$D$59,1))</f>
        <v>1.6606868911400001E-2</v>
      </c>
      <c r="O16">
        <f>SUMIFS('EPA Export Aggregation'!R:R,'EPA Export Aggregation'!$A:$A,$B16,'EPA Export Aggregation'!$D:$D,$A$1)*IF($A16="CH4",About!$D$58,IF($A16="N2O",About!$D$59,1))</f>
        <v>1.9522105045800001E-2</v>
      </c>
      <c r="P16">
        <f>SUMIFS('EPA Export Aggregation'!S:S,'EPA Export Aggregation'!$A:$A,$B16,'EPA Export Aggregation'!$D:$D,$A$1)*IF($A16="CH4",About!$D$58,IF($A16="N2O",About!$D$59,1))</f>
        <v>2.5484862580599999E-2</v>
      </c>
      <c r="Q16">
        <f>SUMIFS('EPA Export Aggregation'!T:T,'EPA Export Aggregation'!$A:$A,$B16,'EPA Export Aggregation'!$D:$D,$A$1)*IF($A16="CH4",About!$D$58,IF($A16="N2O",About!$D$59,1))</f>
        <v>2.35185110526E-2</v>
      </c>
      <c r="R16">
        <f>SUMIFS('EPA Export Aggregation'!U:U,'EPA Export Aggregation'!$A:$A,$B16,'EPA Export Aggregation'!$D:$D,$A$1)*IF($A16="CH4",About!$D$58,IF($A16="N2O",About!$D$59,1))</f>
        <v>2.56513158568E-2</v>
      </c>
      <c r="S16">
        <f>SUMIFS('EPA Export Aggregation'!V:V,'EPA Export Aggregation'!$A:$A,$B16,'EPA Export Aggregation'!$D:$D,$A$1)*IF($A16="CH4",About!$D$58,IF($A16="N2O",About!$D$59,1))</f>
        <v>3.2697950467199997E-2</v>
      </c>
      <c r="T16">
        <f>SUMIFS('EPA Export Aggregation'!W:W,'EPA Export Aggregation'!$A:$A,$B16,'EPA Export Aggregation'!$D:$D,$A$1)*IF($A16="CH4",About!$D$58,IF($A16="N2O",About!$D$59,1))</f>
        <v>3.5573919014199998E-2</v>
      </c>
      <c r="U16">
        <f>SUMIFS('EPA Export Aggregation'!X:X,'EPA Export Aggregation'!$A:$A,$B16,'EPA Export Aggregation'!$D:$D,$A$1)*IF($A16="CH4",About!$D$58,IF($A16="N2O",About!$D$59,1))</f>
        <v>3.3816980743599998E-2</v>
      </c>
      <c r="V16">
        <f>SUMIFS('EPA Export Aggregation'!Y:Y,'EPA Export Aggregation'!$A:$A,$B16,'EPA Export Aggregation'!$D:$D,$A$1)*IF($A16="CH4",About!$D$58,IF($A16="N2O",About!$D$59,1))</f>
        <v>3.3080940558600003E-2</v>
      </c>
      <c r="W16">
        <f>SUMIFS('EPA Export Aggregation'!Z:Z,'EPA Export Aggregation'!$A:$A,$B16,'EPA Export Aggregation'!$D:$D,$A$1)*IF($A16="CH4",About!$D$58,IF($A16="N2O",About!$D$59,1))</f>
        <v>8.1728287547200004E-2</v>
      </c>
      <c r="X16">
        <f>SUMIFS('EPA Export Aggregation'!AA:AA,'EPA Export Aggregation'!$A:$A,$B16,'EPA Export Aggregation'!$D:$D,$A$1)*IF($A16="CH4",About!$D$58,IF($A16="N2O",About!$D$59,1))</f>
        <v>7.5545094480800004E-2</v>
      </c>
      <c r="Y16">
        <f>SUMIFS('EPA Export Aggregation'!AB:AB,'EPA Export Aggregation'!$A:$A,$B16,'EPA Export Aggregation'!$D:$D,$A$1)*IF($A16="CH4",About!$D$58,IF($A16="N2O",About!$D$59,1))</f>
        <v>7.4446068400600002E-2</v>
      </c>
      <c r="Z16">
        <f>SUMIFS('EPA Export Aggregation'!AC:AC,'EPA Export Aggregation'!$A:$A,$B16,'EPA Export Aggregation'!$D:$D,$A$1)*IF($A16="CH4",About!$D$58,IF($A16="N2O",About!$D$59,1))</f>
        <v>7.7528709962099998E-2</v>
      </c>
      <c r="AA16">
        <f>SUMIFS('EPA Export Aggregation'!AD:AD,'EPA Export Aggregation'!$A:$A,$B16,'EPA Export Aggregation'!$D:$D,$A$1)*IF($A16="CH4",About!$D$58,IF($A16="N2O",About!$D$59,1))</f>
        <v>8.2682837908199996E-2</v>
      </c>
      <c r="AB16">
        <f>SUMIFS('EPA Export Aggregation'!AE:AE,'EPA Export Aggregation'!$A:$A,$B16,'EPA Export Aggregation'!$D:$D,$A$1)*IF($A16="CH4",About!$D$58,IF($A16="N2O",About!$D$59,1))</f>
        <v>9.1140189378900005E-2</v>
      </c>
      <c r="AC16">
        <f>SUMIFS('EPA Export Aggregation'!AF:AF,'EPA Export Aggregation'!$A:$A,$B16,'EPA Export Aggregation'!$D:$D,$A$1)*IF($A16="CH4",About!$D$58,IF($A16="N2O",About!$D$59,1))</f>
        <v>8.5274460513900002E-2</v>
      </c>
      <c r="AD16">
        <f>SUMIFS('EPA Export Aggregation'!AG:AG,'EPA Export Aggregation'!$A:$A,$B16,'EPA Export Aggregation'!$D:$D,$A$1)*IF($A16="CH4",About!$D$58,IF($A16="N2O",About!$D$59,1))</f>
        <v>8.3962882185800003E-2</v>
      </c>
      <c r="AE16">
        <f>SUMIFS('EPA Export Aggregation'!AH:AH,'EPA Export Aggregation'!$A:$A,$B16,'EPA Export Aggregation'!$D:$D,$A$1)*IF($A16="CH4",About!$D$58,IF($A16="N2O",About!$D$59,1))</f>
        <v>7.5525072604999993E-2</v>
      </c>
      <c r="AF16">
        <f>SUMIFS('EPA Export Aggregation'!AI:AI,'EPA Export Aggregation'!$A:$A,$B16,'EPA Export Aggregation'!$D:$D,$A$1)*IF($A16="CH4",About!$D$58,IF($A16="N2O",About!$D$59,1))</f>
        <v>8.8845224786400001E-2</v>
      </c>
      <c r="AG16">
        <f>SUMIFS('EPA Export Aggregation'!AJ:AJ,'EPA Export Aggregation'!$A:$A,$B16,'EPA Export Aggregation'!$D:$D,$A$1)*IF($A16="CH4",About!$D$58,IF($A16="N2O",About!$D$59,1))</f>
        <v>9.1533960449100005E-2</v>
      </c>
      <c r="AH16">
        <f>SUMIFS('EPA Export Aggregation'!AK:AK,'EPA Export Aggregation'!$A:$A,$B16,'EPA Export Aggregation'!$D:$D,$A$1)*IF($A16="CH4",About!$D$58,IF($A16="N2O",About!$D$59,1))</f>
        <v>9.1687751967899994E-2</v>
      </c>
    </row>
    <row r="17" spans="1:34" x14ac:dyDescent="0.25">
      <c r="A17" s="119" t="s">
        <v>479</v>
      </c>
      <c r="B17" s="120" t="s">
        <v>1969</v>
      </c>
      <c r="C17">
        <f>SUMIFS('EPA Export Aggregation'!F:F,'EPA Export Aggregation'!$A:$A,$B17,'EPA Export Aggregation'!$D:$D,$A$1)*IF($A17="CH4",About!$D$58,IF($A17="N2O",About!$D$59,1))</f>
        <v>0.57950651432370004</v>
      </c>
      <c r="D17">
        <f>SUMIFS('EPA Export Aggregation'!G:G,'EPA Export Aggregation'!$A:$A,$B17,'EPA Export Aggregation'!$D:$D,$A$1)*IF($A17="CH4",About!$D$58,IF($A17="N2O",About!$D$59,1))</f>
        <v>0.35139686561619998</v>
      </c>
      <c r="E17">
        <f>SUMIFS('EPA Export Aggregation'!H:H,'EPA Export Aggregation'!$A:$A,$B17,'EPA Export Aggregation'!$D:$D,$A$1)*IF($A17="CH4",About!$D$58,IF($A17="N2O",About!$D$59,1))</f>
        <v>0.35021075657739997</v>
      </c>
      <c r="F17">
        <f>SUMIFS('EPA Export Aggregation'!I:I,'EPA Export Aggregation'!$A:$A,$B17,'EPA Export Aggregation'!$D:$D,$A$1)*IF($A17="CH4",About!$D$58,IF($A17="N2O",About!$D$59,1))</f>
        <v>0.47262491893809999</v>
      </c>
      <c r="G17">
        <f>SUMIFS('EPA Export Aggregation'!J:J,'EPA Export Aggregation'!$A:$A,$B17,'EPA Export Aggregation'!$D:$D,$A$1)*IF($A17="CH4",About!$D$58,IF($A17="N2O",About!$D$59,1))</f>
        <v>0.53087317486230001</v>
      </c>
      <c r="H17">
        <f>SUMIFS('EPA Export Aggregation'!K:K,'EPA Export Aggregation'!$A:$A,$B17,'EPA Export Aggregation'!$D:$D,$A$1)*IF($A17="CH4",About!$D$58,IF($A17="N2O",About!$D$59,1))</f>
        <v>0.46246802452750002</v>
      </c>
      <c r="I17">
        <f>SUMIFS('EPA Export Aggregation'!L:L,'EPA Export Aggregation'!$A:$A,$B17,'EPA Export Aggregation'!$D:$D,$A$1)*IF($A17="CH4",About!$D$58,IF($A17="N2O",About!$D$59,1))</f>
        <v>0.47316844382779999</v>
      </c>
      <c r="J17">
        <f>SUMIFS('EPA Export Aggregation'!M:M,'EPA Export Aggregation'!$A:$A,$B17,'EPA Export Aggregation'!$D:$D,$A$1)*IF($A17="CH4",About!$D$58,IF($A17="N2O",About!$D$59,1))</f>
        <v>0.62121029430910002</v>
      </c>
      <c r="K17">
        <f>SUMIFS('EPA Export Aggregation'!N:N,'EPA Export Aggregation'!$A:$A,$B17,'EPA Export Aggregation'!$D:$D,$A$1)*IF($A17="CH4",About!$D$58,IF($A17="N2O",About!$D$59,1))</f>
        <v>0.64992742374000001</v>
      </c>
      <c r="L17">
        <f>SUMIFS('EPA Export Aggregation'!O:O,'EPA Export Aggregation'!$A:$A,$B17,'EPA Export Aggregation'!$D:$D,$A$1)*IF($A17="CH4",About!$D$58,IF($A17="N2O",About!$D$59,1))</f>
        <v>0.63643120197290004</v>
      </c>
      <c r="M17">
        <f>SUMIFS('EPA Export Aggregation'!P:P,'EPA Export Aggregation'!$A:$A,$B17,'EPA Export Aggregation'!$D:$D,$A$1)*IF($A17="CH4",About!$D$58,IF($A17="N2O",About!$D$59,1))</f>
        <v>0.61879839199200004</v>
      </c>
      <c r="N17">
        <f>SUMIFS('EPA Export Aggregation'!Q:Q,'EPA Export Aggregation'!$A:$A,$B17,'EPA Export Aggregation'!$D:$D,$A$1)*IF($A17="CH4",About!$D$58,IF($A17="N2O",About!$D$59,1))</f>
        <v>0.69268497140639995</v>
      </c>
      <c r="O17">
        <f>SUMIFS('EPA Export Aggregation'!R:R,'EPA Export Aggregation'!$A:$A,$B17,'EPA Export Aggregation'!$D:$D,$A$1)*IF($A17="CH4",About!$D$58,IF($A17="N2O",About!$D$59,1))</f>
        <v>0.72531115678909996</v>
      </c>
      <c r="P17">
        <f>SUMIFS('EPA Export Aggregation'!S:S,'EPA Export Aggregation'!$A:$A,$B17,'EPA Export Aggregation'!$D:$D,$A$1)*IF($A17="CH4",About!$D$58,IF($A17="N2O",About!$D$59,1))</f>
        <v>0.67698713426169999</v>
      </c>
      <c r="Q17">
        <f>SUMIFS('EPA Export Aggregation'!T:T,'EPA Export Aggregation'!$A:$A,$B17,'EPA Export Aggregation'!$D:$D,$A$1)*IF($A17="CH4",About!$D$58,IF($A17="N2O",About!$D$59,1))</f>
        <v>0.60346729103920005</v>
      </c>
      <c r="R17">
        <f>SUMIFS('EPA Export Aggregation'!U:U,'EPA Export Aggregation'!$A:$A,$B17,'EPA Export Aggregation'!$D:$D,$A$1)*IF($A17="CH4",About!$D$58,IF($A17="N2O",About!$D$59,1))</f>
        <v>0.59167648718510002</v>
      </c>
      <c r="S17">
        <f>SUMIFS('EPA Export Aggregation'!V:V,'EPA Export Aggregation'!$A:$A,$B17,'EPA Export Aggregation'!$D:$D,$A$1)*IF($A17="CH4",About!$D$58,IF($A17="N2O",About!$D$59,1))</f>
        <v>0.55759729170009997</v>
      </c>
      <c r="T17">
        <f>SUMIFS('EPA Export Aggregation'!W:W,'EPA Export Aggregation'!$A:$A,$B17,'EPA Export Aggregation'!$D:$D,$A$1)*IF($A17="CH4",About!$D$58,IF($A17="N2O",About!$D$59,1))</f>
        <v>0.54649151943420005</v>
      </c>
      <c r="U17">
        <f>SUMIFS('EPA Export Aggregation'!X:X,'EPA Export Aggregation'!$A:$A,$B17,'EPA Export Aggregation'!$D:$D,$A$1)*IF($A17="CH4",About!$D$58,IF($A17="N2O",About!$D$59,1))</f>
        <v>0.52898733995500002</v>
      </c>
      <c r="V17">
        <f>SUMIFS('EPA Export Aggregation'!Y:Y,'EPA Export Aggregation'!$A:$A,$B17,'EPA Export Aggregation'!$D:$D,$A$1)*IF($A17="CH4",About!$D$58,IF($A17="N2O",About!$D$59,1))</f>
        <v>0.61891164815699995</v>
      </c>
      <c r="W17">
        <f>SUMIFS('EPA Export Aggregation'!Z:Z,'EPA Export Aggregation'!$A:$A,$B17,'EPA Export Aggregation'!$D:$D,$A$1)*IF($A17="CH4",About!$D$58,IF($A17="N2O",About!$D$59,1))</f>
        <v>0.59469244102569996</v>
      </c>
      <c r="X17">
        <f>SUMIFS('EPA Export Aggregation'!AA:AA,'EPA Export Aggregation'!$A:$A,$B17,'EPA Export Aggregation'!$D:$D,$A$1)*IF($A17="CH4",About!$D$58,IF($A17="N2O",About!$D$59,1))</f>
        <v>0.64007662648630004</v>
      </c>
      <c r="Y17">
        <f>SUMIFS('EPA Export Aggregation'!AB:AB,'EPA Export Aggregation'!$A:$A,$B17,'EPA Export Aggregation'!$D:$D,$A$1)*IF($A17="CH4",About!$D$58,IF($A17="N2O",About!$D$59,1))</f>
        <v>0.6624175696415</v>
      </c>
      <c r="Z17">
        <f>SUMIFS('EPA Export Aggregation'!AC:AC,'EPA Export Aggregation'!$A:$A,$B17,'EPA Export Aggregation'!$D:$D,$A$1)*IF($A17="CH4",About!$D$58,IF($A17="N2O",About!$D$59,1))</f>
        <v>0.69638406873619996</v>
      </c>
      <c r="AA17">
        <f>SUMIFS('EPA Export Aggregation'!AD:AD,'EPA Export Aggregation'!$A:$A,$B17,'EPA Export Aggregation'!$D:$D,$A$1)*IF($A17="CH4",About!$D$58,IF($A17="N2O",About!$D$59,1))</f>
        <v>0.71098766162089999</v>
      </c>
      <c r="AB17">
        <f>SUMIFS('EPA Export Aggregation'!AE:AE,'EPA Export Aggregation'!$A:$A,$B17,'EPA Export Aggregation'!$D:$D,$A$1)*IF($A17="CH4",About!$D$58,IF($A17="N2O",About!$D$59,1))</f>
        <v>0.62456346694830001</v>
      </c>
      <c r="AC17">
        <f>SUMIFS('EPA Export Aggregation'!AF:AF,'EPA Export Aggregation'!$A:$A,$B17,'EPA Export Aggregation'!$D:$D,$A$1)*IF($A17="CH4",About!$D$58,IF($A17="N2O",About!$D$59,1))</f>
        <v>0.66104847372179998</v>
      </c>
      <c r="AD17">
        <f>SUMIFS('EPA Export Aggregation'!AG:AG,'EPA Export Aggregation'!$A:$A,$B17,'EPA Export Aggregation'!$D:$D,$A$1)*IF($A17="CH4",About!$D$58,IF($A17="N2O",About!$D$59,1))</f>
        <v>0.62861483382369998</v>
      </c>
      <c r="AE17">
        <f>SUMIFS('EPA Export Aggregation'!AH:AH,'EPA Export Aggregation'!$A:$A,$B17,'EPA Export Aggregation'!$D:$D,$A$1)*IF($A17="CH4",About!$D$58,IF($A17="N2O",About!$D$59,1))</f>
        <v>0.61424652147350001</v>
      </c>
      <c r="AF17">
        <f>SUMIFS('EPA Export Aggregation'!AI:AI,'EPA Export Aggregation'!$A:$A,$B17,'EPA Export Aggregation'!$D:$D,$A$1)*IF($A17="CH4",About!$D$58,IF($A17="N2O",About!$D$59,1))</f>
        <v>0.62616165542220004</v>
      </c>
      <c r="AG17">
        <f>SUMIFS('EPA Export Aggregation'!AJ:AJ,'EPA Export Aggregation'!$A:$A,$B17,'EPA Export Aggregation'!$D:$D,$A$1)*IF($A17="CH4",About!$D$58,IF($A17="N2O",About!$D$59,1))</f>
        <v>0.60201440405079998</v>
      </c>
      <c r="AH17">
        <f>SUMIFS('EPA Export Aggregation'!AK:AK,'EPA Export Aggregation'!$A:$A,$B17,'EPA Export Aggregation'!$D:$D,$A$1)*IF($A17="CH4",About!$D$58,IF($A17="N2O",About!$D$59,1))</f>
        <v>0.60834285341950001</v>
      </c>
    </row>
    <row r="18" spans="1:34" x14ac:dyDescent="0.25">
      <c r="A18" s="119" t="s">
        <v>479</v>
      </c>
      <c r="B18" s="120" t="s">
        <v>1970</v>
      </c>
      <c r="C18" s="121">
        <f>SUMIFS('EPA Export Aggregation'!F:F,'EPA Export Aggregation'!$A:$A,$B18,'EPA Export Aggregation'!$D:$D,$A$1)*IF($A18="CH4",About!$D$58,IF($A18="N2O",About!$D$59,1))</f>
        <v>6.0440929709899997E-2</v>
      </c>
      <c r="D18" s="121">
        <f>SUMIFS('EPA Export Aggregation'!G:G,'EPA Export Aggregation'!$A:$A,$B18,'EPA Export Aggregation'!$D:$D,$A$1)*IF($A18="CH4",About!$D$58,IF($A18="N2O",About!$D$59,1))</f>
        <v>5.3353382280999999E-2</v>
      </c>
      <c r="E18" s="121">
        <f>SUMIFS('EPA Export Aggregation'!H:H,'EPA Export Aggregation'!$A:$A,$B18,'EPA Export Aggregation'!$D:$D,$A$1)*IF($A18="CH4",About!$D$58,IF($A18="N2O",About!$D$59,1))</f>
        <v>5.8137566137600002E-2</v>
      </c>
      <c r="F18" s="121">
        <f>SUMIFS('EPA Export Aggregation'!I:I,'EPA Export Aggregation'!$A:$A,$B18,'EPA Export Aggregation'!$D:$D,$A$1)*IF($A18="CH4",About!$D$58,IF($A18="N2O",About!$D$59,1))</f>
        <v>5.7523603213300002E-2</v>
      </c>
      <c r="G18" s="121">
        <f>SUMIFS('EPA Export Aggregation'!J:J,'EPA Export Aggregation'!$A:$A,$B18,'EPA Export Aggregation'!$D:$D,$A$1)*IF($A18="CH4",About!$D$58,IF($A18="N2O",About!$D$59,1))</f>
        <v>6.1986641393600002E-2</v>
      </c>
      <c r="H18" s="121">
        <f>SUMIFS('EPA Export Aggregation'!K:K,'EPA Export Aggregation'!$A:$A,$B18,'EPA Export Aggregation'!$D:$D,$A$1)*IF($A18="CH4",About!$D$58,IF($A18="N2O",About!$D$59,1))</f>
        <v>6.1986641393600002E-2</v>
      </c>
      <c r="I18" s="121">
        <f>SUMIFS('EPA Export Aggregation'!L:L,'EPA Export Aggregation'!$A:$A,$B18,'EPA Export Aggregation'!$D:$D,$A$1)*IF($A18="CH4",About!$D$58,IF($A18="N2O",About!$D$59,1))</f>
        <v>5.5417305184800002E-2</v>
      </c>
      <c r="J18" s="121">
        <f>SUMIFS('EPA Export Aggregation'!M:M,'EPA Export Aggregation'!$A:$A,$B18,'EPA Export Aggregation'!$D:$D,$A$1)*IF($A18="CH4",About!$D$58,IF($A18="N2O",About!$D$59,1))</f>
        <v>6.14102019313E-2</v>
      </c>
      <c r="K18" s="121">
        <f>SUMIFS('EPA Export Aggregation'!N:N,'EPA Export Aggregation'!$A:$A,$B18,'EPA Export Aggregation'!$D:$D,$A$1)*IF($A18="CH4",About!$D$58,IF($A18="N2O",About!$D$59,1))</f>
        <v>6.2468865979399997E-2</v>
      </c>
      <c r="L18" s="121">
        <f>SUMIFS('EPA Export Aggregation'!O:O,'EPA Export Aggregation'!$A:$A,$B18,'EPA Export Aggregation'!$D:$D,$A$1)*IF($A18="CH4",About!$D$58,IF($A18="N2O",About!$D$59,1))</f>
        <v>6.0548292554899998E-2</v>
      </c>
      <c r="M18" s="121">
        <f>SUMIFS('EPA Export Aggregation'!P:P,'EPA Export Aggregation'!$A:$A,$B18,'EPA Export Aggregation'!$D:$D,$A$1)*IF($A18="CH4",About!$D$58,IF($A18="N2O",About!$D$59,1))</f>
        <v>6.0661461581700001E-2</v>
      </c>
      <c r="N18" s="121">
        <f>SUMIFS('EPA Export Aggregation'!Q:Q,'EPA Export Aggregation'!$A:$A,$B18,'EPA Export Aggregation'!$D:$D,$A$1)*IF($A18="CH4",About!$D$58,IF($A18="N2O",About!$D$59,1))</f>
        <v>5.6073966773E-2</v>
      </c>
      <c r="O18" s="121">
        <f>SUMIFS('EPA Export Aggregation'!R:R,'EPA Export Aggregation'!$A:$A,$B18,'EPA Export Aggregation'!$D:$D,$A$1)*IF($A18="CH4",About!$D$58,IF($A18="N2O",About!$D$59,1))</f>
        <v>6.0283045658899997E-2</v>
      </c>
      <c r="P18" s="121">
        <f>SUMIFS('EPA Export Aggregation'!S:S,'EPA Export Aggregation'!$A:$A,$B18,'EPA Export Aggregation'!$D:$D,$A$1)*IF($A18="CH4",About!$D$58,IF($A18="N2O",About!$D$59,1))</f>
        <v>5.89832610043E-2</v>
      </c>
      <c r="Q18" s="121">
        <f>SUMIFS('EPA Export Aggregation'!T:T,'EPA Export Aggregation'!$A:$A,$B18,'EPA Export Aggregation'!$D:$D,$A$1)*IF($A18="CH4",About!$D$58,IF($A18="N2O",About!$D$59,1))</f>
        <v>6.5345155161499996E-2</v>
      </c>
      <c r="R18" s="121">
        <f>SUMIFS('EPA Export Aggregation'!U:U,'EPA Export Aggregation'!$A:$A,$B18,'EPA Export Aggregation'!$D:$D,$A$1)*IF($A18="CH4",About!$D$58,IF($A18="N2O",About!$D$59,1))</f>
        <v>5.9104377104400002E-2</v>
      </c>
      <c r="S18" s="121">
        <f>SUMIFS('EPA Export Aggregation'!V:V,'EPA Export Aggregation'!$A:$A,$B18,'EPA Export Aggregation'!$D:$D,$A$1)*IF($A18="CH4",About!$D$58,IF($A18="N2O",About!$D$59,1))</f>
        <v>5.6486153846200003E-2</v>
      </c>
      <c r="T18" s="121">
        <f>SUMIFS('EPA Export Aggregation'!W:W,'EPA Export Aggregation'!$A:$A,$B18,'EPA Export Aggregation'!$D:$D,$A$1)*IF($A18="CH4",About!$D$58,IF($A18="N2O",About!$D$59,1))</f>
        <v>5.9372307692300001E-2</v>
      </c>
      <c r="U18" s="121">
        <f>SUMIFS('EPA Export Aggregation'!X:X,'EPA Export Aggregation'!$A:$A,$B18,'EPA Export Aggregation'!$D:$D,$A$1)*IF($A18="CH4",About!$D$58,IF($A18="N2O",About!$D$59,1))</f>
        <v>5.5661538461500001E-2</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0.28389286216850002</v>
      </c>
      <c r="D19" s="121">
        <f>SUMIFS('EPA Export Aggregation'!G:G,'EPA Export Aggregation'!$A:$A,$B19,'EPA Export Aggregation'!$D:$D,$A$1)*IF($A19="CH4",About!$D$58,IF($A19="N2O",About!$D$59,1))</f>
        <v>0.28604258344310002</v>
      </c>
      <c r="E19" s="121">
        <f>SUMIFS('EPA Export Aggregation'!H:H,'EPA Export Aggregation'!$A:$A,$B19,'EPA Export Aggregation'!$D:$D,$A$1)*IF($A19="CH4",About!$D$58,IF($A19="N2O",About!$D$59,1))</f>
        <v>0.27169227832260001</v>
      </c>
      <c r="F19" s="121">
        <f>SUMIFS('EPA Export Aggregation'!I:I,'EPA Export Aggregation'!$A:$A,$B19,'EPA Export Aggregation'!$D:$D,$A$1)*IF($A19="CH4",About!$D$58,IF($A19="N2O",About!$D$59,1))</f>
        <v>0.43399167070790001</v>
      </c>
      <c r="G19" s="121">
        <f>SUMIFS('EPA Export Aggregation'!J:J,'EPA Export Aggregation'!$A:$A,$B19,'EPA Export Aggregation'!$D:$D,$A$1)*IF($A19="CH4",About!$D$58,IF($A19="N2O",About!$D$59,1))</f>
        <v>0.38080436901480003</v>
      </c>
      <c r="H19" s="121">
        <f>SUMIFS('EPA Export Aggregation'!K:K,'EPA Export Aggregation'!$A:$A,$B19,'EPA Export Aggregation'!$D:$D,$A$1)*IF($A19="CH4",About!$D$58,IF($A19="N2O",About!$D$59,1))</f>
        <v>0.38957981854160001</v>
      </c>
      <c r="I19" s="121">
        <f>SUMIFS('EPA Export Aggregation'!L:L,'EPA Export Aggregation'!$A:$A,$B19,'EPA Export Aggregation'!$D:$D,$A$1)*IF($A19="CH4",About!$D$58,IF($A19="N2O",About!$D$59,1))</f>
        <v>0.41678258309040001</v>
      </c>
      <c r="J19" s="121">
        <f>SUMIFS('EPA Export Aggregation'!M:M,'EPA Export Aggregation'!$A:$A,$B19,'EPA Export Aggregation'!$D:$D,$A$1)*IF($A19="CH4",About!$D$58,IF($A19="N2O",About!$D$59,1))</f>
        <v>0.42120663553650001</v>
      </c>
      <c r="K19" s="121">
        <f>SUMIFS('EPA Export Aggregation'!N:N,'EPA Export Aggregation'!$A:$A,$B19,'EPA Export Aggregation'!$D:$D,$A$1)*IF($A19="CH4",About!$D$58,IF($A19="N2O",About!$D$59,1))</f>
        <v>0.42667371837669998</v>
      </c>
      <c r="L19" s="121">
        <f>SUMIFS('EPA Export Aggregation'!O:O,'EPA Export Aggregation'!$A:$A,$B19,'EPA Export Aggregation'!$D:$D,$A$1)*IF($A19="CH4",About!$D$58,IF($A19="N2O",About!$D$59,1))</f>
        <v>0.44265098501860001</v>
      </c>
      <c r="M19" s="121">
        <f>SUMIFS('EPA Export Aggregation'!P:P,'EPA Export Aggregation'!$A:$A,$B19,'EPA Export Aggregation'!$D:$D,$A$1)*IF($A19="CH4",About!$D$58,IF($A19="N2O",About!$D$59,1))</f>
        <v>0.44833437616760002</v>
      </c>
      <c r="N19" s="121">
        <f>SUMIFS('EPA Export Aggregation'!Q:Q,'EPA Export Aggregation'!$A:$A,$B19,'EPA Export Aggregation'!$D:$D,$A$1)*IF($A19="CH4",About!$D$58,IF($A19="N2O",About!$D$59,1))</f>
        <v>0.35841313781560002</v>
      </c>
      <c r="O19" s="121">
        <f>SUMIFS('EPA Export Aggregation'!R:R,'EPA Export Aggregation'!$A:$A,$B19,'EPA Export Aggregation'!$D:$D,$A$1)*IF($A19="CH4",About!$D$58,IF($A19="N2O",About!$D$59,1))</f>
        <v>0.3857196181384</v>
      </c>
      <c r="P19" s="121">
        <f>SUMIFS('EPA Export Aggregation'!S:S,'EPA Export Aggregation'!$A:$A,$B19,'EPA Export Aggregation'!$D:$D,$A$1)*IF($A19="CH4",About!$D$58,IF($A19="N2O",About!$D$59,1))</f>
        <v>0.38918804944770002</v>
      </c>
      <c r="Q19" s="121">
        <f>SUMIFS('EPA Export Aggregation'!T:T,'EPA Export Aggregation'!$A:$A,$B19,'EPA Export Aggregation'!$D:$D,$A$1)*IF($A19="CH4",About!$D$58,IF($A19="N2O",About!$D$59,1))</f>
        <v>0.3819472905836</v>
      </c>
      <c r="R19" s="121">
        <f>SUMIFS('EPA Export Aggregation'!U:U,'EPA Export Aggregation'!$A:$A,$B19,'EPA Export Aggregation'!$D:$D,$A$1)*IF($A19="CH4",About!$D$58,IF($A19="N2O",About!$D$59,1))</f>
        <v>0.41303594935769999</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1.9190857675641999</v>
      </c>
      <c r="D20">
        <f>SUMIFS('EPA Export Aggregation'!G:G,'EPA Export Aggregation'!$A:$A,$B20,'EPA Export Aggregation'!$D:$D,$A$1)*IF($A20="CH4",About!$D$58,IF($A20="N2O",About!$D$59,1))</f>
        <v>1.7294167007126999</v>
      </c>
      <c r="E20">
        <f>SUMIFS('EPA Export Aggregation'!H:H,'EPA Export Aggregation'!$A:$A,$B20,'EPA Export Aggregation'!$D:$D,$A$1)*IF($A20="CH4",About!$D$58,IF($A20="N2O",About!$D$59,1))</f>
        <v>1.6127956014150999</v>
      </c>
      <c r="F20">
        <f>SUMIFS('EPA Export Aggregation'!I:I,'EPA Export Aggregation'!$A:$A,$B20,'EPA Export Aggregation'!$D:$D,$A$1)*IF($A20="CH4",About!$D$58,IF($A20="N2O",About!$D$59,1))</f>
        <v>1.5551624422004999</v>
      </c>
      <c r="G20">
        <f>SUMIFS('EPA Export Aggregation'!J:J,'EPA Export Aggregation'!$A:$A,$B20,'EPA Export Aggregation'!$D:$D,$A$1)*IF($A20="CH4",About!$D$58,IF($A20="N2O",About!$D$59,1))</f>
        <v>1.5667424666134</v>
      </c>
      <c r="H20">
        <f>SUMIFS('EPA Export Aggregation'!K:K,'EPA Export Aggregation'!$A:$A,$B20,'EPA Export Aggregation'!$D:$D,$A$1)*IF($A20="CH4",About!$D$58,IF($A20="N2O",About!$D$59,1))</f>
        <v>1.6336395703983</v>
      </c>
      <c r="I20">
        <f>SUMIFS('EPA Export Aggregation'!L:L,'EPA Export Aggregation'!$A:$A,$B20,'EPA Export Aggregation'!$D:$D,$A$1)*IF($A20="CH4",About!$D$58,IF($A20="N2O",About!$D$59,1))</f>
        <v>1.6130688082972999</v>
      </c>
      <c r="J20">
        <f>SUMIFS('EPA Export Aggregation'!M:M,'EPA Export Aggregation'!$A:$A,$B20,'EPA Export Aggregation'!$D:$D,$A$1)*IF($A20="CH4",About!$D$58,IF($A20="N2O",About!$D$59,1))</f>
        <v>1.6448420427532</v>
      </c>
      <c r="K20">
        <f>SUMIFS('EPA Export Aggregation'!N:N,'EPA Export Aggregation'!$A:$A,$B20,'EPA Export Aggregation'!$D:$D,$A$1)*IF($A20="CH4",About!$D$58,IF($A20="N2O",About!$D$59,1))</f>
        <v>1.4715766491990001</v>
      </c>
      <c r="L20">
        <f>SUMIFS('EPA Export Aggregation'!O:O,'EPA Export Aggregation'!$A:$A,$B20,'EPA Export Aggregation'!$D:$D,$A$1)*IF($A20="CH4",About!$D$58,IF($A20="N2O",About!$D$59,1))</f>
        <v>1.2556553579909999</v>
      </c>
      <c r="M20">
        <f>SUMIFS('EPA Export Aggregation'!P:P,'EPA Export Aggregation'!$A:$A,$B20,'EPA Export Aggregation'!$D:$D,$A$1)*IF($A20="CH4",About!$D$58,IF($A20="N2O",About!$D$59,1))</f>
        <v>1.3984911259874999</v>
      </c>
      <c r="N20">
        <f>SUMIFS('EPA Export Aggregation'!Q:Q,'EPA Export Aggregation'!$A:$A,$B20,'EPA Export Aggregation'!$D:$D,$A$1)*IF($A20="CH4",About!$D$58,IF($A20="N2O",About!$D$59,1))</f>
        <v>1.3328182231854</v>
      </c>
      <c r="O20">
        <f>SUMIFS('EPA Export Aggregation'!R:R,'EPA Export Aggregation'!$A:$A,$B20,'EPA Export Aggregation'!$D:$D,$A$1)*IF($A20="CH4",About!$D$58,IF($A20="N2O",About!$D$59,1))</f>
        <v>1.3352359996031999</v>
      </c>
      <c r="P20">
        <f>SUMIFS('EPA Export Aggregation'!S:S,'EPA Export Aggregation'!$A:$A,$B20,'EPA Export Aggregation'!$D:$D,$A$1)*IF($A20="CH4",About!$D$58,IF($A20="N2O",About!$D$59,1))</f>
        <v>1.0380098861136</v>
      </c>
      <c r="Q20">
        <f>SUMIFS('EPA Export Aggregation'!T:T,'EPA Export Aggregation'!$A:$A,$B20,'EPA Export Aggregation'!$D:$D,$A$1)*IF($A20="CH4",About!$D$58,IF($A20="N2O",About!$D$59,1))</f>
        <v>1.2609139010724999</v>
      </c>
      <c r="R20">
        <f>SUMIFS('EPA Export Aggregation'!U:U,'EPA Export Aggregation'!$A:$A,$B20,'EPA Export Aggregation'!$D:$D,$A$1)*IF($A20="CH4",About!$D$58,IF($A20="N2O",About!$D$59,1))</f>
        <v>1.0793685225802001</v>
      </c>
      <c r="S20">
        <f>SUMIFS('EPA Export Aggregation'!V:V,'EPA Export Aggregation'!$A:$A,$B20,'EPA Export Aggregation'!$D:$D,$A$1)*IF($A20="CH4",About!$D$58,IF($A20="N2O",About!$D$59,1))</f>
        <v>1.0470389644277001</v>
      </c>
      <c r="T20">
        <f>SUMIFS('EPA Export Aggregation'!W:W,'EPA Export Aggregation'!$A:$A,$B20,'EPA Export Aggregation'!$D:$D,$A$1)*IF($A20="CH4",About!$D$58,IF($A20="N2O",About!$D$59,1))</f>
        <v>1.0235251013758</v>
      </c>
      <c r="U20">
        <f>SUMIFS('EPA Export Aggregation'!X:X,'EPA Export Aggregation'!$A:$A,$B20,'EPA Export Aggregation'!$D:$D,$A$1)*IF($A20="CH4",About!$D$58,IF($A20="N2O",About!$D$59,1))</f>
        <v>0.98843165842290004</v>
      </c>
      <c r="V20">
        <f>SUMIFS('EPA Export Aggregation'!Y:Y,'EPA Export Aggregation'!$A:$A,$B20,'EPA Export Aggregation'!$D:$D,$A$1)*IF($A20="CH4",About!$D$58,IF($A20="N2O",About!$D$59,1))</f>
        <v>0.58641797103689997</v>
      </c>
      <c r="W20">
        <f>SUMIFS('EPA Export Aggregation'!Z:Z,'EPA Export Aggregation'!$A:$A,$B20,'EPA Export Aggregation'!$D:$D,$A$1)*IF($A20="CH4",About!$D$58,IF($A20="N2O",About!$D$59,1))</f>
        <v>0.16940138903929999</v>
      </c>
      <c r="X20">
        <f>SUMIFS('EPA Export Aggregation'!AA:AA,'EPA Export Aggregation'!$A:$A,$B20,'EPA Export Aggregation'!$D:$D,$A$1)*IF($A20="CH4",About!$D$58,IF($A20="N2O",About!$D$59,1))</f>
        <v>4.6679308624712004</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8.4193421500000003E-4</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7.1653847934099998E-2</v>
      </c>
      <c r="D23">
        <f>SUMIFS('EPA Export Aggregation'!G:G,'EPA Export Aggregation'!$A:$A,$B23,'EPA Export Aggregation'!$D:$D,$A$1)*IF($A23="CH4",About!$D$58,IF($A23="N2O",About!$D$59,1))</f>
        <v>6.6344531691199998E-2</v>
      </c>
      <c r="E23">
        <f>SUMIFS('EPA Export Aggregation'!H:H,'EPA Export Aggregation'!$A:$A,$B23,'EPA Export Aggregation'!$D:$D,$A$1)*IF($A23="CH4",About!$D$58,IF($A23="N2O",About!$D$59,1))</f>
        <v>7.3023423379699998E-2</v>
      </c>
      <c r="F23">
        <f>SUMIFS('EPA Export Aggregation'!I:I,'EPA Export Aggregation'!$A:$A,$B23,'EPA Export Aggregation'!$D:$D,$A$1)*IF($A23="CH4",About!$D$58,IF($A23="N2O",About!$D$59,1))</f>
        <v>8.6079191959900006E-2</v>
      </c>
      <c r="G23">
        <f>SUMIFS('EPA Export Aggregation'!J:J,'EPA Export Aggregation'!$A:$A,$B23,'EPA Export Aggregation'!$D:$D,$A$1)*IF($A23="CH4",About!$D$58,IF($A23="N2O",About!$D$59,1))</f>
        <v>8.0263126352000003E-2</v>
      </c>
      <c r="H23">
        <f>SUMIFS('EPA Export Aggregation'!K:K,'EPA Export Aggregation'!$A:$A,$B23,'EPA Export Aggregation'!$D:$D,$A$1)*IF($A23="CH4",About!$D$58,IF($A23="N2O",About!$D$59,1))</f>
        <v>7.9803859493000007E-2</v>
      </c>
      <c r="I23">
        <f>SUMIFS('EPA Export Aggregation'!L:L,'EPA Export Aggregation'!$A:$A,$B23,'EPA Export Aggregation'!$D:$D,$A$1)*IF($A23="CH4",About!$D$58,IF($A23="N2O",About!$D$59,1))</f>
        <v>7.2147082750399993E-2</v>
      </c>
      <c r="J23">
        <f>SUMIFS('EPA Export Aggregation'!M:M,'EPA Export Aggregation'!$A:$A,$B23,'EPA Export Aggregation'!$D:$D,$A$1)*IF($A23="CH4",About!$D$58,IF($A23="N2O",About!$D$59,1))</f>
        <v>7.3261878130799998E-2</v>
      </c>
      <c r="K23">
        <f>SUMIFS('EPA Export Aggregation'!N:N,'EPA Export Aggregation'!$A:$A,$B23,'EPA Export Aggregation'!$D:$D,$A$1)*IF($A23="CH4",About!$D$58,IF($A23="N2O",About!$D$59,1))</f>
        <v>9.00413635445E-2</v>
      </c>
      <c r="L23">
        <f>SUMIFS('EPA Export Aggregation'!O:O,'EPA Export Aggregation'!$A:$A,$B23,'EPA Export Aggregation'!$D:$D,$A$1)*IF($A23="CH4",About!$D$58,IF($A23="N2O",About!$D$59,1))</f>
        <v>8.6275829467099996E-2</v>
      </c>
      <c r="M23">
        <f>SUMIFS('EPA Export Aggregation'!P:P,'EPA Export Aggregation'!$A:$A,$B23,'EPA Export Aggregation'!$D:$D,$A$1)*IF($A23="CH4",About!$D$58,IF($A23="N2O",About!$D$59,1))</f>
        <v>7.8463109379699997E-2</v>
      </c>
      <c r="N23">
        <f>SUMIFS('EPA Export Aggregation'!Q:Q,'EPA Export Aggregation'!$A:$A,$B23,'EPA Export Aggregation'!$D:$D,$A$1)*IF($A23="CH4",About!$D$58,IF($A23="N2O",About!$D$59,1))</f>
        <v>7.5679271408000001E-2</v>
      </c>
      <c r="O23">
        <f>SUMIFS('EPA Export Aggregation'!R:R,'EPA Export Aggregation'!$A:$A,$B23,'EPA Export Aggregation'!$D:$D,$A$1)*IF($A23="CH4",About!$D$58,IF($A23="N2O",About!$D$59,1))</f>
        <v>6.89736050243E-2</v>
      </c>
      <c r="P23">
        <f>SUMIFS('EPA Export Aggregation'!S:S,'EPA Export Aggregation'!$A:$A,$B23,'EPA Export Aggregation'!$D:$D,$A$1)*IF($A23="CH4",About!$D$58,IF($A23="N2O",About!$D$59,1))</f>
        <v>6.6436326364299997E-2</v>
      </c>
      <c r="Q23">
        <f>SUMIFS('EPA Export Aggregation'!T:T,'EPA Export Aggregation'!$A:$A,$B23,'EPA Export Aggregation'!$D:$D,$A$1)*IF($A23="CH4",About!$D$58,IF($A23="N2O",About!$D$59,1))</f>
        <v>6.8593972678999998E-2</v>
      </c>
      <c r="R23">
        <f>SUMIFS('EPA Export Aggregation'!U:U,'EPA Export Aggregation'!$A:$A,$B23,'EPA Export Aggregation'!$D:$D,$A$1)*IF($A23="CH4",About!$D$58,IF($A23="N2O",About!$D$59,1))</f>
        <v>6.8156624969599996E-2</v>
      </c>
      <c r="S23">
        <f>SUMIFS('EPA Export Aggregation'!V:V,'EPA Export Aggregation'!$A:$A,$B23,'EPA Export Aggregation'!$D:$D,$A$1)*IF($A23="CH4",About!$D$58,IF($A23="N2O",About!$D$59,1))</f>
        <v>6.5449058776800004E-2</v>
      </c>
      <c r="T23">
        <f>SUMIFS('EPA Export Aggregation'!W:W,'EPA Export Aggregation'!$A:$A,$B23,'EPA Export Aggregation'!$D:$D,$A$1)*IF($A23="CH4",About!$D$58,IF($A23="N2O",About!$D$59,1))</f>
        <v>9.1512280791299999E-2</v>
      </c>
      <c r="U23">
        <f>SUMIFS('EPA Export Aggregation'!X:X,'EPA Export Aggregation'!$A:$A,$B23,'EPA Export Aggregation'!$D:$D,$A$1)*IF($A23="CH4",About!$D$58,IF($A23="N2O",About!$D$59,1))</f>
        <v>7.4968107670899994E-2</v>
      </c>
      <c r="V23">
        <f>SUMIFS('EPA Export Aggregation'!Y:Y,'EPA Export Aggregation'!$A:$A,$B23,'EPA Export Aggregation'!$D:$D,$A$1)*IF($A23="CH4",About!$D$58,IF($A23="N2O",About!$D$59,1))</f>
        <v>6.3166491347299999E-2</v>
      </c>
      <c r="W23">
        <f>SUMIFS('EPA Export Aggregation'!Z:Z,'EPA Export Aggregation'!$A:$A,$B23,'EPA Export Aggregation'!$D:$D,$A$1)*IF($A23="CH4",About!$D$58,IF($A23="N2O",About!$D$59,1))</f>
        <v>8.7359354449199997E-2</v>
      </c>
      <c r="X23">
        <f>SUMIFS('EPA Export Aggregation'!AA:AA,'EPA Export Aggregation'!$A:$A,$B23,'EPA Export Aggregation'!$D:$D,$A$1)*IF($A23="CH4",About!$D$58,IF($A23="N2O",About!$D$59,1))</f>
        <v>9.4237159897299999E-2</v>
      </c>
      <c r="Y23">
        <f>SUMIFS('EPA Export Aggregation'!AB:AB,'EPA Export Aggregation'!$A:$A,$B23,'EPA Export Aggregation'!$D:$D,$A$1)*IF($A23="CH4",About!$D$58,IF($A23="N2O",About!$D$59,1))</f>
        <v>8.9275708961600003E-2</v>
      </c>
      <c r="Z23">
        <f>SUMIFS('EPA Export Aggregation'!AC:AC,'EPA Export Aggregation'!$A:$A,$B23,'EPA Export Aggregation'!$D:$D,$A$1)*IF($A23="CH4",About!$D$58,IF($A23="N2O",About!$D$59,1))</f>
        <v>8.4358705515400007E-2</v>
      </c>
      <c r="AA23">
        <f>SUMIFS('EPA Export Aggregation'!AD:AD,'EPA Export Aggregation'!$A:$A,$B23,'EPA Export Aggregation'!$D:$D,$A$1)*IF($A23="CH4",About!$D$58,IF($A23="N2O",About!$D$59,1))</f>
        <v>3.3448746558899997E-2</v>
      </c>
      <c r="AB23">
        <f>SUMIFS('EPA Export Aggregation'!AE:AE,'EPA Export Aggregation'!$A:$A,$B23,'EPA Export Aggregation'!$D:$D,$A$1)*IF($A23="CH4",About!$D$58,IF($A23="N2O",About!$D$59,1))</f>
        <v>8.5356820489300003E-2</v>
      </c>
      <c r="AC23">
        <f>SUMIFS('EPA Export Aggregation'!AF:AF,'EPA Export Aggregation'!$A:$A,$B23,'EPA Export Aggregation'!$D:$D,$A$1)*IF($A23="CH4",About!$D$58,IF($A23="N2O",About!$D$59,1))</f>
        <v>9.7205361648700001E-2</v>
      </c>
      <c r="AD23">
        <f>SUMIFS('EPA Export Aggregation'!AG:AG,'EPA Export Aggregation'!$A:$A,$B23,'EPA Export Aggregation'!$D:$D,$A$1)*IF($A23="CH4",About!$D$58,IF($A23="N2O",About!$D$59,1))</f>
        <v>9.4613223927599993E-2</v>
      </c>
      <c r="AE23">
        <f>SUMIFS('EPA Export Aggregation'!AH:AH,'EPA Export Aggregation'!$A:$A,$B23,'EPA Export Aggregation'!$D:$D,$A$1)*IF($A23="CH4",About!$D$58,IF($A23="N2O",About!$D$59,1))</f>
        <v>0.1117440749669</v>
      </c>
      <c r="AF23">
        <f>SUMIFS('EPA Export Aggregation'!AI:AI,'EPA Export Aggregation'!$A:$A,$B23,'EPA Export Aggregation'!$D:$D,$A$1)*IF($A23="CH4",About!$D$58,IF($A23="N2O",About!$D$59,1))</f>
        <v>0.1122666806839</v>
      </c>
      <c r="AG23">
        <f>SUMIFS('EPA Export Aggregation'!AJ:AJ,'EPA Export Aggregation'!$A:$A,$B23,'EPA Export Aggregation'!$D:$D,$A$1)*IF($A23="CH4",About!$D$58,IF($A23="N2O",About!$D$59,1))</f>
        <v>0.107083230246</v>
      </c>
      <c r="AH23">
        <f>SUMIFS('EPA Export Aggregation'!AK:AK,'EPA Export Aggregation'!$A:$A,$B23,'EPA Export Aggregation'!$D:$D,$A$1)*IF($A23="CH4",About!$D$58,IF($A23="N2O",About!$D$59,1))</f>
        <v>9.1674020526199995E-2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1.3792759292999999E-3</v>
      </c>
      <c r="D26">
        <f>SUMIFS('EPA Export Aggregation'!G:G,'EPA Export Aggregation'!$A:$A,$B26,'EPA Export Aggregation'!$D:$D,$A$1)*IF($A26="CH4",About!$D$58,IF($A26="N2O",About!$D$59,1))</f>
        <v>1.0290332247000001E-3</v>
      </c>
      <c r="E26">
        <f>SUMIFS('EPA Export Aggregation'!H:H,'EPA Export Aggregation'!$A:$A,$B26,'EPA Export Aggregation'!$D:$D,$A$1)*IF($A26="CH4",About!$D$58,IF($A26="N2O",About!$D$59,1))</f>
        <v>1.2537338302999999E-3</v>
      </c>
      <c r="F26">
        <f>SUMIFS('EPA Export Aggregation'!I:I,'EPA Export Aggregation'!$A:$A,$B26,'EPA Export Aggregation'!$D:$D,$A$1)*IF($A26="CH4",About!$D$58,IF($A26="N2O",About!$D$59,1))</f>
        <v>1.3843638372000001E-3</v>
      </c>
      <c r="G26">
        <f>SUMIFS('EPA Export Aggregation'!J:J,'EPA Export Aggregation'!$A:$A,$B26,'EPA Export Aggregation'!$D:$D,$A$1)*IF($A26="CH4",About!$D$58,IF($A26="N2O",About!$D$59,1))</f>
        <v>1.4410855118000001E-3</v>
      </c>
      <c r="H26">
        <f>SUMIFS('EPA Export Aggregation'!K:K,'EPA Export Aggregation'!$A:$A,$B26,'EPA Export Aggregation'!$D:$D,$A$1)*IF($A26="CH4",About!$D$58,IF($A26="N2O",About!$D$59,1))</f>
        <v>1.9391420593000001E-3</v>
      </c>
      <c r="I26">
        <f>SUMIFS('EPA Export Aggregation'!L:L,'EPA Export Aggregation'!$A:$A,$B26,'EPA Export Aggregation'!$D:$D,$A$1)*IF($A26="CH4",About!$D$58,IF($A26="N2O",About!$D$59,1))</f>
        <v>2.1554923669000001E-3</v>
      </c>
      <c r="J26">
        <f>SUMIFS('EPA Export Aggregation'!M:M,'EPA Export Aggregation'!$A:$A,$B26,'EPA Export Aggregation'!$D:$D,$A$1)*IF($A26="CH4",About!$D$58,IF($A26="N2O",About!$D$59,1))</f>
        <v>2.6734327812E-3</v>
      </c>
      <c r="K26">
        <f>SUMIFS('EPA Export Aggregation'!N:N,'EPA Export Aggregation'!$A:$A,$B26,'EPA Export Aggregation'!$D:$D,$A$1)*IF($A26="CH4",About!$D$58,IF($A26="N2O",About!$D$59,1))</f>
        <v>3.0389100739999998E-3</v>
      </c>
      <c r="L26">
        <f>SUMIFS('EPA Export Aggregation'!O:O,'EPA Export Aggregation'!$A:$A,$B26,'EPA Export Aggregation'!$D:$D,$A$1)*IF($A26="CH4",About!$D$58,IF($A26="N2O",About!$D$59,1))</f>
        <v>1.9744207172999999E-3</v>
      </c>
      <c r="M26">
        <f>SUMIFS('EPA Export Aggregation'!P:P,'EPA Export Aggregation'!$A:$A,$B26,'EPA Export Aggregation'!$D:$D,$A$1)*IF($A26="CH4",About!$D$58,IF($A26="N2O",About!$D$59,1))</f>
        <v>2.1629286148000001E-3</v>
      </c>
      <c r="N26">
        <f>SUMIFS('EPA Export Aggregation'!Q:Q,'EPA Export Aggregation'!$A:$A,$B26,'EPA Export Aggregation'!$D:$D,$A$1)*IF($A26="CH4",About!$D$58,IF($A26="N2O",About!$D$59,1))</f>
        <v>1.5799281719000001E-3</v>
      </c>
      <c r="O26">
        <f>SUMIFS('EPA Export Aggregation'!R:R,'EPA Export Aggregation'!$A:$A,$B26,'EPA Export Aggregation'!$D:$D,$A$1)*IF($A26="CH4",About!$D$58,IF($A26="N2O",About!$D$59,1))</f>
        <v>1.8574093052E-3</v>
      </c>
      <c r="P26">
        <f>SUMIFS('EPA Export Aggregation'!S:S,'EPA Export Aggregation'!$A:$A,$B26,'EPA Export Aggregation'!$D:$D,$A$1)*IF($A26="CH4",About!$D$58,IF($A26="N2O",About!$D$59,1))</f>
        <v>1.9597475276000001E-3</v>
      </c>
      <c r="Q26">
        <f>SUMIFS('EPA Export Aggregation'!T:T,'EPA Export Aggregation'!$A:$A,$B26,'EPA Export Aggregation'!$D:$D,$A$1)*IF($A26="CH4",About!$D$58,IF($A26="N2O",About!$D$59,1))</f>
        <v>2.3587814009000002E-3</v>
      </c>
      <c r="R26">
        <f>SUMIFS('EPA Export Aggregation'!U:U,'EPA Export Aggregation'!$A:$A,$B26,'EPA Export Aggregation'!$D:$D,$A$1)*IF($A26="CH4",About!$D$58,IF($A26="N2O",About!$D$59,1))</f>
        <v>2.2587131737999999E-3</v>
      </c>
      <c r="S26">
        <f>SUMIFS('EPA Export Aggregation'!V:V,'EPA Export Aggregation'!$A:$A,$B26,'EPA Export Aggregation'!$D:$D,$A$1)*IF($A26="CH4",About!$D$58,IF($A26="N2O",About!$D$59,1))</f>
        <v>2.0447179386999998E-3</v>
      </c>
      <c r="T26">
        <f>SUMIFS('EPA Export Aggregation'!W:W,'EPA Export Aggregation'!$A:$A,$B26,'EPA Export Aggregation'!$D:$D,$A$1)*IF($A26="CH4",About!$D$58,IF($A26="N2O",About!$D$59,1))</f>
        <v>1.8295544346999999E-3</v>
      </c>
      <c r="U26">
        <f>SUMIFS('EPA Export Aggregation'!X:X,'EPA Export Aggregation'!$A:$A,$B26,'EPA Export Aggregation'!$D:$D,$A$1)*IF($A26="CH4",About!$D$58,IF($A26="N2O",About!$D$59,1))</f>
        <v>1.4697451266E-3</v>
      </c>
      <c r="V26">
        <f>SUMIFS('EPA Export Aggregation'!Y:Y,'EPA Export Aggregation'!$A:$A,$B26,'EPA Export Aggregation'!$D:$D,$A$1)*IF($A26="CH4",About!$D$58,IF($A26="N2O",About!$D$59,1))</f>
        <v>9.3523624889999999E-4</v>
      </c>
      <c r="W26">
        <f>SUMIFS('EPA Export Aggregation'!Z:Z,'EPA Export Aggregation'!$A:$A,$B26,'EPA Export Aggregation'!$D:$D,$A$1)*IF($A26="CH4",About!$D$58,IF($A26="N2O",About!$D$59,1))</f>
        <v>1.5693691589999999E-3</v>
      </c>
      <c r="X26">
        <f>SUMIFS('EPA Export Aggregation'!AA:AA,'EPA Export Aggregation'!$A:$A,$B26,'EPA Export Aggregation'!$D:$D,$A$1)*IF($A26="CH4",About!$D$58,IF($A26="N2O",About!$D$59,1))</f>
        <v>1.3858455208999999E-3</v>
      </c>
      <c r="Y26">
        <f>SUMIFS('EPA Export Aggregation'!AB:AB,'EPA Export Aggregation'!$A:$A,$B26,'EPA Export Aggregation'!$D:$D,$A$1)*IF($A26="CH4",About!$D$58,IF($A26="N2O",About!$D$59,1))</f>
        <v>1.1637446946000001E-3</v>
      </c>
      <c r="Z26">
        <f>SUMIFS('EPA Export Aggregation'!AC:AC,'EPA Export Aggregation'!$A:$A,$B26,'EPA Export Aggregation'!$D:$D,$A$1)*IF($A26="CH4",About!$D$58,IF($A26="N2O",About!$D$59,1))</f>
        <v>1.3646325155999999E-3</v>
      </c>
      <c r="AA26">
        <f>SUMIFS('EPA Export Aggregation'!AD:AD,'EPA Export Aggregation'!$A:$A,$B26,'EPA Export Aggregation'!$D:$D,$A$1)*IF($A26="CH4",About!$D$58,IF($A26="N2O",About!$D$59,1))</f>
        <v>1.4308892077999999E-3</v>
      </c>
      <c r="AB26">
        <f>SUMIFS('EPA Export Aggregation'!AE:AE,'EPA Export Aggregation'!$A:$A,$B26,'EPA Export Aggregation'!$D:$D,$A$1)*IF($A26="CH4",About!$D$58,IF($A26="N2O",About!$D$59,1))</f>
        <v>1.5568050437999999E-3</v>
      </c>
      <c r="AC26">
        <f>SUMIFS('EPA Export Aggregation'!AF:AF,'EPA Export Aggregation'!$A:$A,$B26,'EPA Export Aggregation'!$D:$D,$A$1)*IF($A26="CH4",About!$D$58,IF($A26="N2O",About!$D$59,1))</f>
        <v>1.4358834134E-3</v>
      </c>
      <c r="AD26">
        <f>SUMIFS('EPA Export Aggregation'!AG:AG,'EPA Export Aggregation'!$A:$A,$B26,'EPA Export Aggregation'!$D:$D,$A$1)*IF($A26="CH4",About!$D$58,IF($A26="N2O",About!$D$59,1))</f>
        <v>1.6478856589000001E-3</v>
      </c>
      <c r="AE26">
        <f>SUMIFS('EPA Export Aggregation'!AH:AH,'EPA Export Aggregation'!$A:$A,$B26,'EPA Export Aggregation'!$D:$D,$A$1)*IF($A26="CH4",About!$D$58,IF($A26="N2O",About!$D$59,1))</f>
        <v>1.6943820754E-3</v>
      </c>
      <c r="AF26">
        <f>SUMIFS('EPA Export Aggregation'!AI:AI,'EPA Export Aggregation'!$A:$A,$B26,'EPA Export Aggregation'!$D:$D,$A$1)*IF($A26="CH4",About!$D$58,IF($A26="N2O",About!$D$59,1))</f>
        <v>1.5287119633E-3</v>
      </c>
      <c r="AG26">
        <f>SUMIFS('EPA Export Aggregation'!AJ:AJ,'EPA Export Aggregation'!$A:$A,$B26,'EPA Export Aggregation'!$D:$D,$A$1)*IF($A26="CH4",About!$D$58,IF($A26="N2O",About!$D$59,1))</f>
        <v>1.1518459355999999E-3</v>
      </c>
      <c r="AH26">
        <f>SUMIFS('EPA Export Aggregation'!AK:AK,'EPA Export Aggregation'!$A:$A,$B26,'EPA Export Aggregation'!$D:$D,$A$1)*IF($A26="CH4",About!$D$58,IF($A26="N2O",About!$D$59,1))</f>
        <v>1.4780274961000001E-3</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119" t="s">
        <v>479</v>
      </c>
      <c r="B30" s="120" t="s">
        <v>1982</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8.8720899999999999E-8</v>
      </c>
      <c r="G30">
        <f>SUMIFS('EPA Export Aggregation'!J:J,'EPA Export Aggregation'!$A:$A,$B30,'EPA Export Aggregation'!$D:$D,$A$1)*IF($A30="CH4",About!$D$58,IF($A30="N2O",About!$D$59,1))</f>
        <v>9.1230799999999994E-8</v>
      </c>
      <c r="H30">
        <f>SUMIFS('EPA Export Aggregation'!K:K,'EPA Export Aggregation'!$A:$A,$B30,'EPA Export Aggregation'!$D:$D,$A$1)*IF($A30="CH4",About!$D$58,IF($A30="N2O",About!$D$59,1))</f>
        <v>9.6726800000000006E-8</v>
      </c>
      <c r="I30">
        <f>SUMIFS('EPA Export Aggregation'!L:L,'EPA Export Aggregation'!$A:$A,$B30,'EPA Export Aggregation'!$D:$D,$A$1)*IF($A30="CH4",About!$D$58,IF($A30="N2O",About!$D$59,1))</f>
        <v>9.6140699999999997E-8</v>
      </c>
      <c r="J30">
        <f>SUMIFS('EPA Export Aggregation'!M:M,'EPA Export Aggregation'!$A:$A,$B30,'EPA Export Aggregation'!$D:$D,$A$1)*IF($A30="CH4",About!$D$58,IF($A30="N2O",About!$D$59,1))</f>
        <v>9.8540700000000006E-8</v>
      </c>
      <c r="K30">
        <f>SUMIFS('EPA Export Aggregation'!N:N,'EPA Export Aggregation'!$A:$A,$B30,'EPA Export Aggregation'!$D:$D,$A$1)*IF($A30="CH4",About!$D$58,IF($A30="N2O",About!$D$59,1))</f>
        <v>1.0387179999999999E-7</v>
      </c>
      <c r="L30">
        <f>SUMIFS('EPA Export Aggregation'!O:O,'EPA Export Aggregation'!$A:$A,$B30,'EPA Export Aggregation'!$D:$D,$A$1)*IF($A30="CH4",About!$D$58,IF($A30="N2O",About!$D$59,1))</f>
        <v>1.032308E-7</v>
      </c>
      <c r="M30">
        <f>SUMIFS('EPA Export Aggregation'!P:P,'EPA Export Aggregation'!$A:$A,$B30,'EPA Export Aggregation'!$D:$D,$A$1)*IF($A30="CH4",About!$D$58,IF($A30="N2O",About!$D$59,1))</f>
        <v>1.025898E-7</v>
      </c>
      <c r="N30">
        <f>SUMIFS('EPA Export Aggregation'!Q:Q,'EPA Export Aggregation'!$A:$A,$B30,'EPA Export Aggregation'!$D:$D,$A$1)*IF($A30="CH4",About!$D$58,IF($A30="N2O",About!$D$59,1))</f>
        <v>1.019488E-7</v>
      </c>
      <c r="O30">
        <f>SUMIFS('EPA Export Aggregation'!R:R,'EPA Export Aggregation'!$A:$A,$B30,'EPA Export Aggregation'!$D:$D,$A$1)*IF($A30="CH4",About!$D$58,IF($A30="N2O",About!$D$59,1))</f>
        <v>1.013078E-7</v>
      </c>
      <c r="P30">
        <f>SUMIFS('EPA Export Aggregation'!S:S,'EPA Export Aggregation'!$A:$A,$B30,'EPA Export Aggregation'!$D:$D,$A$1)*IF($A30="CH4",About!$D$58,IF($A30="N2O",About!$D$59,1))</f>
        <v>1.006668E-7</v>
      </c>
      <c r="Q30">
        <f>SUMIFS('EPA Export Aggregation'!T:T,'EPA Export Aggregation'!$A:$A,$B30,'EPA Export Aggregation'!$D:$D,$A$1)*IF($A30="CH4",About!$D$58,IF($A30="N2O",About!$D$59,1))</f>
        <v>1.028836E-7</v>
      </c>
      <c r="R30">
        <f>SUMIFS('EPA Export Aggregation'!U:U,'EPA Export Aggregation'!$A:$A,$B30,'EPA Export Aggregation'!$D:$D,$A$1)*IF($A30="CH4",About!$D$58,IF($A30="N2O",About!$D$59,1))</f>
        <v>1.0222430000000001E-7</v>
      </c>
      <c r="S30">
        <f>SUMIFS('EPA Export Aggregation'!V:V,'EPA Export Aggregation'!$A:$A,$B30,'EPA Export Aggregation'!$D:$D,$A$1)*IF($A30="CH4",About!$D$58,IF($A30="N2O",About!$D$59,1))</f>
        <v>1.043862E-7</v>
      </c>
      <c r="T30">
        <f>SUMIFS('EPA Export Aggregation'!W:W,'EPA Export Aggregation'!$A:$A,$B30,'EPA Export Aggregation'!$D:$D,$A$1)*IF($A30="CH4",About!$D$58,IF($A30="N2O",About!$D$59,1))</f>
        <v>1.0370850000000001E-7</v>
      </c>
      <c r="U30">
        <f>SUMIFS('EPA Export Aggregation'!X:X,'EPA Export Aggregation'!$A:$A,$B30,'EPA Export Aggregation'!$D:$D,$A$1)*IF($A30="CH4",About!$D$58,IF($A30="N2O",About!$D$59,1))</f>
        <v>1.030309E-7</v>
      </c>
      <c r="V30">
        <f>SUMIFS('EPA Export Aggregation'!Y:Y,'EPA Export Aggregation'!$A:$A,$B30,'EPA Export Aggregation'!$D:$D,$A$1)*IF($A30="CH4",About!$D$58,IF($A30="N2O",About!$D$59,1))</f>
        <v>1.0235330000000001E-7</v>
      </c>
      <c r="W30">
        <f>SUMIFS('EPA Export Aggregation'!Z:Z,'EPA Export Aggregation'!$A:$A,$B30,'EPA Export Aggregation'!$D:$D,$A$1)*IF($A30="CH4",About!$D$58,IF($A30="N2O",About!$D$59,1))</f>
        <v>1.0167559999999999E-7</v>
      </c>
      <c r="X30">
        <f>SUMIFS('EPA Export Aggregation'!AA:AA,'EPA Export Aggregation'!$A:$A,$B30,'EPA Export Aggregation'!$D:$D,$A$1)*IF($A30="CH4",About!$D$58,IF($A30="N2O",About!$D$59,1))</f>
        <v>1.00998E-7</v>
      </c>
      <c r="Y30">
        <f>SUMIFS('EPA Export Aggregation'!AB:AB,'EPA Export Aggregation'!$A:$A,$B30,'EPA Export Aggregation'!$D:$D,$A$1)*IF($A30="CH4",About!$D$58,IF($A30="N2O",About!$D$59,1))</f>
        <v>1.003203E-7</v>
      </c>
      <c r="Z30">
        <f>SUMIFS('EPA Export Aggregation'!AC:AC,'EPA Export Aggregation'!$A:$A,$B30,'EPA Export Aggregation'!$D:$D,$A$1)*IF($A30="CH4",About!$D$58,IF($A30="N2O",About!$D$59,1))</f>
        <v>9.9642699999999998E-8</v>
      </c>
      <c r="AA30">
        <f>SUMIFS('EPA Export Aggregation'!AD:AD,'EPA Export Aggregation'!$A:$A,$B30,'EPA Export Aggregation'!$D:$D,$A$1)*IF($A30="CH4",About!$D$58,IF($A30="N2O",About!$D$59,1))</f>
        <v>1.016397E-7</v>
      </c>
      <c r="AB30">
        <f>SUMIFS('EPA Export Aggregation'!AE:AE,'EPA Export Aggregation'!$A:$A,$B30,'EPA Export Aggregation'!$D:$D,$A$1)*IF($A30="CH4",About!$D$58,IF($A30="N2O",About!$D$59,1))</f>
        <v>1.036002E-7</v>
      </c>
      <c r="AC30">
        <f>SUMIFS('EPA Export Aggregation'!AF:AF,'EPA Export Aggregation'!$A:$A,$B30,'EPA Export Aggregation'!$D:$D,$A$1)*IF($A30="CH4",About!$D$58,IF($A30="N2O",About!$D$59,1))</f>
        <v>1.134383E-7</v>
      </c>
      <c r="AD30">
        <f>SUMIFS('EPA Export Aggregation'!AG:AG,'EPA Export Aggregation'!$A:$A,$B30,'EPA Export Aggregation'!$D:$D,$A$1)*IF($A30="CH4",About!$D$58,IF($A30="N2O",About!$D$59,1))</f>
        <v>1.1527060000000001E-7</v>
      </c>
      <c r="AE30">
        <f>SUMIFS('EPA Export Aggregation'!AH:AH,'EPA Export Aggregation'!$A:$A,$B30,'EPA Export Aggregation'!$D:$D,$A$1)*IF($A30="CH4",About!$D$58,IF($A30="N2O",About!$D$59,1))</f>
        <v>1.144647E-7</v>
      </c>
      <c r="AF30">
        <f>SUMIFS('EPA Export Aggregation'!AI:AI,'EPA Export Aggregation'!$A:$A,$B30,'EPA Export Aggregation'!$D:$D,$A$1)*IF($A30="CH4",About!$D$58,IF($A30="N2O",About!$D$59,1))</f>
        <v>1.1365889999999999E-7</v>
      </c>
      <c r="AG30">
        <f>SUMIFS('EPA Export Aggregation'!AJ:AJ,'EPA Export Aggregation'!$A:$A,$B30,'EPA Export Aggregation'!$D:$D,$A$1)*IF($A30="CH4",About!$D$58,IF($A30="N2O",About!$D$59,1))</f>
        <v>1.12853E-7</v>
      </c>
      <c r="AH30">
        <f>SUMIFS('EPA Export Aggregation'!AK:AK,'EPA Export Aggregation'!$A:$A,$B30,'EPA Export Aggregation'!$D:$D,$A$1)*IF($A30="CH4",About!$D$58,IF($A30="N2O",About!$D$59,1))</f>
        <v>1.12853E-7</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2.06390029518E-2</v>
      </c>
      <c r="D32">
        <f>SUMIFS('EPA Export Aggregation'!G:G,'EPA Export Aggregation'!$A:$A,$B32,'EPA Export Aggregation'!$D:$D,$A$1)*IF($A32="CH4",About!$D$58,IF($A32="N2O",About!$D$59,1))</f>
        <v>2.67278498442E-2</v>
      </c>
      <c r="E32">
        <f>SUMIFS('EPA Export Aggregation'!H:H,'EPA Export Aggregation'!$A:$A,$B32,'EPA Export Aggregation'!$D:$D,$A$1)*IF($A32="CH4",About!$D$58,IF($A32="N2O",About!$D$59,1))</f>
        <v>2.30645798043E-2</v>
      </c>
      <c r="F32">
        <f>SUMIFS('EPA Export Aggregation'!I:I,'EPA Export Aggregation'!$A:$A,$B32,'EPA Export Aggregation'!$D:$D,$A$1)*IF($A32="CH4",About!$D$58,IF($A32="N2O",About!$D$59,1))</f>
        <v>2.55041447197E-2</v>
      </c>
      <c r="G32">
        <f>SUMIFS('EPA Export Aggregation'!J:J,'EPA Export Aggregation'!$A:$A,$B32,'EPA Export Aggregation'!$D:$D,$A$1)*IF($A32="CH4",About!$D$58,IF($A32="N2O",About!$D$59,1))</f>
        <v>2.85420248238E-2</v>
      </c>
      <c r="H32">
        <f>SUMIFS('EPA Export Aggregation'!K:K,'EPA Export Aggregation'!$A:$A,$B32,'EPA Export Aggregation'!$D:$D,$A$1)*IF($A32="CH4",About!$D$58,IF($A32="N2O",About!$D$59,1))</f>
        <v>2.90416557307E-2</v>
      </c>
      <c r="I32">
        <f>SUMIFS('EPA Export Aggregation'!L:L,'EPA Export Aggregation'!$A:$A,$B32,'EPA Export Aggregation'!$D:$D,$A$1)*IF($A32="CH4",About!$D$58,IF($A32="N2O",About!$D$59,1))</f>
        <v>3.3045680325500003E-2</v>
      </c>
      <c r="J32">
        <f>SUMIFS('EPA Export Aggregation'!M:M,'EPA Export Aggregation'!$A:$A,$B32,'EPA Export Aggregation'!$D:$D,$A$1)*IF($A32="CH4",About!$D$58,IF($A32="N2O",About!$D$59,1))</f>
        <v>3.3140458632700001E-2</v>
      </c>
      <c r="K32">
        <f>SUMIFS('EPA Export Aggregation'!N:N,'EPA Export Aggregation'!$A:$A,$B32,'EPA Export Aggregation'!$D:$D,$A$1)*IF($A32="CH4",About!$D$58,IF($A32="N2O",About!$D$59,1))</f>
        <v>3.3285013077900001E-2</v>
      </c>
      <c r="L32">
        <f>SUMIFS('EPA Export Aggregation'!O:O,'EPA Export Aggregation'!$A:$A,$B32,'EPA Export Aggregation'!$D:$D,$A$1)*IF($A32="CH4",About!$D$58,IF($A32="N2O",About!$D$59,1))</f>
        <v>3.27118363412E-2</v>
      </c>
      <c r="M32">
        <f>SUMIFS('EPA Export Aggregation'!P:P,'EPA Export Aggregation'!$A:$A,$B32,'EPA Export Aggregation'!$D:$D,$A$1)*IF($A32="CH4",About!$D$58,IF($A32="N2O",About!$D$59,1))</f>
        <v>3.2466995163099997E-2</v>
      </c>
      <c r="N32">
        <f>SUMIFS('EPA Export Aggregation'!Q:Q,'EPA Export Aggregation'!$A:$A,$B32,'EPA Export Aggregation'!$D:$D,$A$1)*IF($A32="CH4",About!$D$58,IF($A32="N2O",About!$D$59,1))</f>
        <v>3.29810694962E-2</v>
      </c>
      <c r="O32">
        <f>SUMIFS('EPA Export Aggregation'!R:R,'EPA Export Aggregation'!$A:$A,$B32,'EPA Export Aggregation'!$D:$D,$A$1)*IF($A32="CH4",About!$D$58,IF($A32="N2O",About!$D$59,1))</f>
        <v>3.4108241028600002E-2</v>
      </c>
      <c r="P32">
        <f>SUMIFS('EPA Export Aggregation'!S:S,'EPA Export Aggregation'!$A:$A,$B32,'EPA Export Aggregation'!$D:$D,$A$1)*IF($A32="CH4",About!$D$58,IF($A32="N2O",About!$D$59,1))</f>
        <v>3.3789403231199999E-2</v>
      </c>
      <c r="Q32">
        <f>SUMIFS('EPA Export Aggregation'!T:T,'EPA Export Aggregation'!$A:$A,$B32,'EPA Export Aggregation'!$D:$D,$A$1)*IF($A32="CH4",About!$D$58,IF($A32="N2O",About!$D$59,1))</f>
        <v>3.4266325803300003E-2</v>
      </c>
      <c r="R32">
        <f>SUMIFS('EPA Export Aggregation'!U:U,'EPA Export Aggregation'!$A:$A,$B32,'EPA Export Aggregation'!$D:$D,$A$1)*IF($A32="CH4",About!$D$58,IF($A32="N2O",About!$D$59,1))</f>
        <v>3.2742918251000001E-2</v>
      </c>
      <c r="S32">
        <f>SUMIFS('EPA Export Aggregation'!V:V,'EPA Export Aggregation'!$A:$A,$B32,'EPA Export Aggregation'!$D:$D,$A$1)*IF($A32="CH4",About!$D$58,IF($A32="N2O",About!$D$59,1))</f>
        <v>2.9471438797799999E-2</v>
      </c>
      <c r="T32">
        <f>SUMIFS('EPA Export Aggregation'!W:W,'EPA Export Aggregation'!$A:$A,$B32,'EPA Export Aggregation'!$D:$D,$A$1)*IF($A32="CH4",About!$D$58,IF($A32="N2O",About!$D$59,1))</f>
        <v>7.2559680656000001E-3</v>
      </c>
      <c r="U32">
        <f>SUMIFS('EPA Export Aggregation'!X:X,'EPA Export Aggregation'!$A:$A,$B32,'EPA Export Aggregation'!$D:$D,$A$1)*IF($A32="CH4",About!$D$58,IF($A32="N2O",About!$D$59,1))</f>
        <v>8.9645757685000004E-3</v>
      </c>
      <c r="V32">
        <f>SUMIFS('EPA Export Aggregation'!Y:Y,'EPA Export Aggregation'!$A:$A,$B32,'EPA Export Aggregation'!$D:$D,$A$1)*IF($A32="CH4",About!$D$58,IF($A32="N2O",About!$D$59,1))</f>
        <v>6.2022181061000001E-3</v>
      </c>
      <c r="W32">
        <f>SUMIFS('EPA Export Aggregation'!Z:Z,'EPA Export Aggregation'!$A:$A,$B32,'EPA Export Aggregation'!$D:$D,$A$1)*IF($A32="CH4",About!$D$58,IF($A32="N2O",About!$D$59,1))</f>
        <v>8.0689690397000007E-3</v>
      </c>
      <c r="X32">
        <f>SUMIFS('EPA Export Aggregation'!AA:AA,'EPA Export Aggregation'!$A:$A,$B32,'EPA Export Aggregation'!$D:$D,$A$1)*IF($A32="CH4",About!$D$58,IF($A32="N2O",About!$D$59,1))</f>
        <v>1.0110183968500001E-2</v>
      </c>
      <c r="Y32">
        <f>SUMIFS('EPA Export Aggregation'!AB:AB,'EPA Export Aggregation'!$A:$A,$B32,'EPA Export Aggregation'!$D:$D,$A$1)*IF($A32="CH4",About!$D$58,IF($A32="N2O",About!$D$59,1))</f>
        <v>8.9449273139999997E-3</v>
      </c>
      <c r="Z32">
        <f>SUMIFS('EPA Export Aggregation'!AC:AC,'EPA Export Aggregation'!$A:$A,$B32,'EPA Export Aggregation'!$D:$D,$A$1)*IF($A32="CH4",About!$D$58,IF($A32="N2O",About!$D$59,1))</f>
        <v>7.5245301607999998E-3</v>
      </c>
      <c r="AA32">
        <f>SUMIFS('EPA Export Aggregation'!AD:AD,'EPA Export Aggregation'!$A:$A,$B32,'EPA Export Aggregation'!$D:$D,$A$1)*IF($A32="CH4",About!$D$58,IF($A32="N2O",About!$D$59,1))</f>
        <v>7.9956735929999998E-3</v>
      </c>
      <c r="AB32">
        <f>SUMIFS('EPA Export Aggregation'!AE:AE,'EPA Export Aggregation'!$A:$A,$B32,'EPA Export Aggregation'!$D:$D,$A$1)*IF($A32="CH4",About!$D$58,IF($A32="N2O",About!$D$59,1))</f>
        <v>6.8714819853E-3</v>
      </c>
      <c r="AC32">
        <f>SUMIFS('EPA Export Aggregation'!AF:AF,'EPA Export Aggregation'!$A:$A,$B32,'EPA Export Aggregation'!$D:$D,$A$1)*IF($A32="CH4",About!$D$58,IF($A32="N2O",About!$D$59,1))</f>
        <v>7.6465383189999996E-3</v>
      </c>
      <c r="AD32">
        <f>SUMIFS('EPA Export Aggregation'!AG:AG,'EPA Export Aggregation'!$A:$A,$B32,'EPA Export Aggregation'!$D:$D,$A$1)*IF($A32="CH4",About!$D$58,IF($A32="N2O",About!$D$59,1))</f>
        <v>8.1132353498999995E-3</v>
      </c>
      <c r="AE32">
        <f>SUMIFS('EPA Export Aggregation'!AH:AH,'EPA Export Aggregation'!$A:$A,$B32,'EPA Export Aggregation'!$D:$D,$A$1)*IF($A32="CH4",About!$D$58,IF($A32="N2O",About!$D$59,1))</f>
        <v>4.9253325028999996E-3</v>
      </c>
      <c r="AF32">
        <f>SUMIFS('EPA Export Aggregation'!AI:AI,'EPA Export Aggregation'!$A:$A,$B32,'EPA Export Aggregation'!$D:$D,$A$1)*IF($A32="CH4",About!$D$58,IF($A32="N2O",About!$D$59,1))</f>
        <v>6.8687362520000001E-3</v>
      </c>
      <c r="AG32">
        <f>SUMIFS('EPA Export Aggregation'!AJ:AJ,'EPA Export Aggregation'!$A:$A,$B32,'EPA Export Aggregation'!$D:$D,$A$1)*IF($A32="CH4",About!$D$58,IF($A32="N2O",About!$D$59,1))</f>
        <v>5.6141541311000003E-3</v>
      </c>
      <c r="AH32">
        <f>SUMIFS('EPA Export Aggregation'!AK:AK,'EPA Export Aggregation'!$A:$A,$B32,'EPA Export Aggregation'!$D:$D,$A$1)*IF($A32="CH4",About!$D$58,IF($A32="N2O",About!$D$59,1))</f>
        <v>4.3453466843000003E-3</v>
      </c>
    </row>
    <row r="33" spans="1:34" x14ac:dyDescent="0.25">
      <c r="A33" s="119" t="s">
        <v>479</v>
      </c>
      <c r="B33" s="120" t="s">
        <v>1985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4.553331398E-3</v>
      </c>
      <c r="D34">
        <f>SUMIFS('EPA Export Aggregation'!G:G,'EPA Export Aggregation'!$A:$A,$B34,'EPA Export Aggregation'!$D:$D,$A$1)*IF($A34="CH4",About!$D$58,IF($A34="N2O",About!$D$59,1))</f>
        <v>6.2814607033999997E-3</v>
      </c>
      <c r="E34">
        <f>SUMIFS('EPA Export Aggregation'!H:H,'EPA Export Aggregation'!$A:$A,$B34,'EPA Export Aggregation'!$D:$D,$A$1)*IF($A34="CH4",About!$D$58,IF($A34="N2O",About!$D$59,1))</f>
        <v>6.6705218784999997E-3</v>
      </c>
      <c r="F34">
        <f>SUMIFS('EPA Export Aggregation'!I:I,'EPA Export Aggregation'!$A:$A,$B34,'EPA Export Aggregation'!$D:$D,$A$1)*IF($A34="CH4",About!$D$58,IF($A34="N2O",About!$D$59,1))</f>
        <v>6.2737115727999997E-3</v>
      </c>
      <c r="G34">
        <f>SUMIFS('EPA Export Aggregation'!J:J,'EPA Export Aggregation'!$A:$A,$B34,'EPA Export Aggregation'!$D:$D,$A$1)*IF($A34="CH4",About!$D$58,IF($A34="N2O",About!$D$59,1))</f>
        <v>6.9904755511000002E-3</v>
      </c>
      <c r="H34">
        <f>SUMIFS('EPA Export Aggregation'!K:K,'EPA Export Aggregation'!$A:$A,$B34,'EPA Export Aggregation'!$D:$D,$A$1)*IF($A34="CH4",About!$D$58,IF($A34="N2O",About!$D$59,1))</f>
        <v>5.7743596722000003E-3</v>
      </c>
      <c r="I34">
        <f>SUMIFS('EPA Export Aggregation'!L:L,'EPA Export Aggregation'!$A:$A,$B34,'EPA Export Aggregation'!$D:$D,$A$1)*IF($A34="CH4",About!$D$58,IF($A34="N2O",About!$D$59,1))</f>
        <v>6.6635404759999997E-3</v>
      </c>
      <c r="J34">
        <f>SUMIFS('EPA Export Aggregation'!M:M,'EPA Export Aggregation'!$A:$A,$B34,'EPA Export Aggregation'!$D:$D,$A$1)*IF($A34="CH4",About!$D$58,IF($A34="N2O",About!$D$59,1))</f>
        <v>8.1949637425000003E-3</v>
      </c>
      <c r="K34">
        <f>SUMIFS('EPA Export Aggregation'!N:N,'EPA Export Aggregation'!$A:$A,$B34,'EPA Export Aggregation'!$D:$D,$A$1)*IF($A34="CH4",About!$D$58,IF($A34="N2O",About!$D$59,1))</f>
        <v>7.6812272521000003E-3</v>
      </c>
      <c r="L34">
        <f>SUMIFS('EPA Export Aggregation'!O:O,'EPA Export Aggregation'!$A:$A,$B34,'EPA Export Aggregation'!$D:$D,$A$1)*IF($A34="CH4",About!$D$58,IF($A34="N2O",About!$D$59,1))</f>
        <v>7.9880350781999995E-3</v>
      </c>
      <c r="M34">
        <f>SUMIFS('EPA Export Aggregation'!P:P,'EPA Export Aggregation'!$A:$A,$B34,'EPA Export Aggregation'!$D:$D,$A$1)*IF($A34="CH4",About!$D$58,IF($A34="N2O",About!$D$59,1))</f>
        <v>9.5535736792999992E-3</v>
      </c>
      <c r="N34">
        <f>SUMIFS('EPA Export Aggregation'!Q:Q,'EPA Export Aggregation'!$A:$A,$B34,'EPA Export Aggregation'!$D:$D,$A$1)*IF($A34="CH4",About!$D$58,IF($A34="N2O",About!$D$59,1))</f>
        <v>8.2132255587000005E-3</v>
      </c>
      <c r="O34">
        <f>SUMIFS('EPA Export Aggregation'!R:R,'EPA Export Aggregation'!$A:$A,$B34,'EPA Export Aggregation'!$D:$D,$A$1)*IF($A34="CH4",About!$D$58,IF($A34="N2O",About!$D$59,1))</f>
        <v>8.2133998609000003E-3</v>
      </c>
      <c r="P34">
        <f>SUMIFS('EPA Export Aggregation'!S:S,'EPA Export Aggregation'!$A:$A,$B34,'EPA Export Aggregation'!$D:$D,$A$1)*IF($A34="CH4",About!$D$58,IF($A34="N2O",About!$D$59,1))</f>
        <v>7.5342492364000001E-3</v>
      </c>
      <c r="Q34">
        <f>SUMIFS('EPA Export Aggregation'!T:T,'EPA Export Aggregation'!$A:$A,$B34,'EPA Export Aggregation'!$D:$D,$A$1)*IF($A34="CH4",About!$D$58,IF($A34="N2O",About!$D$59,1))</f>
        <v>1.01939719979E-2</v>
      </c>
      <c r="R34">
        <f>SUMIFS('EPA Export Aggregation'!U:U,'EPA Export Aggregation'!$A:$A,$B34,'EPA Export Aggregation'!$D:$D,$A$1)*IF($A34="CH4",About!$D$58,IF($A34="N2O",About!$D$59,1))</f>
        <v>6.6942203271999996E-3</v>
      </c>
      <c r="S34">
        <f>SUMIFS('EPA Export Aggregation'!V:V,'EPA Export Aggregation'!$A:$A,$B34,'EPA Export Aggregation'!$D:$D,$A$1)*IF($A34="CH4",About!$D$58,IF($A34="N2O",About!$D$59,1))</f>
        <v>5.1482567964000001E-3</v>
      </c>
      <c r="T34">
        <f>SUMIFS('EPA Export Aggregation'!W:W,'EPA Export Aggregation'!$A:$A,$B34,'EPA Export Aggregation'!$D:$D,$A$1)*IF($A34="CH4",About!$D$58,IF($A34="N2O",About!$D$59,1))</f>
        <v>5.5231808643000004E-3</v>
      </c>
      <c r="U34">
        <f>SUMIFS('EPA Export Aggregation'!X:X,'EPA Export Aggregation'!$A:$A,$B34,'EPA Export Aggregation'!$D:$D,$A$1)*IF($A34="CH4",About!$D$58,IF($A34="N2O",About!$D$59,1))</f>
        <v>7.0509437841999997E-3</v>
      </c>
      <c r="V34">
        <f>SUMIFS('EPA Export Aggregation'!Y:Y,'EPA Export Aggregation'!$A:$A,$B34,'EPA Export Aggregation'!$D:$D,$A$1)*IF($A34="CH4",About!$D$58,IF($A34="N2O",About!$D$59,1))</f>
        <v>5.8856669387999999E-3</v>
      </c>
      <c r="W34">
        <f>SUMIFS('EPA Export Aggregation'!Z:Z,'EPA Export Aggregation'!$A:$A,$B34,'EPA Export Aggregation'!$D:$D,$A$1)*IF($A34="CH4",About!$D$58,IF($A34="N2O",About!$D$59,1))</f>
        <v>4.2370700051000002E-3</v>
      </c>
      <c r="X34">
        <f>SUMIFS('EPA Export Aggregation'!AA:AA,'EPA Export Aggregation'!$A:$A,$B34,'EPA Export Aggregation'!$D:$D,$A$1)*IF($A34="CH4",About!$D$58,IF($A34="N2O",About!$D$59,1))</f>
        <v>5.8733952644000002E-3</v>
      </c>
      <c r="Y34">
        <f>SUMIFS('EPA Export Aggregation'!AB:AB,'EPA Export Aggregation'!$A:$A,$B34,'EPA Export Aggregation'!$D:$D,$A$1)*IF($A34="CH4",About!$D$58,IF($A34="N2O",About!$D$59,1))</f>
        <v>6.8347957300999998E-3</v>
      </c>
      <c r="Z34">
        <f>SUMIFS('EPA Export Aggregation'!AC:AC,'EPA Export Aggregation'!$A:$A,$B34,'EPA Export Aggregation'!$D:$D,$A$1)*IF($A34="CH4",About!$D$58,IF($A34="N2O",About!$D$59,1))</f>
        <v>7.9343659620999991E-3</v>
      </c>
      <c r="AA34">
        <f>SUMIFS('EPA Export Aggregation'!AD:AD,'EPA Export Aggregation'!$A:$A,$B34,'EPA Export Aggregation'!$D:$D,$A$1)*IF($A34="CH4",About!$D$58,IF($A34="N2O",About!$D$59,1))</f>
        <v>6.9279156914000004E-3</v>
      </c>
      <c r="AB34">
        <f>SUMIFS('EPA Export Aggregation'!AE:AE,'EPA Export Aggregation'!$A:$A,$B34,'EPA Export Aggregation'!$D:$D,$A$1)*IF($A34="CH4",About!$D$58,IF($A34="N2O",About!$D$59,1))</f>
        <v>4.8407477698000001E-3</v>
      </c>
      <c r="AC34">
        <f>SUMIFS('EPA Export Aggregation'!AF:AF,'EPA Export Aggregation'!$A:$A,$B34,'EPA Export Aggregation'!$D:$D,$A$1)*IF($A34="CH4",About!$D$58,IF($A34="N2O",About!$D$59,1))</f>
        <v>5.8683405002E-3</v>
      </c>
      <c r="AD34">
        <f>SUMIFS('EPA Export Aggregation'!AG:AG,'EPA Export Aggregation'!$A:$A,$B34,'EPA Export Aggregation'!$D:$D,$A$1)*IF($A34="CH4",About!$D$58,IF($A34="N2O",About!$D$59,1))</f>
        <v>2.1909082077E-2</v>
      </c>
      <c r="AE34">
        <f>SUMIFS('EPA Export Aggregation'!AH:AH,'EPA Export Aggregation'!$A:$A,$B34,'EPA Export Aggregation'!$D:$D,$A$1)*IF($A34="CH4",About!$D$58,IF($A34="N2O",About!$D$59,1))</f>
        <v>1.48624919038E-2</v>
      </c>
      <c r="AF34">
        <f>SUMIFS('EPA Export Aggregation'!AI:AI,'EPA Export Aggregation'!$A:$A,$B34,'EPA Export Aggregation'!$D:$D,$A$1)*IF($A34="CH4",About!$D$58,IF($A34="N2O",About!$D$59,1))</f>
        <v>1.5139611619199999E-2</v>
      </c>
      <c r="AG34">
        <f>SUMIFS('EPA Export Aggregation'!AJ:AJ,'EPA Export Aggregation'!$A:$A,$B34,'EPA Export Aggregation'!$D:$D,$A$1)*IF($A34="CH4",About!$D$58,IF($A34="N2O",About!$D$59,1))</f>
        <v>1.54167313345E-2</v>
      </c>
      <c r="AH34">
        <f>SUMIFS('EPA Export Aggregation'!AK:AK,'EPA Export Aggregation'!$A:$A,$B34,'EPA Export Aggregation'!$D:$D,$A$1)*IF($A34="CH4",About!$D$58,IF($A34="N2O",About!$D$59,1))</f>
        <v>1.5693851049899999E-2</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4.7857324499999999E-3</v>
      </c>
      <c r="D74">
        <f>SUMIFS('EPA Export Aggregation'!G:G,'EPA Export Aggregation'!$A:$A,$B74,'EPA Export Aggregation'!$D:$D,$A$1)*IF($A74="CH4",About!$D$58,IF($A74="N2O",About!$D$59,1))</f>
        <v>1.0077414996400001E-2</v>
      </c>
      <c r="E74">
        <f>SUMIFS('EPA Export Aggregation'!H:H,'EPA Export Aggregation'!$A:$A,$B74,'EPA Export Aggregation'!$D:$D,$A$1)*IF($A74="CH4",About!$D$58,IF($A74="N2O",About!$D$59,1))</f>
        <v>2.7246464631599999E-2</v>
      </c>
      <c r="F74">
        <f>SUMIFS('EPA Export Aggregation'!I:I,'EPA Export Aggregation'!$A:$A,$B74,'EPA Export Aggregation'!$D:$D,$A$1)*IF($A74="CH4",About!$D$58,IF($A74="N2O",About!$D$59,1))</f>
        <v>8.8528205150799996E-2</v>
      </c>
      <c r="G74">
        <f>SUMIFS('EPA Export Aggregation'!J:J,'EPA Export Aggregation'!$A:$A,$B74,'EPA Export Aggregation'!$D:$D,$A$1)*IF($A74="CH4",About!$D$58,IF($A74="N2O",About!$D$59,1))</f>
        <v>0.21488534412580002</v>
      </c>
      <c r="H74">
        <f>SUMIFS('EPA Export Aggregation'!K:K,'EPA Export Aggregation'!$A:$A,$B74,'EPA Export Aggregation'!$D:$D,$A$1)*IF($A74="CH4",About!$D$58,IF($A74="N2O",About!$D$59,1))</f>
        <v>0.47278074953760002</v>
      </c>
      <c r="I74">
        <f>SUMIFS('EPA Export Aggregation'!L:L,'EPA Export Aggregation'!$A:$A,$B74,'EPA Export Aggregation'!$D:$D,$A$1)*IF($A74="CH4",About!$D$58,IF($A74="N2O",About!$D$59,1))</f>
        <v>0.66452712206440001</v>
      </c>
      <c r="J74">
        <f>SUMIFS('EPA Export Aggregation'!M:M,'EPA Export Aggregation'!$A:$A,$B74,'EPA Export Aggregation'!$D:$D,$A$1)*IF($A74="CH4",About!$D$58,IF($A74="N2O",About!$D$59,1))</f>
        <v>0.84570655080740009</v>
      </c>
      <c r="K74">
        <f>SUMIFS('EPA Export Aggregation'!N:N,'EPA Export Aggregation'!$A:$A,$B74,'EPA Export Aggregation'!$D:$D,$A$1)*IF($A74="CH4",About!$D$58,IF($A74="N2O",About!$D$59,1))</f>
        <v>0.97714668567270002</v>
      </c>
      <c r="L74">
        <f>SUMIFS('EPA Export Aggregation'!O:O,'EPA Export Aggregation'!$A:$A,$B74,'EPA Export Aggregation'!$D:$D,$A$1)*IF($A74="CH4",About!$D$58,IF($A74="N2O",About!$D$59,1))</f>
        <v>1.1129528604158003</v>
      </c>
      <c r="M74">
        <f>SUMIFS('EPA Export Aggregation'!P:P,'EPA Export Aggregation'!$A:$A,$B74,'EPA Export Aggregation'!$D:$D,$A$1)*IF($A74="CH4",About!$D$58,IF($A74="N2O",About!$D$59,1))</f>
        <v>1.2292030659252999</v>
      </c>
      <c r="N74">
        <f>SUMIFS('EPA Export Aggregation'!Q:Q,'EPA Export Aggregation'!$A:$A,$B74,'EPA Export Aggregation'!$D:$D,$A$1)*IF($A74="CH4",About!$D$58,IF($A74="N2O",About!$D$59,1))</f>
        <v>1.3454214139842999</v>
      </c>
      <c r="O74">
        <f>SUMIFS('EPA Export Aggregation'!R:R,'EPA Export Aggregation'!$A:$A,$B74,'EPA Export Aggregation'!$D:$D,$A$1)*IF($A74="CH4",About!$D$58,IF($A74="N2O",About!$D$59,1))</f>
        <v>1.4359149751906997</v>
      </c>
      <c r="P74">
        <f>SUMIFS('EPA Export Aggregation'!S:S,'EPA Export Aggregation'!$A:$A,$B74,'EPA Export Aggregation'!$D:$D,$A$1)*IF($A74="CH4",About!$D$58,IF($A74="N2O",About!$D$59,1))</f>
        <v>1.5196731221295998</v>
      </c>
      <c r="Q74">
        <f>SUMIFS('EPA Export Aggregation'!T:T,'EPA Export Aggregation'!$A:$A,$B74,'EPA Export Aggregation'!$D:$D,$A$1)*IF($A74="CH4",About!$D$58,IF($A74="N2O",About!$D$59,1))</f>
        <v>1.5929196540376998</v>
      </c>
      <c r="R74">
        <f>SUMIFS('EPA Export Aggregation'!U:U,'EPA Export Aggregation'!$A:$A,$B74,'EPA Export Aggregation'!$D:$D,$A$1)*IF($A74="CH4",About!$D$58,IF($A74="N2O",About!$D$59,1))</f>
        <v>1.6792160842666997</v>
      </c>
      <c r="S74">
        <f>SUMIFS('EPA Export Aggregation'!V:V,'EPA Export Aggregation'!$A:$A,$B74,'EPA Export Aggregation'!$D:$D,$A$1)*IF($A74="CH4",About!$D$58,IF($A74="N2O",About!$D$59,1))</f>
        <v>1.7936262475760001</v>
      </c>
      <c r="T74">
        <f>SUMIFS('EPA Export Aggregation'!W:W,'EPA Export Aggregation'!$A:$A,$B74,'EPA Export Aggregation'!$D:$D,$A$1)*IF($A74="CH4",About!$D$58,IF($A74="N2O",About!$D$59,1))</f>
        <v>1.9205708959190999</v>
      </c>
      <c r="U74">
        <f>SUMIFS('EPA Export Aggregation'!X:X,'EPA Export Aggregation'!$A:$A,$B74,'EPA Export Aggregation'!$D:$D,$A$1)*IF($A74="CH4",About!$D$58,IF($A74="N2O",About!$D$59,1))</f>
        <v>2.0600619165789005</v>
      </c>
      <c r="V74">
        <f>SUMIFS('EPA Export Aggregation'!Y:Y,'EPA Export Aggregation'!$A:$A,$B74,'EPA Export Aggregation'!$D:$D,$A$1)*IF($A74="CH4",About!$D$58,IF($A74="N2O",About!$D$59,1))</f>
        <v>2.1426858805765998</v>
      </c>
      <c r="W74">
        <f>SUMIFS('EPA Export Aggregation'!Z:Z,'EPA Export Aggregation'!$A:$A,$B74,'EPA Export Aggregation'!$D:$D,$A$1)*IF($A74="CH4",About!$D$58,IF($A74="N2O",About!$D$59,1))</f>
        <v>1.9819204787656997</v>
      </c>
      <c r="X74">
        <f>SUMIFS('EPA Export Aggregation'!AA:AA,'EPA Export Aggregation'!$A:$A,$B74,'EPA Export Aggregation'!$D:$D,$A$1)*IF($A74="CH4",About!$D$58,IF($A74="N2O",About!$D$59,1))</f>
        <v>2.0965667329418003</v>
      </c>
      <c r="Y74">
        <f>SUMIFS('EPA Export Aggregation'!AB:AB,'EPA Export Aggregation'!$A:$A,$B74,'EPA Export Aggregation'!$D:$D,$A$1)*IF($A74="CH4",About!$D$58,IF($A74="N2O",About!$D$59,1))</f>
        <v>2.2878856898613993</v>
      </c>
      <c r="Z74">
        <f>SUMIFS('EPA Export Aggregation'!AC:AC,'EPA Export Aggregation'!$A:$A,$B74,'EPA Export Aggregation'!$D:$D,$A$1)*IF($A74="CH4",About!$D$58,IF($A74="N2O",About!$D$59,1))</f>
        <v>2.6976739586989997</v>
      </c>
      <c r="AA74">
        <f>SUMIFS('EPA Export Aggregation'!AD:AD,'EPA Export Aggregation'!$A:$A,$B74,'EPA Export Aggregation'!$D:$D,$A$1)*IF($A74="CH4",About!$D$58,IF($A74="N2O",About!$D$59,1))</f>
        <v>3.0542247801917992</v>
      </c>
      <c r="AB74">
        <f>SUMIFS('EPA Export Aggregation'!AE:AE,'EPA Export Aggregation'!$A:$A,$B74,'EPA Export Aggregation'!$D:$D,$A$1)*IF($A74="CH4",About!$D$58,IF($A74="N2O",About!$D$59,1))</f>
        <v>2.9526199196374994</v>
      </c>
      <c r="AC74">
        <f>SUMIFS('EPA Export Aggregation'!AF:AF,'EPA Export Aggregation'!$A:$A,$B74,'EPA Export Aggregation'!$D:$D,$A$1)*IF($A74="CH4",About!$D$58,IF($A74="N2O",About!$D$59,1))</f>
        <v>2.9879990132839001</v>
      </c>
      <c r="AD74">
        <f>SUMIFS('EPA Export Aggregation'!AG:AG,'EPA Export Aggregation'!$A:$A,$B74,'EPA Export Aggregation'!$D:$D,$A$1)*IF($A74="CH4",About!$D$58,IF($A74="N2O",About!$D$59,1))</f>
        <v>2.5727864426700999</v>
      </c>
      <c r="AE74">
        <f>SUMIFS('EPA Export Aggregation'!AH:AH,'EPA Export Aggregation'!$A:$A,$B74,'EPA Export Aggregation'!$D:$D,$A$1)*IF($A74="CH4",About!$D$58,IF($A74="N2O",About!$D$59,1))</f>
        <v>2.8838641772510996</v>
      </c>
      <c r="AF74">
        <f>SUMIFS('EPA Export Aggregation'!AI:AI,'EPA Export Aggregation'!$A:$A,$B74,'EPA Export Aggregation'!$D:$D,$A$1)*IF($A74="CH4",About!$D$58,IF($A74="N2O",About!$D$59,1))</f>
        <v>2.7653483805921004</v>
      </c>
      <c r="AG74">
        <f>SUMIFS('EPA Export Aggregation'!AJ:AJ,'EPA Export Aggregation'!$A:$A,$B74,'EPA Export Aggregation'!$D:$D,$A$1)*IF($A74="CH4",About!$D$58,IF($A74="N2O",About!$D$59,1))</f>
        <v>3.0409451778705003</v>
      </c>
      <c r="AH74">
        <f>SUMIFS('EPA Export Aggregation'!AK:AK,'EPA Export Aggregation'!$A:$A,$B74,'EPA Export Aggregation'!$D:$D,$A$1)*IF($A74="CH4",About!$D$58,IF($A74="N2O",About!$D$59,1))</f>
        <v>3.1760412431772003</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9.9299199999999993E-6</v>
      </c>
      <c r="P76" s="121">
        <f>SUMIFS('EPA Export Aggregation'!S:S,'EPA Export Aggregation'!$A:$A,$B76,'EPA Export Aggregation'!$D:$D,$A$1)*IF($A76="CH4",About!$D$58,IF($A76="N2O",About!$D$59,1))</f>
        <v>1.9861080000000001E-5</v>
      </c>
      <c r="Q76" s="121">
        <f>SUMIFS('EPA Export Aggregation'!T:T,'EPA Export Aggregation'!$A:$A,$B76,'EPA Export Aggregation'!$D:$D,$A$1)*IF($A76="CH4",About!$D$58,IF($A76="N2O",About!$D$59,1))</f>
        <v>1.9861080000000001E-5</v>
      </c>
      <c r="R76" s="121">
        <f>SUMIFS('EPA Export Aggregation'!U:U,'EPA Export Aggregation'!$A:$A,$B76,'EPA Export Aggregation'!$D:$D,$A$1)*IF($A76="CH4",About!$D$58,IF($A76="N2O",About!$D$59,1))</f>
        <v>2.4826039999999999E-5</v>
      </c>
      <c r="S76" s="121">
        <f>SUMIFS('EPA Export Aggregation'!V:V,'EPA Export Aggregation'!$A:$A,$B76,'EPA Export Aggregation'!$D:$D,$A$1)*IF($A76="CH4",About!$D$58,IF($A76="N2O",About!$D$59,1))</f>
        <v>3.9720920000000003E-5</v>
      </c>
      <c r="T76" s="121">
        <f>SUMIFS('EPA Export Aggregation'!W:W,'EPA Export Aggregation'!$A:$A,$B76,'EPA Export Aggregation'!$D:$D,$A$1)*IF($A76="CH4",About!$D$58,IF($A76="N2O",About!$D$59,1))</f>
        <v>4.2700639999999998E-5</v>
      </c>
      <c r="U76" s="121">
        <f>SUMIFS('EPA Export Aggregation'!X:X,'EPA Export Aggregation'!$A:$A,$B76,'EPA Export Aggregation'!$D:$D,$A$1)*IF($A76="CH4",About!$D$58,IF($A76="N2O",About!$D$59,1))</f>
        <v>4.2700639999999998E-5</v>
      </c>
      <c r="V76" s="121">
        <f>SUMIFS('EPA Export Aggregation'!Y:Y,'EPA Export Aggregation'!$A:$A,$B76,'EPA Export Aggregation'!$D:$D,$A$1)*IF($A76="CH4",About!$D$58,IF($A76="N2O",About!$D$59,1))</f>
        <v>4.2700639999999998E-5</v>
      </c>
      <c r="W76" s="121">
        <f>SUMIFS('EPA Export Aggregation'!Z:Z,'EPA Export Aggregation'!$A:$A,$B76,'EPA Export Aggregation'!$D:$D,$A$1)*IF($A76="CH4",About!$D$58,IF($A76="N2O",About!$D$59,1))</f>
        <v>4.1228759999999998E-5</v>
      </c>
      <c r="X76" s="121">
        <f>SUMIFS('EPA Export Aggregation'!AA:AA,'EPA Export Aggregation'!$A:$A,$B76,'EPA Export Aggregation'!$D:$D,$A$1)*IF($A76="CH4",About!$D$58,IF($A76="N2O",About!$D$59,1))</f>
        <v>3.6503365313000002E-3</v>
      </c>
      <c r="Y76" s="121">
        <f>SUMIFS('EPA Export Aggregation'!AB:AB,'EPA Export Aggregation'!$A:$A,$B76,'EPA Export Aggregation'!$D:$D,$A$1)*IF($A76="CH4",About!$D$58,IF($A76="N2O",About!$D$59,1))</f>
        <v>3.9675047106E-3</v>
      </c>
      <c r="Z76" s="121">
        <f>SUMIFS('EPA Export Aggregation'!AC:AC,'EPA Export Aggregation'!$A:$A,$B76,'EPA Export Aggregation'!$D:$D,$A$1)*IF($A76="CH4",About!$D$58,IF($A76="N2O",About!$D$59,1))</f>
        <v>1.8367054740000001E-4</v>
      </c>
      <c r="AA76" s="121">
        <f>SUMIFS('EPA Export Aggregation'!AD:AD,'EPA Export Aggregation'!$A:$A,$B76,'EPA Export Aggregation'!$D:$D,$A$1)*IF($A76="CH4",About!$D$58,IF($A76="N2O",About!$D$59,1))</f>
        <v>1.191830952E-4</v>
      </c>
      <c r="AB76" s="121">
        <f>SUMIFS('EPA Export Aggregation'!AE:AE,'EPA Export Aggregation'!$A:$A,$B76,'EPA Export Aggregation'!$D:$D,$A$1)*IF($A76="CH4",About!$D$58,IF($A76="N2O",About!$D$59,1))</f>
        <v>2.1195985890000001E-4</v>
      </c>
      <c r="AC76" s="121">
        <f>SUMIFS('EPA Export Aggregation'!AF:AF,'EPA Export Aggregation'!$A:$A,$B76,'EPA Export Aggregation'!$D:$D,$A$1)*IF($A76="CH4",About!$D$58,IF($A76="N2O",About!$D$59,1))</f>
        <v>2.1508868539999999E-4</v>
      </c>
      <c r="AD76" s="121">
        <f>SUMIFS('EPA Export Aggregation'!AG:AG,'EPA Export Aggregation'!$A:$A,$B76,'EPA Export Aggregation'!$D:$D,$A$1)*IF($A76="CH4",About!$D$58,IF($A76="N2O",About!$D$59,1))</f>
        <v>2.2304293600000001E-4</v>
      </c>
      <c r="AE76" s="121">
        <f>SUMIFS('EPA Export Aggregation'!AH:AH,'EPA Export Aggregation'!$A:$A,$B76,'EPA Export Aggregation'!$D:$D,$A$1)*IF($A76="CH4",About!$D$58,IF($A76="N2O",About!$D$59,1))</f>
        <v>2.039590047E-4</v>
      </c>
      <c r="AF76" s="121">
        <f>SUMIFS('EPA Export Aggregation'!AI:AI,'EPA Export Aggregation'!$A:$A,$B76,'EPA Export Aggregation'!$D:$D,$A$1)*IF($A76="CH4",About!$D$58,IF($A76="N2O",About!$D$59,1))</f>
        <v>1.7852143369999999E-4</v>
      </c>
      <c r="AG76" s="121">
        <f>SUMIFS('EPA Export Aggregation'!AJ:AJ,'EPA Export Aggregation'!$A:$A,$B76,'EPA Export Aggregation'!$D:$D,$A$1)*IF($A76="CH4",About!$D$58,IF($A76="N2O",About!$D$59,1))</f>
        <v>1.4903074139999999E-4</v>
      </c>
      <c r="AH76" s="121">
        <f>SUMIFS('EPA Export Aggregation'!AK:AK,'EPA Export Aggregation'!$A:$A,$B76,'EPA Export Aggregation'!$D:$D,$A$1)*IF($A76="CH4",About!$D$58,IF($A76="N2O",About!$D$59,1))</f>
        <v>1.557341746E-4</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3.8111488502099999</v>
      </c>
      <c r="D79" s="121">
        <f>SUMIFS('EPA Export Aggregation'!G:G,'EPA Export Aggregation'!$A:$A,$B79,'EPA Export Aggregation'!$D:$D,$A$1)*IF($A79="CH4",About!$D$58,IF($A79="N2O",About!$D$59,1))</f>
        <v>3.322120934145</v>
      </c>
      <c r="E79" s="121">
        <f>SUMIFS('EPA Export Aggregation'!H:H,'EPA Export Aggregation'!$A:$A,$B79,'EPA Export Aggregation'!$D:$D,$A$1)*IF($A79="CH4",About!$D$58,IF($A79="N2O",About!$D$59,1))</f>
        <v>3.4180241462400001</v>
      </c>
      <c r="F79" s="121">
        <f>SUMIFS('EPA Export Aggregation'!I:I,'EPA Export Aggregation'!$A:$A,$B79,'EPA Export Aggregation'!$D:$D,$A$1)*IF($A79="CH4",About!$D$58,IF($A79="N2O",About!$D$59,1))</f>
        <v>3.3514929646499998</v>
      </c>
      <c r="G79" s="121">
        <f>SUMIFS('EPA Export Aggregation'!J:J,'EPA Export Aggregation'!$A:$A,$B79,'EPA Export Aggregation'!$D:$D,$A$1)*IF($A79="CH4",About!$D$58,IF($A79="N2O",About!$D$59,1))</f>
        <v>3.4141361326170001</v>
      </c>
      <c r="H79" s="121">
        <f>SUMIFS('EPA Export Aggregation'!K:K,'EPA Export Aggregation'!$A:$A,$B79,'EPA Export Aggregation'!$D:$D,$A$1)*IF($A79="CH4",About!$D$58,IF($A79="N2O",About!$D$59,1))</f>
        <v>3.1695926353589998</v>
      </c>
      <c r="I79" s="121">
        <f>SUMIFS('EPA Export Aggregation'!L:L,'EPA Export Aggregation'!$A:$A,$B79,'EPA Export Aggregation'!$D:$D,$A$1)*IF($A79="CH4",About!$D$58,IF($A79="N2O",About!$D$59,1))</f>
        <v>3.2592585693929998</v>
      </c>
      <c r="J79" s="121">
        <f>SUMIFS('EPA Export Aggregation'!M:M,'EPA Export Aggregation'!$A:$A,$B79,'EPA Export Aggregation'!$D:$D,$A$1)*IF($A79="CH4",About!$D$58,IF($A79="N2O",About!$D$59,1))</f>
        <v>1.9639422400319999</v>
      </c>
      <c r="K79" s="121">
        <f>SUMIFS('EPA Export Aggregation'!N:N,'EPA Export Aggregation'!$A:$A,$B79,'EPA Export Aggregation'!$D:$D,$A$1)*IF($A79="CH4",About!$D$58,IF($A79="N2O",About!$D$59,1))</f>
        <v>0.39563494818</v>
      </c>
      <c r="L79" s="121">
        <f>SUMIFS('EPA Export Aggregation'!O:O,'EPA Export Aggregation'!$A:$A,$B79,'EPA Export Aggregation'!$D:$D,$A$1)*IF($A79="CH4",About!$D$58,IF($A79="N2O",About!$D$59,1))</f>
        <v>0.16353203004</v>
      </c>
      <c r="M79" s="121">
        <f>SUMIFS('EPA Export Aggregation'!P:P,'EPA Export Aggregation'!$A:$A,$B79,'EPA Export Aggregation'!$D:$D,$A$1)*IF($A79="CH4",About!$D$58,IF($A79="N2O",About!$D$59,1))</f>
        <v>0.49179360339599998</v>
      </c>
      <c r="N79" s="121">
        <f>SUMIFS('EPA Export Aggregation'!Q:Q,'EPA Export Aggregation'!$A:$A,$B79,'EPA Export Aggregation'!$D:$D,$A$1)*IF($A79="CH4",About!$D$58,IF($A79="N2O",About!$D$59,1))</f>
        <v>0.17700372040199999</v>
      </c>
      <c r="O79" s="121">
        <f>SUMIFS('EPA Export Aggregation'!R:R,'EPA Export Aggregation'!$A:$A,$B79,'EPA Export Aggregation'!$D:$D,$A$1)*IF($A79="CH4",About!$D$58,IF($A79="N2O",About!$D$59,1))</f>
        <v>0.42572055986399998</v>
      </c>
      <c r="P79" s="121">
        <f>SUMIFS('EPA Export Aggregation'!S:S,'EPA Export Aggregation'!$A:$A,$B79,'EPA Export Aggregation'!$D:$D,$A$1)*IF($A79="CH4",About!$D$58,IF($A79="N2O",About!$D$59,1))</f>
        <v>0.26593852956000003</v>
      </c>
      <c r="Q79" s="121">
        <f>SUMIFS('EPA Export Aggregation'!T:T,'EPA Export Aggregation'!$A:$A,$B79,'EPA Export Aggregation'!$D:$D,$A$1)*IF($A79="CH4",About!$D$58,IF($A79="N2O",About!$D$59,1))</f>
        <v>0.215619168162</v>
      </c>
      <c r="R79" s="121">
        <f>SUMIFS('EPA Export Aggregation'!U:U,'EPA Export Aggregation'!$A:$A,$B79,'EPA Export Aggregation'!$D:$D,$A$1)*IF($A79="CH4",About!$D$58,IF($A79="N2O",About!$D$59,1))</f>
        <v>0.248487932094</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3.7801348199999999E-4</v>
      </c>
      <c r="P80" s="121">
        <f>SUMIFS('EPA Export Aggregation'!S:S,'EPA Export Aggregation'!$A:$A,$B80,'EPA Export Aggregation'!$D:$D,$A$1)*IF($A80="CH4",About!$D$58,IF($A80="N2O",About!$D$59,1))</f>
        <v>7.5602858100000002E-4</v>
      </c>
      <c r="Q80" s="121">
        <f>SUMIFS('EPA Export Aggregation'!T:T,'EPA Export Aggregation'!$A:$A,$B80,'EPA Export Aggregation'!$D:$D,$A$1)*IF($A80="CH4",About!$D$58,IF($A80="N2O",About!$D$59,1))</f>
        <v>7.5602858100000002E-4</v>
      </c>
      <c r="R80" s="121">
        <f>SUMIFS('EPA Export Aggregation'!U:U,'EPA Export Aggregation'!$A:$A,$B80,'EPA Export Aggregation'!$D:$D,$A$1)*IF($A80="CH4",About!$D$58,IF($A80="N2O",About!$D$59,1))</f>
        <v>9.4503643200000002E-4</v>
      </c>
      <c r="S80" s="121">
        <f>SUMIFS('EPA Export Aggregation'!V:V,'EPA Export Aggregation'!$A:$A,$B80,'EPA Export Aggregation'!$D:$D,$A$1)*IF($A80="CH4",About!$D$58,IF($A80="N2O",About!$D$59,1))</f>
        <v>1.5120566550000001E-3</v>
      </c>
      <c r="T80" s="121">
        <f>SUMIFS('EPA Export Aggregation'!W:W,'EPA Export Aggregation'!$A:$A,$B80,'EPA Export Aggregation'!$D:$D,$A$1)*IF($A80="CH4",About!$D$58,IF($A80="N2O",About!$D$59,1))</f>
        <v>1.6254617160000001E-3</v>
      </c>
      <c r="U80" s="121">
        <f>SUMIFS('EPA Export Aggregation'!X:X,'EPA Export Aggregation'!$A:$A,$B80,'EPA Export Aggregation'!$D:$D,$A$1)*IF($A80="CH4",About!$D$58,IF($A80="N2O",About!$D$59,1))</f>
        <v>1.6254617160000001E-3</v>
      </c>
      <c r="V80" s="121">
        <f>SUMIFS('EPA Export Aggregation'!Y:Y,'EPA Export Aggregation'!$A:$A,$B80,'EPA Export Aggregation'!$D:$D,$A$1)*IF($A80="CH4",About!$D$58,IF($A80="N2O",About!$D$59,1))</f>
        <v>1.6254617160000001E-3</v>
      </c>
      <c r="W80" s="121">
        <f>SUMIFS('EPA Export Aggregation'!Z:Z,'EPA Export Aggregation'!$A:$A,$B80,'EPA Export Aggregation'!$D:$D,$A$1)*IF($A80="CH4",About!$D$58,IF($A80="N2O",About!$D$59,1))</f>
        <v>1.5694595820000001E-3</v>
      </c>
      <c r="X80" s="121">
        <f>SUMIFS('EPA Export Aggregation'!AA:AA,'EPA Export Aggregation'!$A:$A,$B80,'EPA Export Aggregation'!$D:$D,$A$1)*IF($A80="CH4",About!$D$58,IF($A80="N2O",About!$D$59,1))</f>
        <v>4.439897751586E-3</v>
      </c>
      <c r="Y80" s="121">
        <f>SUMIFS('EPA Export Aggregation'!AB:AB,'EPA Export Aggregation'!$A:$A,$B80,'EPA Export Aggregation'!$D:$D,$A$1)*IF($A80="CH4",About!$D$58,IF($A80="N2O",About!$D$59,1))</f>
        <v>4.3210358957097E-3</v>
      </c>
      <c r="Z80" s="121">
        <f>SUMIFS('EPA Export Aggregation'!AC:AC,'EPA Export Aggregation'!$A:$A,$B80,'EPA Export Aggregation'!$D:$D,$A$1)*IF($A80="CH4",About!$D$58,IF($A80="N2O",About!$D$59,1))</f>
        <v>3.0376865055863002E-3</v>
      </c>
      <c r="AA80" s="121">
        <f>SUMIFS('EPA Export Aggregation'!AD:AD,'EPA Export Aggregation'!$A:$A,$B80,'EPA Export Aggregation'!$D:$D,$A$1)*IF($A80="CH4",About!$D$58,IF($A80="N2O",About!$D$59,1))</f>
        <v>2.3552619595466999E-3</v>
      </c>
      <c r="AB80" s="121">
        <f>SUMIFS('EPA Export Aggregation'!AE:AE,'EPA Export Aggregation'!$A:$A,$B80,'EPA Export Aggregation'!$D:$D,$A$1)*IF($A80="CH4",About!$D$58,IF($A80="N2O",About!$D$59,1))</f>
        <v>3.4915773426121002E-3</v>
      </c>
      <c r="AC80" s="121">
        <f>SUMIFS('EPA Export Aggregation'!AF:AF,'EPA Export Aggregation'!$A:$A,$B80,'EPA Export Aggregation'!$D:$D,$A$1)*IF($A80="CH4",About!$D$58,IF($A80="N2O",About!$D$59,1))</f>
        <v>3.2189977484701998E-3</v>
      </c>
      <c r="AD80" s="121">
        <f>SUMIFS('EPA Export Aggregation'!AG:AG,'EPA Export Aggregation'!$A:$A,$B80,'EPA Export Aggregation'!$D:$D,$A$1)*IF($A80="CH4",About!$D$58,IF($A80="N2O",About!$D$59,1))</f>
        <v>3.5370108348650999E-3</v>
      </c>
      <c r="AE80" s="121">
        <f>SUMIFS('EPA Export Aggregation'!AH:AH,'EPA Export Aggregation'!$A:$A,$B80,'EPA Export Aggregation'!$D:$D,$A$1)*IF($A80="CH4",About!$D$58,IF($A80="N2O",About!$D$59,1))</f>
        <v>3.3821731420831001E-3</v>
      </c>
      <c r="AF80" s="121">
        <f>SUMIFS('EPA Export Aggregation'!AI:AI,'EPA Export Aggregation'!$A:$A,$B80,'EPA Export Aggregation'!$D:$D,$A$1)*IF($A80="CH4",About!$D$58,IF($A80="N2O",About!$D$59,1))</f>
        <v>3.0711468493999998E-3</v>
      </c>
      <c r="AG80" s="121">
        <f>SUMIFS('EPA Export Aggregation'!AJ:AJ,'EPA Export Aggregation'!$A:$A,$B80,'EPA Export Aggregation'!$D:$D,$A$1)*IF($A80="CH4",About!$D$58,IF($A80="N2O",About!$D$59,1))</f>
        <v>1.5116982895011001E-3</v>
      </c>
      <c r="AH80" s="121">
        <f>SUMIFS('EPA Export Aggregation'!AK:AK,'EPA Export Aggregation'!$A:$A,$B80,'EPA Export Aggregation'!$D:$D,$A$1)*IF($A80="CH4",About!$D$58,IF($A80="N2O",About!$D$59,1))</f>
        <v>1.5453498894770999E-3</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3.3377755000000002E-4</v>
      </c>
      <c r="Y84" s="121">
        <f>SUMIFS('EPA Export Aggregation'!AB:AB,'EPA Export Aggregation'!$A:$A,$B84,'EPA Export Aggregation'!$D:$D,$A$1)*IF($A84="CH4",About!$D$58,IF($A84="N2O",About!$D$59,1))</f>
        <v>3.5130619999999997E-4</v>
      </c>
      <c r="Z84" s="121">
        <f>SUMIFS('EPA Export Aggregation'!AC:AC,'EPA Export Aggregation'!$A:$A,$B84,'EPA Export Aggregation'!$D:$D,$A$1)*IF($A84="CH4",About!$D$58,IF($A84="N2O",About!$D$59,1))</f>
        <v>4.065265E-4</v>
      </c>
      <c r="AA84" s="121">
        <f>SUMIFS('EPA Export Aggregation'!AD:AD,'EPA Export Aggregation'!$A:$A,$B84,'EPA Export Aggregation'!$D:$D,$A$1)*IF($A84="CH4",About!$D$58,IF($A84="N2O",About!$D$59,1))</f>
        <v>2.3069245E-4</v>
      </c>
      <c r="AB84" s="121">
        <f>SUMIFS('EPA Export Aggregation'!AE:AE,'EPA Export Aggregation'!$A:$A,$B84,'EPA Export Aggregation'!$D:$D,$A$1)*IF($A84="CH4",About!$D$58,IF($A84="N2O",About!$D$59,1))</f>
        <v>5.2355885E-4</v>
      </c>
      <c r="AC84" s="121">
        <f>SUMIFS('EPA Export Aggregation'!AF:AF,'EPA Export Aggregation'!$A:$A,$B84,'EPA Export Aggregation'!$D:$D,$A$1)*IF($A84="CH4",About!$D$58,IF($A84="N2O",About!$D$59,1))</f>
        <v>6.4311040000000004E-4</v>
      </c>
      <c r="AD84" s="121">
        <f>SUMIFS('EPA Export Aggregation'!AG:AG,'EPA Export Aggregation'!$A:$A,$B84,'EPA Export Aggregation'!$D:$D,$A$1)*IF($A84="CH4",About!$D$58,IF($A84="N2O",About!$D$59,1))</f>
        <v>5.6765660000000003E-4</v>
      </c>
      <c r="AE84" s="121">
        <f>SUMIFS('EPA Export Aggregation'!AH:AH,'EPA Export Aggregation'!$A:$A,$B84,'EPA Export Aggregation'!$D:$D,$A$1)*IF($A84="CH4",About!$D$58,IF($A84="N2O",About!$D$59,1))</f>
        <v>5.6281090000000005E-4</v>
      </c>
      <c r="AF84" s="121">
        <f>SUMIFS('EPA Export Aggregation'!AI:AI,'EPA Export Aggregation'!$A:$A,$B84,'EPA Export Aggregation'!$D:$D,$A$1)*IF($A84="CH4",About!$D$58,IF($A84="N2O",About!$D$59,1))</f>
        <v>5.4410254999999995E-4</v>
      </c>
      <c r="AG84" s="121">
        <f>SUMIFS('EPA Export Aggregation'!AJ:AJ,'EPA Export Aggregation'!$A:$A,$B84,'EPA Export Aggregation'!$D:$D,$A$1)*IF($A84="CH4",About!$D$58,IF($A84="N2O",About!$D$59,1))</f>
        <v>6.5032960000000004E-4</v>
      </c>
      <c r="AH84" s="121">
        <f>SUMIFS('EPA Export Aggregation'!AK:AK,'EPA Export Aggregation'!$A:$A,$B84,'EPA Export Aggregation'!$D:$D,$A$1)*IF($A84="CH4",About!$D$58,IF($A84="N2O",About!$D$59,1))</f>
        <v>7.9187715000000002E-4</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2025-11-06T21:36:38Z</dcterms:modified>
</cp:coreProperties>
</file>