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H\elec\MPCbS\"/>
    </mc:Choice>
  </mc:AlternateContent>
  <xr:revisionPtr revIDLastSave="0" documentId="8_{FC5686B0-14DE-4EF6-B6FE-328378D51AF2}" xr6:coauthVersionLast="47" xr6:coauthVersionMax="47" xr10:uidLastSave="{00000000-0000-0000-0000-000000000000}"/>
  <bookViews>
    <workbookView xWindow="1725" yWindow="1725" windowWidth="14400" windowHeight="7290" firstSheet="7" activeTab="11" xr2:uid="{00000000-000D-0000-FFFF-FFFF00000000}"/>
  </bookViews>
  <sheets>
    <sheet name="About" sheetId="1" r:id="rId1"/>
    <sheet name="coal ban" sheetId="12" r:id="rId2"/>
    <sheet name="Population by state" sheetId="4" r:id="rId3"/>
    <sheet name="solar PV" sheetId="5" r:id="rId4"/>
    <sheet name="solar thermal" sheetId="6" r:id="rId5"/>
    <sheet name="offshore wind" sheetId="7" r:id="rId6"/>
    <sheet name="onshore wind" sheetId="8" r:id="rId7"/>
    <sheet name="bio" sheetId="9" r:id="rId8"/>
    <sheet name="geothermal" sheetId="10" r:id="rId9"/>
    <sheet name="hydro" sheetId="11" r:id="rId10"/>
    <sheet name="Data" sheetId="2" r:id="rId11"/>
    <sheet name="MPCbS" sheetId="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3" l="1"/>
  <c r="A1" i="8"/>
  <c r="B18" i="3"/>
  <c r="H112" i="11"/>
  <c r="H98" i="11"/>
  <c r="F83" i="11"/>
  <c r="F82" i="11"/>
  <c r="F81" i="11"/>
  <c r="B81" i="11"/>
  <c r="F80" i="11"/>
  <c r="H100" i="11" s="1"/>
  <c r="B80" i="11"/>
  <c r="B79" i="11"/>
  <c r="F79" i="11" s="1"/>
  <c r="B78" i="11"/>
  <c r="F78" i="11" s="1"/>
  <c r="F77" i="11"/>
  <c r="B77" i="11"/>
  <c r="H76" i="11"/>
  <c r="F76" i="11"/>
  <c r="B76" i="11"/>
  <c r="F75" i="11"/>
  <c r="H106" i="11" s="1"/>
  <c r="B75" i="11"/>
  <c r="B74" i="11"/>
  <c r="F74" i="11" s="1"/>
  <c r="B73" i="11"/>
  <c r="F73" i="11" s="1"/>
  <c r="H86" i="11" s="1"/>
  <c r="H72" i="11"/>
  <c r="B72" i="11"/>
  <c r="F72" i="11" s="1"/>
  <c r="F71" i="11"/>
  <c r="F70" i="11"/>
  <c r="F69" i="11"/>
  <c r="F68" i="11"/>
  <c r="H85" i="11" s="1"/>
  <c r="C68" i="11"/>
  <c r="B68" i="11"/>
  <c r="C67" i="11"/>
  <c r="B67" i="11"/>
  <c r="F67" i="11" s="1"/>
  <c r="H96" i="11" s="1"/>
  <c r="C66" i="11"/>
  <c r="B66" i="11"/>
  <c r="F66" i="11" s="1"/>
  <c r="C65" i="11"/>
  <c r="B65" i="11"/>
  <c r="F65" i="11" s="1"/>
  <c r="H82" i="11" s="1"/>
  <c r="F4" i="11"/>
  <c r="C51" i="11" s="1"/>
  <c r="D51" i="11" s="1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2" i="10"/>
  <c r="C11" i="10"/>
  <c r="C10" i="10"/>
  <c r="C9" i="10"/>
  <c r="C8" i="10"/>
  <c r="C7" i="10"/>
  <c r="C6" i="10"/>
  <c r="C5" i="10"/>
  <c r="C4" i="10"/>
  <c r="C3" i="10"/>
  <c r="C50" i="9"/>
  <c r="D50" i="9" s="1"/>
  <c r="C46" i="9"/>
  <c r="D46" i="9" s="1"/>
  <c r="C42" i="9"/>
  <c r="D42" i="9" s="1"/>
  <c r="C38" i="9"/>
  <c r="D38" i="9" s="1"/>
  <c r="C34" i="9"/>
  <c r="D34" i="9" s="1"/>
  <c r="C30" i="9"/>
  <c r="D30" i="9" s="1"/>
  <c r="C26" i="9"/>
  <c r="D26" i="9" s="1"/>
  <c r="C22" i="9"/>
  <c r="D22" i="9" s="1"/>
  <c r="C18" i="9"/>
  <c r="D18" i="9" s="1"/>
  <c r="C14" i="9"/>
  <c r="D14" i="9" s="1"/>
  <c r="C10" i="9"/>
  <c r="D10" i="9" s="1"/>
  <c r="C6" i="9"/>
  <c r="D6" i="9" s="1"/>
  <c r="G4" i="9"/>
  <c r="C53" i="9" s="1"/>
  <c r="D53" i="9" s="1"/>
  <c r="L52" i="8"/>
  <c r="L51" i="8"/>
  <c r="L50" i="8"/>
  <c r="L49" i="8"/>
  <c r="L48" i="8"/>
  <c r="L47" i="8"/>
  <c r="L46" i="8"/>
  <c r="L45" i="8"/>
  <c r="L44" i="8"/>
  <c r="L43" i="8"/>
  <c r="L42" i="8"/>
  <c r="L41" i="8"/>
  <c r="L40" i="8"/>
  <c r="L39" i="8"/>
  <c r="L38" i="8"/>
  <c r="L37" i="8"/>
  <c r="L36" i="8"/>
  <c r="L35" i="8"/>
  <c r="L34" i="8"/>
  <c r="L33" i="8"/>
  <c r="L32" i="8"/>
  <c r="L31" i="8"/>
  <c r="L30" i="8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10" i="8"/>
  <c r="L9" i="8"/>
  <c r="L8" i="8"/>
  <c r="L7" i="8"/>
  <c r="L6" i="8"/>
  <c r="L5" i="8"/>
  <c r="B1" i="8"/>
  <c r="C1" i="8" s="1"/>
  <c r="B7" i="3" s="1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D53" i="5"/>
  <c r="C53" i="5"/>
  <c r="B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53" i="5" s="1"/>
  <c r="D56" i="4"/>
  <c r="E56" i="4" s="1"/>
  <c r="D55" i="4"/>
  <c r="E55" i="4" s="1"/>
  <c r="D54" i="4"/>
  <c r="E54" i="4" s="1"/>
  <c r="D53" i="4"/>
  <c r="E53" i="4" s="1"/>
  <c r="D52" i="4"/>
  <c r="E52" i="4" s="1"/>
  <c r="D51" i="4"/>
  <c r="E51" i="4" s="1"/>
  <c r="D50" i="4"/>
  <c r="E50" i="4" s="1"/>
  <c r="D49" i="4"/>
  <c r="E49" i="4" s="1"/>
  <c r="D48" i="4"/>
  <c r="E48" i="4" s="1"/>
  <c r="D47" i="4"/>
  <c r="E47" i="4" s="1"/>
  <c r="D46" i="4"/>
  <c r="E46" i="4" s="1"/>
  <c r="D45" i="4"/>
  <c r="E45" i="4" s="1"/>
  <c r="D44" i="4"/>
  <c r="E44" i="4" s="1"/>
  <c r="D43" i="4"/>
  <c r="E43" i="4" s="1"/>
  <c r="D42" i="4"/>
  <c r="E42" i="4" s="1"/>
  <c r="D41" i="4"/>
  <c r="E41" i="4" s="1"/>
  <c r="D40" i="4"/>
  <c r="E40" i="4" s="1"/>
  <c r="D39" i="4"/>
  <c r="E39" i="4" s="1"/>
  <c r="D38" i="4"/>
  <c r="E38" i="4" s="1"/>
  <c r="D37" i="4"/>
  <c r="E37" i="4" s="1"/>
  <c r="D36" i="4"/>
  <c r="E36" i="4" s="1"/>
  <c r="D35" i="4"/>
  <c r="E35" i="4" s="1"/>
  <c r="D34" i="4"/>
  <c r="E34" i="4" s="1"/>
  <c r="D33" i="4"/>
  <c r="E33" i="4" s="1"/>
  <c r="D32" i="4"/>
  <c r="E32" i="4" s="1"/>
  <c r="D31" i="4"/>
  <c r="E31" i="4" s="1"/>
  <c r="D30" i="4"/>
  <c r="E30" i="4" s="1"/>
  <c r="D29" i="4"/>
  <c r="E29" i="4" s="1"/>
  <c r="D28" i="4"/>
  <c r="E28" i="4" s="1"/>
  <c r="D27" i="4"/>
  <c r="E27" i="4" s="1"/>
  <c r="D26" i="4"/>
  <c r="E26" i="4" s="1"/>
  <c r="D25" i="4"/>
  <c r="E25" i="4" s="1"/>
  <c r="D24" i="4"/>
  <c r="E24" i="4" s="1"/>
  <c r="D23" i="4"/>
  <c r="E23" i="4" s="1"/>
  <c r="D22" i="4"/>
  <c r="E22" i="4" s="1"/>
  <c r="D21" i="4"/>
  <c r="E21" i="4" s="1"/>
  <c r="D20" i="4"/>
  <c r="E20" i="4" s="1"/>
  <c r="D19" i="4"/>
  <c r="E19" i="4" s="1"/>
  <c r="D18" i="4"/>
  <c r="E18" i="4" s="1"/>
  <c r="D17" i="4"/>
  <c r="E17" i="4" s="1"/>
  <c r="D16" i="4"/>
  <c r="E16" i="4" s="1"/>
  <c r="D15" i="4"/>
  <c r="E15" i="4" s="1"/>
  <c r="D14" i="4"/>
  <c r="E14" i="4" s="1"/>
  <c r="D13" i="4"/>
  <c r="E13" i="4" s="1"/>
  <c r="D12" i="4"/>
  <c r="E12" i="4" s="1"/>
  <c r="D11" i="4"/>
  <c r="E11" i="4" s="1"/>
  <c r="D10" i="4"/>
  <c r="E10" i="4" s="1"/>
  <c r="D9" i="4"/>
  <c r="E9" i="4" s="1"/>
  <c r="D8" i="4"/>
  <c r="E8" i="4" s="1"/>
  <c r="D7" i="4"/>
  <c r="E7" i="4" s="1"/>
  <c r="D6" i="4"/>
  <c r="E6" i="4" s="1"/>
  <c r="B2" i="1"/>
  <c r="A1" i="11" s="1"/>
  <c r="B25" i="3"/>
  <c r="B24" i="3"/>
  <c r="B23" i="3"/>
  <c r="B20" i="3"/>
  <c r="B4" i="3"/>
  <c r="E36" i="2"/>
  <c r="E37" i="2" s="1"/>
  <c r="B2" i="3" l="1"/>
  <c r="B14" i="3" s="1"/>
  <c r="A1" i="5"/>
  <c r="B1" i="5" s="1"/>
  <c r="B8" i="3" s="1"/>
  <c r="A1" i="6"/>
  <c r="B1" i="6" s="1"/>
  <c r="B9" i="3" s="1"/>
  <c r="A1" i="7"/>
  <c r="B1" i="7" s="1"/>
  <c r="B15" i="3" s="1"/>
  <c r="A1" i="9"/>
  <c r="B1" i="9" s="1"/>
  <c r="B10" i="3" s="1"/>
  <c r="B21" i="3" s="1"/>
  <c r="A1" i="10"/>
  <c r="H91" i="11"/>
  <c r="H69" i="11"/>
  <c r="H66" i="11"/>
  <c r="H94" i="11"/>
  <c r="H93" i="11"/>
  <c r="H70" i="11"/>
  <c r="H109" i="11"/>
  <c r="H101" i="11"/>
  <c r="H83" i="11"/>
  <c r="H71" i="11"/>
  <c r="B1" i="11"/>
  <c r="B6" i="3" s="1"/>
  <c r="C8" i="11"/>
  <c r="D8" i="11" s="1"/>
  <c r="C12" i="11"/>
  <c r="D12" i="11" s="1"/>
  <c r="C16" i="11"/>
  <c r="D16" i="11" s="1"/>
  <c r="C20" i="11"/>
  <c r="D20" i="11" s="1"/>
  <c r="C24" i="11"/>
  <c r="D24" i="11" s="1"/>
  <c r="C28" i="11"/>
  <c r="D28" i="11" s="1"/>
  <c r="C32" i="11"/>
  <c r="D32" i="11" s="1"/>
  <c r="C36" i="11"/>
  <c r="D36" i="11" s="1"/>
  <c r="C40" i="11"/>
  <c r="D40" i="11" s="1"/>
  <c r="C44" i="11"/>
  <c r="D44" i="11" s="1"/>
  <c r="C48" i="11"/>
  <c r="D48" i="11" s="1"/>
  <c r="C52" i="11"/>
  <c r="D52" i="11" s="1"/>
  <c r="C5" i="11"/>
  <c r="D5" i="11" s="1"/>
  <c r="C9" i="11"/>
  <c r="D9" i="11" s="1"/>
  <c r="C13" i="11"/>
  <c r="D13" i="11" s="1"/>
  <c r="C17" i="11"/>
  <c r="D17" i="11" s="1"/>
  <c r="C21" i="11"/>
  <c r="D21" i="11" s="1"/>
  <c r="C25" i="11"/>
  <c r="D25" i="11" s="1"/>
  <c r="C29" i="11"/>
  <c r="D29" i="11" s="1"/>
  <c r="C33" i="11"/>
  <c r="D33" i="11" s="1"/>
  <c r="C37" i="11"/>
  <c r="D37" i="11" s="1"/>
  <c r="C41" i="11"/>
  <c r="D41" i="11" s="1"/>
  <c r="C45" i="11"/>
  <c r="D45" i="11" s="1"/>
  <c r="C49" i="11"/>
  <c r="D49" i="11" s="1"/>
  <c r="C53" i="11"/>
  <c r="D53" i="11" s="1"/>
  <c r="C6" i="11"/>
  <c r="D6" i="11" s="1"/>
  <c r="C10" i="11"/>
  <c r="D10" i="11" s="1"/>
  <c r="C14" i="11"/>
  <c r="D14" i="11" s="1"/>
  <c r="C18" i="11"/>
  <c r="D18" i="11" s="1"/>
  <c r="C22" i="11"/>
  <c r="D22" i="11" s="1"/>
  <c r="C26" i="11"/>
  <c r="D26" i="11" s="1"/>
  <c r="C30" i="11"/>
  <c r="D30" i="11" s="1"/>
  <c r="C34" i="11"/>
  <c r="D34" i="11" s="1"/>
  <c r="C38" i="11"/>
  <c r="D38" i="11" s="1"/>
  <c r="C42" i="11"/>
  <c r="D42" i="11" s="1"/>
  <c r="C46" i="11"/>
  <c r="D46" i="11" s="1"/>
  <c r="C50" i="11"/>
  <c r="D50" i="11" s="1"/>
  <c r="C54" i="11"/>
  <c r="D54" i="11" s="1"/>
  <c r="C7" i="11"/>
  <c r="D7" i="11" s="1"/>
  <c r="C11" i="11"/>
  <c r="D11" i="11" s="1"/>
  <c r="C15" i="11"/>
  <c r="D15" i="11" s="1"/>
  <c r="C19" i="11"/>
  <c r="D19" i="11" s="1"/>
  <c r="C23" i="11"/>
  <c r="D23" i="11" s="1"/>
  <c r="C27" i="11"/>
  <c r="D27" i="11" s="1"/>
  <c r="C31" i="11"/>
  <c r="D31" i="11" s="1"/>
  <c r="C35" i="11"/>
  <c r="D35" i="11" s="1"/>
  <c r="C39" i="11"/>
  <c r="D39" i="11" s="1"/>
  <c r="C43" i="11"/>
  <c r="D43" i="11" s="1"/>
  <c r="C47" i="11"/>
  <c r="D47" i="11" s="1"/>
  <c r="C7" i="9"/>
  <c r="D7" i="9" s="1"/>
  <c r="C11" i="9"/>
  <c r="D11" i="9" s="1"/>
  <c r="C15" i="9"/>
  <c r="D15" i="9" s="1"/>
  <c r="C19" i="9"/>
  <c r="D19" i="9" s="1"/>
  <c r="C23" i="9"/>
  <c r="D23" i="9" s="1"/>
  <c r="C27" i="9"/>
  <c r="D27" i="9" s="1"/>
  <c r="C31" i="9"/>
  <c r="D31" i="9" s="1"/>
  <c r="C35" i="9"/>
  <c r="D35" i="9" s="1"/>
  <c r="C39" i="9"/>
  <c r="D39" i="9" s="1"/>
  <c r="C43" i="9"/>
  <c r="D43" i="9" s="1"/>
  <c r="C47" i="9"/>
  <c r="D47" i="9" s="1"/>
  <c r="C51" i="9"/>
  <c r="D51" i="9" s="1"/>
  <c r="C4" i="9"/>
  <c r="D4" i="9" s="1"/>
  <c r="C8" i="9"/>
  <c r="D8" i="9" s="1"/>
  <c r="C12" i="9"/>
  <c r="D12" i="9" s="1"/>
  <c r="C16" i="9"/>
  <c r="D16" i="9" s="1"/>
  <c r="C20" i="9"/>
  <c r="D20" i="9" s="1"/>
  <c r="C24" i="9"/>
  <c r="D24" i="9" s="1"/>
  <c r="C28" i="9"/>
  <c r="D28" i="9" s="1"/>
  <c r="C32" i="9"/>
  <c r="D32" i="9" s="1"/>
  <c r="C36" i="9"/>
  <c r="D36" i="9" s="1"/>
  <c r="C40" i="9"/>
  <c r="D40" i="9" s="1"/>
  <c r="C44" i="9"/>
  <c r="D44" i="9" s="1"/>
  <c r="C48" i="9"/>
  <c r="D48" i="9" s="1"/>
  <c r="C52" i="9"/>
  <c r="D52" i="9" s="1"/>
  <c r="C5" i="9"/>
  <c r="D5" i="9" s="1"/>
  <c r="C9" i="9"/>
  <c r="D9" i="9" s="1"/>
  <c r="C13" i="9"/>
  <c r="D13" i="9" s="1"/>
  <c r="C17" i="9"/>
  <c r="D17" i="9" s="1"/>
  <c r="C21" i="9"/>
  <c r="D21" i="9" s="1"/>
  <c r="C25" i="9"/>
  <c r="D25" i="9" s="1"/>
  <c r="C29" i="9"/>
  <c r="D29" i="9" s="1"/>
  <c r="C33" i="9"/>
  <c r="D33" i="9" s="1"/>
  <c r="C37" i="9"/>
  <c r="D37" i="9" s="1"/>
  <c r="C41" i="9"/>
  <c r="D41" i="9" s="1"/>
  <c r="C45" i="9"/>
  <c r="D45" i="9" s="1"/>
  <c r="C49" i="9"/>
  <c r="D49" i="9" s="1"/>
  <c r="B23" i="2"/>
  <c r="B1" i="10" l="1"/>
  <c r="B11" i="3" s="1"/>
  <c r="B19" i="3"/>
  <c r="E9" i="2"/>
  <c r="B22" i="2"/>
  <c r="B13" i="3"/>
  <c r="B12" i="3"/>
  <c r="B20" i="2"/>
  <c r="B21" i="2"/>
  <c r="B19" i="2"/>
  <c r="B18" i="2"/>
  <c r="B17" i="2"/>
  <c r="B17" i="3" l="1"/>
</calcChain>
</file>

<file path=xl/sharedStrings.xml><?xml version="1.0" encoding="utf-8"?>
<sst xmlns="http://schemas.openxmlformats.org/spreadsheetml/2006/main" count="1067" uniqueCount="282">
  <si>
    <t>Source:</t>
  </si>
  <si>
    <t>Solar, Wind, Biomass</t>
  </si>
  <si>
    <t>Hydropower</t>
  </si>
  <si>
    <t>National Renewable Energy Laboratory</t>
  </si>
  <si>
    <t>U.S. Renewable Energy Technical Potentials: A GIS-Based Analysis</t>
  </si>
  <si>
    <t>http://www.nrel.gov/docs/fy12osti/51946.pdf</t>
  </si>
  <si>
    <t>Page iv, Table ES-1</t>
  </si>
  <si>
    <t>Technology</t>
  </si>
  <si>
    <t>Potential Capacity (GW)</t>
  </si>
  <si>
    <t>Urban utility-scale PV</t>
  </si>
  <si>
    <t>Rural utility-scale PV</t>
  </si>
  <si>
    <t>Concentrating Solar</t>
  </si>
  <si>
    <t>Onshore wind</t>
  </si>
  <si>
    <t>Offshore wind</t>
  </si>
  <si>
    <t>Biopower</t>
  </si>
  <si>
    <t>Hydrothermal power systems</t>
  </si>
  <si>
    <t>Enhanced geothermal systems</t>
  </si>
  <si>
    <t>Rooftop PV</t>
  </si>
  <si>
    <t>The max potential hydropower estimate here is substantially lower than</t>
  </si>
  <si>
    <t>the actual deployed hydropower in the model's start year.  It is likely that</t>
  </si>
  <si>
    <t>this hydropower statistics is wrong, or is referring to a subset of total</t>
  </si>
  <si>
    <t>hydropower.  Accordingly, we use a different, better source for</t>
  </si>
  <si>
    <t>Hydro</t>
  </si>
  <si>
    <t>Total Potential</t>
  </si>
  <si>
    <t>Capacity (GW)</t>
  </si>
  <si>
    <t>Source</t>
  </si>
  <si>
    <t>Electricity Source (model subscript)</t>
  </si>
  <si>
    <t>Potential Capacity (MW)</t>
  </si>
  <si>
    <t>hydro</t>
  </si>
  <si>
    <t>biomass</t>
  </si>
  <si>
    <t>hydropower potential (above).</t>
  </si>
  <si>
    <t>Table ES-1 from NREL</t>
  </si>
  <si>
    <t>Red = not used in model</t>
  </si>
  <si>
    <t>solar PV</t>
  </si>
  <si>
    <t>solar thermal</t>
  </si>
  <si>
    <t>MPCbS Max Potential Capacity by Source</t>
  </si>
  <si>
    <t>nuclear</t>
  </si>
  <si>
    <t>Electricity Source</t>
  </si>
  <si>
    <t>Max Potential Capacity (MW)</t>
  </si>
  <si>
    <t>geothermal</t>
  </si>
  <si>
    <t>petroleum</t>
  </si>
  <si>
    <t>natural gas peaker</t>
  </si>
  <si>
    <t>Existing Fleet</t>
  </si>
  <si>
    <t>Modeled Potential - Upgrades and optimization of Existing Hydropower Plants</t>
  </si>
  <si>
    <t>Technical Potential - Powering of Non-Powered Dams</t>
  </si>
  <si>
    <t>Technical Potential - Powering Existing Canals and Conduits</t>
  </si>
  <si>
    <t>Technical Potential - New Stream-Reach Development</t>
  </si>
  <si>
    <t>See Table O3-3</t>
  </si>
  <si>
    <t>See Figure O3-8</t>
  </si>
  <si>
    <t>Figures O3-3 and O3-8</t>
  </si>
  <si>
    <t>https://energy.gov/sites/prod/files/2016/10/f33/Hydropower-Vision-Chapter-3-10212016.pdf</t>
  </si>
  <si>
    <t>US Department of Energy</t>
  </si>
  <si>
    <t>Chapter 3: Assessment of National Hydropower Potential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</si>
  <si>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</si>
  <si>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</si>
  <si>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</si>
  <si>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</si>
  <si>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</si>
  <si>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</si>
  <si>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</si>
  <si>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Municipal Solid Waste</t>
  </si>
  <si>
    <t>Maximums for coal, natural gas, and nuclear are not imposed,</t>
  </si>
  <si>
    <t>as these power types are unlikely to be</t>
  </si>
  <si>
    <t>geographically resource-constrained.</t>
  </si>
  <si>
    <t>(An arbitrarily high limit number is used on the next tab.)</t>
  </si>
  <si>
    <t>see elec/SYC</t>
  </si>
  <si>
    <t>MSW Tonnage Data for Year 2015</t>
  </si>
  <si>
    <t>U.S. MSW generated (million tons)</t>
  </si>
  <si>
    <t>U.S. MSW burned with energy recovery (million tons)</t>
  </si>
  <si>
    <t>U.S. MSW recycled (million tons)</t>
  </si>
  <si>
    <t>U.S. MSW composted (million tons)</t>
  </si>
  <si>
    <t>U.S. MSW landfilled (million tons)</t>
  </si>
  <si>
    <t>Combustible share of landfilled MSW</t>
  </si>
  <si>
    <t>Assumes metals, glass, and "other" waste types are not combustible.</t>
  </si>
  <si>
    <t>We assume burning materials that are today being recycled or composted is environmentally</t>
  </si>
  <si>
    <t>counter-productive and also un-economic, so we assume all potential increase in MSW combustion</t>
  </si>
  <si>
    <t>must come from the landfilled share of wastes.</t>
  </si>
  <si>
    <t>MSW Combustion growth potential (% increase)</t>
  </si>
  <si>
    <t>Start Year Capacity (MW)</t>
  </si>
  <si>
    <t>Max MSW Potential Capacity (MW)</t>
  </si>
  <si>
    <t>U.S. Environmental Protection Agency</t>
  </si>
  <si>
    <t>National Overview: Facts and Figures on Materials, Wastes and Recycling</t>
  </si>
  <si>
    <t>https://www.epa.gov/facts-and-figures-about-materials-waste-and-recycling/national-overview-facts-and-figures-materials</t>
  </si>
  <si>
    <t>U.S. EPA</t>
  </si>
  <si>
    <t>We also use start year MSW capacity from elec/SYC</t>
  </si>
  <si>
    <t>Notes:</t>
  </si>
  <si>
    <t>These maximums reflect the available resource potential for hydro, wind, solar, and biomass power.</t>
  </si>
  <si>
    <t>be geographically resource-constrained. (An arbitrarily high number is chosen here, to ensure</t>
  </si>
  <si>
    <t>natural gas steam turbine</t>
  </si>
  <si>
    <t>natural gas combined cycle</t>
  </si>
  <si>
    <t>Maximums for fossil fuels and nuclear are not imposed, as these power types are unlikely to</t>
  </si>
  <si>
    <t>this limit doesn't come into play for these electricity sources.)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</si>
  <si>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</si>
  <si>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</si>
  <si>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</si>
  <si>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</si>
  <si>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</si>
  <si>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</si>
  <si>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</si>
  <si>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Minnesota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</si>
  <si>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</si>
  <si>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</si>
  <si>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</si>
  <si>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</si>
  <si>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</si>
  <si>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</si>
  <si>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</si>
  <si>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</si>
  <si>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</si>
  <si>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</si>
  <si>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</si>
  <si>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</si>
  <si>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</si>
  <si>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</si>
  <si>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</si>
  <si>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</si>
  <si>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</si>
  <si>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</si>
  <si>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</si>
  <si>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</si>
  <si>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</si>
  <si>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</si>
  <si>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</si>
  <si>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</si>
  <si>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</si>
  <si>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</si>
  <si>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</si>
  <si>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</si>
  <si>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</si>
  <si>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</si>
  <si>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</si>
  <si>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</si>
  <si>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</si>
  <si>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</si>
  <si>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</si>
  <si>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</si>
  <si>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</si>
  <si>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</si>
  <si>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</si>
  <si>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</si>
  <si>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</si>
  <si>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</si>
  <si>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</si>
  <si>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</si>
  <si>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</si>
  <si>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</si>
  <si>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</si>
  <si>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</si>
  <si>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</si>
  <si>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</si>
  <si>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</si>
  <si>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</si>
  <si>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</si>
  <si>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</si>
  <si>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</si>
  <si>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</si>
  <si>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</si>
  <si>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</si>
  <si>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</si>
  <si>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</si>
  <si>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</si>
  <si>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</si>
  <si>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</si>
  <si>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</si>
  <si>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</si>
  <si>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</si>
  <si>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</si>
  <si>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</si>
  <si>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</si>
  <si>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</si>
  <si>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</si>
  <si>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</si>
  <si>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</si>
  <si>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</si>
  <si>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</si>
  <si>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</si>
  <si>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</si>
  <si>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</si>
  <si>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</si>
  <si>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</si>
  <si>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</si>
  <si>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</si>
  <si>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</si>
  <si>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</si>
  <si>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</si>
  <si>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</si>
  <si>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</si>
  <si>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</si>
  <si>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</si>
  <si>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</si>
  <si>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</si>
  <si>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</si>
  <si>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</si>
  <si>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</si>
  <si>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</si>
  <si>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</si>
  <si>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</si>
  <si>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</si>
  <si>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</si>
  <si>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</si>
  <si>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</si>
  <si>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</si>
  <si>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</si>
  <si>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</si>
  <si>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</si>
  <si>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Fraction</t>
  </si>
  <si>
    <t>United States</t>
  </si>
  <si>
    <t>Municipal Solid Waste (National</t>
  </si>
  <si>
    <t>Start Year Capacity National (MW)</t>
  </si>
  <si>
    <t>District of Columbia</t>
  </si>
  <si>
    <t>Subgroups may not sum to total due to rounding</t>
  </si>
  <si>
    <t>roof PV</t>
  </si>
  <si>
    <t>urban utility scale</t>
  </si>
  <si>
    <t>rural utility scale</t>
  </si>
  <si>
    <t>Total (MW)</t>
  </si>
  <si>
    <t>Total</t>
  </si>
  <si>
    <t>GW Conc Solar Capacity</t>
  </si>
  <si>
    <t>MW</t>
  </si>
  <si>
    <t>GW</t>
  </si>
  <si>
    <t>Capacity by Wind TRG Class (MW)</t>
  </si>
  <si>
    <t>https://windexchange.energy.gov/maps-data/321</t>
  </si>
  <si>
    <t>Biopower(GWh)</t>
  </si>
  <si>
    <t>Assumed Capacity: 70%</t>
  </si>
  <si>
    <t>Geothermal (GW)</t>
  </si>
  <si>
    <t>NA</t>
  </si>
  <si>
    <t>https://energy.hawaii.gov/wp-content/uploads/2016/12/2016-ERC.pdf</t>
  </si>
  <si>
    <t>NREL 2012 Study Data</t>
  </si>
  <si>
    <t>Because much of this data is &lt;1 GW, I use a 60% capacity</t>
  </si>
  <si>
    <t>60% Capacity</t>
  </si>
  <si>
    <t>(Low estimate)</t>
  </si>
  <si>
    <t>GWh</t>
  </si>
  <si>
    <t>GWh/GW</t>
  </si>
  <si>
    <t>NREL</t>
  </si>
  <si>
    <t>https://hydrosource.ornl.gov/hydropower-potential/new-stream-reach-development-resource-assessment</t>
  </si>
  <si>
    <t>Brief overview of hydropower potential by region</t>
  </si>
  <si>
    <t>additional capacity available</t>
  </si>
  <si>
    <t>Watershed region</t>
  </si>
  <si>
    <t>Watershed Region</t>
  </si>
  <si>
    <t>Potential Capacity</t>
  </si>
  <si>
    <t>Potentail Annual Generation</t>
  </si>
  <si>
    <t>Cap Factor</t>
  </si>
  <si>
    <t>States</t>
  </si>
  <si>
    <t>Even Split</t>
  </si>
  <si>
    <t>New England</t>
  </si>
  <si>
    <t>RI, NH, MA, ME, CT</t>
  </si>
  <si>
    <t>Mid Atlantic Region</t>
  </si>
  <si>
    <t>VT, NY, NJ, PA, MD, DE, VA</t>
  </si>
  <si>
    <t>Upper Colorado, Lower Colorado</t>
  </si>
  <si>
    <t>South Atlantic-Gulf</t>
  </si>
  <si>
    <t>MS,AL,GA,SC,NC,FL</t>
  </si>
  <si>
    <t>Great Lakes</t>
  </si>
  <si>
    <t>NY, OH, WI, MI</t>
  </si>
  <si>
    <t>OH, WV, PA, IN,KY, VA</t>
  </si>
  <si>
    <t>Lower Colorado</t>
  </si>
  <si>
    <t>TN, NC</t>
  </si>
  <si>
    <t>Upper Mississippi</t>
  </si>
  <si>
    <t>WI, MN, IL, IA, MO</t>
  </si>
  <si>
    <t>Lower Mississippi</t>
  </si>
  <si>
    <t xml:space="preserve">LA, MS, AR, </t>
  </si>
  <si>
    <t>Souris-Red-Rainy</t>
  </si>
  <si>
    <t>Half MN, Half ND</t>
  </si>
  <si>
    <t>MT,WY, ND, SD, NE,KS, MO, IA</t>
  </si>
  <si>
    <t>Texas-Gulf</t>
  </si>
  <si>
    <t>Rio Grande</t>
  </si>
  <si>
    <t>TX, NM</t>
  </si>
  <si>
    <t>Upper Colorado</t>
  </si>
  <si>
    <t>CO, WY, UT, AZ, NM</t>
  </si>
  <si>
    <t>AZ, NV, CA</t>
  </si>
  <si>
    <t>Great Basin</t>
  </si>
  <si>
    <t>NV,ID,UT</t>
  </si>
  <si>
    <t>Pacific Northwest</t>
  </si>
  <si>
    <t>WA,OR,ID,MT</t>
  </si>
  <si>
    <t>Souris, Upper Mississippi</t>
  </si>
  <si>
    <t>Lower Colorado, Great Basin</t>
  </si>
  <si>
    <t>South Atlantic-Gulf, Tennessee</t>
  </si>
  <si>
    <t>Great Lakes, Ohio</t>
  </si>
  <si>
    <t>Mid Atlantic Region, Ohio</t>
  </si>
  <si>
    <t>Rio Grande, Texas-Gulf</t>
  </si>
  <si>
    <t>Great Lakes, Upper Mississippi</t>
  </si>
  <si>
    <t>yes</t>
  </si>
  <si>
    <t>ban on new coal?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</si>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</sst>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%"/>
    <numFmt numFmtId="166" formatCode="#,##0.0000"/>
    <numFmt numFmtId="167" formatCode="0E+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Arial"/>
      <family val="2"/>
    </font>
    <font>
      <sz val="11"/>
      <color theme="1"/>
      <name val="Calibri"/>
      <family val="2"/>
    </font>
    <font>
      <b/>
      <sz val="11"/>
      <color rgb="FF403F41"/>
      <name val="Calibri"/>
      <family val="2"/>
    </font>
    <font>
      <sz val="11"/>
      <color rgb="FF403F41"/>
      <name val="Calibri"/>
      <family val="2"/>
    </font>
    <font>
      <sz val="11"/>
      <color theme="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2"/>
      <color theme="1"/>
      <name val="Calibri"/>
      <family val="2"/>
    </font>
    <font>
      <b/>
      <sz val="16"/>
      <color rgb="FF403F41"/>
      <name val="Calibri"/>
      <family val="2"/>
    </font>
    <font>
      <sz val="16"/>
      <color rgb="FF403F41"/>
      <name val="Calibri"/>
      <family val="2"/>
    </font>
    <font>
      <b/>
      <sz val="12"/>
      <color theme="1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u/>
      <sz val="11"/>
      <color theme="10"/>
      <name val="Arial"/>
      <family val="2"/>
    </font>
    <font>
      <sz val="10"/>
      <color rgb="FF000000"/>
      <name val="Arial"/>
      <family val="2"/>
    </font>
    <font>
      <sz val="11"/>
      <color rgb="FF444444"/>
      <name val="Arial"/>
      <family val="2"/>
    </font>
    <font>
      <sz val="12"/>
      <color rgb="FF000000"/>
      <name val="Calibri"/>
      <family val="2"/>
    </font>
    <font>
      <b/>
      <sz val="16"/>
      <color rgb="FF6B6B6B"/>
      <name val="Arial"/>
      <family val="2"/>
    </font>
    <font>
      <u/>
      <sz val="11"/>
      <color theme="10"/>
      <name val="Calibri"/>
      <family val="2"/>
    </font>
    <font>
      <sz val="16"/>
      <color rgb="FF6B6B6B"/>
      <name val="Arial"/>
      <family val="2"/>
    </font>
    <font>
      <sz val="12"/>
      <color theme="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FFF00"/>
        <bgColor rgb="FFFFFF00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</cellStyleXfs>
  <cellXfs count="83">
    <xf numFmtId="0" fontId="0" fillId="0" borderId="0" xfId="0"/>
    <xf numFmtId="0" fontId="2" fillId="0" borderId="0" xfId="0" applyFont="1"/>
    <xf numFmtId="0" fontId="2" fillId="2" borderId="0" xfId="0" applyFont="1" applyFill="1"/>
    <xf numFmtId="0" fontId="3" fillId="2" borderId="0" xfId="0" applyFont="1" applyFill="1"/>
    <xf numFmtId="0" fontId="0" fillId="0" borderId="0" xfId="0" applyAlignment="1">
      <alignment horizontal="left"/>
    </xf>
    <xf numFmtId="0" fontId="4" fillId="0" borderId="0" xfId="2"/>
    <xf numFmtId="3" fontId="0" fillId="0" borderId="0" xfId="0" applyNumberFormat="1"/>
    <xf numFmtId="0" fontId="2" fillId="2" borderId="0" xfId="0" applyFont="1" applyFill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0" fontId="0" fillId="3" borderId="0" xfId="0" applyFill="1"/>
    <xf numFmtId="0" fontId="0" fillId="4" borderId="0" xfId="0" applyFill="1"/>
    <xf numFmtId="1" fontId="0" fillId="0" borderId="0" xfId="0" applyNumberFormat="1" applyAlignment="1">
      <alignment horizontal="left"/>
    </xf>
    <xf numFmtId="165" fontId="0" fillId="0" borderId="0" xfId="1" applyNumberFormat="1" applyFont="1"/>
    <xf numFmtId="1" fontId="0" fillId="0" borderId="0" xfId="0" applyNumberFormat="1"/>
    <xf numFmtId="1" fontId="0" fillId="2" borderId="0" xfId="0" applyNumberFormat="1" applyFill="1" applyAlignment="1">
      <alignment horizontal="left"/>
    </xf>
    <xf numFmtId="2" fontId="0" fillId="0" borderId="0" xfId="0" applyNumberFormat="1"/>
    <xf numFmtId="165" fontId="5" fillId="0" borderId="0" xfId="1" applyNumberFormat="1" applyFont="1"/>
    <xf numFmtId="10" fontId="0" fillId="0" borderId="0" xfId="0" applyNumberFormat="1"/>
    <xf numFmtId="0" fontId="5" fillId="0" borderId="0" xfId="0" applyFont="1"/>
    <xf numFmtId="9" fontId="0" fillId="0" borderId="0" xfId="1" applyFont="1"/>
    <xf numFmtId="1" fontId="0" fillId="4" borderId="0" xfId="0" applyNumberFormat="1" applyFill="1"/>
    <xf numFmtId="0" fontId="6" fillId="0" borderId="0" xfId="0" applyFont="1" applyAlignment="1">
      <alignment vertical="center"/>
    </xf>
    <xf numFmtId="0" fontId="7" fillId="0" borderId="0" xfId="0" applyFont="1"/>
    <xf numFmtId="14" fontId="8" fillId="0" borderId="0" xfId="0" applyNumberFormat="1" applyFont="1"/>
    <xf numFmtId="0" fontId="9" fillId="0" borderId="0" xfId="0" applyFont="1" applyAlignment="1">
      <alignment vertical="center"/>
    </xf>
    <xf numFmtId="0" fontId="8" fillId="0" borderId="0" xfId="0" applyFont="1"/>
    <xf numFmtId="0" fontId="10" fillId="0" borderId="0" xfId="0" applyFont="1"/>
    <xf numFmtId="0" fontId="11" fillId="0" borderId="0" xfId="3"/>
    <xf numFmtId="0" fontId="8" fillId="5" borderId="0" xfId="3" applyFont="1" applyFill="1"/>
    <xf numFmtId="0" fontId="8" fillId="5" borderId="0" xfId="3" applyFont="1" applyFill="1" applyAlignment="1">
      <alignment horizontal="center"/>
    </xf>
    <xf numFmtId="0" fontId="8" fillId="0" borderId="0" xfId="3" applyFont="1" applyAlignment="1">
      <alignment horizontal="center"/>
    </xf>
    <xf numFmtId="0" fontId="8" fillId="0" borderId="0" xfId="3" applyFont="1"/>
    <xf numFmtId="0" fontId="8" fillId="7" borderId="0" xfId="3" applyFont="1" applyFill="1"/>
    <xf numFmtId="0" fontId="14" fillId="7" borderId="0" xfId="3" applyFont="1" applyFill="1"/>
    <xf numFmtId="3" fontId="14" fillId="7" borderId="0" xfId="3" applyNumberFormat="1" applyFont="1" applyFill="1" applyAlignment="1">
      <alignment horizontal="right"/>
    </xf>
    <xf numFmtId="3" fontId="14" fillId="0" borderId="0" xfId="3" applyNumberFormat="1" applyFont="1" applyAlignment="1">
      <alignment horizontal="right"/>
    </xf>
    <xf numFmtId="0" fontId="8" fillId="8" borderId="0" xfId="3" applyFont="1" applyFill="1"/>
    <xf numFmtId="3" fontId="8" fillId="5" borderId="0" xfId="3" applyNumberFormat="1" applyFont="1" applyFill="1" applyAlignment="1">
      <alignment horizontal="right"/>
    </xf>
    <xf numFmtId="166" fontId="8" fillId="0" borderId="0" xfId="3" applyNumberFormat="1" applyFont="1" applyAlignment="1">
      <alignment horizontal="right"/>
    </xf>
    <xf numFmtId="3" fontId="8" fillId="0" borderId="0" xfId="3" applyNumberFormat="1" applyFont="1" applyAlignment="1">
      <alignment horizontal="right"/>
    </xf>
    <xf numFmtId="0" fontId="8" fillId="7" borderId="0" xfId="3" applyFont="1" applyFill="1" applyAlignment="1">
      <alignment horizontal="center"/>
    </xf>
    <xf numFmtId="3" fontId="8" fillId="7" borderId="0" xfId="3" applyNumberFormat="1" applyFont="1" applyFill="1" applyAlignment="1">
      <alignment horizontal="right"/>
    </xf>
    <xf numFmtId="10" fontId="8" fillId="5" borderId="0" xfId="3" applyNumberFormat="1" applyFont="1" applyFill="1"/>
    <xf numFmtId="9" fontId="8" fillId="5" borderId="0" xfId="3" applyNumberFormat="1" applyFont="1" applyFill="1"/>
    <xf numFmtId="0" fontId="16" fillId="0" borderId="0" xfId="3" applyFont="1"/>
    <xf numFmtId="0" fontId="17" fillId="0" borderId="0" xfId="3" applyFont="1"/>
    <xf numFmtId="167" fontId="8" fillId="0" borderId="0" xfId="3" applyNumberFormat="1" applyFont="1"/>
    <xf numFmtId="0" fontId="18" fillId="0" borderId="0" xfId="3" applyFont="1"/>
    <xf numFmtId="1" fontId="8" fillId="0" borderId="0" xfId="3" applyNumberFormat="1" applyFont="1"/>
    <xf numFmtId="0" fontId="19" fillId="0" borderId="0" xfId="3" applyFont="1"/>
    <xf numFmtId="0" fontId="14" fillId="0" borderId="0" xfId="3" applyFont="1"/>
    <xf numFmtId="167" fontId="14" fillId="0" borderId="0" xfId="3" applyNumberFormat="1" applyFont="1"/>
    <xf numFmtId="0" fontId="20" fillId="0" borderId="1" xfId="3" applyFont="1" applyBorder="1" applyAlignment="1">
      <alignment horizontal="center" vertical="center"/>
    </xf>
    <xf numFmtId="0" fontId="20" fillId="0" borderId="5" xfId="3" applyFont="1" applyBorder="1" applyAlignment="1">
      <alignment vertical="center"/>
    </xf>
    <xf numFmtId="0" fontId="20" fillId="0" borderId="6" xfId="3" applyFont="1" applyBorder="1" applyAlignment="1">
      <alignment horizontal="center" vertical="center"/>
    </xf>
    <xf numFmtId="0" fontId="21" fillId="0" borderId="5" xfId="3" applyFont="1" applyBorder="1" applyAlignment="1">
      <alignment horizontal="center" vertical="center"/>
    </xf>
    <xf numFmtId="1" fontId="21" fillId="0" borderId="6" xfId="3" applyNumberFormat="1" applyFont="1" applyBorder="1" applyAlignment="1">
      <alignment horizontal="center" vertical="center"/>
    </xf>
    <xf numFmtId="0" fontId="22" fillId="0" borderId="0" xfId="3" applyFont="1"/>
    <xf numFmtId="3" fontId="23" fillId="0" borderId="0" xfId="3" applyNumberFormat="1" applyFont="1"/>
    <xf numFmtId="0" fontId="8" fillId="0" borderId="7" xfId="3" applyFont="1" applyBorder="1"/>
    <xf numFmtId="0" fontId="14" fillId="0" borderId="0" xfId="3" applyFont="1" applyAlignment="1">
      <alignment wrapText="1"/>
    </xf>
    <xf numFmtId="0" fontId="24" fillId="0" borderId="0" xfId="3" applyFont="1"/>
    <xf numFmtId="0" fontId="25" fillId="0" borderId="0" xfId="3" applyFont="1"/>
    <xf numFmtId="3" fontId="8" fillId="0" borderId="0" xfId="3" applyNumberFormat="1" applyFont="1"/>
    <xf numFmtId="0" fontId="26" fillId="0" borderId="0" xfId="3" applyFont="1"/>
    <xf numFmtId="0" fontId="27" fillId="0" borderId="0" xfId="3" applyFont="1"/>
    <xf numFmtId="0" fontId="28" fillId="0" borderId="0" xfId="3" applyFont="1"/>
    <xf numFmtId="3" fontId="28" fillId="0" borderId="0" xfId="3" applyNumberFormat="1" applyFont="1"/>
    <xf numFmtId="9" fontId="28" fillId="0" borderId="0" xfId="3" applyNumberFormat="1" applyFont="1"/>
    <xf numFmtId="9" fontId="16" fillId="0" borderId="0" xfId="3" applyNumberFormat="1" applyFont="1"/>
    <xf numFmtId="0" fontId="8" fillId="9" borderId="0" xfId="3" applyFont="1" applyFill="1"/>
    <xf numFmtId="0" fontId="29" fillId="0" borderId="0" xfId="3" applyFont="1"/>
    <xf numFmtId="0" fontId="8" fillId="0" borderId="0" xfId="3" applyFont="1" applyAlignment="1">
      <alignment wrapText="1"/>
    </xf>
    <xf numFmtId="0" fontId="15" fillId="5" borderId="0" xfId="3" applyFont="1" applyFill="1"/>
    <xf numFmtId="0" fontId="11" fillId="0" borderId="0" xfId="3"/>
    <xf numFmtId="0" fontId="12" fillId="5" borderId="0" xfId="3" applyFont="1" applyFill="1"/>
    <xf numFmtId="0" fontId="13" fillId="5" borderId="0" xfId="3" applyFont="1" applyFill="1" applyAlignment="1">
      <alignment horizontal="center"/>
    </xf>
    <xf numFmtId="0" fontId="14" fillId="5" borderId="0" xfId="3" applyFont="1" applyFill="1" applyAlignment="1">
      <alignment horizontal="center"/>
    </xf>
    <xf numFmtId="0" fontId="14" fillId="6" borderId="0" xfId="3" applyFont="1" applyFill="1" applyAlignment="1">
      <alignment horizontal="center"/>
    </xf>
    <xf numFmtId="0" fontId="20" fillId="0" borderId="2" xfId="3" applyFont="1" applyBorder="1" applyAlignment="1">
      <alignment horizontal="center" vertical="center"/>
    </xf>
    <xf numFmtId="0" fontId="7" fillId="0" borderId="3" xfId="3" applyFont="1" applyBorder="1"/>
    <xf numFmtId="0" fontId="7" fillId="0" borderId="4" xfId="3" applyFont="1" applyBorder="1"/>
  </cellXfs>
  <cellStyles count="4">
    <cellStyle name="Hyperlink" xfId="2" builtinId="8"/>
    <cellStyle name="Normal" xfId="0" builtinId="0"/>
    <cellStyle name="Normal 2" xfId="3" xr:uid="{F9E88143-1DE0-4009-9D0D-597BF38EF2DE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epa.gov/facts-and-figures-about-materials-waste-and-recycling/national-overview-facts-and-figures-materials" TargetMode="External"/><Relationship Id="rId1" Type="http://schemas.openxmlformats.org/officeDocument/2006/relationships/hyperlink" Target="http://www.nrel.gov/docs/fy12osti/51946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hydrosource.ornl.gov/hydropower-potential/new-stream-reach-development-resource-assessment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https://windexchange.energy.gov/maps-data/321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s://energy.hawaii.gov/wp-content/uploads/2016/12/2016-ERC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workbookViewId="0">
      <selection activeCell="B2" sqref="B2"/>
    </sheetView>
  </sheetViews>
  <sheetFormatPr defaultRowHeight="14.75" x14ac:dyDescent="0.75"/>
  <cols>
    <col min="2" max="2" width="60.86328125" customWidth="1"/>
  </cols>
  <sheetData>
    <row r="1" spans="1:9" x14ac:dyDescent="0.75">
      <c r="A1" s="1" t="s">
        <v>35</v>
      </c>
      <c r="B1" s="23" t="s">
        <v>156</v>
      </c>
      <c r="C1" s="24">
        <v>45376</v>
      </c>
      <c r="H1" s="25" t="s">
        <v>100</v>
      </c>
      <c r="I1" s="25" t="s">
        <v>100</v>
      </c>
    </row>
    <row r="2" spans="1:9" x14ac:dyDescent="0.75">
      <c r="B2" s="26" t="str">
        <f>LOOKUP(B1,H2:I51,I2:I51)</f>
        <v>NH</v>
      </c>
      <c r="H2" s="27" t="s">
        <v>101</v>
      </c>
      <c r="I2" s="27" t="s">
        <v>102</v>
      </c>
    </row>
    <row r="3" spans="1:9" x14ac:dyDescent="0.75">
      <c r="A3" s="1" t="s">
        <v>0</v>
      </c>
      <c r="B3" s="2" t="s">
        <v>1</v>
      </c>
      <c r="H3" s="27" t="s">
        <v>103</v>
      </c>
      <c r="I3" s="27" t="s">
        <v>104</v>
      </c>
    </row>
    <row r="4" spans="1:9" x14ac:dyDescent="0.75">
      <c r="B4" t="s">
        <v>3</v>
      </c>
      <c r="H4" s="27" t="s">
        <v>105</v>
      </c>
      <c r="I4" s="27" t="s">
        <v>106</v>
      </c>
    </row>
    <row r="5" spans="1:9" x14ac:dyDescent="0.75">
      <c r="B5" s="4">
        <v>2012</v>
      </c>
      <c r="H5" s="27" t="s">
        <v>107</v>
      </c>
      <c r="I5" s="27" t="s">
        <v>108</v>
      </c>
    </row>
    <row r="6" spans="1:9" x14ac:dyDescent="0.75">
      <c r="B6" t="s">
        <v>4</v>
      </c>
      <c r="H6" s="27" t="s">
        <v>109</v>
      </c>
      <c r="I6" s="27" t="s">
        <v>110</v>
      </c>
    </row>
    <row r="7" spans="1:9" x14ac:dyDescent="0.75">
      <c r="B7" s="5" t="s">
        <v>5</v>
      </c>
      <c r="H7" s="27" t="s">
        <v>111</v>
      </c>
      <c r="I7" s="27" t="s">
        <v>112</v>
      </c>
    </row>
    <row r="8" spans="1:9" x14ac:dyDescent="0.75">
      <c r="B8" t="s">
        <v>6</v>
      </c>
      <c r="H8" s="27" t="s">
        <v>113</v>
      </c>
      <c r="I8" s="27" t="s">
        <v>114</v>
      </c>
    </row>
    <row r="9" spans="1:9" x14ac:dyDescent="0.75">
      <c r="H9" s="27" t="s">
        <v>115</v>
      </c>
      <c r="I9" s="27" t="s">
        <v>116</v>
      </c>
    </row>
    <row r="10" spans="1:9" x14ac:dyDescent="0.75">
      <c r="B10" s="3" t="s">
        <v>2</v>
      </c>
      <c r="H10" s="27" t="s">
        <v>117</v>
      </c>
      <c r="I10" s="27" t="s">
        <v>118</v>
      </c>
    </row>
    <row r="11" spans="1:9" x14ac:dyDescent="0.75">
      <c r="B11" t="s">
        <v>51</v>
      </c>
      <c r="H11" s="27" t="s">
        <v>119</v>
      </c>
      <c r="I11" s="27" t="s">
        <v>120</v>
      </c>
    </row>
    <row r="12" spans="1:9" x14ac:dyDescent="0.75">
      <c r="B12" s="4">
        <v>2016</v>
      </c>
      <c r="H12" s="27" t="s">
        <v>121</v>
      </c>
      <c r="I12" s="27" t="s">
        <v>122</v>
      </c>
    </row>
    <row r="13" spans="1:9" x14ac:dyDescent="0.75">
      <c r="B13" t="s">
        <v>52</v>
      </c>
      <c r="H13" s="27" t="s">
        <v>123</v>
      </c>
      <c r="I13" s="27" t="s">
        <v>124</v>
      </c>
    </row>
    <row r="14" spans="1:9" x14ac:dyDescent="0.75">
      <c r="B14" s="5" t="s">
        <v>50</v>
      </c>
      <c r="H14" s="27" t="s">
        <v>125</v>
      </c>
      <c r="I14" s="27" t="s">
        <v>126</v>
      </c>
    </row>
    <row r="15" spans="1:9" x14ac:dyDescent="0.75">
      <c r="B15" t="s">
        <v>49</v>
      </c>
      <c r="H15" s="27" t="s">
        <v>127</v>
      </c>
      <c r="I15" s="27" t="s">
        <v>128</v>
      </c>
    </row>
    <row r="16" spans="1:9" x14ac:dyDescent="0.75">
      <c r="H16" s="27" t="s">
        <v>129</v>
      </c>
      <c r="I16" s="27" t="s">
        <v>130</v>
      </c>
    </row>
    <row r="17" spans="1:9" x14ac:dyDescent="0.75">
      <c r="B17" s="2" t="s">
        <v>60</v>
      </c>
      <c r="H17" s="27" t="s">
        <v>131</v>
      </c>
      <c r="I17" s="27" t="s">
        <v>132</v>
      </c>
    </row>
    <row r="18" spans="1:9" x14ac:dyDescent="0.75">
      <c r="B18" t="s">
        <v>80</v>
      </c>
      <c r="H18" s="27" t="s">
        <v>133</v>
      </c>
      <c r="I18" s="27" t="s">
        <v>134</v>
      </c>
    </row>
    <row r="19" spans="1:9" x14ac:dyDescent="0.75">
      <c r="B19" s="4">
        <v>2016</v>
      </c>
      <c r="H19" s="27" t="s">
        <v>135</v>
      </c>
      <c r="I19" s="27" t="s">
        <v>136</v>
      </c>
    </row>
    <row r="20" spans="1:9" x14ac:dyDescent="0.75">
      <c r="B20" t="s">
        <v>81</v>
      </c>
      <c r="H20" s="27" t="s">
        <v>137</v>
      </c>
      <c r="I20" s="27" t="s">
        <v>138</v>
      </c>
    </row>
    <row r="21" spans="1:9" x14ac:dyDescent="0.75">
      <c r="B21" s="5" t="s">
        <v>82</v>
      </c>
      <c r="H21" s="27" t="s">
        <v>139</v>
      </c>
      <c r="I21" s="27" t="s">
        <v>140</v>
      </c>
    </row>
    <row r="22" spans="1:9" x14ac:dyDescent="0.75">
      <c r="H22" s="27" t="s">
        <v>141</v>
      </c>
      <c r="I22" s="27" t="s">
        <v>142</v>
      </c>
    </row>
    <row r="23" spans="1:9" x14ac:dyDescent="0.75">
      <c r="B23" s="19" t="s">
        <v>84</v>
      </c>
      <c r="H23" s="27" t="s">
        <v>143</v>
      </c>
      <c r="I23" s="27" t="s">
        <v>144</v>
      </c>
    </row>
    <row r="24" spans="1:9" x14ac:dyDescent="0.75">
      <c r="H24" s="27" t="s">
        <v>99</v>
      </c>
      <c r="I24" s="27" t="s">
        <v>145</v>
      </c>
    </row>
    <row r="25" spans="1:9" x14ac:dyDescent="0.75">
      <c r="A25" s="1" t="s">
        <v>85</v>
      </c>
      <c r="H25" s="27" t="s">
        <v>146</v>
      </c>
      <c r="I25" s="27" t="s">
        <v>147</v>
      </c>
    </row>
    <row r="26" spans="1:9" x14ac:dyDescent="0.75">
      <c r="A26" t="s">
        <v>86</v>
      </c>
      <c r="H26" s="27" t="s">
        <v>148</v>
      </c>
      <c r="I26" s="27" t="s">
        <v>149</v>
      </c>
    </row>
    <row r="27" spans="1:9" x14ac:dyDescent="0.75">
      <c r="A27" t="s">
        <v>90</v>
      </c>
      <c r="H27" s="27" t="s">
        <v>150</v>
      </c>
      <c r="I27" s="27" t="s">
        <v>151</v>
      </c>
    </row>
    <row r="28" spans="1:9" x14ac:dyDescent="0.75">
      <c r="A28" t="s">
        <v>87</v>
      </c>
      <c r="H28" s="27" t="s">
        <v>152</v>
      </c>
      <c r="I28" s="27" t="s">
        <v>153</v>
      </c>
    </row>
    <row r="29" spans="1:9" x14ac:dyDescent="0.75">
      <c r="A29" t="s">
        <v>91</v>
      </c>
      <c r="H29" s="27" t="s">
        <v>154</v>
      </c>
      <c r="I29" s="27" t="s">
        <v>155</v>
      </c>
    </row>
    <row r="30" spans="1:9" x14ac:dyDescent="0.75">
      <c r="H30" s="27" t="s">
        <v>156</v>
      </c>
      <c r="I30" s="27" t="s">
        <v>157</v>
      </c>
    </row>
    <row r="31" spans="1:9" x14ac:dyDescent="0.75">
      <c r="H31" s="27" t="s">
        <v>158</v>
      </c>
      <c r="I31" s="27" t="s">
        <v>159</v>
      </c>
    </row>
    <row r="32" spans="1:9" x14ac:dyDescent="0.75">
      <c r="H32" s="27" t="s">
        <v>160</v>
      </c>
      <c r="I32" s="27" t="s">
        <v>161</v>
      </c>
    </row>
    <row r="33" spans="8:9" x14ac:dyDescent="0.75">
      <c r="H33" s="27" t="s">
        <v>162</v>
      </c>
      <c r="I33" s="27" t="s">
        <v>163</v>
      </c>
    </row>
    <row r="34" spans="8:9" x14ac:dyDescent="0.75">
      <c r="H34" s="27" t="s">
        <v>164</v>
      </c>
      <c r="I34" s="27" t="s">
        <v>165</v>
      </c>
    </row>
    <row r="35" spans="8:9" x14ac:dyDescent="0.75">
      <c r="H35" s="27" t="s">
        <v>166</v>
      </c>
      <c r="I35" s="27" t="s">
        <v>167</v>
      </c>
    </row>
    <row r="36" spans="8:9" x14ac:dyDescent="0.75">
      <c r="H36" s="27" t="s">
        <v>168</v>
      </c>
      <c r="I36" s="27" t="s">
        <v>169</v>
      </c>
    </row>
    <row r="37" spans="8:9" x14ac:dyDescent="0.75">
      <c r="H37" s="27" t="s">
        <v>170</v>
      </c>
      <c r="I37" s="27" t="s">
        <v>171</v>
      </c>
    </row>
    <row r="38" spans="8:9" x14ac:dyDescent="0.75">
      <c r="H38" s="27" t="s">
        <v>172</v>
      </c>
      <c r="I38" s="27" t="s">
        <v>173</v>
      </c>
    </row>
    <row r="39" spans="8:9" x14ac:dyDescent="0.75">
      <c r="H39" s="27" t="s">
        <v>174</v>
      </c>
      <c r="I39" s="27" t="s">
        <v>175</v>
      </c>
    </row>
    <row r="40" spans="8:9" x14ac:dyDescent="0.75">
      <c r="H40" s="27" t="s">
        <v>176</v>
      </c>
      <c r="I40" s="27" t="s">
        <v>177</v>
      </c>
    </row>
    <row r="41" spans="8:9" x14ac:dyDescent="0.75">
      <c r="H41" s="27" t="s">
        <v>178</v>
      </c>
      <c r="I41" s="27" t="s">
        <v>179</v>
      </c>
    </row>
    <row r="42" spans="8:9" x14ac:dyDescent="0.75">
      <c r="H42" s="27" t="s">
        <v>180</v>
      </c>
      <c r="I42" s="27" t="s">
        <v>181</v>
      </c>
    </row>
    <row r="43" spans="8:9" x14ac:dyDescent="0.75">
      <c r="H43" s="27" t="s">
        <v>182</v>
      </c>
      <c r="I43" s="27" t="s">
        <v>183</v>
      </c>
    </row>
    <row r="44" spans="8:9" x14ac:dyDescent="0.75">
      <c r="H44" s="27" t="s">
        <v>184</v>
      </c>
      <c r="I44" s="27" t="s">
        <v>185</v>
      </c>
    </row>
    <row r="45" spans="8:9" x14ac:dyDescent="0.75">
      <c r="H45" s="27" t="s">
        <v>186</v>
      </c>
      <c r="I45" s="27" t="s">
        <v>187</v>
      </c>
    </row>
    <row r="46" spans="8:9" x14ac:dyDescent="0.75">
      <c r="H46" s="27" t="s">
        <v>188</v>
      </c>
      <c r="I46" s="27" t="s">
        <v>189</v>
      </c>
    </row>
    <row r="47" spans="8:9" x14ac:dyDescent="0.75">
      <c r="H47" s="27" t="s">
        <v>190</v>
      </c>
      <c r="I47" s="27" t="s">
        <v>191</v>
      </c>
    </row>
    <row r="48" spans="8:9" x14ac:dyDescent="0.75">
      <c r="H48" s="27" t="s">
        <v>192</v>
      </c>
      <c r="I48" s="27" t="s">
        <v>193</v>
      </c>
    </row>
    <row r="49" spans="8:9" x14ac:dyDescent="0.75">
      <c r="H49" s="27" t="s">
        <v>194</v>
      </c>
      <c r="I49" s="27" t="s">
        <v>195</v>
      </c>
    </row>
    <row r="50" spans="8:9" x14ac:dyDescent="0.75">
      <c r="H50" s="27" t="s">
        <v>196</v>
      </c>
      <c r="I50" s="27" t="s">
        <v>197</v>
      </c>
    </row>
    <row r="51" spans="8:9" x14ac:dyDescent="0.75">
      <c r="H51" s="27" t="s">
        <v>198</v>
      </c>
      <c r="I51" s="27" t="s">
        <v>199</v>
      </c>
    </row>
  </sheetData>
  <hyperlinks>
    <hyperlink ref="B7" r:id="rId1" xr:uid="{00000000-0004-0000-0000-000000000000}"/>
    <hyperlink ref="B21" r:id="rId2" xr:uid="{00000000-0004-0000-0000-000001000000}"/>
  </hyperlinks>
  <pageMargins left="0.7" right="0.7" top="0.75" bottom="0.75" header="0.3" footer="0.3"/>
  <pageSetup orientation="portrait" horizontalDpi="1200" verticalDpi="1200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993D7-C303-48FF-99F6-02F9737AB03C}">
  <dimension ref="A1:Z1000"/>
  <sheetViews>
    <sheetView workbookViewId="0">
      <selection activeCell="I14" sqref="I14"/>
    </sheetView>
  </sheetViews>
  <sheetFormatPr defaultColWidth="14.40625" defaultRowHeight="15" customHeight="1" x14ac:dyDescent="0.65"/>
  <cols>
    <col min="1" max="1" width="13.7265625" style="28" customWidth="1"/>
    <col min="2" max="2" width="18.1328125" style="28" customWidth="1"/>
    <col min="3" max="3" width="23.40625" style="28" customWidth="1"/>
    <col min="4" max="4" width="8.7265625" style="28" customWidth="1"/>
    <col min="5" max="5" width="22.40625" style="28" customWidth="1"/>
    <col min="6" max="6" width="15.26953125" style="28" customWidth="1"/>
    <col min="7" max="7" width="11.86328125" style="28" customWidth="1"/>
    <col min="8" max="8" width="23.54296875" style="28" customWidth="1"/>
    <col min="9" max="9" width="23.86328125" style="28" customWidth="1"/>
    <col min="10" max="10" width="22.26953125" style="28" customWidth="1"/>
    <col min="11" max="11" width="21.1328125" style="28" customWidth="1"/>
    <col min="12" max="26" width="8.7265625" style="28" customWidth="1"/>
    <col min="27" max="16384" width="14.40625" style="28"/>
  </cols>
  <sheetData>
    <row r="1" spans="1:26" ht="14.75" x14ac:dyDescent="0.75">
      <c r="A1" s="32" t="str">
        <f>About!B2</f>
        <v>NH</v>
      </c>
      <c r="B1" s="32">
        <f>SUMIFS(D5:D54,A5:A54,A1)</f>
        <v>397.48858447488584</v>
      </c>
    </row>
    <row r="2" spans="1:26" ht="14.75" x14ac:dyDescent="0.75">
      <c r="A2" s="60" t="s">
        <v>226</v>
      </c>
      <c r="B2" s="60"/>
      <c r="C2" s="60"/>
      <c r="D2" s="60"/>
      <c r="E2" s="60"/>
      <c r="F2" s="60"/>
      <c r="I2" s="51"/>
    </row>
    <row r="3" spans="1:26" ht="14.75" x14ac:dyDescent="0.75">
      <c r="A3" s="32" t="s">
        <v>227</v>
      </c>
      <c r="F3" s="32" t="s">
        <v>228</v>
      </c>
      <c r="G3" s="32" t="s">
        <v>229</v>
      </c>
      <c r="I3" s="32"/>
    </row>
    <row r="4" spans="1:26" ht="14.75" x14ac:dyDescent="0.75">
      <c r="A4" s="51" t="s">
        <v>100</v>
      </c>
      <c r="B4" s="61" t="s">
        <v>230</v>
      </c>
      <c r="C4" s="51" t="s">
        <v>218</v>
      </c>
      <c r="D4" s="51" t="s">
        <v>217</v>
      </c>
      <c r="E4" s="51"/>
      <c r="F4" s="32">
        <f>8760*0.5</f>
        <v>4380</v>
      </c>
      <c r="G4" s="62" t="s">
        <v>231</v>
      </c>
      <c r="I4" s="32"/>
    </row>
    <row r="5" spans="1:26" ht="16" x14ac:dyDescent="0.8">
      <c r="A5" s="45" t="s">
        <v>102</v>
      </c>
      <c r="B5" s="32">
        <v>4103</v>
      </c>
      <c r="C5" s="32">
        <f t="shared" ref="C5:C54" si="0">B5/$F$4</f>
        <v>0.93675799086757994</v>
      </c>
      <c r="D5" s="32">
        <f t="shared" ref="D5:D54" si="1">C5*1000</f>
        <v>936.75799086757991</v>
      </c>
      <c r="I5" s="32"/>
    </row>
    <row r="6" spans="1:26" ht="16" x14ac:dyDescent="0.8">
      <c r="A6" s="45" t="s">
        <v>104</v>
      </c>
      <c r="B6" s="32">
        <v>23676</v>
      </c>
      <c r="C6" s="32">
        <f t="shared" si="0"/>
        <v>5.4054794520547942</v>
      </c>
      <c r="D6" s="32">
        <f t="shared" si="1"/>
        <v>5405.4794520547939</v>
      </c>
      <c r="I6" s="32"/>
    </row>
    <row r="7" spans="1:26" ht="16" x14ac:dyDescent="0.8">
      <c r="A7" s="45" t="s">
        <v>106</v>
      </c>
      <c r="B7" s="32">
        <v>1303</v>
      </c>
      <c r="C7" s="32">
        <f t="shared" si="0"/>
        <v>0.29748858447488585</v>
      </c>
      <c r="D7" s="32">
        <f t="shared" si="1"/>
        <v>297.48858447488584</v>
      </c>
      <c r="I7" s="32"/>
    </row>
    <row r="8" spans="1:26" ht="16" x14ac:dyDescent="0.8">
      <c r="A8" s="45" t="s">
        <v>108</v>
      </c>
      <c r="B8" s="32">
        <v>6093</v>
      </c>
      <c r="C8" s="32">
        <f t="shared" si="0"/>
        <v>1.3910958904109589</v>
      </c>
      <c r="D8" s="32">
        <f t="shared" si="1"/>
        <v>1391.0958904109589</v>
      </c>
      <c r="I8" s="32"/>
    </row>
    <row r="9" spans="1:26" ht="16" x14ac:dyDescent="0.8">
      <c r="A9" s="45" t="s">
        <v>110</v>
      </c>
      <c r="B9" s="32">
        <v>30024</v>
      </c>
      <c r="C9" s="32">
        <f t="shared" si="0"/>
        <v>6.8547945205479452</v>
      </c>
      <c r="D9" s="32">
        <f t="shared" si="1"/>
        <v>6854.7945205479455</v>
      </c>
      <c r="I9" s="32"/>
    </row>
    <row r="10" spans="1:26" ht="16" x14ac:dyDescent="0.8">
      <c r="A10" s="45" t="s">
        <v>112</v>
      </c>
      <c r="B10" s="32">
        <v>7789</v>
      </c>
      <c r="C10" s="32">
        <f t="shared" si="0"/>
        <v>1.7783105022831049</v>
      </c>
      <c r="D10" s="32">
        <f t="shared" si="1"/>
        <v>1778.3105022831051</v>
      </c>
      <c r="I10" s="32"/>
    </row>
    <row r="11" spans="1:26" ht="16" x14ac:dyDescent="0.8">
      <c r="A11" s="45" t="s">
        <v>114</v>
      </c>
      <c r="B11" s="32">
        <v>922</v>
      </c>
      <c r="C11" s="32">
        <f t="shared" si="0"/>
        <v>0.21050228310502284</v>
      </c>
      <c r="D11" s="32">
        <f t="shared" si="1"/>
        <v>210.50228310502283</v>
      </c>
      <c r="I11" s="32"/>
    </row>
    <row r="12" spans="1:26" ht="16" x14ac:dyDescent="0.8">
      <c r="A12" s="45" t="s">
        <v>116</v>
      </c>
      <c r="B12" s="32">
        <v>31</v>
      </c>
      <c r="C12" s="32">
        <f t="shared" si="0"/>
        <v>7.0776255707762558E-3</v>
      </c>
      <c r="D12" s="32">
        <f t="shared" si="1"/>
        <v>7.0776255707762559</v>
      </c>
      <c r="I12" s="32"/>
    </row>
    <row r="13" spans="1:26" ht="16" x14ac:dyDescent="0.8">
      <c r="A13" s="45" t="s">
        <v>118</v>
      </c>
      <c r="B13" s="32">
        <v>682</v>
      </c>
      <c r="C13" s="32">
        <f t="shared" si="0"/>
        <v>0.15570776255707763</v>
      </c>
      <c r="D13" s="32">
        <f t="shared" si="1"/>
        <v>155.70776255707764</v>
      </c>
      <c r="I13" s="32"/>
    </row>
    <row r="14" spans="1:26" ht="16" x14ac:dyDescent="0.8">
      <c r="A14" s="45" t="s">
        <v>120</v>
      </c>
      <c r="B14" s="32">
        <v>1988</v>
      </c>
      <c r="C14" s="32">
        <f t="shared" si="0"/>
        <v>0.45388127853881277</v>
      </c>
      <c r="D14" s="32">
        <f t="shared" si="1"/>
        <v>453.88127853881275</v>
      </c>
      <c r="I14" s="32"/>
    </row>
    <row r="15" spans="1:26" ht="16" x14ac:dyDescent="0.8">
      <c r="A15" s="45" t="s">
        <v>122</v>
      </c>
      <c r="B15" s="32">
        <v>2602</v>
      </c>
      <c r="C15" s="32">
        <f t="shared" si="0"/>
        <v>0.59406392694063925</v>
      </c>
      <c r="D15" s="32">
        <f t="shared" si="1"/>
        <v>594.06392694063925</v>
      </c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</row>
    <row r="16" spans="1:26" ht="16" x14ac:dyDescent="0.8">
      <c r="A16" s="45" t="s">
        <v>124</v>
      </c>
      <c r="B16" s="32">
        <v>18758</v>
      </c>
      <c r="C16" s="32">
        <f t="shared" si="0"/>
        <v>4.2826484018264841</v>
      </c>
      <c r="D16" s="32">
        <f t="shared" si="1"/>
        <v>4282.6484018264837</v>
      </c>
      <c r="G16" s="32"/>
      <c r="H16" s="32"/>
      <c r="I16" s="32"/>
      <c r="J16" s="63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</row>
    <row r="17" spans="1:26" ht="16" x14ac:dyDescent="0.8">
      <c r="A17" s="45" t="s">
        <v>126</v>
      </c>
      <c r="B17" s="32">
        <v>4883</v>
      </c>
      <c r="C17" s="32">
        <f t="shared" si="0"/>
        <v>1.1148401826484018</v>
      </c>
      <c r="D17" s="32">
        <f t="shared" si="1"/>
        <v>1114.8401826484019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</row>
    <row r="18" spans="1:26" ht="16" x14ac:dyDescent="0.8">
      <c r="A18" s="45" t="s">
        <v>128</v>
      </c>
      <c r="B18" s="63">
        <v>2394</v>
      </c>
      <c r="C18" s="32">
        <f t="shared" si="0"/>
        <v>0.54657534246575346</v>
      </c>
      <c r="D18" s="32">
        <f t="shared" si="1"/>
        <v>546.57534246575347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</row>
    <row r="19" spans="1:26" ht="16" x14ac:dyDescent="0.8">
      <c r="A19" s="45" t="s">
        <v>130</v>
      </c>
      <c r="B19" s="32">
        <v>2818</v>
      </c>
      <c r="C19" s="32">
        <f t="shared" si="0"/>
        <v>0.64337899543378996</v>
      </c>
      <c r="D19" s="32">
        <f t="shared" si="1"/>
        <v>643.37899543379001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</row>
    <row r="20" spans="1:26" ht="16" x14ac:dyDescent="0.8">
      <c r="A20" s="45" t="s">
        <v>132</v>
      </c>
      <c r="B20" s="32">
        <v>2508</v>
      </c>
      <c r="C20" s="32">
        <f t="shared" si="0"/>
        <v>0.57260273972602738</v>
      </c>
      <c r="D20" s="32">
        <f t="shared" si="1"/>
        <v>572.60273972602738</v>
      </c>
      <c r="I20" s="32"/>
    </row>
    <row r="21" spans="1:26" ht="15.75" customHeight="1" x14ac:dyDescent="0.8">
      <c r="A21" s="45" t="s">
        <v>134</v>
      </c>
      <c r="B21" s="32">
        <v>4255</v>
      </c>
      <c r="C21" s="32">
        <f t="shared" si="0"/>
        <v>0.97146118721461183</v>
      </c>
      <c r="D21" s="32">
        <f t="shared" si="1"/>
        <v>971.46118721461187</v>
      </c>
      <c r="I21" s="32"/>
    </row>
    <row r="22" spans="1:26" ht="15.75" customHeight="1" x14ac:dyDescent="0.8">
      <c r="A22" s="45" t="s">
        <v>136</v>
      </c>
      <c r="B22" s="32">
        <v>2423</v>
      </c>
      <c r="C22" s="32">
        <f t="shared" si="0"/>
        <v>0.55319634703196352</v>
      </c>
      <c r="D22" s="32">
        <f t="shared" si="1"/>
        <v>553.19634703196357</v>
      </c>
      <c r="I22" s="32"/>
    </row>
    <row r="23" spans="1:26" ht="15.75" customHeight="1" x14ac:dyDescent="0.8">
      <c r="A23" s="45" t="s">
        <v>138</v>
      </c>
      <c r="B23" s="32">
        <v>3916</v>
      </c>
      <c r="C23" s="32">
        <f t="shared" si="0"/>
        <v>0.8940639269406393</v>
      </c>
      <c r="D23" s="32">
        <f t="shared" si="1"/>
        <v>894.06392694063925</v>
      </c>
      <c r="I23" s="32"/>
    </row>
    <row r="24" spans="1:26" ht="15.75" customHeight="1" x14ac:dyDescent="0.8">
      <c r="A24" s="45" t="s">
        <v>140</v>
      </c>
      <c r="B24" s="32">
        <v>814</v>
      </c>
      <c r="C24" s="32">
        <f t="shared" si="0"/>
        <v>0.18584474885844748</v>
      </c>
      <c r="D24" s="32">
        <f t="shared" si="1"/>
        <v>185.84474885844747</v>
      </c>
      <c r="I24" s="32"/>
      <c r="J24" s="63"/>
    </row>
    <row r="25" spans="1:26" ht="15.75" customHeight="1" x14ac:dyDescent="0.8">
      <c r="A25" s="45" t="s">
        <v>142</v>
      </c>
      <c r="B25" s="32">
        <v>1197</v>
      </c>
      <c r="C25" s="32">
        <f t="shared" si="0"/>
        <v>0.27328767123287673</v>
      </c>
      <c r="D25" s="32">
        <f t="shared" si="1"/>
        <v>273.28767123287673</v>
      </c>
      <c r="I25" s="32"/>
      <c r="J25" s="45"/>
    </row>
    <row r="26" spans="1:26" ht="15.75" customHeight="1" x14ac:dyDescent="0.8">
      <c r="A26" s="45" t="s">
        <v>144</v>
      </c>
      <c r="B26" s="63">
        <v>1181</v>
      </c>
      <c r="C26" s="32">
        <f t="shared" si="0"/>
        <v>0.26963470319634703</v>
      </c>
      <c r="D26" s="32">
        <f t="shared" si="1"/>
        <v>269.634703196347</v>
      </c>
      <c r="I26" s="32"/>
    </row>
    <row r="27" spans="1:26" ht="15.75" customHeight="1" x14ac:dyDescent="0.8">
      <c r="A27" s="45" t="s">
        <v>145</v>
      </c>
      <c r="B27" s="45">
        <v>1255</v>
      </c>
      <c r="C27" s="32">
        <f t="shared" si="0"/>
        <v>0.2865296803652968</v>
      </c>
      <c r="D27" s="32">
        <f t="shared" si="1"/>
        <v>286.52968036529683</v>
      </c>
      <c r="I27" s="32"/>
    </row>
    <row r="28" spans="1:26" ht="15.75" customHeight="1" x14ac:dyDescent="0.8">
      <c r="A28" s="45" t="s">
        <v>147</v>
      </c>
      <c r="B28" s="32">
        <v>2211</v>
      </c>
      <c r="C28" s="32">
        <f t="shared" si="0"/>
        <v>0.50479452054794516</v>
      </c>
      <c r="D28" s="32">
        <f t="shared" si="1"/>
        <v>504.79452054794518</v>
      </c>
      <c r="I28" s="32"/>
    </row>
    <row r="29" spans="1:26" ht="15.75" customHeight="1" x14ac:dyDescent="0.8">
      <c r="A29" s="45" t="s">
        <v>149</v>
      </c>
      <c r="B29" s="32">
        <v>7198</v>
      </c>
      <c r="C29" s="32">
        <f t="shared" si="0"/>
        <v>1.6433789954337898</v>
      </c>
      <c r="D29" s="32">
        <f t="shared" si="1"/>
        <v>1643.3789954337899</v>
      </c>
      <c r="I29" s="32"/>
    </row>
    <row r="30" spans="1:26" ht="15.75" customHeight="1" x14ac:dyDescent="0.8">
      <c r="A30" s="45" t="s">
        <v>151</v>
      </c>
      <c r="B30" s="32">
        <v>14547</v>
      </c>
      <c r="C30" s="32">
        <f t="shared" si="0"/>
        <v>3.3212328767123287</v>
      </c>
      <c r="D30" s="32">
        <f t="shared" si="1"/>
        <v>3321.2328767123286</v>
      </c>
      <c r="I30" s="32"/>
    </row>
    <row r="31" spans="1:26" ht="15.75" customHeight="1" x14ac:dyDescent="0.8">
      <c r="A31" s="45" t="s">
        <v>153</v>
      </c>
      <c r="B31" s="32">
        <v>3142</v>
      </c>
      <c r="C31" s="32">
        <f t="shared" si="0"/>
        <v>0.71735159817351601</v>
      </c>
      <c r="D31" s="32">
        <f t="shared" si="1"/>
        <v>717.35159817351598</v>
      </c>
      <c r="I31" s="32"/>
    </row>
    <row r="32" spans="1:26" ht="15.75" customHeight="1" x14ac:dyDescent="0.8">
      <c r="A32" s="45" t="s">
        <v>155</v>
      </c>
      <c r="B32" s="32">
        <v>846</v>
      </c>
      <c r="C32" s="32">
        <f t="shared" si="0"/>
        <v>0.19315068493150686</v>
      </c>
      <c r="D32" s="32">
        <f t="shared" si="1"/>
        <v>193.15068493150687</v>
      </c>
      <c r="I32" s="32"/>
    </row>
    <row r="33" spans="1:10" ht="15.75" customHeight="1" x14ac:dyDescent="0.8">
      <c r="A33" s="45" t="s">
        <v>157</v>
      </c>
      <c r="B33" s="32">
        <v>1741</v>
      </c>
      <c r="C33" s="32">
        <f t="shared" si="0"/>
        <v>0.39748858447488583</v>
      </c>
      <c r="D33" s="32">
        <f t="shared" si="1"/>
        <v>397.48858447488584</v>
      </c>
      <c r="I33" s="32"/>
    </row>
    <row r="34" spans="1:10" ht="15.75" customHeight="1" x14ac:dyDescent="0.8">
      <c r="A34" s="45" t="s">
        <v>159</v>
      </c>
      <c r="B34" s="32">
        <v>549</v>
      </c>
      <c r="C34" s="32">
        <f t="shared" si="0"/>
        <v>0.12534246575342467</v>
      </c>
      <c r="D34" s="32">
        <f t="shared" si="1"/>
        <v>125.34246575342468</v>
      </c>
      <c r="I34" s="32"/>
    </row>
    <row r="35" spans="1:10" ht="15.75" customHeight="1" x14ac:dyDescent="0.8">
      <c r="A35" s="45" t="s">
        <v>161</v>
      </c>
      <c r="B35" s="32">
        <v>1363</v>
      </c>
      <c r="C35" s="32">
        <f t="shared" si="0"/>
        <v>0.31118721461187215</v>
      </c>
      <c r="D35" s="32">
        <f t="shared" si="1"/>
        <v>311.18721461187215</v>
      </c>
      <c r="I35" s="32"/>
    </row>
    <row r="36" spans="1:10" ht="15.75" customHeight="1" x14ac:dyDescent="0.8">
      <c r="A36" s="45" t="s">
        <v>163</v>
      </c>
      <c r="B36" s="32">
        <v>6711</v>
      </c>
      <c r="C36" s="32">
        <f t="shared" si="0"/>
        <v>1.5321917808219179</v>
      </c>
      <c r="D36" s="32">
        <f t="shared" si="1"/>
        <v>1532.191780821918</v>
      </c>
      <c r="I36" s="32"/>
    </row>
    <row r="37" spans="1:10" ht="15.75" customHeight="1" x14ac:dyDescent="0.8">
      <c r="A37" s="45" t="s">
        <v>165</v>
      </c>
      <c r="B37" s="32">
        <v>3037</v>
      </c>
      <c r="C37" s="32">
        <f t="shared" si="0"/>
        <v>0.69337899543379</v>
      </c>
      <c r="D37" s="32">
        <f t="shared" si="1"/>
        <v>693.37899543379001</v>
      </c>
      <c r="I37" s="32"/>
    </row>
    <row r="38" spans="1:10" ht="15.75" customHeight="1" x14ac:dyDescent="0.8">
      <c r="A38" s="45" t="s">
        <v>167</v>
      </c>
      <c r="B38" s="32">
        <v>347</v>
      </c>
      <c r="C38" s="32">
        <f t="shared" si="0"/>
        <v>7.9223744292237441E-2</v>
      </c>
      <c r="D38" s="32">
        <f t="shared" si="1"/>
        <v>79.223744292237441</v>
      </c>
      <c r="I38" s="32"/>
    </row>
    <row r="39" spans="1:10" ht="15.75" customHeight="1" x14ac:dyDescent="0.8">
      <c r="A39" s="45" t="s">
        <v>169</v>
      </c>
      <c r="B39" s="32">
        <v>3046</v>
      </c>
      <c r="C39" s="32">
        <f t="shared" si="0"/>
        <v>0.69543378995433791</v>
      </c>
      <c r="D39" s="32">
        <f t="shared" si="1"/>
        <v>695.43378995433795</v>
      </c>
      <c r="I39" s="32"/>
      <c r="J39" s="64"/>
    </row>
    <row r="40" spans="1:10" ht="15.75" customHeight="1" x14ac:dyDescent="0.8">
      <c r="A40" s="45" t="s">
        <v>171</v>
      </c>
      <c r="B40" s="32">
        <v>3016</v>
      </c>
      <c r="C40" s="32">
        <f t="shared" si="0"/>
        <v>0.68858447488584473</v>
      </c>
      <c r="D40" s="32">
        <f t="shared" si="1"/>
        <v>688.58447488584477</v>
      </c>
      <c r="I40" s="32"/>
    </row>
    <row r="41" spans="1:10" ht="15.75" customHeight="1" x14ac:dyDescent="0.8">
      <c r="A41" s="45" t="s">
        <v>173</v>
      </c>
      <c r="B41" s="64">
        <v>18184</v>
      </c>
      <c r="C41" s="32">
        <f t="shared" si="0"/>
        <v>4.1515981735159819</v>
      </c>
      <c r="D41" s="32">
        <f t="shared" si="1"/>
        <v>4151.5981735159821</v>
      </c>
      <c r="I41" s="32"/>
    </row>
    <row r="42" spans="1:10" ht="15.75" customHeight="1" x14ac:dyDescent="0.8">
      <c r="A42" s="45" t="s">
        <v>175</v>
      </c>
      <c r="B42" s="32">
        <v>8368</v>
      </c>
      <c r="C42" s="32">
        <f t="shared" si="0"/>
        <v>1.9105022831050229</v>
      </c>
      <c r="D42" s="32">
        <f t="shared" si="1"/>
        <v>1910.5022831050228</v>
      </c>
      <c r="I42" s="32"/>
    </row>
    <row r="43" spans="1:10" ht="15.75" customHeight="1" x14ac:dyDescent="0.8">
      <c r="A43" s="45" t="s">
        <v>177</v>
      </c>
      <c r="B43" s="32">
        <v>59</v>
      </c>
      <c r="C43" s="32">
        <f t="shared" si="0"/>
        <v>1.3470319634703196E-2</v>
      </c>
      <c r="D43" s="32">
        <f t="shared" si="1"/>
        <v>13.470319634703197</v>
      </c>
      <c r="I43" s="32"/>
    </row>
    <row r="44" spans="1:10" ht="15.75" customHeight="1" x14ac:dyDescent="0.8">
      <c r="A44" s="45" t="s">
        <v>179</v>
      </c>
      <c r="B44" s="32">
        <v>1889</v>
      </c>
      <c r="C44" s="32">
        <f t="shared" si="0"/>
        <v>0.43127853881278538</v>
      </c>
      <c r="D44" s="32">
        <f t="shared" si="1"/>
        <v>431.27853881278537</v>
      </c>
      <c r="I44" s="32"/>
    </row>
    <row r="45" spans="1:10" ht="15.75" customHeight="1" x14ac:dyDescent="0.8">
      <c r="A45" s="45" t="s">
        <v>181</v>
      </c>
      <c r="B45" s="32">
        <v>1047</v>
      </c>
      <c r="C45" s="32">
        <f t="shared" si="0"/>
        <v>0.23904109589041095</v>
      </c>
      <c r="D45" s="32">
        <f t="shared" si="1"/>
        <v>239.04109589041096</v>
      </c>
      <c r="I45" s="32"/>
    </row>
    <row r="46" spans="1:10" ht="15.75" customHeight="1" x14ac:dyDescent="0.8">
      <c r="A46" s="45" t="s">
        <v>183</v>
      </c>
      <c r="B46" s="32">
        <v>5745</v>
      </c>
      <c r="C46" s="32">
        <f t="shared" si="0"/>
        <v>1.3116438356164384</v>
      </c>
      <c r="D46" s="32">
        <f t="shared" si="1"/>
        <v>1311.6438356164383</v>
      </c>
      <c r="I46" s="32"/>
    </row>
    <row r="47" spans="1:10" ht="21" customHeight="1" x14ac:dyDescent="0.8">
      <c r="A47" s="45" t="s">
        <v>185</v>
      </c>
      <c r="B47" s="32">
        <v>3006</v>
      </c>
      <c r="C47" s="32">
        <f t="shared" si="0"/>
        <v>0.68630136986301371</v>
      </c>
      <c r="D47" s="32">
        <f t="shared" si="1"/>
        <v>686.30136986301375</v>
      </c>
      <c r="I47" s="32"/>
    </row>
    <row r="48" spans="1:10" ht="15.75" customHeight="1" x14ac:dyDescent="0.8">
      <c r="A48" s="45" t="s">
        <v>187</v>
      </c>
      <c r="B48" s="32">
        <v>3528</v>
      </c>
      <c r="C48" s="32">
        <f t="shared" si="0"/>
        <v>0.80547945205479454</v>
      </c>
      <c r="D48" s="32">
        <f t="shared" si="1"/>
        <v>805.47945205479459</v>
      </c>
      <c r="I48" s="32"/>
    </row>
    <row r="49" spans="1:13" ht="15.75" customHeight="1" x14ac:dyDescent="0.8">
      <c r="A49" s="45" t="s">
        <v>189</v>
      </c>
      <c r="B49" s="32">
        <v>1710</v>
      </c>
      <c r="C49" s="32">
        <f t="shared" si="0"/>
        <v>0.3904109589041096</v>
      </c>
      <c r="D49" s="32">
        <f t="shared" si="1"/>
        <v>390.41095890410958</v>
      </c>
      <c r="I49" s="32"/>
    </row>
    <row r="50" spans="1:13" ht="15.75" customHeight="1" x14ac:dyDescent="0.8">
      <c r="A50" s="45" t="s">
        <v>191</v>
      </c>
      <c r="B50" s="32">
        <v>3657</v>
      </c>
      <c r="C50" s="32">
        <f t="shared" si="0"/>
        <v>0.83493150684931505</v>
      </c>
      <c r="D50" s="32">
        <f t="shared" si="1"/>
        <v>834.93150684931504</v>
      </c>
      <c r="I50" s="32"/>
    </row>
    <row r="51" spans="1:13" ht="15.75" customHeight="1" x14ac:dyDescent="0.8">
      <c r="A51" s="45" t="s">
        <v>193</v>
      </c>
      <c r="B51" s="32">
        <v>27249</v>
      </c>
      <c r="C51" s="32">
        <f t="shared" si="0"/>
        <v>6.2212328767123291</v>
      </c>
      <c r="D51" s="32">
        <f t="shared" si="1"/>
        <v>6221.232876712329</v>
      </c>
      <c r="I51" s="32"/>
    </row>
    <row r="52" spans="1:13" ht="15.75" customHeight="1" x14ac:dyDescent="0.8">
      <c r="A52" s="45" t="s">
        <v>195</v>
      </c>
      <c r="B52" s="32">
        <v>4408</v>
      </c>
      <c r="C52" s="32">
        <f t="shared" si="0"/>
        <v>1.006392694063927</v>
      </c>
      <c r="D52" s="32">
        <f t="shared" si="1"/>
        <v>1006.3926940639269</v>
      </c>
      <c r="I52" s="60"/>
    </row>
    <row r="53" spans="1:13" ht="15.75" customHeight="1" x14ac:dyDescent="0.8">
      <c r="A53" s="45" t="s">
        <v>197</v>
      </c>
      <c r="B53" s="32">
        <v>2287</v>
      </c>
      <c r="C53" s="32">
        <f t="shared" si="0"/>
        <v>0.52214611872146122</v>
      </c>
      <c r="D53" s="32">
        <f t="shared" si="1"/>
        <v>522.14611872146122</v>
      </c>
    </row>
    <row r="54" spans="1:13" ht="15.75" customHeight="1" x14ac:dyDescent="0.8">
      <c r="A54" s="45" t="s">
        <v>199</v>
      </c>
      <c r="B54" s="32">
        <v>4445</v>
      </c>
      <c r="C54" s="32">
        <f t="shared" si="0"/>
        <v>1.0148401826484019</v>
      </c>
      <c r="D54" s="32">
        <f t="shared" si="1"/>
        <v>1014.8401826484019</v>
      </c>
    </row>
    <row r="55" spans="1:13" ht="15.75" customHeight="1" x14ac:dyDescent="0.8">
      <c r="A55" s="50"/>
    </row>
    <row r="56" spans="1:13" ht="15.75" customHeight="1" x14ac:dyDescent="0.65"/>
    <row r="57" spans="1:13" ht="15.75" customHeight="1" x14ac:dyDescent="0.65"/>
    <row r="58" spans="1:13" ht="15.75" customHeight="1" x14ac:dyDescent="0.9">
      <c r="I58" s="65"/>
      <c r="J58" s="65"/>
      <c r="K58" s="65"/>
      <c r="L58" s="65"/>
      <c r="M58" s="65"/>
    </row>
    <row r="59" spans="1:13" ht="15.75" customHeight="1" x14ac:dyDescent="0.85">
      <c r="I59" s="66"/>
      <c r="J59" s="67"/>
      <c r="K59" s="68"/>
      <c r="L59" s="68"/>
      <c r="M59" s="69"/>
    </row>
    <row r="60" spans="1:13" ht="15.75" customHeight="1" x14ac:dyDescent="0.85">
      <c r="I60" s="67"/>
      <c r="J60" s="68"/>
      <c r="K60" s="68"/>
      <c r="L60" s="69"/>
    </row>
    <row r="61" spans="1:13" ht="15.75" customHeight="1" x14ac:dyDescent="0.85">
      <c r="I61" s="66"/>
      <c r="J61" s="67"/>
      <c r="K61" s="68"/>
      <c r="L61" s="68"/>
      <c r="M61" s="69"/>
    </row>
    <row r="62" spans="1:13" ht="15.75" customHeight="1" x14ac:dyDescent="0.85">
      <c r="A62" s="32" t="s">
        <v>232</v>
      </c>
      <c r="B62" s="58" t="s">
        <v>233</v>
      </c>
      <c r="I62" s="67"/>
      <c r="J62" s="68"/>
      <c r="K62" s="68"/>
      <c r="L62" s="69"/>
    </row>
    <row r="63" spans="1:13" ht="15.75" customHeight="1" x14ac:dyDescent="0.85">
      <c r="A63" s="50" t="s">
        <v>234</v>
      </c>
      <c r="B63" s="45"/>
      <c r="C63" s="45"/>
      <c r="D63" s="45"/>
      <c r="E63" s="45"/>
      <c r="F63" s="45"/>
      <c r="G63" s="51" t="s">
        <v>100</v>
      </c>
      <c r="H63" s="61" t="s">
        <v>235</v>
      </c>
      <c r="I63" s="51" t="s">
        <v>236</v>
      </c>
      <c r="J63" s="67"/>
      <c r="K63" s="68"/>
      <c r="L63" s="68"/>
      <c r="M63" s="69"/>
    </row>
    <row r="64" spans="1:13" ht="15.75" customHeight="1" x14ac:dyDescent="0.85">
      <c r="A64" s="45" t="s">
        <v>237</v>
      </c>
      <c r="B64" s="45" t="s">
        <v>238</v>
      </c>
      <c r="C64" s="45" t="s">
        <v>239</v>
      </c>
      <c r="D64" s="45" t="s">
        <v>240</v>
      </c>
      <c r="E64" s="45" t="s">
        <v>241</v>
      </c>
      <c r="F64" s="45" t="s">
        <v>242</v>
      </c>
      <c r="G64" s="32" t="s">
        <v>101</v>
      </c>
      <c r="J64" s="68"/>
      <c r="K64" s="68"/>
      <c r="L64" s="69"/>
    </row>
    <row r="65" spans="1:13" ht="15.75" customHeight="1" x14ac:dyDescent="0.85">
      <c r="A65" s="45" t="s">
        <v>243</v>
      </c>
      <c r="B65" s="45">
        <f>1050+1093</f>
        <v>2143</v>
      </c>
      <c r="C65" s="45">
        <f>6161000 + 6272000</f>
        <v>12433000</v>
      </c>
      <c r="D65" s="70">
        <v>0.67</v>
      </c>
      <c r="E65" s="45" t="s">
        <v>244</v>
      </c>
      <c r="F65" s="32">
        <f>B65/5</f>
        <v>428.6</v>
      </c>
      <c r="G65" s="32" t="s">
        <v>103</v>
      </c>
      <c r="J65" s="67"/>
      <c r="K65" s="67"/>
      <c r="L65" s="68"/>
      <c r="M65" s="69"/>
    </row>
    <row r="66" spans="1:13" ht="15.75" customHeight="1" x14ac:dyDescent="0.85">
      <c r="A66" s="45" t="s">
        <v>245</v>
      </c>
      <c r="B66" s="45">
        <f>3043+1667</f>
        <v>4710</v>
      </c>
      <c r="C66" s="45">
        <f>16711000+9234000</f>
        <v>25945000</v>
      </c>
      <c r="D66" s="70">
        <v>0.63</v>
      </c>
      <c r="E66" s="45" t="s">
        <v>246</v>
      </c>
      <c r="F66" s="32">
        <f>B66/7</f>
        <v>672.85714285714289</v>
      </c>
      <c r="G66" s="71" t="s">
        <v>105</v>
      </c>
      <c r="H66" s="32">
        <f>F77+F78</f>
        <v>1477.6</v>
      </c>
      <c r="I66" s="32" t="s">
        <v>247</v>
      </c>
      <c r="J66" s="68"/>
      <c r="K66" s="68"/>
      <c r="L66" s="69"/>
    </row>
    <row r="67" spans="1:13" ht="15.75" customHeight="1" x14ac:dyDescent="0.85">
      <c r="A67" s="45" t="s">
        <v>248</v>
      </c>
      <c r="B67" s="45">
        <f>1389+1172</f>
        <v>2561</v>
      </c>
      <c r="C67" s="45">
        <f>7785000+6420000</f>
        <v>14205000</v>
      </c>
      <c r="D67" s="70">
        <v>0.64</v>
      </c>
      <c r="E67" s="45" t="s">
        <v>249</v>
      </c>
      <c r="F67" s="32">
        <f>B67/6</f>
        <v>426.83333333333331</v>
      </c>
      <c r="G67" s="32" t="s">
        <v>107</v>
      </c>
      <c r="J67" s="67"/>
      <c r="K67" s="68"/>
      <c r="L67" s="68"/>
      <c r="M67" s="69"/>
    </row>
    <row r="68" spans="1:13" ht="15.75" customHeight="1" x14ac:dyDescent="0.85">
      <c r="A68" s="45" t="s">
        <v>250</v>
      </c>
      <c r="B68" s="45">
        <f>1160+265</f>
        <v>1425</v>
      </c>
      <c r="C68" s="45">
        <f>1538000+6906000</f>
        <v>8444000</v>
      </c>
      <c r="D68" s="70">
        <v>0.68</v>
      </c>
      <c r="E68" s="45" t="s">
        <v>251</v>
      </c>
      <c r="F68" s="32">
        <f>B68/4</f>
        <v>356.25</v>
      </c>
      <c r="G68" s="32" t="s">
        <v>109</v>
      </c>
      <c r="J68" s="68"/>
      <c r="K68" s="68"/>
      <c r="L68" s="69"/>
    </row>
    <row r="69" spans="1:13" ht="15.75" customHeight="1" x14ac:dyDescent="0.85">
      <c r="A69" s="45" t="s">
        <v>168</v>
      </c>
      <c r="B69" s="45">
        <v>4757</v>
      </c>
      <c r="C69" s="45"/>
      <c r="D69" s="70">
        <v>0.61</v>
      </c>
      <c r="E69" s="45" t="s">
        <v>252</v>
      </c>
      <c r="F69" s="32">
        <f>B69/6</f>
        <v>792.83333333333337</v>
      </c>
      <c r="G69" s="71" t="s">
        <v>111</v>
      </c>
      <c r="H69" s="32">
        <f>F78</f>
        <v>871</v>
      </c>
      <c r="I69" s="32" t="s">
        <v>253</v>
      </c>
      <c r="J69" s="67"/>
      <c r="K69" s="67"/>
      <c r="L69" s="68"/>
      <c r="M69" s="69"/>
    </row>
    <row r="70" spans="1:13" ht="15.75" customHeight="1" x14ac:dyDescent="0.85">
      <c r="A70" s="45" t="s">
        <v>182</v>
      </c>
      <c r="B70" s="45">
        <v>1363</v>
      </c>
      <c r="C70" s="45"/>
      <c r="D70" s="70">
        <v>0.67</v>
      </c>
      <c r="E70" s="45" t="s">
        <v>254</v>
      </c>
      <c r="F70" s="32">
        <f>B70/2</f>
        <v>681.5</v>
      </c>
      <c r="G70" s="32" t="s">
        <v>113</v>
      </c>
      <c r="H70" s="32">
        <f>F66</f>
        <v>672.85714285714289</v>
      </c>
      <c r="I70" s="32" t="s">
        <v>243</v>
      </c>
      <c r="J70" s="67"/>
      <c r="K70" s="68"/>
      <c r="L70" s="69"/>
    </row>
    <row r="71" spans="1:13" ht="15.75" customHeight="1" x14ac:dyDescent="0.85">
      <c r="A71" s="45" t="s">
        <v>255</v>
      </c>
      <c r="B71" s="45">
        <v>2081</v>
      </c>
      <c r="C71" s="45"/>
      <c r="D71" s="70">
        <v>0.65</v>
      </c>
      <c r="E71" s="45" t="s">
        <v>256</v>
      </c>
      <c r="F71" s="32">
        <f>B71/5</f>
        <v>416.2</v>
      </c>
      <c r="G71" s="32" t="s">
        <v>115</v>
      </c>
      <c r="H71" s="32">
        <f>F66</f>
        <v>672.85714285714289</v>
      </c>
      <c r="I71" s="32" t="s">
        <v>245</v>
      </c>
      <c r="J71" s="67"/>
      <c r="K71" s="68"/>
      <c r="L71" s="68"/>
      <c r="M71" s="69"/>
    </row>
    <row r="72" spans="1:13" ht="15.75" customHeight="1" x14ac:dyDescent="0.85">
      <c r="A72" s="45" t="s">
        <v>257</v>
      </c>
      <c r="B72" s="45">
        <f>1741+331</f>
        <v>2072</v>
      </c>
      <c r="C72" s="45"/>
      <c r="D72" s="70">
        <v>0.68</v>
      </c>
      <c r="E72" s="45" t="s">
        <v>258</v>
      </c>
      <c r="F72" s="32">
        <f>B72/3</f>
        <v>690.66666666666663</v>
      </c>
      <c r="G72" s="71" t="s">
        <v>117</v>
      </c>
      <c r="H72" s="32">
        <f>M126</f>
        <v>0</v>
      </c>
      <c r="I72" s="45" t="s">
        <v>248</v>
      </c>
      <c r="J72" s="68"/>
      <c r="K72" s="68"/>
      <c r="L72" s="69"/>
    </row>
    <row r="73" spans="1:13" ht="15.75" customHeight="1" x14ac:dyDescent="0.85">
      <c r="A73" s="45" t="s">
        <v>259</v>
      </c>
      <c r="B73" s="45">
        <f>68+82</f>
        <v>150</v>
      </c>
      <c r="C73" s="45"/>
      <c r="D73" s="70">
        <v>0.63</v>
      </c>
      <c r="E73" s="45" t="s">
        <v>260</v>
      </c>
      <c r="F73" s="32">
        <f>B73/2</f>
        <v>75</v>
      </c>
      <c r="G73" s="32" t="s">
        <v>119</v>
      </c>
      <c r="J73" s="67"/>
      <c r="K73" s="68"/>
      <c r="L73" s="68"/>
      <c r="M73" s="69"/>
    </row>
    <row r="74" spans="1:13" ht="15.75" customHeight="1" x14ac:dyDescent="0.85">
      <c r="A74" s="45" t="s">
        <v>148</v>
      </c>
      <c r="B74" s="45">
        <f>3027+8659</f>
        <v>11686</v>
      </c>
      <c r="C74" s="45"/>
      <c r="D74" s="70">
        <v>0.68</v>
      </c>
      <c r="E74" s="45" t="s">
        <v>261</v>
      </c>
      <c r="F74" s="32">
        <f>B74/7</f>
        <v>1669.4285714285713</v>
      </c>
      <c r="G74" s="32" t="s">
        <v>121</v>
      </c>
      <c r="J74" s="67"/>
      <c r="K74" s="68"/>
      <c r="L74" s="69"/>
    </row>
    <row r="75" spans="1:13" ht="15.75" customHeight="1" x14ac:dyDescent="0.85">
      <c r="A75" s="45" t="s">
        <v>262</v>
      </c>
      <c r="B75" s="45">
        <f>395+388</f>
        <v>783</v>
      </c>
      <c r="C75" s="45"/>
      <c r="D75" s="70">
        <v>0.66</v>
      </c>
      <c r="E75" s="45" t="s">
        <v>185</v>
      </c>
      <c r="F75" s="32">
        <f>B75</f>
        <v>783</v>
      </c>
      <c r="G75" s="32" t="s">
        <v>123</v>
      </c>
      <c r="J75" s="67"/>
      <c r="K75" s="67"/>
      <c r="L75" s="68"/>
      <c r="M75" s="69"/>
    </row>
    <row r="76" spans="1:13" ht="15.75" customHeight="1" x14ac:dyDescent="0.85">
      <c r="A76" s="45" t="s">
        <v>263</v>
      </c>
      <c r="B76" s="45">
        <f>1336+301</f>
        <v>1637</v>
      </c>
      <c r="C76" s="45"/>
      <c r="D76" s="70">
        <v>0.55000000000000004</v>
      </c>
      <c r="E76" s="45" t="s">
        <v>264</v>
      </c>
      <c r="F76" s="32">
        <f>B76/2</f>
        <v>818.5</v>
      </c>
      <c r="G76" s="71" t="s">
        <v>125</v>
      </c>
      <c r="H76" s="32">
        <f>F71</f>
        <v>416.2</v>
      </c>
      <c r="I76" s="45" t="s">
        <v>255</v>
      </c>
      <c r="J76" s="67"/>
      <c r="K76" s="68"/>
      <c r="L76" s="69"/>
    </row>
    <row r="77" spans="1:13" ht="15.75" customHeight="1" x14ac:dyDescent="0.85">
      <c r="A77" s="45" t="s">
        <v>265</v>
      </c>
      <c r="B77" s="45">
        <f>1942+1091</f>
        <v>3033</v>
      </c>
      <c r="C77" s="45"/>
      <c r="D77" s="70">
        <v>0.66</v>
      </c>
      <c r="E77" s="45" t="s">
        <v>266</v>
      </c>
      <c r="F77" s="32">
        <f>B77/5</f>
        <v>606.6</v>
      </c>
      <c r="G77" s="71" t="s">
        <v>127</v>
      </c>
      <c r="H77" s="63">
        <v>792.83333330000005</v>
      </c>
      <c r="I77" s="32" t="s">
        <v>168</v>
      </c>
      <c r="J77" s="67"/>
      <c r="K77" s="68"/>
      <c r="L77" s="68"/>
      <c r="M77" s="69"/>
    </row>
    <row r="78" spans="1:13" ht="15.75" customHeight="1" x14ac:dyDescent="0.85">
      <c r="A78" s="45" t="s">
        <v>253</v>
      </c>
      <c r="B78" s="45">
        <f>2166+447</f>
        <v>2613</v>
      </c>
      <c r="C78" s="45"/>
      <c r="D78" s="70">
        <v>0.7</v>
      </c>
      <c r="E78" s="45" t="s">
        <v>267</v>
      </c>
      <c r="F78" s="32">
        <f t="shared" ref="F78:F79" si="2">B78/3</f>
        <v>871</v>
      </c>
      <c r="G78" s="32" t="s">
        <v>129</v>
      </c>
      <c r="J78" s="68"/>
      <c r="K78" s="68"/>
      <c r="L78" s="69"/>
    </row>
    <row r="79" spans="1:13" ht="15.75" customHeight="1" x14ac:dyDescent="0.85">
      <c r="A79" s="45" t="s">
        <v>268</v>
      </c>
      <c r="B79" s="45">
        <f>148+416</f>
        <v>564</v>
      </c>
      <c r="C79" s="45"/>
      <c r="D79" s="70">
        <v>0.65</v>
      </c>
      <c r="E79" s="45" t="s">
        <v>269</v>
      </c>
      <c r="F79" s="32">
        <f t="shared" si="2"/>
        <v>188</v>
      </c>
      <c r="G79" s="32" t="s">
        <v>131</v>
      </c>
      <c r="J79" s="67"/>
      <c r="K79" s="68"/>
      <c r="L79" s="68"/>
      <c r="M79" s="69"/>
    </row>
    <row r="80" spans="1:13" ht="15.75" customHeight="1" x14ac:dyDescent="0.85">
      <c r="A80" s="45" t="s">
        <v>270</v>
      </c>
      <c r="B80" s="45">
        <f>15997+9228</f>
        <v>25225</v>
      </c>
      <c r="C80" s="45"/>
      <c r="D80" s="70">
        <v>0.69</v>
      </c>
      <c r="E80" s="45" t="s">
        <v>271</v>
      </c>
      <c r="F80" s="32">
        <f>B80/4</f>
        <v>6306.25</v>
      </c>
      <c r="G80" s="32" t="s">
        <v>133</v>
      </c>
      <c r="J80" s="68"/>
      <c r="K80" s="68"/>
      <c r="L80" s="69"/>
    </row>
    <row r="81" spans="1:13" ht="15.75" customHeight="1" x14ac:dyDescent="0.85">
      <c r="A81" s="45" t="s">
        <v>109</v>
      </c>
      <c r="B81" s="45">
        <f>4029+3025</f>
        <v>7054</v>
      </c>
      <c r="C81" s="45"/>
      <c r="D81" s="70">
        <v>0.63</v>
      </c>
      <c r="E81" s="72" t="s">
        <v>110</v>
      </c>
      <c r="F81" s="32">
        <f t="shared" ref="F81:F83" si="3">B81</f>
        <v>7054</v>
      </c>
      <c r="G81" s="32" t="s">
        <v>135</v>
      </c>
      <c r="J81" s="67"/>
      <c r="K81" s="67"/>
      <c r="L81" s="68"/>
      <c r="M81" s="69"/>
    </row>
    <row r="82" spans="1:13" ht="15.75" customHeight="1" x14ac:dyDescent="0.85">
      <c r="A82" s="45" t="s">
        <v>103</v>
      </c>
      <c r="B82" s="45">
        <v>4723</v>
      </c>
      <c r="C82" s="45"/>
      <c r="D82" s="45" t="s">
        <v>224</v>
      </c>
      <c r="E82" s="45"/>
      <c r="F82" s="32">
        <f t="shared" si="3"/>
        <v>4723</v>
      </c>
      <c r="G82" s="71" t="s">
        <v>137</v>
      </c>
      <c r="H82" s="32">
        <f t="shared" ref="H82:H83" si="4">F65</f>
        <v>428.6</v>
      </c>
      <c r="I82" s="32" t="s">
        <v>243</v>
      </c>
      <c r="J82" s="67"/>
      <c r="K82" s="68"/>
      <c r="L82" s="69"/>
    </row>
    <row r="83" spans="1:13" ht="15.75" customHeight="1" x14ac:dyDescent="0.85">
      <c r="A83" s="45" t="s">
        <v>121</v>
      </c>
      <c r="B83" s="45">
        <v>145</v>
      </c>
      <c r="C83" s="45"/>
      <c r="D83" s="70">
        <v>0.53</v>
      </c>
      <c r="E83" s="45" t="s">
        <v>122</v>
      </c>
      <c r="F83" s="32">
        <f t="shared" si="3"/>
        <v>145</v>
      </c>
      <c r="G83" s="71" t="s">
        <v>139</v>
      </c>
      <c r="H83" s="32">
        <f t="shared" si="4"/>
        <v>672.85714285714289</v>
      </c>
      <c r="I83" s="32" t="s">
        <v>245</v>
      </c>
      <c r="J83" s="67"/>
      <c r="K83" s="68"/>
      <c r="L83" s="68"/>
      <c r="M83" s="69"/>
    </row>
    <row r="84" spans="1:13" ht="15.75" customHeight="1" x14ac:dyDescent="0.85">
      <c r="G84" s="32" t="s">
        <v>141</v>
      </c>
      <c r="I84" s="32" t="s">
        <v>243</v>
      </c>
      <c r="J84" s="67"/>
      <c r="K84" s="68"/>
      <c r="L84" s="69"/>
    </row>
    <row r="85" spans="1:13" ht="15.75" customHeight="1" x14ac:dyDescent="0.85">
      <c r="G85" s="71" t="s">
        <v>143</v>
      </c>
      <c r="H85" s="63">
        <f>F68</f>
        <v>356.25</v>
      </c>
      <c r="I85" s="45" t="s">
        <v>250</v>
      </c>
      <c r="J85" s="67"/>
      <c r="K85" s="68"/>
      <c r="L85" s="68"/>
      <c r="M85" s="69"/>
    </row>
    <row r="86" spans="1:13" ht="15.75" customHeight="1" x14ac:dyDescent="0.85">
      <c r="G86" s="71" t="s">
        <v>99</v>
      </c>
      <c r="H86" s="45">
        <f>F73+F71</f>
        <v>491.2</v>
      </c>
      <c r="I86" s="32" t="s">
        <v>272</v>
      </c>
      <c r="J86" s="68"/>
      <c r="K86" s="68"/>
      <c r="L86" s="69"/>
    </row>
    <row r="87" spans="1:13" ht="15.75" customHeight="1" x14ac:dyDescent="0.85">
      <c r="G87" s="32" t="s">
        <v>146</v>
      </c>
      <c r="J87" s="67"/>
      <c r="K87" s="68"/>
      <c r="L87" s="68"/>
      <c r="M87" s="69"/>
    </row>
    <row r="88" spans="1:13" ht="15.75" customHeight="1" x14ac:dyDescent="0.85">
      <c r="G88" s="32" t="s">
        <v>148</v>
      </c>
      <c r="J88" s="67"/>
      <c r="K88" s="68"/>
      <c r="L88" s="69"/>
    </row>
    <row r="89" spans="1:13" ht="15.75" customHeight="1" x14ac:dyDescent="0.85">
      <c r="G89" s="32" t="s">
        <v>150</v>
      </c>
      <c r="J89" s="67"/>
      <c r="K89" s="67"/>
      <c r="L89" s="68"/>
      <c r="M89" s="69"/>
    </row>
    <row r="90" spans="1:13" ht="15.75" customHeight="1" x14ac:dyDescent="0.85">
      <c r="G90" s="32" t="s">
        <v>152</v>
      </c>
      <c r="J90" s="67"/>
      <c r="K90" s="68"/>
      <c r="L90" s="69"/>
    </row>
    <row r="91" spans="1:13" ht="15.75" customHeight="1" x14ac:dyDescent="0.85">
      <c r="G91" s="71" t="s">
        <v>154</v>
      </c>
      <c r="H91" s="32">
        <f>F78+F79</f>
        <v>1059</v>
      </c>
      <c r="I91" s="32" t="s">
        <v>273</v>
      </c>
      <c r="J91" s="67"/>
      <c r="K91" s="68"/>
      <c r="L91" s="68"/>
      <c r="M91" s="69"/>
    </row>
    <row r="92" spans="1:13" ht="15.75" customHeight="1" x14ac:dyDescent="0.85">
      <c r="G92" s="32" t="s">
        <v>156</v>
      </c>
      <c r="I92" s="32" t="s">
        <v>243</v>
      </c>
      <c r="J92" s="68"/>
      <c r="K92" s="68"/>
      <c r="L92" s="69"/>
    </row>
    <row r="93" spans="1:13" ht="15.75" customHeight="1" x14ac:dyDescent="0.85">
      <c r="G93" s="71" t="s">
        <v>158</v>
      </c>
      <c r="H93" s="32">
        <f>F66</f>
        <v>672.85714285714289</v>
      </c>
      <c r="I93" s="32" t="s">
        <v>245</v>
      </c>
      <c r="J93" s="67"/>
      <c r="K93" s="68"/>
      <c r="L93" s="68"/>
      <c r="M93" s="69"/>
    </row>
    <row r="94" spans="1:13" ht="15.75" customHeight="1" x14ac:dyDescent="0.85">
      <c r="G94" s="71" t="s">
        <v>160</v>
      </c>
      <c r="H94" s="32">
        <f>F78+F79</f>
        <v>1059</v>
      </c>
      <c r="I94" s="32" t="s">
        <v>273</v>
      </c>
      <c r="J94" s="68"/>
      <c r="K94" s="68"/>
      <c r="L94" s="69"/>
    </row>
    <row r="95" spans="1:13" ht="15.75" customHeight="1" x14ac:dyDescent="0.75">
      <c r="G95" s="32" t="s">
        <v>162</v>
      </c>
    </row>
    <row r="96" spans="1:13" ht="15.75" customHeight="1" x14ac:dyDescent="0.8">
      <c r="G96" s="71" t="s">
        <v>164</v>
      </c>
      <c r="H96" s="32">
        <f>+F67+F70</f>
        <v>1108.3333333333333</v>
      </c>
      <c r="I96" s="45" t="s">
        <v>274</v>
      </c>
    </row>
    <row r="97" spans="7:9" ht="15.75" customHeight="1" x14ac:dyDescent="0.75">
      <c r="G97" s="32" t="s">
        <v>166</v>
      </c>
    </row>
    <row r="98" spans="7:9" ht="15.75" customHeight="1" x14ac:dyDescent="0.75">
      <c r="G98" s="71" t="s">
        <v>168</v>
      </c>
      <c r="H98" s="32">
        <f>F68+F69</f>
        <v>1149.0833333333335</v>
      </c>
      <c r="I98" s="32" t="s">
        <v>275</v>
      </c>
    </row>
    <row r="99" spans="7:9" ht="15.75" customHeight="1" x14ac:dyDescent="0.75">
      <c r="G99" s="32" t="s">
        <v>170</v>
      </c>
    </row>
    <row r="100" spans="7:9" ht="15.75" customHeight="1" x14ac:dyDescent="0.8">
      <c r="G100" s="71" t="s">
        <v>172</v>
      </c>
      <c r="H100" s="64">
        <f>F80</f>
        <v>6306.25</v>
      </c>
      <c r="I100" s="45" t="s">
        <v>270</v>
      </c>
    </row>
    <row r="101" spans="7:9" ht="15.75" customHeight="1" x14ac:dyDescent="0.75">
      <c r="G101" s="71" t="s">
        <v>174</v>
      </c>
      <c r="H101" s="32">
        <f>F66+F69</f>
        <v>1465.6904761904761</v>
      </c>
      <c r="I101" s="32" t="s">
        <v>276</v>
      </c>
    </row>
    <row r="102" spans="7:9" ht="15.75" customHeight="1" x14ac:dyDescent="0.75">
      <c r="G102" s="32" t="s">
        <v>176</v>
      </c>
    </row>
    <row r="103" spans="7:9" ht="15.75" customHeight="1" x14ac:dyDescent="0.75">
      <c r="G103" s="32" t="s">
        <v>178</v>
      </c>
    </row>
    <row r="104" spans="7:9" ht="15.75" customHeight="1" x14ac:dyDescent="0.75">
      <c r="G104" s="32" t="s">
        <v>180</v>
      </c>
    </row>
    <row r="105" spans="7:9" ht="15.75" customHeight="1" x14ac:dyDescent="0.75">
      <c r="G105" s="32" t="s">
        <v>182</v>
      </c>
    </row>
    <row r="106" spans="7:9" ht="15.75" customHeight="1" x14ac:dyDescent="0.75">
      <c r="G106" s="71" t="s">
        <v>184</v>
      </c>
      <c r="H106" s="32">
        <f>F75+F76</f>
        <v>1601.5</v>
      </c>
      <c r="I106" s="73" t="s">
        <v>277</v>
      </c>
    </row>
    <row r="107" spans="7:9" ht="15.75" customHeight="1" x14ac:dyDescent="0.75">
      <c r="G107" s="32" t="s">
        <v>186</v>
      </c>
    </row>
    <row r="108" spans="7:9" ht="15.75" customHeight="1" x14ac:dyDescent="0.75">
      <c r="G108" s="32" t="s">
        <v>188</v>
      </c>
    </row>
    <row r="109" spans="7:9" ht="15.75" customHeight="1" x14ac:dyDescent="0.75">
      <c r="G109" s="71" t="s">
        <v>190</v>
      </c>
      <c r="H109" s="32">
        <f>F66+F69</f>
        <v>1465.6904761904761</v>
      </c>
      <c r="I109" s="32" t="s">
        <v>276</v>
      </c>
    </row>
    <row r="110" spans="7:9" ht="15.75" customHeight="1" x14ac:dyDescent="0.75">
      <c r="G110" s="32" t="s">
        <v>192</v>
      </c>
    </row>
    <row r="111" spans="7:9" ht="15.75" customHeight="1" x14ac:dyDescent="0.75">
      <c r="G111" s="32" t="s">
        <v>194</v>
      </c>
    </row>
    <row r="112" spans="7:9" ht="15.75" customHeight="1" x14ac:dyDescent="0.75">
      <c r="G112" s="71" t="s">
        <v>196</v>
      </c>
      <c r="H112" s="32">
        <f>F68+F71</f>
        <v>772.45</v>
      </c>
      <c r="I112" s="32" t="s">
        <v>278</v>
      </c>
    </row>
    <row r="113" spans="7:7" ht="15.75" customHeight="1" x14ac:dyDescent="0.75">
      <c r="G113" s="60" t="s">
        <v>198</v>
      </c>
    </row>
    <row r="114" spans="7:7" ht="15.75" customHeight="1" x14ac:dyDescent="0.65"/>
    <row r="115" spans="7:7" ht="15.75" customHeight="1" x14ac:dyDescent="0.65"/>
    <row r="116" spans="7:7" ht="15.75" customHeight="1" x14ac:dyDescent="0.65"/>
    <row r="117" spans="7:7" ht="15.75" customHeight="1" x14ac:dyDescent="0.65"/>
    <row r="118" spans="7:7" ht="15.75" customHeight="1" x14ac:dyDescent="0.65"/>
    <row r="119" spans="7:7" ht="15.75" customHeight="1" x14ac:dyDescent="0.65"/>
    <row r="120" spans="7:7" ht="15.75" customHeight="1" x14ac:dyDescent="0.65"/>
    <row r="121" spans="7:7" ht="15.75" customHeight="1" x14ac:dyDescent="0.65"/>
    <row r="122" spans="7:7" ht="15.75" customHeight="1" x14ac:dyDescent="0.65"/>
    <row r="123" spans="7:7" ht="15.75" customHeight="1" x14ac:dyDescent="0.65"/>
    <row r="124" spans="7:7" ht="15.75" customHeight="1" x14ac:dyDescent="0.65"/>
    <row r="125" spans="7:7" ht="15.75" customHeight="1" x14ac:dyDescent="0.65"/>
    <row r="126" spans="7:7" ht="15.75" customHeight="1" x14ac:dyDescent="0.65"/>
    <row r="127" spans="7:7" ht="15.75" customHeight="1" x14ac:dyDescent="0.65"/>
    <row r="128" spans="7:7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B62" r:id="rId1" xr:uid="{31584BB2-B7E7-4133-B487-37CDDD4F8072}"/>
  </hyperlink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7"/>
  <sheetViews>
    <sheetView workbookViewId="0">
      <selection activeCell="B9" sqref="B9"/>
    </sheetView>
  </sheetViews>
  <sheetFormatPr defaultRowHeight="14.75" x14ac:dyDescent="0.75"/>
  <cols>
    <col min="1" max="1" width="35.7265625" customWidth="1"/>
    <col min="2" max="2" width="24.7265625" customWidth="1"/>
    <col min="4" max="4" width="71" customWidth="1"/>
    <col min="5" max="5" width="16.26953125" customWidth="1"/>
    <col min="6" max="6" width="17" customWidth="1"/>
  </cols>
  <sheetData>
    <row r="1" spans="1:9" x14ac:dyDescent="0.75">
      <c r="A1" s="1" t="s">
        <v>31</v>
      </c>
    </row>
    <row r="2" spans="1:9" x14ac:dyDescent="0.75">
      <c r="A2" s="2" t="s">
        <v>7</v>
      </c>
      <c r="B2" s="7" t="s">
        <v>8</v>
      </c>
      <c r="D2" s="2" t="s">
        <v>22</v>
      </c>
      <c r="E2" s="2" t="s">
        <v>24</v>
      </c>
      <c r="F2" s="2" t="s">
        <v>25</v>
      </c>
    </row>
    <row r="3" spans="1:9" x14ac:dyDescent="0.75">
      <c r="A3" t="s">
        <v>9</v>
      </c>
      <c r="B3">
        <v>1200</v>
      </c>
      <c r="D3" t="s">
        <v>42</v>
      </c>
      <c r="E3" s="8">
        <v>101.2</v>
      </c>
      <c r="F3" t="s">
        <v>48</v>
      </c>
    </row>
    <row r="4" spans="1:9" x14ac:dyDescent="0.75">
      <c r="A4" t="s">
        <v>10</v>
      </c>
      <c r="B4">
        <v>153000</v>
      </c>
      <c r="D4" t="s">
        <v>43</v>
      </c>
      <c r="E4" s="8">
        <v>6.9</v>
      </c>
      <c r="F4" t="s">
        <v>47</v>
      </c>
    </row>
    <row r="5" spans="1:9" x14ac:dyDescent="0.75">
      <c r="A5" t="s">
        <v>17</v>
      </c>
      <c r="B5">
        <v>664</v>
      </c>
      <c r="D5" t="s">
        <v>44</v>
      </c>
      <c r="E5">
        <v>12</v>
      </c>
      <c r="F5" t="s">
        <v>47</v>
      </c>
    </row>
    <row r="6" spans="1:9" x14ac:dyDescent="0.75">
      <c r="A6" t="s">
        <v>11</v>
      </c>
      <c r="B6">
        <v>38000</v>
      </c>
      <c r="D6" s="6" t="s">
        <v>45</v>
      </c>
      <c r="E6" s="6">
        <v>2</v>
      </c>
      <c r="F6" t="s">
        <v>47</v>
      </c>
    </row>
    <row r="7" spans="1:9" x14ac:dyDescent="0.75">
      <c r="A7" t="s">
        <v>12</v>
      </c>
      <c r="B7">
        <v>11000</v>
      </c>
      <c r="D7" s="6" t="s">
        <v>46</v>
      </c>
      <c r="E7" s="6">
        <v>65.5</v>
      </c>
      <c r="F7" t="s">
        <v>47</v>
      </c>
    </row>
    <row r="8" spans="1:9" x14ac:dyDescent="0.75">
      <c r="A8" t="s">
        <v>13</v>
      </c>
      <c r="B8">
        <v>4200</v>
      </c>
      <c r="I8" s="8"/>
    </row>
    <row r="9" spans="1:9" x14ac:dyDescent="0.75">
      <c r="A9" t="s">
        <v>14</v>
      </c>
      <c r="B9">
        <v>62</v>
      </c>
      <c r="D9" s="1" t="s">
        <v>23</v>
      </c>
      <c r="E9" s="9">
        <f>SUM(E3:E7)</f>
        <v>187.60000000000002</v>
      </c>
    </row>
    <row r="10" spans="1:9" x14ac:dyDescent="0.75">
      <c r="A10" t="s">
        <v>15</v>
      </c>
      <c r="B10" s="10">
        <v>38</v>
      </c>
      <c r="E10" s="6"/>
    </row>
    <row r="11" spans="1:9" x14ac:dyDescent="0.75">
      <c r="A11" t="s">
        <v>16</v>
      </c>
      <c r="B11">
        <v>4000</v>
      </c>
      <c r="E11" s="6"/>
    </row>
    <row r="12" spans="1:9" x14ac:dyDescent="0.75">
      <c r="A12" t="s">
        <v>2</v>
      </c>
      <c r="B12" s="10">
        <v>60</v>
      </c>
      <c r="D12" t="s">
        <v>18</v>
      </c>
    </row>
    <row r="13" spans="1:9" x14ac:dyDescent="0.75">
      <c r="D13" t="s">
        <v>19</v>
      </c>
    </row>
    <row r="14" spans="1:9" x14ac:dyDescent="0.75">
      <c r="A14" s="10" t="s">
        <v>32</v>
      </c>
      <c r="D14" t="s">
        <v>20</v>
      </c>
    </row>
    <row r="15" spans="1:9" x14ac:dyDescent="0.75">
      <c r="D15" t="s">
        <v>21</v>
      </c>
    </row>
    <row r="16" spans="1:9" x14ac:dyDescent="0.75">
      <c r="A16" s="2" t="s">
        <v>26</v>
      </c>
      <c r="B16" s="2" t="s">
        <v>27</v>
      </c>
      <c r="D16" s="6" t="s">
        <v>30</v>
      </c>
    </row>
    <row r="17" spans="1:6" x14ac:dyDescent="0.75">
      <c r="A17" s="11" t="s">
        <v>28</v>
      </c>
      <c r="B17" s="11">
        <f>E9*1000</f>
        <v>187600.00000000003</v>
      </c>
      <c r="D17" s="1"/>
      <c r="E17" s="12"/>
      <c r="F17" s="13"/>
    </row>
    <row r="18" spans="1:6" x14ac:dyDescent="0.75">
      <c r="A18" s="11" t="s">
        <v>55</v>
      </c>
      <c r="B18" s="11">
        <f>B7*1000</f>
        <v>11000000</v>
      </c>
      <c r="D18" s="1"/>
      <c r="E18" s="12"/>
      <c r="F18" s="13"/>
    </row>
    <row r="19" spans="1:6" x14ac:dyDescent="0.75">
      <c r="A19" s="11" t="s">
        <v>33</v>
      </c>
      <c r="B19" s="11">
        <f>SUM(B3:B5)*1000</f>
        <v>154864000</v>
      </c>
      <c r="D19" s="2" t="s">
        <v>60</v>
      </c>
      <c r="E19" s="15"/>
      <c r="F19" s="2" t="s">
        <v>25</v>
      </c>
    </row>
    <row r="20" spans="1:6" x14ac:dyDescent="0.75">
      <c r="A20" s="11" t="s">
        <v>34</v>
      </c>
      <c r="B20" s="11">
        <f>B6*1000</f>
        <v>38000000</v>
      </c>
      <c r="D20" t="s">
        <v>78</v>
      </c>
      <c r="E20" s="14">
        <v>1820</v>
      </c>
      <c r="F20" s="17" t="s">
        <v>65</v>
      </c>
    </row>
    <row r="21" spans="1:6" x14ac:dyDescent="0.75">
      <c r="A21" s="11" t="s">
        <v>29</v>
      </c>
      <c r="B21" s="11">
        <f>B9*1000</f>
        <v>62000</v>
      </c>
    </row>
    <row r="22" spans="1:6" x14ac:dyDescent="0.75">
      <c r="A22" s="11" t="s">
        <v>39</v>
      </c>
      <c r="B22" s="11">
        <f>B11*1000</f>
        <v>4000000</v>
      </c>
      <c r="D22" s="1" t="s">
        <v>66</v>
      </c>
    </row>
    <row r="23" spans="1:6" x14ac:dyDescent="0.75">
      <c r="A23" s="11" t="s">
        <v>56</v>
      </c>
      <c r="B23" s="11">
        <f>B8*1000</f>
        <v>4200000</v>
      </c>
      <c r="D23" t="s">
        <v>67</v>
      </c>
      <c r="E23" s="8">
        <v>262.39999999999998</v>
      </c>
      <c r="F23" s="13" t="s">
        <v>83</v>
      </c>
    </row>
    <row r="24" spans="1:6" x14ac:dyDescent="0.75">
      <c r="D24" t="s">
        <v>68</v>
      </c>
      <c r="E24" s="16">
        <v>33.57</v>
      </c>
      <c r="F24" s="13" t="s">
        <v>83</v>
      </c>
    </row>
    <row r="25" spans="1:6" x14ac:dyDescent="0.75">
      <c r="A25" t="s">
        <v>61</v>
      </c>
      <c r="D25" t="s">
        <v>69</v>
      </c>
      <c r="E25">
        <v>67.8</v>
      </c>
      <c r="F25" s="13" t="s">
        <v>83</v>
      </c>
    </row>
    <row r="26" spans="1:6" x14ac:dyDescent="0.75">
      <c r="A26" t="s">
        <v>62</v>
      </c>
      <c r="D26" t="s">
        <v>70</v>
      </c>
      <c r="E26">
        <v>23.4</v>
      </c>
      <c r="F26" s="13" t="s">
        <v>83</v>
      </c>
    </row>
    <row r="27" spans="1:6" x14ac:dyDescent="0.75">
      <c r="A27" t="s">
        <v>63</v>
      </c>
      <c r="D27" t="s">
        <v>71</v>
      </c>
      <c r="E27">
        <v>137.69999999999999</v>
      </c>
      <c r="F27" s="13" t="s">
        <v>83</v>
      </c>
    </row>
    <row r="28" spans="1:6" x14ac:dyDescent="0.75">
      <c r="A28" t="s">
        <v>64</v>
      </c>
    </row>
    <row r="29" spans="1:6" x14ac:dyDescent="0.75">
      <c r="D29" t="s">
        <v>72</v>
      </c>
      <c r="E29" s="18">
        <v>0.83199999999999996</v>
      </c>
      <c r="F29" s="13" t="s">
        <v>83</v>
      </c>
    </row>
    <row r="30" spans="1:6" x14ac:dyDescent="0.75">
      <c r="D30" s="19" t="s">
        <v>73</v>
      </c>
    </row>
    <row r="32" spans="1:6" x14ac:dyDescent="0.75">
      <c r="D32" t="s">
        <v>74</v>
      </c>
    </row>
    <row r="33" spans="4:5" x14ac:dyDescent="0.75">
      <c r="D33" t="s">
        <v>75</v>
      </c>
    </row>
    <row r="34" spans="4:5" x14ac:dyDescent="0.75">
      <c r="D34" t="s">
        <v>76</v>
      </c>
    </row>
    <row r="36" spans="4:5" x14ac:dyDescent="0.75">
      <c r="D36" t="s">
        <v>77</v>
      </c>
      <c r="E36" s="20">
        <f>E27*E29/E24</f>
        <v>3.4127613941018762</v>
      </c>
    </row>
    <row r="37" spans="4:5" x14ac:dyDescent="0.75">
      <c r="D37" t="s">
        <v>79</v>
      </c>
      <c r="E37" s="21">
        <f>E20*(1+E36)</f>
        <v>8031.2257372654149</v>
      </c>
    </row>
  </sheetData>
  <pageMargins left="0.7" right="0.7" top="0.75" bottom="0.75" header="0.3" footer="0.3"/>
  <ignoredErrors>
    <ignoredError sqref="B19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5"/>
  <sheetViews>
    <sheetView tabSelected="1" topLeftCell="A9" workbookViewId="0">
      <selection activeCell="B23" sqref="B23"/>
    </sheetView>
  </sheetViews>
  <sheetFormatPr defaultRowHeight="14.75" x14ac:dyDescent="0.75"/>
  <cols>
    <col min="1" max="1" width="26.40625" customWidth="1"/>
    <col min="2" max="2" width="27.26953125" customWidth="1"/>
  </cols>
  <sheetData>
    <row r="1" spans="1:2" x14ac:dyDescent="0.75">
      <c r="A1" s="1" t="s">
        <v>37</v>
      </c>
      <c r="B1" s="1" t="s">
        <v>38</v>
      </c>
    </row>
    <row r="2" spans="1:2" x14ac:dyDescent="0.75">
      <c r="A2" t="s">
        <v>54</v>
      </c>
      <c r="B2" s="14">
        <f>IF(INDEX('coal ban'!D:D,MATCH(About!$B$2,'coal ban'!C:C,0))="yes",0,9*10^12)</f>
        <v>9000000000000</v>
      </c>
    </row>
    <row r="3" spans="1:2" x14ac:dyDescent="0.75">
      <c r="A3" t="s">
        <v>88</v>
      </c>
      <c r="B3" s="14">
        <f>9*10^12</f>
        <v>9000000000000</v>
      </c>
    </row>
    <row r="4" spans="1:2" x14ac:dyDescent="0.75">
      <c r="A4" t="s">
        <v>89</v>
      </c>
      <c r="B4" s="14">
        <f>9*10^12</f>
        <v>9000000000000</v>
      </c>
    </row>
    <row r="5" spans="1:2" x14ac:dyDescent="0.75">
      <c r="A5" t="s">
        <v>36</v>
      </c>
      <c r="B5" s="14">
        <v>0</v>
      </c>
    </row>
    <row r="6" spans="1:2" x14ac:dyDescent="0.75">
      <c r="A6" t="s">
        <v>28</v>
      </c>
      <c r="B6">
        <f>hydro!B1</f>
        <v>397.48858447488584</v>
      </c>
    </row>
    <row r="7" spans="1:2" x14ac:dyDescent="0.75">
      <c r="A7" t="s">
        <v>55</v>
      </c>
      <c r="B7">
        <f>'onshore wind'!C1</f>
        <v>12661</v>
      </c>
    </row>
    <row r="8" spans="1:2" x14ac:dyDescent="0.75">
      <c r="A8" t="s">
        <v>33</v>
      </c>
      <c r="B8">
        <f>'solar PV'!B1</f>
        <v>40000</v>
      </c>
    </row>
    <row r="9" spans="1:2" x14ac:dyDescent="0.75">
      <c r="A9" t="s">
        <v>34</v>
      </c>
      <c r="B9">
        <f>'solar thermal'!B1</f>
        <v>0</v>
      </c>
    </row>
    <row r="10" spans="1:2" x14ac:dyDescent="0.75">
      <c r="A10" t="s">
        <v>29</v>
      </c>
      <c r="B10">
        <f>bio!B1</f>
        <v>219.01500326157861</v>
      </c>
    </row>
    <row r="11" spans="1:2" x14ac:dyDescent="0.75">
      <c r="A11" t="s">
        <v>39</v>
      </c>
      <c r="B11">
        <f>geothermal!B1</f>
        <v>13000</v>
      </c>
    </row>
    <row r="12" spans="1:2" x14ac:dyDescent="0.75">
      <c r="A12" t="s">
        <v>40</v>
      </c>
      <c r="B12" s="14">
        <f>9*10^12</f>
        <v>9000000000000</v>
      </c>
    </row>
    <row r="13" spans="1:2" x14ac:dyDescent="0.75">
      <c r="A13" t="s">
        <v>41</v>
      </c>
      <c r="B13" s="14">
        <f>9*10^12</f>
        <v>9000000000000</v>
      </c>
    </row>
    <row r="14" spans="1:2" x14ac:dyDescent="0.75">
      <c r="A14" t="s">
        <v>53</v>
      </c>
      <c r="B14" s="14">
        <f>B2</f>
        <v>9000000000000</v>
      </c>
    </row>
    <row r="15" spans="1:2" x14ac:dyDescent="0.75">
      <c r="A15" t="s">
        <v>56</v>
      </c>
      <c r="B15">
        <f>'offshore wind'!B1</f>
        <v>3000</v>
      </c>
    </row>
    <row r="16" spans="1:2" x14ac:dyDescent="0.75">
      <c r="A16" t="s">
        <v>57</v>
      </c>
      <c r="B16" s="14">
        <v>0</v>
      </c>
    </row>
    <row r="17" spans="1:2" x14ac:dyDescent="0.75">
      <c r="A17" t="s">
        <v>58</v>
      </c>
      <c r="B17" s="14">
        <f>B12</f>
        <v>9000000000000</v>
      </c>
    </row>
    <row r="18" spans="1:2" x14ac:dyDescent="0.75">
      <c r="A18" t="s">
        <v>59</v>
      </c>
      <c r="B18" s="14">
        <f>SUMIFS('Population by state'!E6:E56,'Population by state'!B6:B56,About!B1)</f>
        <v>32.674815943369602</v>
      </c>
    </row>
    <row r="19" spans="1:2" x14ac:dyDescent="0.75">
      <c r="A19" t="s">
        <v>92</v>
      </c>
      <c r="B19" s="14">
        <f>B2</f>
        <v>9000000000000</v>
      </c>
    </row>
    <row r="20" spans="1:2" x14ac:dyDescent="0.75">
      <c r="A20" t="s">
        <v>93</v>
      </c>
      <c r="B20" s="14">
        <f>9*10^12</f>
        <v>9000000000000</v>
      </c>
    </row>
    <row r="21" spans="1:2" x14ac:dyDescent="0.75">
      <c r="A21" t="s">
        <v>94</v>
      </c>
      <c r="B21" s="14">
        <f>B10</f>
        <v>219.01500326157861</v>
      </c>
    </row>
    <row r="22" spans="1:2" x14ac:dyDescent="0.75">
      <c r="A22" t="s">
        <v>95</v>
      </c>
      <c r="B22" s="14">
        <v>0</v>
      </c>
    </row>
    <row r="23" spans="1:2" x14ac:dyDescent="0.75">
      <c r="A23" t="s">
        <v>96</v>
      </c>
      <c r="B23" s="14">
        <f>9*10^12</f>
        <v>9000000000000</v>
      </c>
    </row>
    <row r="24" spans="1:2" x14ac:dyDescent="0.75">
      <c r="A24" s="22" t="s">
        <v>97</v>
      </c>
      <c r="B24" s="14">
        <f>B13</f>
        <v>9000000000000</v>
      </c>
    </row>
    <row r="25" spans="1:2" x14ac:dyDescent="0.75">
      <c r="A25" s="22" t="s">
        <v>98</v>
      </c>
      <c r="B25" s="14">
        <f>B4</f>
        <v>9000000000000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3C710-6A53-4C92-917A-049B0A9C4CC8}">
  <dimension ref="B1:D51"/>
  <sheetViews>
    <sheetView topLeftCell="A19" workbookViewId="0">
      <selection activeCell="L23" sqref="L23"/>
    </sheetView>
  </sheetViews>
  <sheetFormatPr defaultRowHeight="14.75" x14ac:dyDescent="0.75"/>
  <sheetData>
    <row r="1" spans="2:4" x14ac:dyDescent="0.75">
      <c r="B1" s="25" t="s">
        <v>100</v>
      </c>
      <c r="C1" s="25" t="s">
        <v>100</v>
      </c>
      <c r="D1" s="1" t="s">
        <v>280</v>
      </c>
    </row>
    <row r="2" spans="2:4" x14ac:dyDescent="0.75">
      <c r="B2" s="27" t="s">
        <v>101</v>
      </c>
      <c r="C2" s="27" t="s">
        <v>102</v>
      </c>
      <c r="D2" t="s">
        <v>281</v>
      </c>
    </row>
    <row r="3" spans="2:4" x14ac:dyDescent="0.75">
      <c r="B3" s="27" t="s">
        <v>103</v>
      </c>
      <c r="C3" s="27" t="s">
        <v>104</v>
      </c>
      <c r="D3" t="s">
        <v>281</v>
      </c>
    </row>
    <row r="4" spans="2:4" x14ac:dyDescent="0.75">
      <c r="B4" s="27" t="s">
        <v>105</v>
      </c>
      <c r="C4" s="27" t="s">
        <v>106</v>
      </c>
      <c r="D4" t="s">
        <v>281</v>
      </c>
    </row>
    <row r="5" spans="2:4" x14ac:dyDescent="0.75">
      <c r="B5" s="27" t="s">
        <v>107</v>
      </c>
      <c r="C5" s="27" t="s">
        <v>108</v>
      </c>
      <c r="D5" t="s">
        <v>281</v>
      </c>
    </row>
    <row r="6" spans="2:4" x14ac:dyDescent="0.75">
      <c r="B6" s="27" t="s">
        <v>109</v>
      </c>
      <c r="C6" s="27" t="s">
        <v>110</v>
      </c>
      <c r="D6" t="s">
        <v>279</v>
      </c>
    </row>
    <row r="7" spans="2:4" x14ac:dyDescent="0.75">
      <c r="B7" s="27" t="s">
        <v>111</v>
      </c>
      <c r="C7" s="27" t="s">
        <v>112</v>
      </c>
      <c r="D7" t="s">
        <v>281</v>
      </c>
    </row>
    <row r="8" spans="2:4" x14ac:dyDescent="0.75">
      <c r="B8" s="27" t="s">
        <v>113</v>
      </c>
      <c r="C8" s="27" t="s">
        <v>114</v>
      </c>
      <c r="D8" t="s">
        <v>281</v>
      </c>
    </row>
    <row r="9" spans="2:4" x14ac:dyDescent="0.75">
      <c r="B9" s="27" t="s">
        <v>115</v>
      </c>
      <c r="C9" s="27" t="s">
        <v>116</v>
      </c>
      <c r="D9" t="s">
        <v>281</v>
      </c>
    </row>
    <row r="10" spans="2:4" x14ac:dyDescent="0.75">
      <c r="B10" s="27" t="s">
        <v>117</v>
      </c>
      <c r="C10" s="27" t="s">
        <v>118</v>
      </c>
      <c r="D10" t="s">
        <v>281</v>
      </c>
    </row>
    <row r="11" spans="2:4" x14ac:dyDescent="0.75">
      <c r="B11" s="27" t="s">
        <v>119</v>
      </c>
      <c r="C11" s="27" t="s">
        <v>120</v>
      </c>
      <c r="D11" t="s">
        <v>281</v>
      </c>
    </row>
    <row r="12" spans="2:4" x14ac:dyDescent="0.75">
      <c r="B12" s="27" t="s">
        <v>121</v>
      </c>
      <c r="C12" s="27" t="s">
        <v>122</v>
      </c>
      <c r="D12" t="s">
        <v>281</v>
      </c>
    </row>
    <row r="13" spans="2:4" x14ac:dyDescent="0.75">
      <c r="B13" s="27" t="s">
        <v>123</v>
      </c>
      <c r="C13" s="27" t="s">
        <v>124</v>
      </c>
      <c r="D13" t="s">
        <v>281</v>
      </c>
    </row>
    <row r="14" spans="2:4" x14ac:dyDescent="0.75">
      <c r="B14" s="27" t="s">
        <v>125</v>
      </c>
      <c r="C14" s="27" t="s">
        <v>126</v>
      </c>
      <c r="D14" t="s">
        <v>281</v>
      </c>
    </row>
    <row r="15" spans="2:4" x14ac:dyDescent="0.75">
      <c r="B15" s="27" t="s">
        <v>127</v>
      </c>
      <c r="C15" s="27" t="s">
        <v>128</v>
      </c>
      <c r="D15" t="s">
        <v>281</v>
      </c>
    </row>
    <row r="16" spans="2:4" x14ac:dyDescent="0.75">
      <c r="B16" s="27" t="s">
        <v>129</v>
      </c>
      <c r="C16" s="27" t="s">
        <v>130</v>
      </c>
      <c r="D16" t="s">
        <v>281</v>
      </c>
    </row>
    <row r="17" spans="2:4" x14ac:dyDescent="0.75">
      <c r="B17" s="27" t="s">
        <v>131</v>
      </c>
      <c r="C17" s="27" t="s">
        <v>132</v>
      </c>
      <c r="D17" t="s">
        <v>281</v>
      </c>
    </row>
    <row r="18" spans="2:4" x14ac:dyDescent="0.75">
      <c r="B18" s="27" t="s">
        <v>133</v>
      </c>
      <c r="C18" s="27" t="s">
        <v>134</v>
      </c>
      <c r="D18" t="s">
        <v>281</v>
      </c>
    </row>
    <row r="19" spans="2:4" x14ac:dyDescent="0.75">
      <c r="B19" s="27" t="s">
        <v>135</v>
      </c>
      <c r="C19" s="27" t="s">
        <v>136</v>
      </c>
      <c r="D19" t="s">
        <v>281</v>
      </c>
    </row>
    <row r="20" spans="2:4" x14ac:dyDescent="0.75">
      <c r="B20" s="27" t="s">
        <v>137</v>
      </c>
      <c r="C20" s="27" t="s">
        <v>138</v>
      </c>
      <c r="D20" t="s">
        <v>279</v>
      </c>
    </row>
    <row r="21" spans="2:4" x14ac:dyDescent="0.75">
      <c r="B21" s="27" t="s">
        <v>139</v>
      </c>
      <c r="C21" s="27" t="s">
        <v>140</v>
      </c>
      <c r="D21" t="s">
        <v>281</v>
      </c>
    </row>
    <row r="22" spans="2:4" x14ac:dyDescent="0.75">
      <c r="B22" s="27" t="s">
        <v>141</v>
      </c>
      <c r="C22" s="27" t="s">
        <v>142</v>
      </c>
      <c r="D22" t="s">
        <v>281</v>
      </c>
    </row>
    <row r="23" spans="2:4" x14ac:dyDescent="0.75">
      <c r="B23" s="27" t="s">
        <v>143</v>
      </c>
      <c r="C23" s="27" t="s">
        <v>144</v>
      </c>
      <c r="D23" t="s">
        <v>281</v>
      </c>
    </row>
    <row r="24" spans="2:4" x14ac:dyDescent="0.75">
      <c r="B24" s="27" t="s">
        <v>99</v>
      </c>
      <c r="C24" s="27" t="s">
        <v>145</v>
      </c>
      <c r="D24" t="s">
        <v>281</v>
      </c>
    </row>
    <row r="25" spans="2:4" x14ac:dyDescent="0.75">
      <c r="B25" s="27" t="s">
        <v>146</v>
      </c>
      <c r="C25" s="27" t="s">
        <v>147</v>
      </c>
      <c r="D25" t="s">
        <v>281</v>
      </c>
    </row>
    <row r="26" spans="2:4" x14ac:dyDescent="0.75">
      <c r="B26" s="27" t="s">
        <v>148</v>
      </c>
      <c r="C26" s="27" t="s">
        <v>149</v>
      </c>
      <c r="D26" t="s">
        <v>281</v>
      </c>
    </row>
    <row r="27" spans="2:4" x14ac:dyDescent="0.75">
      <c r="B27" s="27" t="s">
        <v>150</v>
      </c>
      <c r="C27" s="27" t="s">
        <v>151</v>
      </c>
      <c r="D27" t="s">
        <v>281</v>
      </c>
    </row>
    <row r="28" spans="2:4" x14ac:dyDescent="0.75">
      <c r="B28" s="27" t="s">
        <v>152</v>
      </c>
      <c r="C28" s="27" t="s">
        <v>153</v>
      </c>
      <c r="D28" t="s">
        <v>281</v>
      </c>
    </row>
    <row r="29" spans="2:4" x14ac:dyDescent="0.75">
      <c r="B29" s="27" t="s">
        <v>154</v>
      </c>
      <c r="C29" s="27" t="s">
        <v>155</v>
      </c>
      <c r="D29" t="s">
        <v>281</v>
      </c>
    </row>
    <row r="30" spans="2:4" x14ac:dyDescent="0.75">
      <c r="B30" s="27" t="s">
        <v>156</v>
      </c>
      <c r="C30" s="27" t="s">
        <v>157</v>
      </c>
      <c r="D30" t="s">
        <v>281</v>
      </c>
    </row>
    <row r="31" spans="2:4" x14ac:dyDescent="0.75">
      <c r="B31" s="27" t="s">
        <v>158</v>
      </c>
      <c r="C31" s="27" t="s">
        <v>159</v>
      </c>
      <c r="D31" t="s">
        <v>281</v>
      </c>
    </row>
    <row r="32" spans="2:4" x14ac:dyDescent="0.75">
      <c r="B32" s="27" t="s">
        <v>160</v>
      </c>
      <c r="C32" s="27" t="s">
        <v>161</v>
      </c>
      <c r="D32" t="s">
        <v>281</v>
      </c>
    </row>
    <row r="33" spans="2:4" x14ac:dyDescent="0.75">
      <c r="B33" s="27" t="s">
        <v>162</v>
      </c>
      <c r="C33" s="27" t="s">
        <v>163</v>
      </c>
      <c r="D33" t="s">
        <v>281</v>
      </c>
    </row>
    <row r="34" spans="2:4" x14ac:dyDescent="0.75">
      <c r="B34" s="27" t="s">
        <v>164</v>
      </c>
      <c r="C34" s="27" t="s">
        <v>165</v>
      </c>
      <c r="D34" t="s">
        <v>281</v>
      </c>
    </row>
    <row r="35" spans="2:4" x14ac:dyDescent="0.75">
      <c r="B35" s="27" t="s">
        <v>166</v>
      </c>
      <c r="C35" s="27" t="s">
        <v>167</v>
      </c>
      <c r="D35" t="s">
        <v>281</v>
      </c>
    </row>
    <row r="36" spans="2:4" x14ac:dyDescent="0.75">
      <c r="B36" s="27" t="s">
        <v>168</v>
      </c>
      <c r="C36" s="27" t="s">
        <v>169</v>
      </c>
      <c r="D36" t="s">
        <v>281</v>
      </c>
    </row>
    <row r="37" spans="2:4" x14ac:dyDescent="0.75">
      <c r="B37" s="27" t="s">
        <v>170</v>
      </c>
      <c r="C37" s="27" t="s">
        <v>171</v>
      </c>
      <c r="D37" t="s">
        <v>281</v>
      </c>
    </row>
    <row r="38" spans="2:4" x14ac:dyDescent="0.75">
      <c r="B38" s="27" t="s">
        <v>172</v>
      </c>
      <c r="C38" s="27" t="s">
        <v>173</v>
      </c>
      <c r="D38" t="s">
        <v>279</v>
      </c>
    </row>
    <row r="39" spans="2:4" x14ac:dyDescent="0.75">
      <c r="B39" s="27" t="s">
        <v>174</v>
      </c>
      <c r="C39" s="27" t="s">
        <v>175</v>
      </c>
      <c r="D39" t="s">
        <v>281</v>
      </c>
    </row>
    <row r="40" spans="2:4" x14ac:dyDescent="0.75">
      <c r="B40" s="27" t="s">
        <v>176</v>
      </c>
      <c r="C40" s="27" t="s">
        <v>177</v>
      </c>
      <c r="D40" t="s">
        <v>281</v>
      </c>
    </row>
    <row r="41" spans="2:4" x14ac:dyDescent="0.75">
      <c r="B41" s="27" t="s">
        <v>178</v>
      </c>
      <c r="C41" s="27" t="s">
        <v>179</v>
      </c>
      <c r="D41" t="s">
        <v>281</v>
      </c>
    </row>
    <row r="42" spans="2:4" x14ac:dyDescent="0.75">
      <c r="B42" s="27" t="s">
        <v>180</v>
      </c>
      <c r="C42" s="27" t="s">
        <v>181</v>
      </c>
      <c r="D42" t="s">
        <v>281</v>
      </c>
    </row>
    <row r="43" spans="2:4" x14ac:dyDescent="0.75">
      <c r="B43" s="27" t="s">
        <v>182</v>
      </c>
      <c r="C43" s="27" t="s">
        <v>183</v>
      </c>
      <c r="D43" t="s">
        <v>281</v>
      </c>
    </row>
    <row r="44" spans="2:4" x14ac:dyDescent="0.75">
      <c r="B44" s="27" t="s">
        <v>184</v>
      </c>
      <c r="C44" s="27" t="s">
        <v>185</v>
      </c>
      <c r="D44" t="s">
        <v>281</v>
      </c>
    </row>
    <row r="45" spans="2:4" x14ac:dyDescent="0.75">
      <c r="B45" s="27" t="s">
        <v>186</v>
      </c>
      <c r="C45" s="27" t="s">
        <v>187</v>
      </c>
      <c r="D45" t="s">
        <v>281</v>
      </c>
    </row>
    <row r="46" spans="2:4" x14ac:dyDescent="0.75">
      <c r="B46" s="27" t="s">
        <v>188</v>
      </c>
      <c r="C46" s="27" t="s">
        <v>189</v>
      </c>
      <c r="D46" t="s">
        <v>281</v>
      </c>
    </row>
    <row r="47" spans="2:4" x14ac:dyDescent="0.75">
      <c r="B47" s="27" t="s">
        <v>190</v>
      </c>
      <c r="C47" s="27" t="s">
        <v>191</v>
      </c>
      <c r="D47" t="s">
        <v>281</v>
      </c>
    </row>
    <row r="48" spans="2:4" x14ac:dyDescent="0.75">
      <c r="B48" s="27" t="s">
        <v>192</v>
      </c>
      <c r="C48" s="27" t="s">
        <v>193</v>
      </c>
      <c r="D48" t="s">
        <v>281</v>
      </c>
    </row>
    <row r="49" spans="2:4" x14ac:dyDescent="0.75">
      <c r="B49" s="27" t="s">
        <v>194</v>
      </c>
      <c r="C49" s="27" t="s">
        <v>195</v>
      </c>
      <c r="D49" t="s">
        <v>281</v>
      </c>
    </row>
    <row r="50" spans="2:4" x14ac:dyDescent="0.75">
      <c r="B50" s="27" t="s">
        <v>196</v>
      </c>
      <c r="C50" s="27" t="s">
        <v>197</v>
      </c>
      <c r="D50" t="s">
        <v>281</v>
      </c>
    </row>
    <row r="51" spans="2:4" x14ac:dyDescent="0.75">
      <c r="B51" s="27" t="s">
        <v>198</v>
      </c>
      <c r="C51" s="27" t="s">
        <v>199</v>
      </c>
      <c r="D51" t="s">
        <v>281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7394CF-62EC-4069-88FA-A4FFA79125F2}">
  <sheetPr>
    <outlinePr summaryBelow="0" summaryRight="0"/>
  </sheetPr>
  <dimension ref="A1:J57"/>
  <sheetViews>
    <sheetView workbookViewId="0">
      <selection sqref="A1:J1"/>
    </sheetView>
  </sheetViews>
  <sheetFormatPr defaultColWidth="14.40625" defaultRowHeight="15" customHeight="1" x14ac:dyDescent="0.65"/>
  <cols>
    <col min="1" max="7" width="14.40625" style="28"/>
    <col min="8" max="8" width="42.86328125" style="28" customWidth="1"/>
    <col min="9" max="9" width="14.40625" style="28"/>
    <col min="10" max="10" width="23.86328125" style="28" customWidth="1"/>
    <col min="11" max="16384" width="14.40625" style="28"/>
  </cols>
  <sheetData>
    <row r="1" spans="1:10" ht="15" customHeight="1" x14ac:dyDescent="0.9">
      <c r="A1" s="76" t="s">
        <v>200</v>
      </c>
      <c r="B1" s="75"/>
      <c r="C1" s="75"/>
      <c r="D1" s="75"/>
      <c r="E1" s="75"/>
      <c r="F1" s="75"/>
      <c r="G1" s="75"/>
      <c r="H1" s="75"/>
      <c r="I1" s="75"/>
      <c r="J1" s="75"/>
    </row>
    <row r="2" spans="1:10" ht="14.75" x14ac:dyDescent="0.75">
      <c r="A2" s="77" t="s">
        <v>201</v>
      </c>
      <c r="B2" s="75"/>
      <c r="C2" s="75"/>
      <c r="D2" s="75"/>
      <c r="E2" s="75"/>
      <c r="F2" s="75"/>
      <c r="G2" s="29"/>
      <c r="H2" s="29"/>
      <c r="I2" s="29"/>
      <c r="J2" s="29"/>
    </row>
    <row r="3" spans="1:10" ht="14.75" x14ac:dyDescent="0.75">
      <c r="A3" s="78" t="s">
        <v>202</v>
      </c>
      <c r="B3" s="78" t="s">
        <v>203</v>
      </c>
      <c r="C3" s="79" t="s">
        <v>204</v>
      </c>
      <c r="D3" s="75"/>
      <c r="E3" s="75"/>
      <c r="F3" s="75"/>
      <c r="G3" s="29"/>
      <c r="H3" s="29"/>
      <c r="I3" s="29"/>
      <c r="J3" s="29"/>
    </row>
    <row r="4" spans="1:10" ht="14.75" x14ac:dyDescent="0.75">
      <c r="A4" s="75"/>
      <c r="B4" s="75"/>
      <c r="C4" s="30">
        <v>2020</v>
      </c>
      <c r="D4" s="31" t="s">
        <v>205</v>
      </c>
      <c r="E4" s="32" t="s">
        <v>79</v>
      </c>
      <c r="F4" s="31"/>
      <c r="G4" s="29"/>
      <c r="H4" s="29"/>
      <c r="I4" s="29"/>
      <c r="J4" s="29"/>
    </row>
    <row r="5" spans="1:10" ht="14.75" x14ac:dyDescent="0.75">
      <c r="A5" s="33"/>
      <c r="B5" s="34" t="s">
        <v>206</v>
      </c>
      <c r="C5" s="35">
        <v>332527548</v>
      </c>
      <c r="D5" s="36"/>
      <c r="F5" s="36"/>
      <c r="G5" s="29"/>
      <c r="H5" s="37" t="s">
        <v>207</v>
      </c>
      <c r="I5" s="37"/>
      <c r="J5" s="29" t="s">
        <v>25</v>
      </c>
    </row>
    <row r="6" spans="1:10" ht="14.75" x14ac:dyDescent="0.75">
      <c r="A6" s="30">
        <v>1</v>
      </c>
      <c r="B6" s="29" t="s">
        <v>101</v>
      </c>
      <c r="C6" s="38">
        <v>4911278</v>
      </c>
      <c r="D6" s="39">
        <f t="shared" ref="D6:D56" si="0">C6/$C$5</f>
        <v>1.4769537229438807E-2</v>
      </c>
      <c r="E6" s="32">
        <f t="shared" ref="E6:E56" si="1">$I$23*D6</f>
        <v>118.61415348962306</v>
      </c>
      <c r="F6" s="40"/>
      <c r="G6" s="29"/>
      <c r="H6" s="29" t="s">
        <v>208</v>
      </c>
      <c r="I6" s="29">
        <v>1820</v>
      </c>
      <c r="J6" s="29" t="s">
        <v>65</v>
      </c>
    </row>
    <row r="7" spans="1:10" ht="14.75" x14ac:dyDescent="0.75">
      <c r="A7" s="41">
        <v>2</v>
      </c>
      <c r="B7" s="33" t="s">
        <v>103</v>
      </c>
      <c r="C7" s="42">
        <v>751328</v>
      </c>
      <c r="D7" s="39">
        <f t="shared" si="0"/>
        <v>2.2594458850669417E-3</v>
      </c>
      <c r="E7" s="32">
        <f t="shared" si="1"/>
        <v>18.145609902972609</v>
      </c>
      <c r="F7" s="40"/>
      <c r="G7" s="29"/>
      <c r="H7" s="29"/>
      <c r="I7" s="29"/>
      <c r="J7" s="29"/>
    </row>
    <row r="8" spans="1:10" ht="14.75" x14ac:dyDescent="0.75">
      <c r="A8" s="30">
        <v>4</v>
      </c>
      <c r="B8" s="29" t="s">
        <v>105</v>
      </c>
      <c r="C8" s="38">
        <v>7268694</v>
      </c>
      <c r="D8" s="39">
        <f t="shared" si="0"/>
        <v>2.1858922798179716E-2</v>
      </c>
      <c r="E8" s="32">
        <f t="shared" si="1"/>
        <v>175.54900899218131</v>
      </c>
      <c r="F8" s="40"/>
      <c r="G8" s="29"/>
      <c r="H8" s="29" t="s">
        <v>66</v>
      </c>
      <c r="I8" s="29"/>
      <c r="J8" s="29"/>
    </row>
    <row r="9" spans="1:10" ht="14.75" x14ac:dyDescent="0.75">
      <c r="A9" s="41">
        <v>5</v>
      </c>
      <c r="B9" s="33" t="s">
        <v>107</v>
      </c>
      <c r="C9" s="42">
        <v>3038491</v>
      </c>
      <c r="D9" s="39">
        <f t="shared" si="0"/>
        <v>9.137561739696827E-3</v>
      </c>
      <c r="E9" s="32">
        <f t="shared" si="1"/>
        <v>73.38375833150522</v>
      </c>
      <c r="F9" s="40"/>
      <c r="G9" s="29"/>
      <c r="H9" s="29" t="s">
        <v>67</v>
      </c>
      <c r="I9" s="29">
        <v>262.39999999999998</v>
      </c>
      <c r="J9" s="29" t="s">
        <v>83</v>
      </c>
    </row>
    <row r="10" spans="1:10" ht="14.75" x14ac:dyDescent="0.75">
      <c r="A10" s="30">
        <v>6</v>
      </c>
      <c r="B10" s="29" t="s">
        <v>109</v>
      </c>
      <c r="C10" s="38">
        <v>40438640</v>
      </c>
      <c r="D10" s="39">
        <f t="shared" si="0"/>
        <v>0.12160989440790632</v>
      </c>
      <c r="E10" s="32">
        <f t="shared" si="1"/>
        <v>976.64906198989559</v>
      </c>
      <c r="F10" s="40"/>
      <c r="G10" s="29"/>
      <c r="H10" s="29" t="s">
        <v>68</v>
      </c>
      <c r="I10" s="29">
        <v>33.57</v>
      </c>
      <c r="J10" s="29" t="s">
        <v>83</v>
      </c>
    </row>
    <row r="11" spans="1:10" ht="14.75" x14ac:dyDescent="0.75">
      <c r="A11" s="41">
        <v>8</v>
      </c>
      <c r="B11" s="33" t="s">
        <v>111</v>
      </c>
      <c r="C11" s="42">
        <v>5843359</v>
      </c>
      <c r="D11" s="39">
        <f t="shared" si="0"/>
        <v>1.7572556123981644E-2</v>
      </c>
      <c r="E11" s="32">
        <f t="shared" si="1"/>
        <v>141.12519823169657</v>
      </c>
      <c r="F11" s="40"/>
      <c r="G11" s="29"/>
      <c r="H11" s="29" t="s">
        <v>69</v>
      </c>
      <c r="I11" s="29">
        <v>67.8</v>
      </c>
      <c r="J11" s="29" t="s">
        <v>83</v>
      </c>
    </row>
    <row r="12" spans="1:10" ht="14.75" x14ac:dyDescent="0.75">
      <c r="A12" s="30">
        <v>9</v>
      </c>
      <c r="B12" s="29" t="s">
        <v>113</v>
      </c>
      <c r="C12" s="38">
        <v>3593542</v>
      </c>
      <c r="D12" s="39">
        <f t="shared" si="0"/>
        <v>1.0806749761376161E-2</v>
      </c>
      <c r="E12" s="32">
        <f t="shared" si="1"/>
        <v>86.789007333611949</v>
      </c>
      <c r="F12" s="40"/>
      <c r="G12" s="29"/>
      <c r="H12" s="29" t="s">
        <v>70</v>
      </c>
      <c r="I12" s="29">
        <v>23.4</v>
      </c>
      <c r="J12" s="29" t="s">
        <v>83</v>
      </c>
    </row>
    <row r="13" spans="1:10" ht="14.75" x14ac:dyDescent="0.75">
      <c r="A13" s="41">
        <v>10</v>
      </c>
      <c r="B13" s="33" t="s">
        <v>115</v>
      </c>
      <c r="C13" s="42">
        <v>987393</v>
      </c>
      <c r="D13" s="39">
        <f t="shared" si="0"/>
        <v>2.9693569929430327E-3</v>
      </c>
      <c r="E13" s="32">
        <f t="shared" si="1"/>
        <v>23.846906010325498</v>
      </c>
      <c r="F13" s="40"/>
      <c r="G13" s="29"/>
      <c r="H13" s="29" t="s">
        <v>71</v>
      </c>
      <c r="I13" s="29">
        <v>137.69999999999999</v>
      </c>
      <c r="J13" s="29" t="s">
        <v>83</v>
      </c>
    </row>
    <row r="14" spans="1:10" ht="14.75" x14ac:dyDescent="0.75">
      <c r="A14" s="30">
        <v>11</v>
      </c>
      <c r="B14" s="29" t="s">
        <v>209</v>
      </c>
      <c r="C14" s="38">
        <v>732552</v>
      </c>
      <c r="D14" s="39">
        <f t="shared" si="0"/>
        <v>2.2029813902816856E-3</v>
      </c>
      <c r="E14" s="32">
        <f t="shared" si="1"/>
        <v>17.692143545352216</v>
      </c>
      <c r="F14" s="40"/>
      <c r="G14" s="29"/>
      <c r="H14" s="29"/>
      <c r="I14" s="29"/>
      <c r="J14" s="29"/>
    </row>
    <row r="15" spans="1:10" ht="14.75" x14ac:dyDescent="0.75">
      <c r="A15" s="41">
        <v>12</v>
      </c>
      <c r="B15" s="33" t="s">
        <v>117</v>
      </c>
      <c r="C15" s="42">
        <v>21877257</v>
      </c>
      <c r="D15" s="39">
        <f t="shared" si="0"/>
        <v>6.5790810811259468E-2</v>
      </c>
      <c r="E15" s="32">
        <f t="shared" si="1"/>
        <v>528.36600162522484</v>
      </c>
      <c r="F15" s="40"/>
      <c r="G15" s="29"/>
      <c r="H15" s="29" t="s">
        <v>72</v>
      </c>
      <c r="I15" s="43">
        <v>0.83199999999999996</v>
      </c>
      <c r="J15" s="29" t="s">
        <v>83</v>
      </c>
    </row>
    <row r="16" spans="1:10" ht="14.75" x14ac:dyDescent="0.75">
      <c r="A16" s="30">
        <v>13</v>
      </c>
      <c r="B16" s="29" t="s">
        <v>119</v>
      </c>
      <c r="C16" s="38">
        <v>10725351</v>
      </c>
      <c r="D16" s="39">
        <f t="shared" si="0"/>
        <v>3.2254022454705017E-2</v>
      </c>
      <c r="E16" s="32">
        <f t="shared" si="1"/>
        <v>259.03205433373597</v>
      </c>
      <c r="F16" s="40"/>
      <c r="G16" s="29"/>
      <c r="H16" s="29" t="s">
        <v>73</v>
      </c>
      <c r="I16" s="29"/>
      <c r="J16" s="29"/>
    </row>
    <row r="17" spans="1:10" ht="14.75" x14ac:dyDescent="0.75">
      <c r="A17" s="41">
        <v>15</v>
      </c>
      <c r="B17" s="33" t="s">
        <v>121</v>
      </c>
      <c r="C17" s="42">
        <v>1453902</v>
      </c>
      <c r="D17" s="39">
        <f t="shared" si="0"/>
        <v>4.3722753460414049E-3</v>
      </c>
      <c r="E17" s="32">
        <f t="shared" si="1"/>
        <v>35.113743304058524</v>
      </c>
      <c r="F17" s="40"/>
      <c r="G17" s="29"/>
      <c r="H17" s="29"/>
      <c r="I17" s="29"/>
      <c r="J17" s="29"/>
    </row>
    <row r="18" spans="1:10" ht="14.75" x14ac:dyDescent="0.75">
      <c r="A18" s="30">
        <v>16</v>
      </c>
      <c r="B18" s="29" t="s">
        <v>123</v>
      </c>
      <c r="C18" s="38">
        <v>1777249</v>
      </c>
      <c r="D18" s="39">
        <f t="shared" si="0"/>
        <v>5.3446669627504068E-3</v>
      </c>
      <c r="E18" s="32">
        <f t="shared" si="1"/>
        <v>42.923020377848516</v>
      </c>
      <c r="F18" s="40"/>
      <c r="G18" s="29"/>
      <c r="H18" s="29" t="s">
        <v>74</v>
      </c>
      <c r="I18" s="29"/>
      <c r="J18" s="29"/>
    </row>
    <row r="19" spans="1:10" ht="14.75" x14ac:dyDescent="0.75">
      <c r="A19" s="41">
        <v>17</v>
      </c>
      <c r="B19" s="33" t="s">
        <v>125</v>
      </c>
      <c r="C19" s="42">
        <v>12791188</v>
      </c>
      <c r="D19" s="39">
        <f t="shared" si="0"/>
        <v>3.846655134870209E-2</v>
      </c>
      <c r="E19" s="32">
        <f t="shared" si="1"/>
        <v>308.92487388142649</v>
      </c>
      <c r="F19" s="40"/>
      <c r="G19" s="29"/>
      <c r="H19" s="29" t="s">
        <v>75</v>
      </c>
      <c r="I19" s="29"/>
      <c r="J19" s="29"/>
    </row>
    <row r="20" spans="1:10" ht="14.75" x14ac:dyDescent="0.75">
      <c r="A20" s="30">
        <v>18</v>
      </c>
      <c r="B20" s="29" t="s">
        <v>127</v>
      </c>
      <c r="C20" s="38">
        <v>6737581</v>
      </c>
      <c r="D20" s="39">
        <f t="shared" si="0"/>
        <v>2.0261722797174087E-2</v>
      </c>
      <c r="E20" s="32">
        <f t="shared" si="1"/>
        <v>162.7218957841051</v>
      </c>
      <c r="F20" s="40"/>
      <c r="G20" s="29"/>
      <c r="H20" s="29" t="s">
        <v>76</v>
      </c>
      <c r="I20" s="29"/>
      <c r="J20" s="29"/>
    </row>
    <row r="21" spans="1:10" ht="14.75" x14ac:dyDescent="0.75">
      <c r="A21" s="41">
        <v>19</v>
      </c>
      <c r="B21" s="33" t="s">
        <v>129</v>
      </c>
      <c r="C21" s="42">
        <v>3184240</v>
      </c>
      <c r="D21" s="39">
        <f t="shared" si="0"/>
        <v>9.5758682826482689E-3</v>
      </c>
      <c r="E21" s="32">
        <f t="shared" si="1"/>
        <v>76.903798177948246</v>
      </c>
      <c r="F21" s="40"/>
      <c r="G21" s="29"/>
      <c r="H21" s="29"/>
      <c r="I21" s="29"/>
      <c r="J21" s="29"/>
    </row>
    <row r="22" spans="1:10" ht="14.75" x14ac:dyDescent="0.75">
      <c r="A22" s="30">
        <v>20</v>
      </c>
      <c r="B22" s="29" t="s">
        <v>131</v>
      </c>
      <c r="C22" s="38">
        <v>2936212</v>
      </c>
      <c r="D22" s="39">
        <f t="shared" si="0"/>
        <v>8.8299812080531743E-3</v>
      </c>
      <c r="E22" s="32">
        <f t="shared" si="1"/>
        <v>70.913579081875042</v>
      </c>
      <c r="F22" s="40"/>
      <c r="G22" s="29"/>
      <c r="H22" s="29" t="s">
        <v>77</v>
      </c>
      <c r="I22" s="44">
        <v>3.41</v>
      </c>
      <c r="J22" s="29"/>
    </row>
    <row r="23" spans="1:10" ht="14.75" x14ac:dyDescent="0.75">
      <c r="A23" s="41">
        <v>21</v>
      </c>
      <c r="B23" s="33" t="s">
        <v>133</v>
      </c>
      <c r="C23" s="42">
        <v>4498533</v>
      </c>
      <c r="D23" s="39">
        <f t="shared" si="0"/>
        <v>1.3528301721335881E-2</v>
      </c>
      <c r="E23" s="32">
        <f t="shared" si="1"/>
        <v>108.64579112404846</v>
      </c>
      <c r="F23" s="40"/>
      <c r="G23" s="29"/>
      <c r="H23" s="29" t="s">
        <v>79</v>
      </c>
      <c r="I23" s="29">
        <v>8031</v>
      </c>
      <c r="J23" s="29"/>
    </row>
    <row r="24" spans="1:10" ht="14.75" x14ac:dyDescent="0.75">
      <c r="A24" s="30">
        <v>22</v>
      </c>
      <c r="B24" s="29" t="s">
        <v>135</v>
      </c>
      <c r="C24" s="38">
        <v>4742900</v>
      </c>
      <c r="D24" s="39">
        <f t="shared" si="0"/>
        <v>1.4263179181774137E-2</v>
      </c>
      <c r="E24" s="32">
        <f t="shared" si="1"/>
        <v>114.54759200882809</v>
      </c>
      <c r="F24" s="40"/>
      <c r="G24" s="29"/>
      <c r="H24" s="29"/>
      <c r="I24" s="29"/>
      <c r="J24" s="29"/>
    </row>
    <row r="25" spans="1:10" ht="14.75" x14ac:dyDescent="0.75">
      <c r="A25" s="41">
        <v>23</v>
      </c>
      <c r="B25" s="33" t="s">
        <v>137</v>
      </c>
      <c r="C25" s="42">
        <v>1338780</v>
      </c>
      <c r="D25" s="39">
        <f t="shared" si="0"/>
        <v>4.0260724503943957E-3</v>
      </c>
      <c r="E25" s="32">
        <f t="shared" si="1"/>
        <v>32.333387849117393</v>
      </c>
      <c r="F25" s="40"/>
      <c r="G25" s="29"/>
      <c r="H25" s="29"/>
      <c r="I25" s="29"/>
      <c r="J25" s="29"/>
    </row>
    <row r="26" spans="1:10" ht="14.75" x14ac:dyDescent="0.75">
      <c r="A26" s="30">
        <v>24</v>
      </c>
      <c r="B26" s="29" t="s">
        <v>139</v>
      </c>
      <c r="C26" s="38">
        <v>6161345</v>
      </c>
      <c r="D26" s="39">
        <f t="shared" si="0"/>
        <v>1.8528825768143575E-2</v>
      </c>
      <c r="E26" s="32">
        <f t="shared" si="1"/>
        <v>148.80499974396105</v>
      </c>
      <c r="F26" s="40"/>
      <c r="G26" s="29"/>
      <c r="H26" s="29"/>
      <c r="I26" s="29"/>
      <c r="J26" s="29"/>
    </row>
    <row r="27" spans="1:10" ht="14.75" x14ac:dyDescent="0.75">
      <c r="A27" s="41">
        <v>25</v>
      </c>
      <c r="B27" s="33" t="s">
        <v>141</v>
      </c>
      <c r="C27" s="42">
        <v>6982092</v>
      </c>
      <c r="D27" s="39">
        <f t="shared" si="0"/>
        <v>2.099703330444069E-2</v>
      </c>
      <c r="E27" s="32">
        <f t="shared" si="1"/>
        <v>168.62717446796319</v>
      </c>
      <c r="F27" s="40"/>
      <c r="G27" s="29"/>
      <c r="H27" s="29"/>
      <c r="I27" s="29"/>
      <c r="J27" s="29"/>
    </row>
    <row r="28" spans="1:10" ht="14.75" x14ac:dyDescent="0.75">
      <c r="A28" s="30">
        <v>26</v>
      </c>
      <c r="B28" s="29" t="s">
        <v>143</v>
      </c>
      <c r="C28" s="38">
        <v>9992315</v>
      </c>
      <c r="D28" s="39">
        <f t="shared" si="0"/>
        <v>3.0049585545916937E-2</v>
      </c>
      <c r="E28" s="32">
        <f t="shared" si="1"/>
        <v>241.32822151925893</v>
      </c>
      <c r="F28" s="40"/>
      <c r="G28" s="29"/>
      <c r="H28" s="29"/>
      <c r="I28" s="29"/>
      <c r="J28" s="29"/>
    </row>
    <row r="29" spans="1:10" ht="14.75" x14ac:dyDescent="0.75">
      <c r="A29" s="41">
        <v>27</v>
      </c>
      <c r="B29" s="33" t="s">
        <v>99</v>
      </c>
      <c r="C29" s="42">
        <v>5683666</v>
      </c>
      <c r="D29" s="39">
        <f t="shared" si="0"/>
        <v>1.709231621315176E-2</v>
      </c>
      <c r="E29" s="32">
        <f t="shared" si="1"/>
        <v>137.26839150782178</v>
      </c>
      <c r="F29" s="40"/>
      <c r="G29" s="29"/>
      <c r="H29" s="29"/>
      <c r="I29" s="29"/>
      <c r="J29" s="29"/>
    </row>
    <row r="30" spans="1:10" ht="14.75" x14ac:dyDescent="0.75">
      <c r="A30" s="30">
        <v>28</v>
      </c>
      <c r="B30" s="29" t="s">
        <v>146</v>
      </c>
      <c r="C30" s="38">
        <v>2990498</v>
      </c>
      <c r="D30" s="39">
        <f t="shared" si="0"/>
        <v>8.9932338478013862E-3</v>
      </c>
      <c r="E30" s="32">
        <f t="shared" si="1"/>
        <v>72.224661031692932</v>
      </c>
      <c r="F30" s="40"/>
      <c r="G30" s="29"/>
      <c r="H30" s="29"/>
      <c r="I30" s="29"/>
      <c r="J30" s="29"/>
    </row>
    <row r="31" spans="1:10" ht="14.75" x14ac:dyDescent="0.75">
      <c r="A31" s="41">
        <v>29</v>
      </c>
      <c r="B31" s="33" t="s">
        <v>148</v>
      </c>
      <c r="C31" s="42">
        <v>6161471</v>
      </c>
      <c r="D31" s="39">
        <f t="shared" si="0"/>
        <v>1.8529204684118381E-2</v>
      </c>
      <c r="E31" s="32">
        <f t="shared" si="1"/>
        <v>148.80804281815472</v>
      </c>
      <c r="F31" s="40"/>
      <c r="G31" s="29"/>
      <c r="H31" s="29"/>
      <c r="I31" s="29"/>
      <c r="J31" s="29"/>
    </row>
    <row r="32" spans="1:10" ht="14.75" x14ac:dyDescent="0.75">
      <c r="A32" s="30">
        <v>30</v>
      </c>
      <c r="B32" s="29" t="s">
        <v>150</v>
      </c>
      <c r="C32" s="38">
        <v>1074635</v>
      </c>
      <c r="D32" s="39">
        <f t="shared" si="0"/>
        <v>3.2317172109902906E-3</v>
      </c>
      <c r="E32" s="32">
        <f t="shared" si="1"/>
        <v>25.953920921463023</v>
      </c>
      <c r="F32" s="40"/>
      <c r="G32" s="29"/>
      <c r="H32" s="29"/>
      <c r="I32" s="29"/>
      <c r="J32" s="29"/>
    </row>
    <row r="33" spans="1:10" ht="14.75" x14ac:dyDescent="0.75">
      <c r="A33" s="41">
        <v>31</v>
      </c>
      <c r="B33" s="33" t="s">
        <v>152</v>
      </c>
      <c r="C33" s="42">
        <v>1956876</v>
      </c>
      <c r="D33" s="39">
        <f t="shared" si="0"/>
        <v>5.8848537866101848E-3</v>
      </c>
      <c r="E33" s="32">
        <f t="shared" si="1"/>
        <v>47.261260760266396</v>
      </c>
      <c r="F33" s="40"/>
      <c r="G33" s="29"/>
      <c r="H33" s="29"/>
      <c r="I33" s="29"/>
      <c r="J33" s="29"/>
    </row>
    <row r="34" spans="1:10" ht="14.75" x14ac:dyDescent="0.75">
      <c r="A34" s="30">
        <v>32</v>
      </c>
      <c r="B34" s="29" t="s">
        <v>154</v>
      </c>
      <c r="C34" s="38">
        <v>3119265</v>
      </c>
      <c r="D34" s="39">
        <f t="shared" si="0"/>
        <v>9.3804709377040846E-3</v>
      </c>
      <c r="E34" s="32">
        <f t="shared" si="1"/>
        <v>75.334562100701504</v>
      </c>
      <c r="F34" s="40"/>
      <c r="G34" s="29"/>
      <c r="H34" s="29"/>
      <c r="I34" s="29"/>
      <c r="J34" s="29"/>
    </row>
    <row r="35" spans="1:10" ht="14.75" x14ac:dyDescent="0.75">
      <c r="A35" s="41">
        <v>33</v>
      </c>
      <c r="B35" s="33" t="s">
        <v>156</v>
      </c>
      <c r="C35" s="42">
        <v>1352917</v>
      </c>
      <c r="D35" s="39">
        <f t="shared" si="0"/>
        <v>4.0685862213136097E-3</v>
      </c>
      <c r="E35" s="32">
        <f t="shared" si="1"/>
        <v>32.674815943369602</v>
      </c>
      <c r="F35" s="40"/>
      <c r="G35" s="29"/>
      <c r="H35" s="29"/>
      <c r="I35" s="29"/>
      <c r="J35" s="29"/>
    </row>
    <row r="36" spans="1:10" ht="14.75" x14ac:dyDescent="0.75">
      <c r="A36" s="30">
        <v>34</v>
      </c>
      <c r="B36" s="29" t="s">
        <v>158</v>
      </c>
      <c r="C36" s="38">
        <v>9088074</v>
      </c>
      <c r="D36" s="39">
        <f t="shared" si="0"/>
        <v>2.73302890381882E-2</v>
      </c>
      <c r="E36" s="32">
        <f t="shared" si="1"/>
        <v>219.48955126568944</v>
      </c>
      <c r="F36" s="40"/>
      <c r="G36" s="29"/>
      <c r="H36" s="29"/>
      <c r="I36" s="29"/>
      <c r="J36" s="29"/>
    </row>
    <row r="37" spans="1:10" ht="14.75" x14ac:dyDescent="0.75">
      <c r="A37" s="41">
        <v>35</v>
      </c>
      <c r="B37" s="33" t="s">
        <v>160</v>
      </c>
      <c r="C37" s="42">
        <v>2099134</v>
      </c>
      <c r="D37" s="39">
        <f t="shared" si="0"/>
        <v>6.3126619512438109E-3</v>
      </c>
      <c r="E37" s="32">
        <f t="shared" si="1"/>
        <v>50.696988130439046</v>
      </c>
      <c r="F37" s="40"/>
      <c r="G37" s="29"/>
      <c r="H37" s="29"/>
      <c r="I37" s="29"/>
      <c r="J37" s="29"/>
    </row>
    <row r="38" spans="1:10" ht="14.75" x14ac:dyDescent="0.75">
      <c r="A38" s="30">
        <v>36</v>
      </c>
      <c r="B38" s="29" t="s">
        <v>162</v>
      </c>
      <c r="C38" s="38">
        <v>20031150</v>
      </c>
      <c r="D38" s="39">
        <f t="shared" si="0"/>
        <v>6.023906927554766E-2</v>
      </c>
      <c r="E38" s="32">
        <f t="shared" si="1"/>
        <v>483.77996535192324</v>
      </c>
      <c r="F38" s="40"/>
      <c r="G38" s="29"/>
      <c r="H38" s="29"/>
      <c r="I38" s="29"/>
      <c r="J38" s="29"/>
    </row>
    <row r="39" spans="1:10" ht="14.75" x14ac:dyDescent="0.75">
      <c r="A39" s="41">
        <v>37</v>
      </c>
      <c r="B39" s="33" t="s">
        <v>164</v>
      </c>
      <c r="C39" s="42">
        <v>10568033</v>
      </c>
      <c r="D39" s="39">
        <f t="shared" si="0"/>
        <v>3.1780924809273248E-2</v>
      </c>
      <c r="E39" s="32">
        <f t="shared" si="1"/>
        <v>255.23260714327344</v>
      </c>
      <c r="F39" s="40"/>
      <c r="G39" s="29"/>
      <c r="H39" s="29"/>
      <c r="I39" s="29"/>
      <c r="J39" s="29"/>
    </row>
    <row r="40" spans="1:10" ht="14.75" x14ac:dyDescent="0.75">
      <c r="A40" s="30">
        <v>38</v>
      </c>
      <c r="B40" s="29" t="s">
        <v>166</v>
      </c>
      <c r="C40" s="38">
        <v>789403</v>
      </c>
      <c r="D40" s="39">
        <f t="shared" si="0"/>
        <v>2.3739476766598596E-3</v>
      </c>
      <c r="E40" s="32">
        <f t="shared" si="1"/>
        <v>19.065173791255333</v>
      </c>
      <c r="F40" s="40"/>
      <c r="G40" s="29"/>
      <c r="H40" s="29"/>
      <c r="I40" s="29"/>
      <c r="J40" s="29"/>
    </row>
    <row r="41" spans="1:10" ht="14.75" x14ac:dyDescent="0.75">
      <c r="A41" s="41">
        <v>39</v>
      </c>
      <c r="B41" s="33" t="s">
        <v>168</v>
      </c>
      <c r="C41" s="42">
        <v>11705262</v>
      </c>
      <c r="D41" s="39">
        <f t="shared" si="0"/>
        <v>3.5200879056191757E-2</v>
      </c>
      <c r="E41" s="32">
        <f t="shared" si="1"/>
        <v>282.69825970027603</v>
      </c>
      <c r="F41" s="40"/>
      <c r="G41" s="29"/>
      <c r="H41" s="29"/>
      <c r="I41" s="29"/>
      <c r="J41" s="29"/>
    </row>
    <row r="42" spans="1:10" ht="14.75" x14ac:dyDescent="0.75">
      <c r="A42" s="30">
        <v>40</v>
      </c>
      <c r="B42" s="29" t="s">
        <v>170</v>
      </c>
      <c r="C42" s="38">
        <v>4001180</v>
      </c>
      <c r="D42" s="39">
        <f t="shared" si="0"/>
        <v>1.2032627143420911E-2</v>
      </c>
      <c r="E42" s="32">
        <f t="shared" si="1"/>
        <v>96.634028588813337</v>
      </c>
      <c r="F42" s="40"/>
      <c r="G42" s="29"/>
      <c r="H42" s="29"/>
      <c r="I42" s="29"/>
      <c r="J42" s="29"/>
    </row>
    <row r="43" spans="1:10" ht="14.75" x14ac:dyDescent="0.75">
      <c r="A43" s="41">
        <v>41</v>
      </c>
      <c r="B43" s="33" t="s">
        <v>172</v>
      </c>
      <c r="C43" s="42">
        <v>4267534</v>
      </c>
      <c r="D43" s="39">
        <f t="shared" si="0"/>
        <v>1.2833625441462673E-2</v>
      </c>
      <c r="E43" s="32">
        <f t="shared" si="1"/>
        <v>103.06684592038673</v>
      </c>
      <c r="F43" s="40"/>
      <c r="G43" s="29"/>
      <c r="H43" s="29"/>
      <c r="I43" s="29"/>
      <c r="J43" s="29"/>
    </row>
    <row r="44" spans="1:10" ht="14.75" x14ac:dyDescent="0.75">
      <c r="A44" s="30">
        <v>42</v>
      </c>
      <c r="B44" s="29" t="s">
        <v>174</v>
      </c>
      <c r="C44" s="38">
        <v>12844885</v>
      </c>
      <c r="D44" s="39">
        <f t="shared" si="0"/>
        <v>3.8628032706631572E-2</v>
      </c>
      <c r="E44" s="32">
        <f t="shared" si="1"/>
        <v>310.22173066695814</v>
      </c>
      <c r="F44" s="40"/>
      <c r="G44" s="29"/>
      <c r="H44" s="29"/>
      <c r="I44" s="29"/>
      <c r="J44" s="29"/>
    </row>
    <row r="45" spans="1:10" ht="14.75" x14ac:dyDescent="0.75">
      <c r="A45" s="41">
        <v>44</v>
      </c>
      <c r="B45" s="33" t="s">
        <v>176</v>
      </c>
      <c r="C45" s="42">
        <v>1062334</v>
      </c>
      <c r="D45" s="39">
        <f t="shared" si="0"/>
        <v>3.1947247871325236E-3</v>
      </c>
      <c r="E45" s="32">
        <f t="shared" si="1"/>
        <v>25.656834765461298</v>
      </c>
      <c r="F45" s="40"/>
      <c r="G45" s="29"/>
      <c r="H45" s="29"/>
      <c r="I45" s="29"/>
      <c r="J45" s="29"/>
    </row>
    <row r="46" spans="1:10" ht="14.75" x14ac:dyDescent="0.75">
      <c r="A46" s="30">
        <v>45</v>
      </c>
      <c r="B46" s="29" t="s">
        <v>178</v>
      </c>
      <c r="C46" s="38">
        <v>5184564</v>
      </c>
      <c r="D46" s="39">
        <f t="shared" si="0"/>
        <v>1.5591381920634136E-2</v>
      </c>
      <c r="E46" s="32">
        <f t="shared" si="1"/>
        <v>125.21438820461275</v>
      </c>
      <c r="F46" s="40"/>
      <c r="G46" s="29"/>
      <c r="H46" s="29"/>
      <c r="I46" s="29"/>
      <c r="J46" s="29"/>
    </row>
    <row r="47" spans="1:10" ht="14.75" x14ac:dyDescent="0.75">
      <c r="A47" s="41">
        <v>46</v>
      </c>
      <c r="B47" s="33" t="s">
        <v>180</v>
      </c>
      <c r="C47" s="42">
        <v>891688</v>
      </c>
      <c r="D47" s="39">
        <f t="shared" si="0"/>
        <v>2.6815462519213596E-3</v>
      </c>
      <c r="E47" s="32">
        <f t="shared" si="1"/>
        <v>21.535497949180439</v>
      </c>
      <c r="F47" s="40"/>
      <c r="G47" s="29"/>
      <c r="H47" s="29"/>
      <c r="I47" s="29"/>
      <c r="J47" s="29"/>
    </row>
    <row r="48" spans="1:10" ht="14.75" x14ac:dyDescent="0.75">
      <c r="A48" s="30">
        <v>47</v>
      </c>
      <c r="B48" s="29" t="s">
        <v>182</v>
      </c>
      <c r="C48" s="38">
        <v>6861856</v>
      </c>
      <c r="D48" s="39">
        <f t="shared" si="0"/>
        <v>2.0635451231848016E-2</v>
      </c>
      <c r="E48" s="32">
        <f t="shared" si="1"/>
        <v>165.72330884297142</v>
      </c>
      <c r="F48" s="40"/>
      <c r="G48" s="29"/>
      <c r="H48" s="29"/>
      <c r="I48" s="29"/>
      <c r="J48" s="29"/>
    </row>
    <row r="49" spans="1:10" ht="14.75" x14ac:dyDescent="0.75">
      <c r="A49" s="41">
        <v>48</v>
      </c>
      <c r="B49" s="33" t="s">
        <v>184</v>
      </c>
      <c r="C49" s="42">
        <v>29604099</v>
      </c>
      <c r="D49" s="39">
        <f t="shared" si="0"/>
        <v>8.9027508181066556E-2</v>
      </c>
      <c r="E49" s="32">
        <f t="shared" si="1"/>
        <v>714.97991820214554</v>
      </c>
      <c r="F49" s="40"/>
      <c r="G49" s="29"/>
      <c r="H49" s="29"/>
      <c r="I49" s="29"/>
      <c r="J49" s="29"/>
    </row>
    <row r="50" spans="1:10" ht="14.75" x14ac:dyDescent="0.75">
      <c r="A50" s="30">
        <v>49</v>
      </c>
      <c r="B50" s="29" t="s">
        <v>186</v>
      </c>
      <c r="C50" s="38">
        <v>3240569</v>
      </c>
      <c r="D50" s="39">
        <f t="shared" si="0"/>
        <v>9.7452647742736799E-3</v>
      </c>
      <c r="E50" s="32">
        <f t="shared" si="1"/>
        <v>78.264221402191922</v>
      </c>
      <c r="F50" s="40"/>
      <c r="G50" s="29"/>
      <c r="H50" s="29"/>
      <c r="I50" s="29"/>
      <c r="J50" s="29"/>
    </row>
    <row r="51" spans="1:10" ht="14.75" x14ac:dyDescent="0.75">
      <c r="A51" s="41">
        <v>50</v>
      </c>
      <c r="B51" s="33" t="s">
        <v>188</v>
      </c>
      <c r="C51" s="42">
        <v>622868</v>
      </c>
      <c r="D51" s="39">
        <f t="shared" si="0"/>
        <v>1.8731320269441255E-3</v>
      </c>
      <c r="E51" s="32">
        <f t="shared" si="1"/>
        <v>15.043123308388273</v>
      </c>
      <c r="F51" s="40"/>
      <c r="G51" s="29"/>
      <c r="H51" s="29"/>
      <c r="I51" s="29"/>
      <c r="J51" s="29"/>
    </row>
    <row r="52" spans="1:10" ht="14.75" x14ac:dyDescent="0.75">
      <c r="A52" s="30">
        <v>51</v>
      </c>
      <c r="B52" s="29" t="s">
        <v>190</v>
      </c>
      <c r="C52" s="38">
        <v>8655021</v>
      </c>
      <c r="D52" s="39">
        <f t="shared" si="0"/>
        <v>2.602798189820953E-2</v>
      </c>
      <c r="E52" s="32">
        <f t="shared" si="1"/>
        <v>209.03072262452073</v>
      </c>
      <c r="F52" s="40"/>
      <c r="G52" s="29"/>
      <c r="H52" s="29"/>
      <c r="I52" s="29"/>
      <c r="J52" s="29"/>
    </row>
    <row r="53" spans="1:10" ht="14.75" x14ac:dyDescent="0.75">
      <c r="A53" s="41">
        <v>53</v>
      </c>
      <c r="B53" s="33" t="s">
        <v>192</v>
      </c>
      <c r="C53" s="42">
        <v>7681818</v>
      </c>
      <c r="D53" s="39">
        <f t="shared" si="0"/>
        <v>2.3101298061476698E-2</v>
      </c>
      <c r="E53" s="32">
        <f t="shared" si="1"/>
        <v>185.52652473171935</v>
      </c>
      <c r="F53" s="40"/>
      <c r="G53" s="29"/>
      <c r="H53" s="29"/>
      <c r="I53" s="29"/>
      <c r="J53" s="29"/>
    </row>
    <row r="54" spans="1:10" ht="14.75" x14ac:dyDescent="0.75">
      <c r="A54" s="30">
        <v>54</v>
      </c>
      <c r="B54" s="29" t="s">
        <v>194</v>
      </c>
      <c r="C54" s="38">
        <v>1801966</v>
      </c>
      <c r="D54" s="39">
        <f t="shared" si="0"/>
        <v>5.4189976464746915E-3</v>
      </c>
      <c r="E54" s="32">
        <f t="shared" si="1"/>
        <v>43.51997009883825</v>
      </c>
      <c r="F54" s="40"/>
      <c r="G54" s="29"/>
      <c r="H54" s="29"/>
      <c r="I54" s="29"/>
      <c r="J54" s="29"/>
    </row>
    <row r="55" spans="1:10" ht="14.75" x14ac:dyDescent="0.75">
      <c r="A55" s="41">
        <v>55</v>
      </c>
      <c r="B55" s="33" t="s">
        <v>196</v>
      </c>
      <c r="C55" s="42">
        <v>5837176</v>
      </c>
      <c r="D55" s="39">
        <f t="shared" si="0"/>
        <v>1.7553962175789417E-2</v>
      </c>
      <c r="E55" s="32">
        <f t="shared" si="1"/>
        <v>140.97587023376479</v>
      </c>
      <c r="F55" s="40"/>
      <c r="G55" s="29"/>
      <c r="H55" s="29"/>
      <c r="I55" s="29"/>
      <c r="J55" s="29"/>
    </row>
    <row r="56" spans="1:10" ht="14.75" x14ac:dyDescent="0.75">
      <c r="A56" s="30">
        <v>56</v>
      </c>
      <c r="B56" s="29" t="s">
        <v>198</v>
      </c>
      <c r="C56" s="38">
        <v>585380</v>
      </c>
      <c r="D56" s="39">
        <f t="shared" si="0"/>
        <v>1.7603955026306572E-3</v>
      </c>
      <c r="E56" s="32">
        <f t="shared" si="1"/>
        <v>14.137736281626808</v>
      </c>
      <c r="F56" s="40"/>
      <c r="G56" s="29"/>
      <c r="H56" s="29"/>
      <c r="I56" s="29"/>
      <c r="J56" s="29"/>
    </row>
    <row r="57" spans="1:10" ht="14.75" x14ac:dyDescent="0.75">
      <c r="A57" s="74" t="s">
        <v>210</v>
      </c>
      <c r="B57" s="75"/>
      <c r="C57" s="75"/>
      <c r="D57" s="29"/>
      <c r="E57" s="29"/>
      <c r="F57" s="29"/>
      <c r="G57" s="29"/>
      <c r="H57" s="29"/>
      <c r="I57" s="29"/>
      <c r="J57" s="29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2E82F-DE71-433C-A904-F547FC46FF0C}">
  <dimension ref="A1:J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10" ht="16" x14ac:dyDescent="0.8">
      <c r="A1" s="45" t="str">
        <f>About!B2</f>
        <v>NH</v>
      </c>
      <c r="B1" s="32">
        <f>SUMIFS(E3:E52,A3:A52,A1)</f>
        <v>40000</v>
      </c>
    </row>
    <row r="2" spans="1:10" ht="21" x14ac:dyDescent="1">
      <c r="A2" s="45" t="s">
        <v>100</v>
      </c>
      <c r="B2" s="45" t="s">
        <v>211</v>
      </c>
      <c r="C2" s="45" t="s">
        <v>212</v>
      </c>
      <c r="D2" s="45" t="s">
        <v>213</v>
      </c>
      <c r="E2" s="45" t="s">
        <v>214</v>
      </c>
      <c r="F2" s="45"/>
      <c r="I2" s="46"/>
      <c r="J2" s="46"/>
    </row>
    <row r="3" spans="1:10" ht="21" x14ac:dyDescent="1">
      <c r="A3" s="45" t="s">
        <v>102</v>
      </c>
      <c r="B3" s="45">
        <v>13</v>
      </c>
      <c r="C3" s="45">
        <v>20</v>
      </c>
      <c r="D3" s="45">
        <v>2115</v>
      </c>
      <c r="E3" s="47">
        <f t="shared" ref="E3:E52" si="0">SUM(B3:D3)*1000</f>
        <v>2148000</v>
      </c>
      <c r="I3" s="48"/>
      <c r="J3" s="48"/>
    </row>
    <row r="4" spans="1:10" ht="21" x14ac:dyDescent="1">
      <c r="A4" s="45" t="s">
        <v>104</v>
      </c>
      <c r="B4" s="45">
        <v>1</v>
      </c>
      <c r="C4" s="45">
        <v>1</v>
      </c>
      <c r="D4" s="45">
        <v>9005</v>
      </c>
      <c r="E4" s="47">
        <f t="shared" si="0"/>
        <v>9007000</v>
      </c>
      <c r="G4" s="49"/>
      <c r="H4" s="49"/>
      <c r="I4" s="48"/>
      <c r="J4" s="48"/>
    </row>
    <row r="5" spans="1:10" ht="21" x14ac:dyDescent="1">
      <c r="A5" s="45" t="s">
        <v>106</v>
      </c>
      <c r="B5" s="45">
        <v>15</v>
      </c>
      <c r="C5" s="45">
        <v>53</v>
      </c>
      <c r="D5" s="45">
        <v>5147</v>
      </c>
      <c r="E5" s="47">
        <f t="shared" si="0"/>
        <v>5215000</v>
      </c>
      <c r="I5" s="48"/>
      <c r="J5" s="48"/>
    </row>
    <row r="6" spans="1:10" ht="21" x14ac:dyDescent="1">
      <c r="A6" s="45" t="s">
        <v>108</v>
      </c>
      <c r="B6" s="45">
        <v>7</v>
      </c>
      <c r="C6" s="45">
        <v>16</v>
      </c>
      <c r="D6" s="45">
        <v>2747</v>
      </c>
      <c r="E6" s="47">
        <f t="shared" si="0"/>
        <v>2770000</v>
      </c>
      <c r="I6" s="48"/>
      <c r="J6" s="48"/>
    </row>
    <row r="7" spans="1:10" ht="21" x14ac:dyDescent="1">
      <c r="A7" s="45" t="s">
        <v>110</v>
      </c>
      <c r="B7" s="45">
        <v>76</v>
      </c>
      <c r="C7" s="45">
        <v>111</v>
      </c>
      <c r="D7" s="45">
        <v>4010</v>
      </c>
      <c r="E7" s="47">
        <f t="shared" si="0"/>
        <v>4197000</v>
      </c>
      <c r="I7" s="48"/>
      <c r="J7" s="48"/>
    </row>
    <row r="8" spans="1:10" ht="21" x14ac:dyDescent="1">
      <c r="A8" s="45" t="s">
        <v>112</v>
      </c>
      <c r="B8" s="45">
        <v>12</v>
      </c>
      <c r="C8" s="45">
        <v>19</v>
      </c>
      <c r="D8" s="45">
        <v>4514</v>
      </c>
      <c r="E8" s="47">
        <f t="shared" si="0"/>
        <v>4545000</v>
      </c>
      <c r="I8" s="48"/>
      <c r="J8" s="48"/>
    </row>
    <row r="9" spans="1:10" ht="21" x14ac:dyDescent="1">
      <c r="A9" s="45" t="s">
        <v>114</v>
      </c>
      <c r="B9" s="45">
        <v>6</v>
      </c>
      <c r="C9" s="45">
        <v>5</v>
      </c>
      <c r="D9" s="45">
        <v>12</v>
      </c>
      <c r="E9" s="47">
        <f t="shared" si="0"/>
        <v>23000</v>
      </c>
      <c r="I9" s="48"/>
      <c r="J9" s="48"/>
    </row>
    <row r="10" spans="1:10" ht="21" x14ac:dyDescent="1">
      <c r="A10" s="45" t="s">
        <v>116</v>
      </c>
      <c r="B10" s="45">
        <v>2</v>
      </c>
      <c r="C10" s="45">
        <v>9</v>
      </c>
      <c r="D10" s="45">
        <v>167</v>
      </c>
      <c r="E10" s="47">
        <f t="shared" si="0"/>
        <v>178000</v>
      </c>
      <c r="I10" s="48"/>
      <c r="J10" s="48"/>
    </row>
    <row r="11" spans="1:10" ht="21" x14ac:dyDescent="1">
      <c r="A11" s="45" t="s">
        <v>118</v>
      </c>
      <c r="B11" s="45">
        <v>49</v>
      </c>
      <c r="C11" s="45">
        <v>40</v>
      </c>
      <c r="D11" s="45">
        <v>2813</v>
      </c>
      <c r="E11" s="47">
        <f t="shared" si="0"/>
        <v>2902000</v>
      </c>
      <c r="I11" s="48"/>
      <c r="J11" s="48"/>
    </row>
    <row r="12" spans="1:10" ht="21" x14ac:dyDescent="1">
      <c r="A12" s="45" t="s">
        <v>120</v>
      </c>
      <c r="B12" s="45">
        <v>25</v>
      </c>
      <c r="C12" s="45">
        <v>24</v>
      </c>
      <c r="D12" s="45">
        <v>3088</v>
      </c>
      <c r="E12" s="47">
        <f t="shared" si="0"/>
        <v>3137000</v>
      </c>
      <c r="I12" s="48"/>
      <c r="J12" s="48"/>
    </row>
    <row r="13" spans="1:10" ht="21" x14ac:dyDescent="1">
      <c r="A13" s="45" t="s">
        <v>122</v>
      </c>
      <c r="B13" s="45">
        <v>3</v>
      </c>
      <c r="C13" s="45">
        <v>2</v>
      </c>
      <c r="D13" s="45">
        <v>21</v>
      </c>
      <c r="E13" s="47">
        <f t="shared" si="0"/>
        <v>26000</v>
      </c>
      <c r="I13" s="48"/>
      <c r="J13" s="48"/>
    </row>
    <row r="14" spans="1:10" ht="21" x14ac:dyDescent="1">
      <c r="A14" s="45" t="s">
        <v>124</v>
      </c>
      <c r="B14" s="45">
        <v>3</v>
      </c>
      <c r="C14" s="45">
        <v>12</v>
      </c>
      <c r="D14" s="45">
        <v>2045</v>
      </c>
      <c r="E14" s="47">
        <f t="shared" si="0"/>
        <v>2060000</v>
      </c>
      <c r="I14" s="48"/>
      <c r="J14" s="48"/>
    </row>
    <row r="15" spans="1:10" ht="21" x14ac:dyDescent="1">
      <c r="A15" s="45" t="s">
        <v>126</v>
      </c>
      <c r="B15" s="45">
        <v>26</v>
      </c>
      <c r="C15" s="45">
        <v>64</v>
      </c>
      <c r="D15" s="45">
        <v>4969</v>
      </c>
      <c r="E15" s="47">
        <f t="shared" si="0"/>
        <v>5059000</v>
      </c>
      <c r="I15" s="48"/>
      <c r="J15" s="48"/>
    </row>
    <row r="16" spans="1:10" ht="21" x14ac:dyDescent="1">
      <c r="A16" s="45" t="s">
        <v>128</v>
      </c>
      <c r="B16" s="45">
        <v>15</v>
      </c>
      <c r="C16" s="45">
        <v>61</v>
      </c>
      <c r="D16" s="45">
        <v>3019</v>
      </c>
      <c r="E16" s="47">
        <f t="shared" si="0"/>
        <v>3095000</v>
      </c>
      <c r="I16" s="48"/>
      <c r="J16" s="48"/>
    </row>
    <row r="17" spans="1:10" ht="21" x14ac:dyDescent="1">
      <c r="A17" s="45" t="s">
        <v>130</v>
      </c>
      <c r="B17" s="45">
        <v>7</v>
      </c>
      <c r="C17" s="45">
        <v>16</v>
      </c>
      <c r="D17" s="45">
        <v>4021</v>
      </c>
      <c r="E17" s="47">
        <f t="shared" si="0"/>
        <v>4044000</v>
      </c>
      <c r="I17" s="48"/>
      <c r="J17" s="48"/>
    </row>
    <row r="18" spans="1:10" ht="21" x14ac:dyDescent="1">
      <c r="A18" s="45" t="s">
        <v>132</v>
      </c>
      <c r="B18" s="45">
        <v>7</v>
      </c>
      <c r="C18" s="45">
        <v>15</v>
      </c>
      <c r="D18" s="45">
        <v>6960</v>
      </c>
      <c r="E18" s="47">
        <f t="shared" si="0"/>
        <v>6982000</v>
      </c>
      <c r="I18" s="48"/>
      <c r="J18" s="48"/>
    </row>
    <row r="19" spans="1:10" ht="21" x14ac:dyDescent="1">
      <c r="A19" s="45" t="s">
        <v>134</v>
      </c>
      <c r="B19" s="45">
        <v>11</v>
      </c>
      <c r="C19" s="45">
        <v>16</v>
      </c>
      <c r="D19" s="45">
        <v>1119</v>
      </c>
      <c r="E19" s="47">
        <f t="shared" si="0"/>
        <v>1146000</v>
      </c>
      <c r="I19" s="48"/>
      <c r="J19" s="48"/>
    </row>
    <row r="20" spans="1:10" ht="21" x14ac:dyDescent="1">
      <c r="A20" s="45" t="s">
        <v>136</v>
      </c>
      <c r="B20" s="45">
        <v>12</v>
      </c>
      <c r="C20" s="45">
        <v>32</v>
      </c>
      <c r="D20" s="45">
        <v>2394</v>
      </c>
      <c r="E20" s="47">
        <f t="shared" si="0"/>
        <v>2438000</v>
      </c>
      <c r="I20" s="48"/>
      <c r="J20" s="48"/>
    </row>
    <row r="21" spans="1:10" ht="15.75" customHeight="1" x14ac:dyDescent="1">
      <c r="A21" s="45" t="s">
        <v>138</v>
      </c>
      <c r="B21" s="45">
        <v>2</v>
      </c>
      <c r="C21" s="45">
        <v>2</v>
      </c>
      <c r="D21" s="45">
        <v>659</v>
      </c>
      <c r="E21" s="47">
        <f t="shared" si="0"/>
        <v>663000</v>
      </c>
      <c r="I21" s="48"/>
      <c r="J21" s="48"/>
    </row>
    <row r="22" spans="1:10" ht="15.75" customHeight="1" x14ac:dyDescent="1">
      <c r="A22" s="45" t="s">
        <v>140</v>
      </c>
      <c r="B22" s="45">
        <v>13</v>
      </c>
      <c r="C22" s="45">
        <v>18</v>
      </c>
      <c r="D22" s="45">
        <v>373</v>
      </c>
      <c r="E22" s="47">
        <f t="shared" si="0"/>
        <v>404000</v>
      </c>
      <c r="I22" s="48"/>
      <c r="J22" s="48"/>
    </row>
    <row r="23" spans="1:10" ht="15.75" customHeight="1" x14ac:dyDescent="1">
      <c r="A23" s="45" t="s">
        <v>142</v>
      </c>
      <c r="B23" s="45">
        <v>10</v>
      </c>
      <c r="C23" s="45">
        <v>11</v>
      </c>
      <c r="D23" s="45">
        <v>52</v>
      </c>
      <c r="E23" s="47">
        <f t="shared" si="0"/>
        <v>73000</v>
      </c>
      <c r="I23" s="48"/>
      <c r="J23" s="48"/>
    </row>
    <row r="24" spans="1:10" ht="15.75" customHeight="1" x14ac:dyDescent="1">
      <c r="A24" s="45" t="s">
        <v>144</v>
      </c>
      <c r="B24" s="45">
        <v>22</v>
      </c>
      <c r="C24" s="45">
        <v>34</v>
      </c>
      <c r="D24" s="45">
        <v>3444</v>
      </c>
      <c r="E24" s="47">
        <f t="shared" si="0"/>
        <v>3500000</v>
      </c>
      <c r="I24" s="48"/>
      <c r="J24" s="48"/>
    </row>
    <row r="25" spans="1:10" ht="15.75" customHeight="1" x14ac:dyDescent="1">
      <c r="A25" s="45" t="s">
        <v>145</v>
      </c>
      <c r="B25" s="45">
        <v>12</v>
      </c>
      <c r="C25" s="45">
        <v>20</v>
      </c>
      <c r="D25" s="45">
        <v>6510</v>
      </c>
      <c r="E25" s="47">
        <f t="shared" si="0"/>
        <v>6542000</v>
      </c>
      <c r="I25" s="48"/>
      <c r="J25" s="48"/>
    </row>
    <row r="26" spans="1:10" ht="15.75" customHeight="1" x14ac:dyDescent="1">
      <c r="A26" s="45" t="s">
        <v>147</v>
      </c>
      <c r="B26" s="45">
        <v>7</v>
      </c>
      <c r="C26" s="45">
        <v>15</v>
      </c>
      <c r="D26" s="45">
        <v>2880</v>
      </c>
      <c r="E26" s="47">
        <f t="shared" si="0"/>
        <v>2902000</v>
      </c>
      <c r="I26" s="48"/>
      <c r="J26" s="48"/>
    </row>
    <row r="27" spans="1:10" ht="15.75" customHeight="1" x14ac:dyDescent="1">
      <c r="A27" s="45" t="s">
        <v>149</v>
      </c>
      <c r="B27" s="45">
        <v>13</v>
      </c>
      <c r="C27" s="45">
        <v>18</v>
      </c>
      <c r="D27" s="45">
        <v>3157</v>
      </c>
      <c r="E27" s="47">
        <f t="shared" si="0"/>
        <v>3188000</v>
      </c>
      <c r="I27" s="48"/>
      <c r="J27" s="48"/>
    </row>
    <row r="28" spans="1:10" ht="15.75" customHeight="1" x14ac:dyDescent="1">
      <c r="A28" s="45" t="s">
        <v>151</v>
      </c>
      <c r="B28" s="45">
        <v>2</v>
      </c>
      <c r="C28" s="45">
        <v>6</v>
      </c>
      <c r="D28" s="45">
        <v>4403</v>
      </c>
      <c r="E28" s="47">
        <f t="shared" si="0"/>
        <v>4411000</v>
      </c>
      <c r="I28" s="48"/>
      <c r="J28" s="48"/>
    </row>
    <row r="29" spans="1:10" ht="15.75" customHeight="1" x14ac:dyDescent="1">
      <c r="A29" s="45" t="s">
        <v>153</v>
      </c>
      <c r="B29" s="45">
        <v>4</v>
      </c>
      <c r="C29" s="45">
        <v>7</v>
      </c>
      <c r="D29" s="45">
        <v>4870</v>
      </c>
      <c r="E29" s="47">
        <f t="shared" si="0"/>
        <v>4881000</v>
      </c>
      <c r="I29" s="48"/>
      <c r="J29" s="48"/>
    </row>
    <row r="30" spans="1:10" ht="15.75" customHeight="1" x14ac:dyDescent="1">
      <c r="A30" s="45" t="s">
        <v>155</v>
      </c>
      <c r="B30" s="45">
        <v>7</v>
      </c>
      <c r="C30" s="45">
        <v>11</v>
      </c>
      <c r="D30" s="45">
        <v>3732</v>
      </c>
      <c r="E30" s="47">
        <f t="shared" si="0"/>
        <v>3750000</v>
      </c>
      <c r="I30" s="48"/>
      <c r="J30" s="48"/>
    </row>
    <row r="31" spans="1:10" ht="15.75" customHeight="1" x14ac:dyDescent="1">
      <c r="A31" s="45" t="s">
        <v>157</v>
      </c>
      <c r="B31" s="45">
        <v>2</v>
      </c>
      <c r="C31" s="45">
        <v>2</v>
      </c>
      <c r="D31" s="45">
        <v>36</v>
      </c>
      <c r="E31" s="47">
        <f t="shared" si="0"/>
        <v>40000</v>
      </c>
      <c r="I31" s="48"/>
      <c r="J31" s="48"/>
    </row>
    <row r="32" spans="1:10" ht="15.75" customHeight="1" x14ac:dyDescent="1">
      <c r="A32" s="45" t="s">
        <v>159</v>
      </c>
      <c r="B32" s="45">
        <v>14</v>
      </c>
      <c r="C32" s="45">
        <v>25</v>
      </c>
      <c r="D32" s="45">
        <v>251</v>
      </c>
      <c r="E32" s="47">
        <f t="shared" si="0"/>
        <v>290000</v>
      </c>
      <c r="I32" s="48"/>
      <c r="J32" s="48"/>
    </row>
    <row r="33" spans="1:10" ht="15.75" customHeight="1" x14ac:dyDescent="1">
      <c r="A33" s="45" t="s">
        <v>161</v>
      </c>
      <c r="B33" s="45">
        <v>4</v>
      </c>
      <c r="C33" s="45">
        <v>31</v>
      </c>
      <c r="D33" s="45">
        <v>7078</v>
      </c>
      <c r="E33" s="47">
        <f t="shared" si="0"/>
        <v>7113000</v>
      </c>
      <c r="I33" s="48"/>
      <c r="J33" s="48"/>
    </row>
    <row r="34" spans="1:10" ht="15.75" customHeight="1" x14ac:dyDescent="1">
      <c r="A34" s="45" t="s">
        <v>163</v>
      </c>
      <c r="B34" s="45">
        <v>25</v>
      </c>
      <c r="C34" s="45">
        <v>33</v>
      </c>
      <c r="D34" s="45">
        <v>926</v>
      </c>
      <c r="E34" s="47">
        <f t="shared" si="0"/>
        <v>984000</v>
      </c>
      <c r="I34" s="48"/>
      <c r="J34" s="48"/>
    </row>
    <row r="35" spans="1:10" ht="15.75" customHeight="1" x14ac:dyDescent="1">
      <c r="A35" s="45" t="s">
        <v>165</v>
      </c>
      <c r="B35" s="45">
        <v>23</v>
      </c>
      <c r="C35" s="45">
        <v>38</v>
      </c>
      <c r="D35" s="32">
        <v>2347</v>
      </c>
      <c r="E35" s="47">
        <f t="shared" si="0"/>
        <v>2408000</v>
      </c>
      <c r="I35" s="48"/>
      <c r="J35" s="48"/>
    </row>
    <row r="36" spans="1:10" ht="15.75" customHeight="1" x14ac:dyDescent="1">
      <c r="A36" s="45" t="s">
        <v>167</v>
      </c>
      <c r="B36" s="45">
        <v>2</v>
      </c>
      <c r="C36" s="45">
        <v>3</v>
      </c>
      <c r="D36" s="45">
        <v>5483</v>
      </c>
      <c r="E36" s="47">
        <f t="shared" si="0"/>
        <v>5488000</v>
      </c>
      <c r="I36" s="48"/>
      <c r="J36" s="48"/>
    </row>
    <row r="37" spans="1:10" ht="15.75" customHeight="1" x14ac:dyDescent="1">
      <c r="A37" s="45" t="s">
        <v>169</v>
      </c>
      <c r="B37" s="45">
        <v>27</v>
      </c>
      <c r="C37" s="45">
        <v>57</v>
      </c>
      <c r="D37" s="45">
        <v>2396</v>
      </c>
      <c r="E37" s="47">
        <f t="shared" si="0"/>
        <v>2480000</v>
      </c>
      <c r="I37" s="48"/>
      <c r="J37" s="48"/>
    </row>
    <row r="38" spans="1:10" ht="15.75" customHeight="1" x14ac:dyDescent="1">
      <c r="A38" s="45" t="s">
        <v>171</v>
      </c>
      <c r="B38" s="45">
        <v>9</v>
      </c>
      <c r="C38" s="45">
        <v>26</v>
      </c>
      <c r="D38" s="45">
        <v>4783</v>
      </c>
      <c r="E38" s="47">
        <f t="shared" si="0"/>
        <v>4818000</v>
      </c>
      <c r="I38" s="48"/>
      <c r="J38" s="48"/>
    </row>
    <row r="39" spans="1:10" ht="15.75" customHeight="1" x14ac:dyDescent="1">
      <c r="A39" s="45" t="s">
        <v>173</v>
      </c>
      <c r="B39" s="45">
        <v>8</v>
      </c>
      <c r="C39" s="45">
        <v>13</v>
      </c>
      <c r="D39" s="45">
        <v>1885</v>
      </c>
      <c r="E39" s="47">
        <f t="shared" si="0"/>
        <v>1906000</v>
      </c>
      <c r="I39" s="48"/>
      <c r="J39" s="48"/>
    </row>
    <row r="40" spans="1:10" ht="15.75" customHeight="1" x14ac:dyDescent="1">
      <c r="A40" s="45" t="s">
        <v>175</v>
      </c>
      <c r="B40" s="45">
        <v>20</v>
      </c>
      <c r="C40" s="45">
        <v>36</v>
      </c>
      <c r="D40" s="45">
        <v>357</v>
      </c>
      <c r="E40" s="47">
        <f t="shared" si="0"/>
        <v>413000</v>
      </c>
      <c r="I40" s="48"/>
      <c r="J40" s="48"/>
    </row>
    <row r="41" spans="1:10" ht="15.75" customHeight="1" x14ac:dyDescent="1">
      <c r="A41" s="45" t="s">
        <v>177</v>
      </c>
      <c r="B41" s="45">
        <v>2</v>
      </c>
      <c r="C41" s="45">
        <v>1</v>
      </c>
      <c r="D41" s="45">
        <v>9</v>
      </c>
      <c r="E41" s="47">
        <f t="shared" si="0"/>
        <v>12000</v>
      </c>
      <c r="I41" s="48"/>
      <c r="J41" s="48"/>
    </row>
    <row r="42" spans="1:10" ht="15.75" customHeight="1" x14ac:dyDescent="1">
      <c r="A42" s="45" t="s">
        <v>179</v>
      </c>
      <c r="B42" s="45">
        <v>12</v>
      </c>
      <c r="C42" s="45">
        <v>19</v>
      </c>
      <c r="D42" s="45">
        <v>1555</v>
      </c>
      <c r="E42" s="47">
        <f t="shared" si="0"/>
        <v>1586000</v>
      </c>
      <c r="I42" s="48"/>
      <c r="J42" s="48"/>
    </row>
    <row r="43" spans="1:10" ht="15.75" customHeight="1" x14ac:dyDescent="1">
      <c r="A43" s="45" t="s">
        <v>181</v>
      </c>
      <c r="B43" s="45">
        <v>2</v>
      </c>
      <c r="C43" s="45">
        <v>2</v>
      </c>
      <c r="D43" s="45">
        <v>5345</v>
      </c>
      <c r="E43" s="47">
        <f t="shared" si="0"/>
        <v>5349000</v>
      </c>
      <c r="I43" s="48"/>
      <c r="J43" s="48"/>
    </row>
    <row r="44" spans="1:10" ht="15.75" customHeight="1" x14ac:dyDescent="1">
      <c r="A44" s="45" t="s">
        <v>183</v>
      </c>
      <c r="B44" s="45">
        <v>16</v>
      </c>
      <c r="C44" s="45">
        <v>29</v>
      </c>
      <c r="D44" s="45">
        <v>1267</v>
      </c>
      <c r="E44" s="47">
        <f t="shared" si="0"/>
        <v>1312000</v>
      </c>
      <c r="I44" s="48"/>
      <c r="J44" s="48"/>
    </row>
    <row r="45" spans="1:10" ht="15.75" customHeight="1" x14ac:dyDescent="1">
      <c r="A45" s="45" t="s">
        <v>185</v>
      </c>
      <c r="B45" s="45">
        <v>60</v>
      </c>
      <c r="C45" s="45">
        <v>154</v>
      </c>
      <c r="D45" s="45">
        <v>20411</v>
      </c>
      <c r="E45" s="47">
        <f t="shared" si="0"/>
        <v>20625000</v>
      </c>
      <c r="I45" s="48"/>
      <c r="J45" s="48"/>
    </row>
    <row r="46" spans="1:10" ht="15.75" customHeight="1" x14ac:dyDescent="1">
      <c r="A46" s="45" t="s">
        <v>187</v>
      </c>
      <c r="B46" s="45">
        <v>6</v>
      </c>
      <c r="C46" s="45">
        <v>14</v>
      </c>
      <c r="D46" s="45">
        <v>2390</v>
      </c>
      <c r="E46" s="47">
        <f t="shared" si="0"/>
        <v>2410000</v>
      </c>
      <c r="I46" s="48"/>
      <c r="J46" s="48"/>
    </row>
    <row r="47" spans="1:10" ht="15.75" customHeight="1" x14ac:dyDescent="1">
      <c r="A47" s="45" t="s">
        <v>189</v>
      </c>
      <c r="B47" s="45">
        <v>1</v>
      </c>
      <c r="C47" s="45">
        <v>1</v>
      </c>
      <c r="D47" s="45">
        <v>35</v>
      </c>
      <c r="E47" s="47">
        <f t="shared" si="0"/>
        <v>37000</v>
      </c>
      <c r="I47" s="48"/>
      <c r="J47" s="48"/>
    </row>
    <row r="48" spans="1:10" ht="15.75" customHeight="1" x14ac:dyDescent="1">
      <c r="A48" s="45" t="s">
        <v>191</v>
      </c>
      <c r="B48" s="45">
        <v>19</v>
      </c>
      <c r="C48" s="45">
        <v>16</v>
      </c>
      <c r="D48" s="45">
        <v>1074</v>
      </c>
      <c r="E48" s="47">
        <f t="shared" si="0"/>
        <v>1109000</v>
      </c>
      <c r="I48" s="48"/>
      <c r="J48" s="48"/>
    </row>
    <row r="49" spans="1:10" ht="15.75" customHeight="1" x14ac:dyDescent="1">
      <c r="A49" s="45" t="s">
        <v>193</v>
      </c>
      <c r="B49" s="45">
        <v>13</v>
      </c>
      <c r="C49" s="45">
        <v>19</v>
      </c>
      <c r="D49" s="45">
        <v>996</v>
      </c>
      <c r="E49" s="47">
        <f t="shared" si="0"/>
        <v>1028000</v>
      </c>
      <c r="I49" s="48"/>
      <c r="J49" s="48"/>
    </row>
    <row r="50" spans="1:10" ht="15.75" customHeight="1" x14ac:dyDescent="1">
      <c r="A50" s="45" t="s">
        <v>195</v>
      </c>
      <c r="B50" s="45">
        <v>4</v>
      </c>
      <c r="C50" s="45">
        <v>2</v>
      </c>
      <c r="D50" s="45">
        <v>35</v>
      </c>
      <c r="E50" s="47">
        <f t="shared" si="0"/>
        <v>41000</v>
      </c>
      <c r="I50" s="48"/>
      <c r="J50" s="48"/>
    </row>
    <row r="51" spans="1:10" ht="15.75" customHeight="1" x14ac:dyDescent="1">
      <c r="A51" s="45" t="s">
        <v>197</v>
      </c>
      <c r="B51" s="45">
        <v>12</v>
      </c>
      <c r="C51" s="45">
        <v>35</v>
      </c>
      <c r="D51" s="45">
        <v>3206</v>
      </c>
      <c r="E51" s="47">
        <f t="shared" si="0"/>
        <v>3253000</v>
      </c>
      <c r="I51" s="48"/>
      <c r="J51" s="48"/>
    </row>
    <row r="52" spans="1:10" ht="15.75" customHeight="1" x14ac:dyDescent="1">
      <c r="A52" s="45" t="s">
        <v>199</v>
      </c>
      <c r="B52" s="45">
        <v>1</v>
      </c>
      <c r="C52" s="45">
        <v>4</v>
      </c>
      <c r="D52" s="45">
        <v>2854</v>
      </c>
      <c r="E52" s="47">
        <f t="shared" si="0"/>
        <v>2859000</v>
      </c>
      <c r="I52" s="48"/>
      <c r="J52" s="48"/>
    </row>
    <row r="53" spans="1:10" ht="15.75" customHeight="1" x14ac:dyDescent="0.8">
      <c r="A53" s="50" t="s">
        <v>215</v>
      </c>
      <c r="B53" s="51">
        <f t="shared" ref="B53:E53" si="1">SUM(B3:B52)</f>
        <v>664</v>
      </c>
      <c r="C53" s="51">
        <f t="shared" si="1"/>
        <v>1218</v>
      </c>
      <c r="D53" s="51">
        <f t="shared" si="1"/>
        <v>152965</v>
      </c>
      <c r="E53" s="52">
        <f t="shared" si="1"/>
        <v>154847000</v>
      </c>
    </row>
    <row r="54" spans="1:10" ht="15.75" customHeight="1" x14ac:dyDescent="0.65"/>
    <row r="55" spans="1:10" ht="15.75" customHeight="1" x14ac:dyDescent="0.65"/>
    <row r="56" spans="1:10" ht="15.75" customHeight="1" x14ac:dyDescent="0.65"/>
    <row r="57" spans="1:10" ht="15.75" customHeight="1" x14ac:dyDescent="0.65"/>
    <row r="58" spans="1:10" ht="15.75" customHeight="1" x14ac:dyDescent="0.65"/>
    <row r="59" spans="1:10" ht="15.75" customHeight="1" x14ac:dyDescent="0.65"/>
    <row r="60" spans="1:10" ht="15.75" customHeight="1" x14ac:dyDescent="0.65"/>
    <row r="61" spans="1:10" ht="15.75" customHeight="1" x14ac:dyDescent="0.65"/>
    <row r="62" spans="1:10" ht="15.75" customHeight="1" x14ac:dyDescent="0.65"/>
    <row r="63" spans="1:10" ht="15.75" customHeight="1" x14ac:dyDescent="0.65"/>
    <row r="64" spans="1:10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3131-58B4-4490-BBBD-7F1C79BC2A36}">
  <dimension ref="A1:C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3" ht="16" x14ac:dyDescent="0.8">
      <c r="A1" s="45" t="str">
        <f>About!B2</f>
        <v>NH</v>
      </c>
      <c r="B1" s="32">
        <f>SUMIFS(C3:C53,A3:A53,A1)</f>
        <v>0</v>
      </c>
    </row>
    <row r="3" spans="1:3" ht="16" x14ac:dyDescent="0.8">
      <c r="A3" s="45" t="s">
        <v>100</v>
      </c>
      <c r="B3" s="32" t="s">
        <v>216</v>
      </c>
      <c r="C3" s="32" t="s">
        <v>217</v>
      </c>
    </row>
    <row r="4" spans="1:3" ht="16" x14ac:dyDescent="0.8">
      <c r="A4" s="45" t="s">
        <v>102</v>
      </c>
      <c r="B4" s="32">
        <v>0</v>
      </c>
      <c r="C4" s="47">
        <f t="shared" ref="C4:C53" si="0">B4*1000</f>
        <v>0</v>
      </c>
    </row>
    <row r="5" spans="1:3" ht="16" x14ac:dyDescent="0.8">
      <c r="A5" s="45" t="s">
        <v>104</v>
      </c>
      <c r="B5" s="32">
        <v>0</v>
      </c>
      <c r="C5" s="47">
        <f t="shared" si="0"/>
        <v>0</v>
      </c>
    </row>
    <row r="6" spans="1:3" ht="16" x14ac:dyDescent="0.8">
      <c r="A6" s="45" t="s">
        <v>106</v>
      </c>
      <c r="B6" s="32">
        <v>3528</v>
      </c>
      <c r="C6" s="47">
        <f t="shared" si="0"/>
        <v>3528000</v>
      </c>
    </row>
    <row r="7" spans="1:3" ht="16" x14ac:dyDescent="0.8">
      <c r="A7" s="45" t="s">
        <v>108</v>
      </c>
      <c r="B7" s="32">
        <v>0</v>
      </c>
      <c r="C7" s="47">
        <f t="shared" si="0"/>
        <v>0</v>
      </c>
    </row>
    <row r="8" spans="1:3" ht="16" x14ac:dyDescent="0.8">
      <c r="A8" s="45" t="s">
        <v>110</v>
      </c>
      <c r="B8" s="32">
        <v>2726</v>
      </c>
      <c r="C8" s="47">
        <f t="shared" si="0"/>
        <v>2726000</v>
      </c>
    </row>
    <row r="9" spans="1:3" ht="16" x14ac:dyDescent="0.8">
      <c r="A9" s="45" t="s">
        <v>112</v>
      </c>
      <c r="B9" s="32">
        <v>3098</v>
      </c>
      <c r="C9" s="47">
        <f t="shared" si="0"/>
        <v>3098000</v>
      </c>
    </row>
    <row r="10" spans="1:3" ht="16" x14ac:dyDescent="0.8">
      <c r="A10" s="45" t="s">
        <v>114</v>
      </c>
      <c r="B10" s="32">
        <v>0</v>
      </c>
      <c r="C10" s="47">
        <f t="shared" si="0"/>
        <v>0</v>
      </c>
    </row>
    <row r="11" spans="1:3" ht="16" x14ac:dyDescent="0.8">
      <c r="A11" s="45" t="s">
        <v>116</v>
      </c>
      <c r="B11" s="32">
        <v>0</v>
      </c>
      <c r="C11" s="47">
        <f t="shared" si="0"/>
        <v>0</v>
      </c>
    </row>
    <row r="12" spans="1:3" ht="16" x14ac:dyDescent="0.8">
      <c r="A12" s="45" t="s">
        <v>118</v>
      </c>
      <c r="B12" s="32">
        <v>0</v>
      </c>
      <c r="C12" s="47">
        <f t="shared" si="0"/>
        <v>0</v>
      </c>
    </row>
    <row r="13" spans="1:3" ht="16" x14ac:dyDescent="0.8">
      <c r="A13" s="45" t="s">
        <v>120</v>
      </c>
      <c r="B13" s="32">
        <v>0</v>
      </c>
      <c r="C13" s="47">
        <f t="shared" si="0"/>
        <v>0</v>
      </c>
    </row>
    <row r="14" spans="1:3" ht="16" x14ac:dyDescent="0.8">
      <c r="A14" s="45" t="s">
        <v>122</v>
      </c>
      <c r="B14" s="32">
        <v>6</v>
      </c>
      <c r="C14" s="47">
        <f t="shared" si="0"/>
        <v>6000</v>
      </c>
    </row>
    <row r="15" spans="1:3" ht="16" x14ac:dyDescent="0.8">
      <c r="A15" s="45" t="s">
        <v>124</v>
      </c>
      <c r="B15" s="32">
        <v>1267</v>
      </c>
      <c r="C15" s="47">
        <f t="shared" si="0"/>
        <v>1267000</v>
      </c>
    </row>
    <row r="16" spans="1:3" ht="16" x14ac:dyDescent="0.8">
      <c r="A16" s="45" t="s">
        <v>126</v>
      </c>
      <c r="B16" s="32">
        <v>0</v>
      </c>
      <c r="C16" s="47">
        <f t="shared" si="0"/>
        <v>0</v>
      </c>
    </row>
    <row r="17" spans="1:3" ht="16" x14ac:dyDescent="0.8">
      <c r="A17" s="45" t="s">
        <v>128</v>
      </c>
      <c r="B17" s="32">
        <v>0</v>
      </c>
      <c r="C17" s="47">
        <f t="shared" si="0"/>
        <v>0</v>
      </c>
    </row>
    <row r="18" spans="1:3" ht="16" x14ac:dyDescent="0.8">
      <c r="A18" s="45" t="s">
        <v>130</v>
      </c>
      <c r="B18" s="32">
        <v>0</v>
      </c>
      <c r="C18" s="47">
        <f t="shared" si="0"/>
        <v>0</v>
      </c>
    </row>
    <row r="19" spans="1:3" ht="16" x14ac:dyDescent="0.8">
      <c r="A19" s="45" t="s">
        <v>132</v>
      </c>
      <c r="B19" s="32">
        <v>2885</v>
      </c>
      <c r="C19" s="47">
        <f t="shared" si="0"/>
        <v>2885000</v>
      </c>
    </row>
    <row r="20" spans="1:3" ht="16" x14ac:dyDescent="0.8">
      <c r="A20" s="45" t="s">
        <v>134</v>
      </c>
      <c r="B20" s="32">
        <v>0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0</v>
      </c>
      <c r="C21" s="47">
        <f t="shared" si="0"/>
        <v>0</v>
      </c>
    </row>
    <row r="22" spans="1:3" ht="15.75" customHeight="1" x14ac:dyDescent="0.8">
      <c r="A22" s="45" t="s">
        <v>138</v>
      </c>
      <c r="B22" s="32">
        <v>0</v>
      </c>
      <c r="C22" s="47">
        <f t="shared" si="0"/>
        <v>0</v>
      </c>
    </row>
    <row r="23" spans="1:3" ht="15.75" customHeight="1" x14ac:dyDescent="0.8">
      <c r="A23" s="45" t="s">
        <v>140</v>
      </c>
      <c r="B23" s="32">
        <v>0</v>
      </c>
      <c r="C23" s="47">
        <f t="shared" si="0"/>
        <v>0</v>
      </c>
    </row>
    <row r="24" spans="1:3" ht="15.75" customHeight="1" x14ac:dyDescent="0.8">
      <c r="A24" s="45" t="s">
        <v>142</v>
      </c>
      <c r="B24" s="32">
        <v>0</v>
      </c>
      <c r="C24" s="47">
        <f t="shared" si="0"/>
        <v>0</v>
      </c>
    </row>
    <row r="25" spans="1:3" ht="15.75" customHeight="1" x14ac:dyDescent="0.8">
      <c r="A25" s="45" t="s">
        <v>144</v>
      </c>
      <c r="B25" s="32">
        <v>0</v>
      </c>
      <c r="C25" s="47">
        <f t="shared" si="0"/>
        <v>0</v>
      </c>
    </row>
    <row r="26" spans="1:3" ht="15.75" customHeight="1" x14ac:dyDescent="0.8">
      <c r="A26" s="45" t="s">
        <v>145</v>
      </c>
      <c r="B26" s="32">
        <v>0</v>
      </c>
      <c r="C26" s="47">
        <f t="shared" si="0"/>
        <v>0</v>
      </c>
    </row>
    <row r="27" spans="1:3" ht="15.75" customHeight="1" x14ac:dyDescent="0.8">
      <c r="A27" s="45" t="s">
        <v>147</v>
      </c>
      <c r="B27" s="32">
        <v>0</v>
      </c>
      <c r="C27" s="47">
        <f t="shared" si="0"/>
        <v>0</v>
      </c>
    </row>
    <row r="28" spans="1:3" ht="15.75" customHeight="1" x14ac:dyDescent="0.8">
      <c r="A28" s="45" t="s">
        <v>149</v>
      </c>
      <c r="B28" s="32">
        <v>0</v>
      </c>
      <c r="C28" s="47">
        <f t="shared" si="0"/>
        <v>0</v>
      </c>
    </row>
    <row r="29" spans="1:3" ht="15.75" customHeight="1" x14ac:dyDescent="0.8">
      <c r="A29" s="45" t="s">
        <v>151</v>
      </c>
      <c r="B29" s="32">
        <v>557</v>
      </c>
      <c r="C29" s="47">
        <f t="shared" si="0"/>
        <v>557000</v>
      </c>
    </row>
    <row r="30" spans="1:3" ht="15.75" customHeight="1" x14ac:dyDescent="0.8">
      <c r="A30" s="45" t="s">
        <v>153</v>
      </c>
      <c r="B30" s="32">
        <v>1753</v>
      </c>
      <c r="C30" s="47">
        <f t="shared" si="0"/>
        <v>1753000</v>
      </c>
    </row>
    <row r="31" spans="1:3" ht="15.75" customHeight="1" x14ac:dyDescent="0.8">
      <c r="A31" s="45" t="s">
        <v>155</v>
      </c>
      <c r="B31" s="32">
        <v>2558</v>
      </c>
      <c r="C31" s="47">
        <f t="shared" si="0"/>
        <v>2558000</v>
      </c>
    </row>
    <row r="32" spans="1:3" ht="15.75" customHeight="1" x14ac:dyDescent="0.8">
      <c r="A32" s="45" t="s">
        <v>157</v>
      </c>
      <c r="B32" s="32">
        <v>0</v>
      </c>
      <c r="C32" s="47">
        <f t="shared" si="0"/>
        <v>0</v>
      </c>
    </row>
    <row r="33" spans="1:3" ht="15.75" customHeight="1" x14ac:dyDescent="0.8">
      <c r="A33" s="45" t="s">
        <v>159</v>
      </c>
      <c r="B33" s="32">
        <v>0</v>
      </c>
      <c r="C33" s="47">
        <f t="shared" si="0"/>
        <v>0</v>
      </c>
    </row>
    <row r="34" spans="1:3" ht="15.75" customHeight="1" x14ac:dyDescent="0.8">
      <c r="A34" s="45" t="s">
        <v>161</v>
      </c>
      <c r="B34" s="32">
        <v>4860</v>
      </c>
      <c r="C34" s="47">
        <f t="shared" si="0"/>
        <v>4860000</v>
      </c>
    </row>
    <row r="35" spans="1:3" ht="15.75" customHeight="1" x14ac:dyDescent="0.8">
      <c r="A35" s="45" t="s">
        <v>163</v>
      </c>
      <c r="B35" s="32">
        <v>0</v>
      </c>
      <c r="C35" s="47">
        <f t="shared" si="0"/>
        <v>0</v>
      </c>
    </row>
    <row r="36" spans="1:3" ht="15.75" customHeight="1" x14ac:dyDescent="0.8">
      <c r="A36" s="45" t="s">
        <v>165</v>
      </c>
      <c r="B36" s="32">
        <v>0</v>
      </c>
      <c r="C36" s="47">
        <f t="shared" si="0"/>
        <v>0</v>
      </c>
    </row>
    <row r="37" spans="1:3" ht="15.75" customHeight="1" x14ac:dyDescent="0.8">
      <c r="A37" s="45" t="s">
        <v>167</v>
      </c>
      <c r="B37" s="32">
        <v>13</v>
      </c>
      <c r="C37" s="47">
        <f t="shared" si="0"/>
        <v>13000</v>
      </c>
    </row>
    <row r="38" spans="1:3" ht="15.75" customHeight="1" x14ac:dyDescent="0.8">
      <c r="A38" s="45" t="s">
        <v>169</v>
      </c>
      <c r="B38" s="32">
        <v>0</v>
      </c>
      <c r="C38" s="47">
        <f t="shared" si="0"/>
        <v>0</v>
      </c>
    </row>
    <row r="39" spans="1:3" ht="15.75" customHeight="1" x14ac:dyDescent="0.8">
      <c r="A39" s="45" t="s">
        <v>171</v>
      </c>
      <c r="B39" s="32">
        <v>1813</v>
      </c>
      <c r="C39" s="47">
        <f t="shared" si="0"/>
        <v>1813000</v>
      </c>
    </row>
    <row r="40" spans="1:3" ht="15.75" customHeight="1" x14ac:dyDescent="0.8">
      <c r="A40" s="45" t="s">
        <v>173</v>
      </c>
      <c r="B40" s="32">
        <v>1017</v>
      </c>
      <c r="C40" s="47">
        <f t="shared" si="0"/>
        <v>1017000</v>
      </c>
    </row>
    <row r="41" spans="1:3" ht="15.75" customHeight="1" x14ac:dyDescent="0.8">
      <c r="A41" s="45" t="s">
        <v>175</v>
      </c>
      <c r="B41" s="32">
        <v>0</v>
      </c>
      <c r="C41" s="47">
        <f t="shared" si="0"/>
        <v>0</v>
      </c>
    </row>
    <row r="42" spans="1:3" ht="15.75" customHeight="1" x14ac:dyDescent="0.8">
      <c r="A42" s="45" t="s">
        <v>177</v>
      </c>
      <c r="B42" s="32">
        <v>0</v>
      </c>
      <c r="C42" s="47">
        <f t="shared" si="0"/>
        <v>0</v>
      </c>
    </row>
    <row r="43" spans="1:3" ht="15.75" customHeight="1" x14ac:dyDescent="0.8">
      <c r="A43" s="45" t="s">
        <v>179</v>
      </c>
      <c r="B43" s="32">
        <v>0</v>
      </c>
      <c r="C43" s="47">
        <f t="shared" si="0"/>
        <v>0</v>
      </c>
    </row>
    <row r="44" spans="1:3" ht="15.75" customHeight="1" x14ac:dyDescent="0.8">
      <c r="A44" s="45" t="s">
        <v>181</v>
      </c>
      <c r="B44" s="32">
        <v>590</v>
      </c>
      <c r="C44" s="47">
        <f t="shared" si="0"/>
        <v>590000</v>
      </c>
    </row>
    <row r="45" spans="1:3" ht="15.75" customHeight="1" x14ac:dyDescent="0.8">
      <c r="A45" s="45" t="s">
        <v>183</v>
      </c>
      <c r="B45" s="32">
        <v>0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7743</v>
      </c>
      <c r="C46" s="47">
        <f t="shared" si="0"/>
        <v>7743000</v>
      </c>
    </row>
    <row r="47" spans="1:3" ht="15.75" customHeight="1" x14ac:dyDescent="0.8">
      <c r="A47" s="45" t="s">
        <v>187</v>
      </c>
      <c r="B47" s="32">
        <v>1638</v>
      </c>
      <c r="C47" s="47">
        <f t="shared" si="0"/>
        <v>1638000</v>
      </c>
    </row>
    <row r="48" spans="1:3" ht="15.75" customHeight="1" x14ac:dyDescent="0.8">
      <c r="A48" s="45" t="s">
        <v>189</v>
      </c>
      <c r="B48" s="32">
        <v>0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0</v>
      </c>
      <c r="C49" s="47">
        <f t="shared" si="0"/>
        <v>0</v>
      </c>
    </row>
    <row r="50" spans="1:3" ht="15.75" customHeight="1" x14ac:dyDescent="0.8">
      <c r="A50" s="45" t="s">
        <v>193</v>
      </c>
      <c r="B50" s="32">
        <v>59</v>
      </c>
      <c r="C50" s="47">
        <f t="shared" si="0"/>
        <v>59000</v>
      </c>
    </row>
    <row r="51" spans="1:3" ht="15.75" customHeight="1" x14ac:dyDescent="0.8">
      <c r="A51" s="45" t="s">
        <v>195</v>
      </c>
      <c r="B51" s="32">
        <v>0</v>
      </c>
      <c r="C51" s="47">
        <f t="shared" si="0"/>
        <v>0</v>
      </c>
    </row>
    <row r="52" spans="1:3" ht="15.75" customHeight="1" x14ac:dyDescent="0.8">
      <c r="A52" s="45" t="s">
        <v>197</v>
      </c>
      <c r="B52" s="32">
        <v>0</v>
      </c>
      <c r="C52" s="47">
        <f t="shared" si="0"/>
        <v>0</v>
      </c>
    </row>
    <row r="53" spans="1:3" ht="15.75" customHeight="1" x14ac:dyDescent="0.8">
      <c r="A53" s="45" t="s">
        <v>199</v>
      </c>
      <c r="B53" s="32">
        <v>1956</v>
      </c>
      <c r="C53" s="47">
        <f t="shared" si="0"/>
        <v>1956000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60A1-9DC3-4CCB-9E47-F7E8824CC567}">
  <dimension ref="A1:C1000"/>
  <sheetViews>
    <sheetView workbookViewId="0"/>
  </sheetViews>
  <sheetFormatPr defaultColWidth="14.40625" defaultRowHeight="15" customHeight="1" x14ac:dyDescent="0.65"/>
  <cols>
    <col min="1" max="26" width="8.7265625" style="28" customWidth="1"/>
    <col min="27" max="16384" width="14.40625" style="28"/>
  </cols>
  <sheetData>
    <row r="1" spans="1:3" ht="14.75" x14ac:dyDescent="0.75">
      <c r="A1" s="32" t="str">
        <f>About!B2</f>
        <v>NH</v>
      </c>
      <c r="B1" s="32">
        <f>SUMIFS(C4:C53,A4:A53,A1)</f>
        <v>3000</v>
      </c>
    </row>
    <row r="3" spans="1:3" ht="16" x14ac:dyDescent="0.8">
      <c r="A3" s="45" t="s">
        <v>100</v>
      </c>
      <c r="B3" s="32" t="s">
        <v>218</v>
      </c>
      <c r="C3" s="32" t="s">
        <v>217</v>
      </c>
    </row>
    <row r="4" spans="1:3" ht="16" x14ac:dyDescent="0.8">
      <c r="A4" s="45" t="s">
        <v>102</v>
      </c>
      <c r="C4" s="47">
        <f t="shared" ref="C4:C53" si="0">B4*1000</f>
        <v>0</v>
      </c>
    </row>
    <row r="5" spans="1:3" ht="16" x14ac:dyDescent="0.8">
      <c r="A5" s="45" t="s">
        <v>104</v>
      </c>
      <c r="C5" s="47">
        <f t="shared" si="0"/>
        <v>0</v>
      </c>
    </row>
    <row r="6" spans="1:3" ht="16" x14ac:dyDescent="0.8">
      <c r="A6" s="45" t="s">
        <v>106</v>
      </c>
      <c r="C6" s="47">
        <f t="shared" si="0"/>
        <v>0</v>
      </c>
    </row>
    <row r="7" spans="1:3" ht="16" x14ac:dyDescent="0.8">
      <c r="A7" s="45" t="s">
        <v>108</v>
      </c>
      <c r="C7" s="47">
        <f t="shared" si="0"/>
        <v>0</v>
      </c>
    </row>
    <row r="8" spans="1:3" ht="16" x14ac:dyDescent="0.8">
      <c r="A8" s="45" t="s">
        <v>110</v>
      </c>
      <c r="B8" s="32">
        <v>655</v>
      </c>
      <c r="C8" s="47">
        <f t="shared" si="0"/>
        <v>655000</v>
      </c>
    </row>
    <row r="9" spans="1:3" ht="16" x14ac:dyDescent="0.8">
      <c r="A9" s="45" t="s">
        <v>112</v>
      </c>
      <c r="C9" s="47">
        <f t="shared" si="0"/>
        <v>0</v>
      </c>
    </row>
    <row r="10" spans="1:3" ht="16" x14ac:dyDescent="0.8">
      <c r="A10" s="45" t="s">
        <v>114</v>
      </c>
      <c r="B10" s="32">
        <v>7</v>
      </c>
      <c r="C10" s="47">
        <f t="shared" si="0"/>
        <v>7000</v>
      </c>
    </row>
    <row r="11" spans="1:3" ht="16" x14ac:dyDescent="0.8">
      <c r="A11" s="45" t="s">
        <v>116</v>
      </c>
      <c r="B11" s="32">
        <v>15</v>
      </c>
      <c r="C11" s="47">
        <f t="shared" si="0"/>
        <v>15000</v>
      </c>
    </row>
    <row r="12" spans="1:3" ht="16" x14ac:dyDescent="0.8">
      <c r="A12" s="45" t="s">
        <v>118</v>
      </c>
      <c r="B12" s="32">
        <v>10</v>
      </c>
      <c r="C12" s="47">
        <f t="shared" si="0"/>
        <v>10000</v>
      </c>
    </row>
    <row r="13" spans="1:3" ht="16" x14ac:dyDescent="0.8">
      <c r="A13" s="45" t="s">
        <v>120</v>
      </c>
      <c r="C13" s="47">
        <f t="shared" si="0"/>
        <v>0</v>
      </c>
    </row>
    <row r="14" spans="1:3" ht="16" x14ac:dyDescent="0.8">
      <c r="A14" s="45" t="s">
        <v>122</v>
      </c>
      <c r="C14" s="47">
        <f t="shared" si="0"/>
        <v>0</v>
      </c>
    </row>
    <row r="15" spans="1:3" ht="16" x14ac:dyDescent="0.8">
      <c r="A15" s="45" t="s">
        <v>124</v>
      </c>
      <c r="C15" s="47">
        <f t="shared" si="0"/>
        <v>0</v>
      </c>
    </row>
    <row r="16" spans="1:3" ht="16" x14ac:dyDescent="0.8">
      <c r="A16" s="45" t="s">
        <v>126</v>
      </c>
      <c r="B16" s="32">
        <v>16</v>
      </c>
      <c r="C16" s="47">
        <f t="shared" si="0"/>
        <v>16000</v>
      </c>
    </row>
    <row r="17" spans="1:3" ht="16" x14ac:dyDescent="0.8">
      <c r="A17" s="45" t="s">
        <v>128</v>
      </c>
      <c r="C17" s="47">
        <f t="shared" si="0"/>
        <v>0</v>
      </c>
    </row>
    <row r="18" spans="1:3" ht="16" x14ac:dyDescent="0.8">
      <c r="A18" s="45" t="s">
        <v>130</v>
      </c>
      <c r="C18" s="47">
        <f t="shared" si="0"/>
        <v>0</v>
      </c>
    </row>
    <row r="19" spans="1:3" ht="16" x14ac:dyDescent="0.8">
      <c r="A19" s="45" t="s">
        <v>132</v>
      </c>
      <c r="C19" s="47">
        <f t="shared" si="0"/>
        <v>0</v>
      </c>
    </row>
    <row r="20" spans="1:3" ht="16" x14ac:dyDescent="0.8">
      <c r="A20" s="45" t="s">
        <v>134</v>
      </c>
      <c r="C20" s="47">
        <f t="shared" si="0"/>
        <v>0</v>
      </c>
    </row>
    <row r="21" spans="1:3" ht="15.75" customHeight="1" x14ac:dyDescent="0.8">
      <c r="A21" s="45" t="s">
        <v>136</v>
      </c>
      <c r="B21" s="32">
        <v>341</v>
      </c>
      <c r="C21" s="47">
        <f t="shared" si="0"/>
        <v>341000</v>
      </c>
    </row>
    <row r="22" spans="1:3" ht="15.75" customHeight="1" x14ac:dyDescent="0.8">
      <c r="A22" s="45" t="s">
        <v>138</v>
      </c>
      <c r="B22" s="32">
        <v>147</v>
      </c>
      <c r="C22" s="47">
        <f t="shared" si="0"/>
        <v>147000</v>
      </c>
    </row>
    <row r="23" spans="1:3" ht="15.75" customHeight="1" x14ac:dyDescent="0.8">
      <c r="A23" s="45" t="s">
        <v>140</v>
      </c>
      <c r="B23" s="32">
        <v>52</v>
      </c>
      <c r="C23" s="47">
        <f t="shared" si="0"/>
        <v>52000</v>
      </c>
    </row>
    <row r="24" spans="1:3" ht="15.75" customHeight="1" x14ac:dyDescent="0.8">
      <c r="A24" s="45" t="s">
        <v>142</v>
      </c>
      <c r="B24" s="32">
        <v>184</v>
      </c>
      <c r="C24" s="47">
        <f t="shared" si="0"/>
        <v>184000</v>
      </c>
    </row>
    <row r="25" spans="1:3" ht="15.75" customHeight="1" x14ac:dyDescent="0.8">
      <c r="A25" s="45" t="s">
        <v>144</v>
      </c>
      <c r="B25" s="32">
        <v>423</v>
      </c>
      <c r="C25" s="47">
        <f t="shared" si="0"/>
        <v>423000</v>
      </c>
    </row>
    <row r="26" spans="1:3" ht="15.75" customHeight="1" x14ac:dyDescent="0.8">
      <c r="A26" s="45" t="s">
        <v>145</v>
      </c>
      <c r="B26" s="32">
        <v>29</v>
      </c>
      <c r="C26" s="47">
        <f t="shared" si="0"/>
        <v>29000</v>
      </c>
    </row>
    <row r="27" spans="1:3" ht="15.75" customHeight="1" x14ac:dyDescent="0.8">
      <c r="A27" s="45" t="s">
        <v>147</v>
      </c>
      <c r="B27" s="32">
        <v>3</v>
      </c>
      <c r="C27" s="47">
        <f t="shared" si="0"/>
        <v>3000</v>
      </c>
    </row>
    <row r="28" spans="1:3" ht="15.75" customHeight="1" x14ac:dyDescent="0.8">
      <c r="A28" s="45" t="s">
        <v>149</v>
      </c>
      <c r="C28" s="47">
        <f t="shared" si="0"/>
        <v>0</v>
      </c>
    </row>
    <row r="29" spans="1:3" ht="15.75" customHeight="1" x14ac:dyDescent="0.8">
      <c r="A29" s="45" t="s">
        <v>151</v>
      </c>
      <c r="C29" s="47">
        <f t="shared" si="0"/>
        <v>0</v>
      </c>
    </row>
    <row r="30" spans="1:3" ht="15.75" customHeight="1" x14ac:dyDescent="0.8">
      <c r="A30" s="45" t="s">
        <v>153</v>
      </c>
      <c r="C30" s="47">
        <f t="shared" si="0"/>
        <v>0</v>
      </c>
    </row>
    <row r="31" spans="1:3" ht="15.75" customHeight="1" x14ac:dyDescent="0.8">
      <c r="A31" s="45" t="s">
        <v>155</v>
      </c>
      <c r="C31" s="47">
        <f t="shared" si="0"/>
        <v>0</v>
      </c>
    </row>
    <row r="32" spans="1:3" ht="15.75" customHeight="1" x14ac:dyDescent="0.8">
      <c r="A32" s="45" t="s">
        <v>157</v>
      </c>
      <c r="B32" s="32">
        <v>3</v>
      </c>
      <c r="C32" s="47">
        <f t="shared" si="0"/>
        <v>3000</v>
      </c>
    </row>
    <row r="33" spans="1:3" ht="15.75" customHeight="1" x14ac:dyDescent="0.8">
      <c r="A33" s="45" t="s">
        <v>159</v>
      </c>
      <c r="B33" s="32">
        <v>102</v>
      </c>
      <c r="C33" s="47">
        <f t="shared" si="0"/>
        <v>102000</v>
      </c>
    </row>
    <row r="34" spans="1:3" ht="15.75" customHeight="1" x14ac:dyDescent="0.8">
      <c r="A34" s="45" t="s">
        <v>161</v>
      </c>
      <c r="C34" s="47">
        <f t="shared" si="0"/>
        <v>0</v>
      </c>
    </row>
    <row r="35" spans="1:3" ht="15.75" customHeight="1" x14ac:dyDescent="0.8">
      <c r="A35" s="45" t="s">
        <v>163</v>
      </c>
      <c r="B35" s="32">
        <v>146</v>
      </c>
      <c r="C35" s="47">
        <f t="shared" si="0"/>
        <v>146000</v>
      </c>
    </row>
    <row r="36" spans="1:3" ht="15.75" customHeight="1" x14ac:dyDescent="0.8">
      <c r="A36" s="45" t="s">
        <v>165</v>
      </c>
      <c r="B36" s="32">
        <v>306</v>
      </c>
      <c r="C36" s="47">
        <f t="shared" si="0"/>
        <v>306000</v>
      </c>
    </row>
    <row r="37" spans="1:3" ht="15.75" customHeight="1" x14ac:dyDescent="0.8">
      <c r="A37" s="45" t="s">
        <v>167</v>
      </c>
      <c r="C37" s="47">
        <f t="shared" si="0"/>
        <v>0</v>
      </c>
    </row>
    <row r="38" spans="1:3" ht="15.75" customHeight="1" x14ac:dyDescent="0.8">
      <c r="A38" s="45" t="s">
        <v>169</v>
      </c>
      <c r="B38" s="32">
        <v>42</v>
      </c>
      <c r="C38" s="47">
        <f t="shared" si="0"/>
        <v>42000</v>
      </c>
    </row>
    <row r="39" spans="1:3" ht="15.75" customHeight="1" x14ac:dyDescent="0.8">
      <c r="A39" s="45" t="s">
        <v>171</v>
      </c>
      <c r="C39" s="47">
        <f t="shared" si="0"/>
        <v>0</v>
      </c>
    </row>
    <row r="40" spans="1:3" ht="15.75" customHeight="1" x14ac:dyDescent="0.8">
      <c r="A40" s="45" t="s">
        <v>173</v>
      </c>
      <c r="B40" s="32">
        <v>225</v>
      </c>
      <c r="C40" s="47">
        <f t="shared" si="0"/>
        <v>225000</v>
      </c>
    </row>
    <row r="41" spans="1:3" ht="15.75" customHeight="1" x14ac:dyDescent="0.8">
      <c r="A41" s="45" t="s">
        <v>175</v>
      </c>
      <c r="B41" s="32">
        <v>6</v>
      </c>
      <c r="C41" s="47">
        <f t="shared" si="0"/>
        <v>6000</v>
      </c>
    </row>
    <row r="42" spans="1:3" ht="15.75" customHeight="1" x14ac:dyDescent="0.8">
      <c r="A42" s="45" t="s">
        <v>177</v>
      </c>
      <c r="B42" s="32">
        <v>21</v>
      </c>
      <c r="C42" s="47">
        <f t="shared" si="0"/>
        <v>21000</v>
      </c>
    </row>
    <row r="43" spans="1:3" ht="15.75" customHeight="1" x14ac:dyDescent="0.8">
      <c r="A43" s="45" t="s">
        <v>179</v>
      </c>
      <c r="B43" s="32">
        <v>133</v>
      </c>
      <c r="C43" s="47">
        <f t="shared" si="0"/>
        <v>133000</v>
      </c>
    </row>
    <row r="44" spans="1:3" ht="15.75" customHeight="1" x14ac:dyDescent="0.8">
      <c r="A44" s="45" t="s">
        <v>181</v>
      </c>
      <c r="C44" s="47">
        <f t="shared" si="0"/>
        <v>0</v>
      </c>
    </row>
    <row r="45" spans="1:3" ht="15.75" customHeight="1" x14ac:dyDescent="0.8">
      <c r="A45" s="45" t="s">
        <v>183</v>
      </c>
      <c r="C45" s="47">
        <f t="shared" si="0"/>
        <v>0</v>
      </c>
    </row>
    <row r="46" spans="1:3" ht="15.75" customHeight="1" x14ac:dyDescent="0.8">
      <c r="A46" s="45" t="s">
        <v>185</v>
      </c>
      <c r="B46" s="32">
        <v>271</v>
      </c>
      <c r="C46" s="47">
        <f t="shared" si="0"/>
        <v>271000</v>
      </c>
    </row>
    <row r="47" spans="1:3" ht="15.75" customHeight="1" x14ac:dyDescent="0.8">
      <c r="A47" s="45" t="s">
        <v>187</v>
      </c>
      <c r="C47" s="47">
        <f t="shared" si="0"/>
        <v>0</v>
      </c>
    </row>
    <row r="48" spans="1:3" ht="15.75" customHeight="1" x14ac:dyDescent="0.8">
      <c r="A48" s="45" t="s">
        <v>189</v>
      </c>
      <c r="C48" s="47">
        <f t="shared" si="0"/>
        <v>0</v>
      </c>
    </row>
    <row r="49" spans="1:3" ht="15.75" customHeight="1" x14ac:dyDescent="0.8">
      <c r="A49" s="45" t="s">
        <v>191</v>
      </c>
      <c r="B49" s="32">
        <v>89</v>
      </c>
      <c r="C49" s="47">
        <f t="shared" si="0"/>
        <v>89000</v>
      </c>
    </row>
    <row r="50" spans="1:3" ht="15.75" customHeight="1" x14ac:dyDescent="0.8">
      <c r="A50" s="45" t="s">
        <v>193</v>
      </c>
      <c r="C50" s="47">
        <f t="shared" si="0"/>
        <v>0</v>
      </c>
    </row>
    <row r="51" spans="1:3" ht="15.75" customHeight="1" x14ac:dyDescent="0.8">
      <c r="A51" s="45" t="s">
        <v>195</v>
      </c>
      <c r="C51" s="47">
        <f t="shared" si="0"/>
        <v>0</v>
      </c>
    </row>
    <row r="52" spans="1:3" ht="15.75" customHeight="1" x14ac:dyDescent="0.8">
      <c r="A52" s="45" t="s">
        <v>197</v>
      </c>
      <c r="C52" s="47">
        <f t="shared" si="0"/>
        <v>0</v>
      </c>
    </row>
    <row r="53" spans="1:3" ht="15.75" customHeight="1" x14ac:dyDescent="0.8">
      <c r="A53" s="45" t="s">
        <v>199</v>
      </c>
      <c r="C53" s="47">
        <f t="shared" si="0"/>
        <v>0</v>
      </c>
    </row>
    <row r="54" spans="1:3" ht="15.75" customHeight="1" x14ac:dyDescent="0.8">
      <c r="A54" s="50" t="s">
        <v>215</v>
      </c>
    </row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B8708-1261-466E-BB3B-9EFA88068AF6}">
  <dimension ref="A1:N1000"/>
  <sheetViews>
    <sheetView workbookViewId="0"/>
  </sheetViews>
  <sheetFormatPr defaultColWidth="14.40625" defaultRowHeight="15" customHeight="1" x14ac:dyDescent="0.65"/>
  <cols>
    <col min="1" max="26" width="10.7265625" style="28" customWidth="1"/>
    <col min="27" max="16384" width="14.40625" style="28"/>
  </cols>
  <sheetData>
    <row r="1" spans="1:14" ht="14.75" x14ac:dyDescent="0.75">
      <c r="A1" s="32" t="str">
        <f>About!B1</f>
        <v>New Hampshire</v>
      </c>
      <c r="B1" s="32" t="str">
        <f>LOOKUP(A1,M4:N53,N4:N53)</f>
        <v>NH</v>
      </c>
      <c r="C1" s="32">
        <f>SUMIFS(L5:L52,A5:A52,B1)</f>
        <v>12661</v>
      </c>
    </row>
    <row r="3" spans="1:14" ht="21" x14ac:dyDescent="1">
      <c r="A3" s="53"/>
      <c r="B3" s="80" t="s">
        <v>219</v>
      </c>
      <c r="C3" s="81"/>
      <c r="D3" s="81"/>
      <c r="E3" s="81"/>
      <c r="F3" s="81"/>
      <c r="G3" s="81"/>
      <c r="H3" s="81"/>
      <c r="I3" s="81"/>
      <c r="J3" s="81"/>
      <c r="K3" s="82"/>
      <c r="M3" s="46" t="s">
        <v>100</v>
      </c>
      <c r="N3" s="46" t="s">
        <v>100</v>
      </c>
    </row>
    <row r="4" spans="1:14" ht="21" x14ac:dyDescent="1">
      <c r="A4" s="54" t="s">
        <v>100</v>
      </c>
      <c r="B4" s="55">
        <v>1</v>
      </c>
      <c r="C4" s="55">
        <v>2</v>
      </c>
      <c r="D4" s="55">
        <v>3</v>
      </c>
      <c r="E4" s="55">
        <v>4</v>
      </c>
      <c r="F4" s="55">
        <v>5</v>
      </c>
      <c r="G4" s="55">
        <v>6</v>
      </c>
      <c r="H4" s="55">
        <v>7</v>
      </c>
      <c r="I4" s="55">
        <v>8</v>
      </c>
      <c r="J4" s="55">
        <v>9</v>
      </c>
      <c r="K4" s="55">
        <v>10</v>
      </c>
      <c r="L4" s="32" t="s">
        <v>215</v>
      </c>
      <c r="M4" s="48" t="s">
        <v>101</v>
      </c>
      <c r="N4" s="48" t="s">
        <v>102</v>
      </c>
    </row>
    <row r="5" spans="1:14" ht="21" x14ac:dyDescent="1">
      <c r="A5" s="56" t="s">
        <v>102</v>
      </c>
      <c r="B5" s="57">
        <v>0</v>
      </c>
      <c r="C5" s="57">
        <v>0</v>
      </c>
      <c r="D5" s="57">
        <v>0</v>
      </c>
      <c r="E5" s="57">
        <v>0</v>
      </c>
      <c r="F5" s="57">
        <v>2</v>
      </c>
      <c r="G5" s="57">
        <v>72</v>
      </c>
      <c r="H5" s="57">
        <v>1761</v>
      </c>
      <c r="I5" s="57">
        <v>24172</v>
      </c>
      <c r="J5" s="57">
        <v>105097</v>
      </c>
      <c r="K5" s="57">
        <v>11782</v>
      </c>
      <c r="L5" s="47">
        <f t="shared" ref="L5:L52" si="0">SUM(B5:K5)</f>
        <v>142886</v>
      </c>
      <c r="M5" s="48" t="s">
        <v>103</v>
      </c>
      <c r="N5" s="48" t="s">
        <v>104</v>
      </c>
    </row>
    <row r="6" spans="1:14" ht="21" x14ac:dyDescent="1">
      <c r="A6" s="56" t="s">
        <v>108</v>
      </c>
      <c r="B6" s="57">
        <v>6</v>
      </c>
      <c r="C6" s="57">
        <v>6</v>
      </c>
      <c r="D6" s="57">
        <v>8</v>
      </c>
      <c r="E6" s="57">
        <v>45</v>
      </c>
      <c r="F6" s="57">
        <v>363</v>
      </c>
      <c r="G6" s="57">
        <v>4896</v>
      </c>
      <c r="H6" s="57">
        <v>48185</v>
      </c>
      <c r="I6" s="57">
        <v>65971</v>
      </c>
      <c r="J6" s="57">
        <v>37039</v>
      </c>
      <c r="K6" s="57">
        <v>5811</v>
      </c>
      <c r="L6" s="47">
        <f t="shared" si="0"/>
        <v>162330</v>
      </c>
      <c r="M6" s="48" t="s">
        <v>105</v>
      </c>
      <c r="N6" s="48" t="s">
        <v>106</v>
      </c>
    </row>
    <row r="7" spans="1:14" ht="21" x14ac:dyDescent="1">
      <c r="A7" s="56" t="s">
        <v>106</v>
      </c>
      <c r="B7" s="57">
        <v>0</v>
      </c>
      <c r="C7" s="57">
        <v>0</v>
      </c>
      <c r="D7" s="57">
        <v>0</v>
      </c>
      <c r="E7" s="57">
        <v>1</v>
      </c>
      <c r="F7" s="57">
        <v>36</v>
      </c>
      <c r="G7" s="57">
        <v>1750</v>
      </c>
      <c r="H7" s="57">
        <v>34679</v>
      </c>
      <c r="I7" s="57">
        <v>120345</v>
      </c>
      <c r="J7" s="57">
        <v>206319</v>
      </c>
      <c r="K7" s="57">
        <v>111836</v>
      </c>
      <c r="L7" s="47">
        <f t="shared" si="0"/>
        <v>474966</v>
      </c>
      <c r="M7" s="48" t="s">
        <v>107</v>
      </c>
      <c r="N7" s="48" t="s">
        <v>108</v>
      </c>
    </row>
    <row r="8" spans="1:14" ht="21" x14ac:dyDescent="1">
      <c r="A8" s="56" t="s">
        <v>110</v>
      </c>
      <c r="B8" s="57">
        <v>94</v>
      </c>
      <c r="C8" s="57">
        <v>55</v>
      </c>
      <c r="D8" s="57">
        <v>94</v>
      </c>
      <c r="E8" s="57">
        <v>75</v>
      </c>
      <c r="F8" s="57">
        <v>886</v>
      </c>
      <c r="G8" s="57">
        <v>5076</v>
      </c>
      <c r="H8" s="57">
        <v>19020</v>
      </c>
      <c r="I8" s="57">
        <v>46418</v>
      </c>
      <c r="J8" s="57">
        <v>75107</v>
      </c>
      <c r="K8" s="57">
        <v>156550</v>
      </c>
      <c r="L8" s="47">
        <f t="shared" si="0"/>
        <v>303375</v>
      </c>
      <c r="M8" s="48" t="s">
        <v>109</v>
      </c>
      <c r="N8" s="48" t="s">
        <v>110</v>
      </c>
    </row>
    <row r="9" spans="1:14" ht="21" x14ac:dyDescent="1">
      <c r="A9" s="56" t="s">
        <v>112</v>
      </c>
      <c r="B9" s="57">
        <v>227</v>
      </c>
      <c r="C9" s="57">
        <v>618</v>
      </c>
      <c r="D9" s="57">
        <v>954</v>
      </c>
      <c r="E9" s="57">
        <v>19027</v>
      </c>
      <c r="F9" s="57">
        <v>70367</v>
      </c>
      <c r="G9" s="57">
        <v>84010</v>
      </c>
      <c r="H9" s="57">
        <v>78984</v>
      </c>
      <c r="I9" s="57">
        <v>59735</v>
      </c>
      <c r="J9" s="57">
        <v>42556</v>
      </c>
      <c r="K9" s="57">
        <v>38899</v>
      </c>
      <c r="L9" s="47">
        <f t="shared" si="0"/>
        <v>395377</v>
      </c>
      <c r="M9" s="48" t="s">
        <v>111</v>
      </c>
      <c r="N9" s="48" t="s">
        <v>112</v>
      </c>
    </row>
    <row r="10" spans="1:14" ht="21" x14ac:dyDescent="1">
      <c r="A10" s="56" t="s">
        <v>114</v>
      </c>
      <c r="B10" s="57">
        <v>0</v>
      </c>
      <c r="C10" s="57">
        <v>0</v>
      </c>
      <c r="D10" s="57">
        <v>0</v>
      </c>
      <c r="E10" s="57">
        <v>0</v>
      </c>
      <c r="F10" s="57">
        <v>0</v>
      </c>
      <c r="G10" s="57">
        <v>0</v>
      </c>
      <c r="H10" s="57">
        <v>16</v>
      </c>
      <c r="I10" s="57">
        <v>539</v>
      </c>
      <c r="J10" s="57">
        <v>885</v>
      </c>
      <c r="K10" s="57">
        <v>239</v>
      </c>
      <c r="L10" s="47">
        <f t="shared" si="0"/>
        <v>1679</v>
      </c>
      <c r="M10" s="48" t="s">
        <v>113</v>
      </c>
      <c r="N10" s="48" t="s">
        <v>114</v>
      </c>
    </row>
    <row r="11" spans="1:14" ht="21" x14ac:dyDescent="1">
      <c r="A11" s="56" t="s">
        <v>116</v>
      </c>
      <c r="B11" s="57">
        <v>0</v>
      </c>
      <c r="C11" s="57">
        <v>0</v>
      </c>
      <c r="D11" s="57">
        <v>0</v>
      </c>
      <c r="E11" s="57">
        <v>0</v>
      </c>
      <c r="F11" s="57">
        <v>0</v>
      </c>
      <c r="G11" s="57">
        <v>0</v>
      </c>
      <c r="H11" s="57">
        <v>6</v>
      </c>
      <c r="I11" s="57">
        <v>522</v>
      </c>
      <c r="J11" s="57">
        <v>227</v>
      </c>
      <c r="K11" s="57">
        <v>0</v>
      </c>
      <c r="L11" s="47">
        <f t="shared" si="0"/>
        <v>755</v>
      </c>
      <c r="M11" s="48" t="s">
        <v>115</v>
      </c>
      <c r="N11" s="48" t="s">
        <v>116</v>
      </c>
    </row>
    <row r="12" spans="1:14" ht="21" x14ac:dyDescent="1">
      <c r="A12" s="56" t="s">
        <v>118</v>
      </c>
      <c r="B12" s="57">
        <v>0</v>
      </c>
      <c r="C12" s="57">
        <v>0</v>
      </c>
      <c r="D12" s="57">
        <v>0</v>
      </c>
      <c r="E12" s="57">
        <v>0</v>
      </c>
      <c r="F12" s="57">
        <v>0</v>
      </c>
      <c r="G12" s="57">
        <v>0</v>
      </c>
      <c r="H12" s="57">
        <v>774</v>
      </c>
      <c r="I12" s="57">
        <v>13626</v>
      </c>
      <c r="J12" s="57">
        <v>22006</v>
      </c>
      <c r="K12" s="57">
        <v>1839</v>
      </c>
      <c r="L12" s="47">
        <f t="shared" si="0"/>
        <v>38245</v>
      </c>
      <c r="M12" s="48" t="s">
        <v>117</v>
      </c>
      <c r="N12" s="48" t="s">
        <v>118</v>
      </c>
    </row>
    <row r="13" spans="1:14" ht="21" x14ac:dyDescent="1">
      <c r="A13" s="56" t="s">
        <v>120</v>
      </c>
      <c r="B13" s="57">
        <v>0</v>
      </c>
      <c r="C13" s="57">
        <v>0</v>
      </c>
      <c r="D13" s="57">
        <v>0</v>
      </c>
      <c r="E13" s="57">
        <v>0</v>
      </c>
      <c r="F13" s="57">
        <v>5</v>
      </c>
      <c r="G13" s="57">
        <v>49</v>
      </c>
      <c r="H13" s="57">
        <v>424</v>
      </c>
      <c r="I13" s="57">
        <v>11407</v>
      </c>
      <c r="J13" s="57">
        <v>73098</v>
      </c>
      <c r="K13" s="57">
        <v>8657</v>
      </c>
      <c r="L13" s="47">
        <f t="shared" si="0"/>
        <v>93640</v>
      </c>
      <c r="M13" s="48" t="s">
        <v>119</v>
      </c>
      <c r="N13" s="48" t="s">
        <v>120</v>
      </c>
    </row>
    <row r="14" spans="1:14" ht="21" x14ac:dyDescent="1">
      <c r="A14" s="56" t="s">
        <v>130</v>
      </c>
      <c r="B14" s="57">
        <v>99</v>
      </c>
      <c r="C14" s="57">
        <v>3514</v>
      </c>
      <c r="D14" s="57">
        <v>15717</v>
      </c>
      <c r="E14" s="57">
        <v>43324</v>
      </c>
      <c r="F14" s="57">
        <v>111326</v>
      </c>
      <c r="G14" s="57">
        <v>77613</v>
      </c>
      <c r="H14" s="57">
        <v>27407</v>
      </c>
      <c r="I14" s="57">
        <v>552</v>
      </c>
      <c r="J14" s="57">
        <v>17</v>
      </c>
      <c r="K14" s="57">
        <v>0</v>
      </c>
      <c r="L14" s="47">
        <f t="shared" si="0"/>
        <v>279569</v>
      </c>
      <c r="M14" s="48" t="s">
        <v>121</v>
      </c>
      <c r="N14" s="48" t="s">
        <v>122</v>
      </c>
    </row>
    <row r="15" spans="1:14" ht="21" x14ac:dyDescent="1">
      <c r="A15" s="56" t="s">
        <v>124</v>
      </c>
      <c r="B15" s="57">
        <v>31</v>
      </c>
      <c r="C15" s="57">
        <v>21</v>
      </c>
      <c r="D15" s="57">
        <v>44</v>
      </c>
      <c r="E15" s="57">
        <v>60</v>
      </c>
      <c r="F15" s="57">
        <v>427</v>
      </c>
      <c r="G15" s="57">
        <v>3322</v>
      </c>
      <c r="H15" s="57">
        <v>41862</v>
      </c>
      <c r="I15" s="57">
        <v>77921</v>
      </c>
      <c r="J15" s="57">
        <v>37556</v>
      </c>
      <c r="K15" s="57">
        <v>51588</v>
      </c>
      <c r="L15" s="47">
        <f t="shared" si="0"/>
        <v>212832</v>
      </c>
      <c r="M15" s="48" t="s">
        <v>123</v>
      </c>
      <c r="N15" s="48" t="s">
        <v>124</v>
      </c>
    </row>
    <row r="16" spans="1:14" ht="21" x14ac:dyDescent="1">
      <c r="A16" s="56" t="s">
        <v>126</v>
      </c>
      <c r="B16" s="57">
        <v>0</v>
      </c>
      <c r="C16" s="57">
        <v>0</v>
      </c>
      <c r="D16" s="57">
        <v>0</v>
      </c>
      <c r="E16" s="57">
        <v>0</v>
      </c>
      <c r="F16" s="57">
        <v>5645</v>
      </c>
      <c r="G16" s="57">
        <v>77347</v>
      </c>
      <c r="H16" s="57">
        <v>72097</v>
      </c>
      <c r="I16" s="57">
        <v>34004</v>
      </c>
      <c r="J16" s="57">
        <v>2254</v>
      </c>
      <c r="K16" s="57">
        <v>3</v>
      </c>
      <c r="L16" s="47">
        <f t="shared" si="0"/>
        <v>191350</v>
      </c>
      <c r="M16" s="48" t="s">
        <v>125</v>
      </c>
      <c r="N16" s="48" t="s">
        <v>126</v>
      </c>
    </row>
    <row r="17" spans="1:14" ht="21" x14ac:dyDescent="1">
      <c r="A17" s="56" t="s">
        <v>128</v>
      </c>
      <c r="B17" s="57">
        <v>0</v>
      </c>
      <c r="C17" s="57">
        <v>0</v>
      </c>
      <c r="D17" s="57">
        <v>0</v>
      </c>
      <c r="E17" s="57">
        <v>0</v>
      </c>
      <c r="F17" s="57">
        <v>4705</v>
      </c>
      <c r="G17" s="57">
        <v>35070</v>
      </c>
      <c r="H17" s="57">
        <v>48453</v>
      </c>
      <c r="I17" s="57">
        <v>19072</v>
      </c>
      <c r="J17" s="57">
        <v>10688</v>
      </c>
      <c r="K17" s="57">
        <v>400</v>
      </c>
      <c r="L17" s="47">
        <f t="shared" si="0"/>
        <v>118388</v>
      </c>
      <c r="M17" s="48" t="s">
        <v>127</v>
      </c>
      <c r="N17" s="48" t="s">
        <v>128</v>
      </c>
    </row>
    <row r="18" spans="1:14" ht="21" x14ac:dyDescent="1">
      <c r="A18" s="56" t="s">
        <v>132</v>
      </c>
      <c r="B18" s="57">
        <v>12028</v>
      </c>
      <c r="C18" s="57">
        <v>62684</v>
      </c>
      <c r="D18" s="57">
        <v>79463</v>
      </c>
      <c r="E18" s="57">
        <v>129403</v>
      </c>
      <c r="F18" s="57">
        <v>162006</v>
      </c>
      <c r="G18" s="57">
        <v>55912</v>
      </c>
      <c r="H18" s="57">
        <v>4687</v>
      </c>
      <c r="I18" s="57">
        <v>0</v>
      </c>
      <c r="J18" s="57">
        <v>0</v>
      </c>
      <c r="K18" s="57">
        <v>0</v>
      </c>
      <c r="L18" s="47">
        <f t="shared" si="0"/>
        <v>506183</v>
      </c>
      <c r="M18" s="48" t="s">
        <v>129</v>
      </c>
      <c r="N18" s="48" t="s">
        <v>130</v>
      </c>
    </row>
    <row r="19" spans="1:14" ht="21" x14ac:dyDescent="1">
      <c r="A19" s="56" t="s">
        <v>134</v>
      </c>
      <c r="B19" s="57">
        <v>0</v>
      </c>
      <c r="C19" s="57">
        <v>0</v>
      </c>
      <c r="D19" s="57">
        <v>0</v>
      </c>
      <c r="E19" s="57">
        <v>0</v>
      </c>
      <c r="F19" s="57">
        <v>0</v>
      </c>
      <c r="G19" s="57">
        <v>20</v>
      </c>
      <c r="H19" s="57">
        <v>5128</v>
      </c>
      <c r="I19" s="57">
        <v>75392</v>
      </c>
      <c r="J19" s="57">
        <v>57351</v>
      </c>
      <c r="K19" s="57">
        <v>13065</v>
      </c>
      <c r="L19" s="47">
        <f t="shared" si="0"/>
        <v>150956</v>
      </c>
      <c r="M19" s="48" t="s">
        <v>131</v>
      </c>
      <c r="N19" s="48" t="s">
        <v>132</v>
      </c>
    </row>
    <row r="20" spans="1:14" ht="21" x14ac:dyDescent="1">
      <c r="A20" s="56" t="s">
        <v>136</v>
      </c>
      <c r="B20" s="57">
        <v>0</v>
      </c>
      <c r="C20" s="57">
        <v>0</v>
      </c>
      <c r="D20" s="57">
        <v>0</v>
      </c>
      <c r="E20" s="57">
        <v>0</v>
      </c>
      <c r="F20" s="57">
        <v>0</v>
      </c>
      <c r="G20" s="57">
        <v>4</v>
      </c>
      <c r="H20" s="57">
        <v>9162</v>
      </c>
      <c r="I20" s="57">
        <v>33370</v>
      </c>
      <c r="J20" s="57">
        <v>14193</v>
      </c>
      <c r="K20" s="57">
        <v>0</v>
      </c>
      <c r="L20" s="47">
        <f t="shared" si="0"/>
        <v>56729</v>
      </c>
      <c r="M20" s="48" t="s">
        <v>133</v>
      </c>
      <c r="N20" s="48" t="s">
        <v>134</v>
      </c>
    </row>
    <row r="21" spans="1:14" ht="15.75" customHeight="1" x14ac:dyDescent="1">
      <c r="A21" s="56" t="s">
        <v>142</v>
      </c>
      <c r="B21" s="57">
        <v>0</v>
      </c>
      <c r="C21" s="57">
        <v>0</v>
      </c>
      <c r="D21" s="57">
        <v>0</v>
      </c>
      <c r="E21" s="57">
        <v>0</v>
      </c>
      <c r="F21" s="57">
        <v>2</v>
      </c>
      <c r="G21" s="57">
        <v>38</v>
      </c>
      <c r="H21" s="57">
        <v>311</v>
      </c>
      <c r="I21" s="57">
        <v>1922</v>
      </c>
      <c r="J21" s="57">
        <v>1713</v>
      </c>
      <c r="K21" s="57">
        <v>763</v>
      </c>
      <c r="L21" s="47">
        <f t="shared" si="0"/>
        <v>4749</v>
      </c>
      <c r="M21" s="48" t="s">
        <v>135</v>
      </c>
      <c r="N21" s="48" t="s">
        <v>136</v>
      </c>
    </row>
    <row r="22" spans="1:14" ht="15.75" customHeight="1" x14ac:dyDescent="1">
      <c r="A22" s="56" t="s">
        <v>140</v>
      </c>
      <c r="B22" s="57">
        <v>0</v>
      </c>
      <c r="C22" s="57">
        <v>0</v>
      </c>
      <c r="D22" s="57">
        <v>0</v>
      </c>
      <c r="E22" s="57">
        <v>0</v>
      </c>
      <c r="F22" s="57">
        <v>7</v>
      </c>
      <c r="G22" s="57">
        <v>142</v>
      </c>
      <c r="H22" s="57">
        <v>722</v>
      </c>
      <c r="I22" s="57">
        <v>3046</v>
      </c>
      <c r="J22" s="57">
        <v>2420</v>
      </c>
      <c r="K22" s="57">
        <v>946</v>
      </c>
      <c r="L22" s="47">
        <f t="shared" si="0"/>
        <v>7283</v>
      </c>
      <c r="M22" s="48" t="s">
        <v>137</v>
      </c>
      <c r="N22" s="48" t="s">
        <v>138</v>
      </c>
    </row>
    <row r="23" spans="1:14" ht="15.75" customHeight="1" x14ac:dyDescent="1">
      <c r="A23" s="56" t="s">
        <v>138</v>
      </c>
      <c r="B23" s="57">
        <v>5</v>
      </c>
      <c r="C23" s="57">
        <v>3</v>
      </c>
      <c r="D23" s="57">
        <v>14</v>
      </c>
      <c r="E23" s="57">
        <v>18</v>
      </c>
      <c r="F23" s="57">
        <v>66</v>
      </c>
      <c r="G23" s="57">
        <v>829</v>
      </c>
      <c r="H23" s="57">
        <v>6579</v>
      </c>
      <c r="I23" s="57">
        <v>33625</v>
      </c>
      <c r="J23" s="57">
        <v>22330</v>
      </c>
      <c r="K23" s="57">
        <v>6328</v>
      </c>
      <c r="L23" s="47">
        <f t="shared" si="0"/>
        <v>69797</v>
      </c>
      <c r="M23" s="48" t="s">
        <v>139</v>
      </c>
      <c r="N23" s="48" t="s">
        <v>140</v>
      </c>
    </row>
    <row r="24" spans="1:14" ht="15.75" customHeight="1" x14ac:dyDescent="1">
      <c r="A24" s="56" t="s">
        <v>144</v>
      </c>
      <c r="B24" s="57">
        <v>1</v>
      </c>
      <c r="C24" s="57">
        <v>3</v>
      </c>
      <c r="D24" s="57">
        <v>10</v>
      </c>
      <c r="E24" s="57">
        <v>175</v>
      </c>
      <c r="F24" s="57">
        <v>264</v>
      </c>
      <c r="G24" s="57">
        <v>8603</v>
      </c>
      <c r="H24" s="57">
        <v>44702</v>
      </c>
      <c r="I24" s="57">
        <v>24577</v>
      </c>
      <c r="J24" s="57">
        <v>2976</v>
      </c>
      <c r="K24" s="57">
        <v>0</v>
      </c>
      <c r="L24" s="47">
        <f t="shared" si="0"/>
        <v>81311</v>
      </c>
      <c r="M24" s="48" t="s">
        <v>141</v>
      </c>
      <c r="N24" s="48" t="s">
        <v>142</v>
      </c>
    </row>
    <row r="25" spans="1:14" ht="15.75" customHeight="1" x14ac:dyDescent="1">
      <c r="A25" s="56" t="s">
        <v>145</v>
      </c>
      <c r="B25" s="57">
        <v>149</v>
      </c>
      <c r="C25" s="57">
        <v>2771</v>
      </c>
      <c r="D25" s="57">
        <v>11734</v>
      </c>
      <c r="E25" s="57">
        <v>11232</v>
      </c>
      <c r="F25" s="57">
        <v>39297</v>
      </c>
      <c r="G25" s="57">
        <v>79661</v>
      </c>
      <c r="H25" s="57">
        <v>30041</v>
      </c>
      <c r="I25" s="57">
        <v>7586</v>
      </c>
      <c r="J25" s="57">
        <v>354</v>
      </c>
      <c r="K25" s="57">
        <v>0</v>
      </c>
      <c r="L25" s="47">
        <f t="shared" si="0"/>
        <v>182825</v>
      </c>
      <c r="M25" s="48" t="s">
        <v>143</v>
      </c>
      <c r="N25" s="48" t="s">
        <v>144</v>
      </c>
    </row>
    <row r="26" spans="1:14" ht="15.75" customHeight="1" x14ac:dyDescent="1">
      <c r="A26" s="56" t="s">
        <v>149</v>
      </c>
      <c r="B26" s="57">
        <v>0</v>
      </c>
      <c r="C26" s="57">
        <v>0</v>
      </c>
      <c r="D26" s="57">
        <v>0</v>
      </c>
      <c r="E26" s="57">
        <v>339</v>
      </c>
      <c r="F26" s="57">
        <v>5815</v>
      </c>
      <c r="G26" s="57">
        <v>69041</v>
      </c>
      <c r="H26" s="57">
        <v>131335</v>
      </c>
      <c r="I26" s="57">
        <v>55094</v>
      </c>
      <c r="J26" s="57">
        <v>16603</v>
      </c>
      <c r="K26" s="57">
        <v>467</v>
      </c>
      <c r="L26" s="47">
        <f t="shared" si="0"/>
        <v>278694</v>
      </c>
      <c r="M26" s="48" t="s">
        <v>99</v>
      </c>
      <c r="N26" s="48" t="s">
        <v>145</v>
      </c>
    </row>
    <row r="27" spans="1:14" ht="15.75" customHeight="1" x14ac:dyDescent="1">
      <c r="A27" s="56" t="s">
        <v>147</v>
      </c>
      <c r="B27" s="57">
        <v>0</v>
      </c>
      <c r="C27" s="57">
        <v>0</v>
      </c>
      <c r="D27" s="57">
        <v>0</v>
      </c>
      <c r="E27" s="57">
        <v>0</v>
      </c>
      <c r="F27" s="57">
        <v>0</v>
      </c>
      <c r="G27" s="57">
        <v>0</v>
      </c>
      <c r="H27" s="57">
        <v>4375</v>
      </c>
      <c r="I27" s="57">
        <v>40757</v>
      </c>
      <c r="J27" s="57">
        <v>64740</v>
      </c>
      <c r="K27" s="57">
        <v>4667</v>
      </c>
      <c r="L27" s="47">
        <f t="shared" si="0"/>
        <v>114539</v>
      </c>
      <c r="M27" s="48" t="s">
        <v>146</v>
      </c>
      <c r="N27" s="48" t="s">
        <v>147</v>
      </c>
    </row>
    <row r="28" spans="1:14" ht="15.75" customHeight="1" x14ac:dyDescent="1">
      <c r="A28" s="56" t="s">
        <v>151</v>
      </c>
      <c r="B28" s="57">
        <v>3629</v>
      </c>
      <c r="C28" s="57">
        <v>3542</v>
      </c>
      <c r="D28" s="57">
        <v>13464</v>
      </c>
      <c r="E28" s="57">
        <v>44029</v>
      </c>
      <c r="F28" s="57">
        <v>142558</v>
      </c>
      <c r="G28" s="57">
        <v>247609</v>
      </c>
      <c r="H28" s="57">
        <v>122684</v>
      </c>
      <c r="I28" s="57">
        <v>40167</v>
      </c>
      <c r="J28" s="57">
        <v>20889</v>
      </c>
      <c r="K28" s="57">
        <v>40406</v>
      </c>
      <c r="L28" s="47">
        <f t="shared" si="0"/>
        <v>678977</v>
      </c>
      <c r="M28" s="48" t="s">
        <v>148</v>
      </c>
      <c r="N28" s="48" t="s">
        <v>149</v>
      </c>
    </row>
    <row r="29" spans="1:14" ht="15.75" customHeight="1" x14ac:dyDescent="1">
      <c r="A29" s="56" t="s">
        <v>165</v>
      </c>
      <c r="B29" s="57">
        <v>3</v>
      </c>
      <c r="C29" s="57">
        <v>0</v>
      </c>
      <c r="D29" s="57">
        <v>3</v>
      </c>
      <c r="E29" s="57">
        <v>7</v>
      </c>
      <c r="F29" s="57">
        <v>18</v>
      </c>
      <c r="G29" s="57">
        <v>138</v>
      </c>
      <c r="H29" s="57">
        <v>806</v>
      </c>
      <c r="I29" s="57">
        <v>3480</v>
      </c>
      <c r="J29" s="57">
        <v>35348</v>
      </c>
      <c r="K29" s="57">
        <v>37839</v>
      </c>
      <c r="L29" s="47">
        <f t="shared" si="0"/>
        <v>77642</v>
      </c>
      <c r="M29" s="48" t="s">
        <v>150</v>
      </c>
      <c r="N29" s="48" t="s">
        <v>151</v>
      </c>
    </row>
    <row r="30" spans="1:14" ht="15.75" customHeight="1" x14ac:dyDescent="1">
      <c r="A30" s="56" t="s">
        <v>167</v>
      </c>
      <c r="B30" s="57">
        <v>3584</v>
      </c>
      <c r="C30" s="57">
        <v>6630</v>
      </c>
      <c r="D30" s="57">
        <v>38543</v>
      </c>
      <c r="E30" s="57">
        <v>81675</v>
      </c>
      <c r="F30" s="57">
        <v>140152</v>
      </c>
      <c r="G30" s="57">
        <v>24208</v>
      </c>
      <c r="H30" s="57">
        <v>1291</v>
      </c>
      <c r="I30" s="57">
        <v>0</v>
      </c>
      <c r="J30" s="57">
        <v>0</v>
      </c>
      <c r="K30" s="57">
        <v>0</v>
      </c>
      <c r="L30" s="47">
        <f t="shared" si="0"/>
        <v>296083</v>
      </c>
      <c r="M30" s="48" t="s">
        <v>152</v>
      </c>
      <c r="N30" s="48" t="s">
        <v>153</v>
      </c>
    </row>
    <row r="31" spans="1:14" ht="15.75" customHeight="1" x14ac:dyDescent="1">
      <c r="A31" s="56" t="s">
        <v>153</v>
      </c>
      <c r="B31" s="57">
        <v>8290</v>
      </c>
      <c r="C31" s="57">
        <v>19706</v>
      </c>
      <c r="D31" s="57">
        <v>55103</v>
      </c>
      <c r="E31" s="57">
        <v>140249</v>
      </c>
      <c r="F31" s="57">
        <v>198274</v>
      </c>
      <c r="G31" s="57">
        <v>40414</v>
      </c>
      <c r="H31" s="57">
        <v>3439</v>
      </c>
      <c r="I31" s="57">
        <v>0</v>
      </c>
      <c r="J31" s="57">
        <v>0</v>
      </c>
      <c r="K31" s="57">
        <v>0</v>
      </c>
      <c r="L31" s="47">
        <f t="shared" si="0"/>
        <v>465475</v>
      </c>
      <c r="M31" s="48" t="s">
        <v>154</v>
      </c>
      <c r="N31" s="48" t="s">
        <v>155</v>
      </c>
    </row>
    <row r="32" spans="1:14" ht="15.75" customHeight="1" x14ac:dyDescent="1">
      <c r="A32" s="56" t="s">
        <v>157</v>
      </c>
      <c r="B32" s="57">
        <v>0</v>
      </c>
      <c r="C32" s="57">
        <v>0</v>
      </c>
      <c r="D32" s="57">
        <v>0</v>
      </c>
      <c r="E32" s="57">
        <v>3</v>
      </c>
      <c r="F32" s="57">
        <v>12</v>
      </c>
      <c r="G32" s="57">
        <v>215</v>
      </c>
      <c r="H32" s="57">
        <v>1124</v>
      </c>
      <c r="I32" s="57">
        <v>3733</v>
      </c>
      <c r="J32" s="57">
        <v>4273</v>
      </c>
      <c r="K32" s="57">
        <v>3301</v>
      </c>
      <c r="L32" s="47">
        <f t="shared" si="0"/>
        <v>12661</v>
      </c>
      <c r="M32" s="48" t="s">
        <v>156</v>
      </c>
      <c r="N32" s="48" t="s">
        <v>157</v>
      </c>
    </row>
    <row r="33" spans="1:14" ht="15.75" customHeight="1" x14ac:dyDescent="1">
      <c r="A33" s="56" t="s">
        <v>159</v>
      </c>
      <c r="B33" s="57">
        <v>0</v>
      </c>
      <c r="C33" s="57">
        <v>0</v>
      </c>
      <c r="D33" s="57">
        <v>0</v>
      </c>
      <c r="E33" s="57">
        <v>0</v>
      </c>
      <c r="F33" s="57">
        <v>0</v>
      </c>
      <c r="G33" s="57">
        <v>0</v>
      </c>
      <c r="H33" s="57">
        <v>1</v>
      </c>
      <c r="I33" s="57">
        <v>125</v>
      </c>
      <c r="J33" s="57">
        <v>700</v>
      </c>
      <c r="K33" s="57">
        <v>119</v>
      </c>
      <c r="L33" s="47">
        <f t="shared" si="0"/>
        <v>945</v>
      </c>
      <c r="M33" s="48" t="s">
        <v>158</v>
      </c>
      <c r="N33" s="48" t="s">
        <v>159</v>
      </c>
    </row>
    <row r="34" spans="1:14" ht="15.75" customHeight="1" x14ac:dyDescent="1">
      <c r="A34" s="56" t="s">
        <v>161</v>
      </c>
      <c r="B34" s="57">
        <v>2326</v>
      </c>
      <c r="C34" s="57">
        <v>4912</v>
      </c>
      <c r="D34" s="57">
        <v>5837</v>
      </c>
      <c r="E34" s="57">
        <v>21559</v>
      </c>
      <c r="F34" s="57">
        <v>86457</v>
      </c>
      <c r="G34" s="57">
        <v>112684</v>
      </c>
      <c r="H34" s="57">
        <v>158360</v>
      </c>
      <c r="I34" s="57">
        <v>142506</v>
      </c>
      <c r="J34" s="57">
        <v>94740</v>
      </c>
      <c r="K34" s="57">
        <v>23194</v>
      </c>
      <c r="L34" s="47">
        <f t="shared" si="0"/>
        <v>652575</v>
      </c>
      <c r="M34" s="48" t="s">
        <v>160</v>
      </c>
      <c r="N34" s="48" t="s">
        <v>161</v>
      </c>
    </row>
    <row r="35" spans="1:14" ht="15.75" customHeight="1" x14ac:dyDescent="1">
      <c r="A35" s="56" t="s">
        <v>155</v>
      </c>
      <c r="B35" s="57">
        <v>2</v>
      </c>
      <c r="C35" s="57">
        <v>0</v>
      </c>
      <c r="D35" s="57">
        <v>5</v>
      </c>
      <c r="E35" s="57">
        <v>5</v>
      </c>
      <c r="F35" s="57">
        <v>88</v>
      </c>
      <c r="G35" s="57">
        <v>1486</v>
      </c>
      <c r="H35" s="57">
        <v>15743</v>
      </c>
      <c r="I35" s="57">
        <v>87372</v>
      </c>
      <c r="J35" s="57">
        <v>162387</v>
      </c>
      <c r="K35" s="57">
        <v>200946</v>
      </c>
      <c r="L35" s="47">
        <f t="shared" si="0"/>
        <v>468034</v>
      </c>
      <c r="M35" s="48" t="s">
        <v>162</v>
      </c>
      <c r="N35" s="48" t="s">
        <v>163</v>
      </c>
    </row>
    <row r="36" spans="1:14" ht="15.75" customHeight="1" x14ac:dyDescent="1">
      <c r="A36" s="56" t="s">
        <v>163</v>
      </c>
      <c r="B36" s="57">
        <v>4</v>
      </c>
      <c r="C36" s="57">
        <v>5</v>
      </c>
      <c r="D36" s="57">
        <v>10</v>
      </c>
      <c r="E36" s="57">
        <v>14</v>
      </c>
      <c r="F36" s="57">
        <v>63</v>
      </c>
      <c r="G36" s="57">
        <v>1181</v>
      </c>
      <c r="H36" s="57">
        <v>14842</v>
      </c>
      <c r="I36" s="57">
        <v>41902</v>
      </c>
      <c r="J36" s="57">
        <v>24189</v>
      </c>
      <c r="K36" s="57">
        <v>9437</v>
      </c>
      <c r="L36" s="47">
        <f t="shared" si="0"/>
        <v>91647</v>
      </c>
      <c r="M36" s="48" t="s">
        <v>164</v>
      </c>
      <c r="N36" s="48" t="s">
        <v>165</v>
      </c>
    </row>
    <row r="37" spans="1:14" ht="15.75" customHeight="1" x14ac:dyDescent="1">
      <c r="A37" s="56" t="s">
        <v>169</v>
      </c>
      <c r="B37" s="57">
        <v>0</v>
      </c>
      <c r="C37" s="57">
        <v>0</v>
      </c>
      <c r="D37" s="57">
        <v>0</v>
      </c>
      <c r="E37" s="57">
        <v>0</v>
      </c>
      <c r="F37" s="57">
        <v>155</v>
      </c>
      <c r="G37" s="57">
        <v>3437</v>
      </c>
      <c r="H37" s="57">
        <v>58531</v>
      </c>
      <c r="I37" s="57">
        <v>26020</v>
      </c>
      <c r="J37" s="57">
        <v>27174</v>
      </c>
      <c r="K37" s="57">
        <v>3810</v>
      </c>
      <c r="L37" s="47">
        <f t="shared" si="0"/>
        <v>119127</v>
      </c>
      <c r="M37" s="48" t="s">
        <v>166</v>
      </c>
      <c r="N37" s="48" t="s">
        <v>167</v>
      </c>
    </row>
    <row r="38" spans="1:14" ht="15.75" customHeight="1" x14ac:dyDescent="1">
      <c r="A38" s="56" t="s">
        <v>171</v>
      </c>
      <c r="B38" s="57">
        <v>3216</v>
      </c>
      <c r="C38" s="57">
        <v>8904</v>
      </c>
      <c r="D38" s="57">
        <v>14981</v>
      </c>
      <c r="E38" s="57">
        <v>42970</v>
      </c>
      <c r="F38" s="57">
        <v>99419</v>
      </c>
      <c r="G38" s="57">
        <v>84278</v>
      </c>
      <c r="H38" s="57">
        <v>72462</v>
      </c>
      <c r="I38" s="57">
        <v>22050</v>
      </c>
      <c r="J38" s="57">
        <v>9893</v>
      </c>
      <c r="K38" s="57">
        <v>1262</v>
      </c>
      <c r="L38" s="47">
        <f t="shared" si="0"/>
        <v>359435</v>
      </c>
      <c r="M38" s="48" t="s">
        <v>168</v>
      </c>
      <c r="N38" s="48" t="s">
        <v>169</v>
      </c>
    </row>
    <row r="39" spans="1:14" ht="15.75" customHeight="1" x14ac:dyDescent="1">
      <c r="A39" s="56" t="s">
        <v>173</v>
      </c>
      <c r="B39" s="57">
        <v>48</v>
      </c>
      <c r="C39" s="57">
        <v>33</v>
      </c>
      <c r="D39" s="57">
        <v>61</v>
      </c>
      <c r="E39" s="57">
        <v>98</v>
      </c>
      <c r="F39" s="57">
        <v>655</v>
      </c>
      <c r="G39" s="57">
        <v>5746</v>
      </c>
      <c r="H39" s="57">
        <v>32516</v>
      </c>
      <c r="I39" s="57">
        <v>83529</v>
      </c>
      <c r="J39" s="57">
        <v>70658</v>
      </c>
      <c r="K39" s="57">
        <v>103991</v>
      </c>
      <c r="L39" s="47">
        <f t="shared" si="0"/>
        <v>297335</v>
      </c>
      <c r="M39" s="48" t="s">
        <v>170</v>
      </c>
      <c r="N39" s="48" t="s">
        <v>171</v>
      </c>
    </row>
    <row r="40" spans="1:14" ht="15.75" customHeight="1" x14ac:dyDescent="1">
      <c r="A40" s="56" t="s">
        <v>175</v>
      </c>
      <c r="B40" s="57">
        <v>0</v>
      </c>
      <c r="C40" s="57">
        <v>0</v>
      </c>
      <c r="D40" s="57">
        <v>0</v>
      </c>
      <c r="E40" s="57">
        <v>0</v>
      </c>
      <c r="F40" s="57">
        <v>0</v>
      </c>
      <c r="G40" s="57">
        <v>297</v>
      </c>
      <c r="H40" s="57">
        <v>3232</v>
      </c>
      <c r="I40" s="57">
        <v>21354</v>
      </c>
      <c r="J40" s="57">
        <v>44168</v>
      </c>
      <c r="K40" s="57">
        <v>39895</v>
      </c>
      <c r="L40" s="47">
        <f t="shared" si="0"/>
        <v>108946</v>
      </c>
      <c r="M40" s="48" t="s">
        <v>172</v>
      </c>
      <c r="N40" s="48" t="s">
        <v>173</v>
      </c>
    </row>
    <row r="41" spans="1:14" ht="15.75" customHeight="1" x14ac:dyDescent="1">
      <c r="A41" s="56" t="s">
        <v>177</v>
      </c>
      <c r="B41" s="57">
        <v>0</v>
      </c>
      <c r="C41" s="57">
        <v>0</v>
      </c>
      <c r="D41" s="57">
        <v>0</v>
      </c>
      <c r="E41" s="57">
        <v>0</v>
      </c>
      <c r="F41" s="57">
        <v>0</v>
      </c>
      <c r="G41" s="57">
        <v>0</v>
      </c>
      <c r="H41" s="57">
        <v>0</v>
      </c>
      <c r="I41" s="57">
        <v>146</v>
      </c>
      <c r="J41" s="57">
        <v>46</v>
      </c>
      <c r="K41" s="57">
        <v>0</v>
      </c>
      <c r="L41" s="47">
        <f t="shared" si="0"/>
        <v>192</v>
      </c>
      <c r="M41" s="48" t="s">
        <v>174</v>
      </c>
      <c r="N41" s="48" t="s">
        <v>175</v>
      </c>
    </row>
    <row r="42" spans="1:14" ht="15.75" customHeight="1" x14ac:dyDescent="1">
      <c r="A42" s="56" t="s">
        <v>179</v>
      </c>
      <c r="B42" s="57">
        <v>0</v>
      </c>
      <c r="C42" s="57">
        <v>0</v>
      </c>
      <c r="D42" s="57">
        <v>0</v>
      </c>
      <c r="E42" s="57">
        <v>0</v>
      </c>
      <c r="F42" s="57">
        <v>0</v>
      </c>
      <c r="G42" s="57">
        <v>6</v>
      </c>
      <c r="H42" s="57">
        <v>90</v>
      </c>
      <c r="I42" s="57">
        <v>6196</v>
      </c>
      <c r="J42" s="57">
        <v>30917</v>
      </c>
      <c r="K42" s="57">
        <v>4501</v>
      </c>
      <c r="L42" s="47">
        <f t="shared" si="0"/>
        <v>41710</v>
      </c>
      <c r="M42" s="48" t="s">
        <v>176</v>
      </c>
      <c r="N42" s="48" t="s">
        <v>177</v>
      </c>
    </row>
    <row r="43" spans="1:14" ht="15.75" customHeight="1" x14ac:dyDescent="1">
      <c r="A43" s="56" t="s">
        <v>181</v>
      </c>
      <c r="B43" s="57">
        <v>5198</v>
      </c>
      <c r="C43" s="57">
        <v>10497</v>
      </c>
      <c r="D43" s="57">
        <v>40442</v>
      </c>
      <c r="E43" s="57">
        <v>116892</v>
      </c>
      <c r="F43" s="57">
        <v>184209</v>
      </c>
      <c r="G43" s="57">
        <v>44841</v>
      </c>
      <c r="H43" s="57">
        <v>12769</v>
      </c>
      <c r="I43" s="57">
        <v>2775</v>
      </c>
      <c r="J43" s="57">
        <v>252</v>
      </c>
      <c r="K43" s="57">
        <v>4</v>
      </c>
      <c r="L43" s="47">
        <f t="shared" si="0"/>
        <v>417879</v>
      </c>
      <c r="M43" s="48" t="s">
        <v>178</v>
      </c>
      <c r="N43" s="48" t="s">
        <v>179</v>
      </c>
    </row>
    <row r="44" spans="1:14" ht="15.75" customHeight="1" x14ac:dyDescent="1">
      <c r="A44" s="56" t="s">
        <v>183</v>
      </c>
      <c r="B44" s="57">
        <v>1</v>
      </c>
      <c r="C44" s="57">
        <v>0</v>
      </c>
      <c r="D44" s="57">
        <v>1</v>
      </c>
      <c r="E44" s="57">
        <v>1</v>
      </c>
      <c r="F44" s="57">
        <v>17</v>
      </c>
      <c r="G44" s="57">
        <v>176</v>
      </c>
      <c r="H44" s="57">
        <v>4510</v>
      </c>
      <c r="I44" s="57">
        <v>50361</v>
      </c>
      <c r="J44" s="57">
        <v>44870</v>
      </c>
      <c r="K44" s="57">
        <v>15920</v>
      </c>
      <c r="L44" s="47">
        <f t="shared" si="0"/>
        <v>115857</v>
      </c>
      <c r="M44" s="48" t="s">
        <v>180</v>
      </c>
      <c r="N44" s="48" t="s">
        <v>181</v>
      </c>
    </row>
    <row r="45" spans="1:14" ht="15.75" customHeight="1" x14ac:dyDescent="1">
      <c r="A45" s="56" t="s">
        <v>185</v>
      </c>
      <c r="B45" s="57">
        <v>45733</v>
      </c>
      <c r="C45" s="57">
        <v>72106</v>
      </c>
      <c r="D45" s="57">
        <v>109659</v>
      </c>
      <c r="E45" s="57">
        <v>130064</v>
      </c>
      <c r="F45" s="57">
        <v>267337</v>
      </c>
      <c r="G45" s="57">
        <v>364328</v>
      </c>
      <c r="H45" s="57">
        <v>286166</v>
      </c>
      <c r="I45" s="57">
        <v>62223</v>
      </c>
      <c r="J45" s="57">
        <v>9303</v>
      </c>
      <c r="K45" s="57">
        <v>1073</v>
      </c>
      <c r="L45" s="47">
        <f t="shared" si="0"/>
        <v>1347992</v>
      </c>
      <c r="M45" s="48" t="s">
        <v>182</v>
      </c>
      <c r="N45" s="48" t="s">
        <v>183</v>
      </c>
    </row>
    <row r="46" spans="1:14" ht="15.75" customHeight="1" x14ac:dyDescent="1">
      <c r="A46" s="56" t="s">
        <v>187</v>
      </c>
      <c r="B46" s="57">
        <v>1</v>
      </c>
      <c r="C46" s="57">
        <v>0</v>
      </c>
      <c r="D46" s="57">
        <v>4</v>
      </c>
      <c r="E46" s="57">
        <v>3</v>
      </c>
      <c r="F46" s="57">
        <v>69</v>
      </c>
      <c r="G46" s="57">
        <v>1314</v>
      </c>
      <c r="H46" s="57">
        <v>26330</v>
      </c>
      <c r="I46" s="57">
        <v>79662</v>
      </c>
      <c r="J46" s="57">
        <v>84963</v>
      </c>
      <c r="K46" s="57">
        <v>85399</v>
      </c>
      <c r="L46" s="47">
        <f t="shared" si="0"/>
        <v>277745</v>
      </c>
      <c r="M46" s="48" t="s">
        <v>184</v>
      </c>
      <c r="N46" s="48" t="s">
        <v>185</v>
      </c>
    </row>
    <row r="47" spans="1:14" ht="15.75" customHeight="1" x14ac:dyDescent="1">
      <c r="A47" s="56" t="s">
        <v>191</v>
      </c>
      <c r="B47" s="57">
        <v>3</v>
      </c>
      <c r="C47" s="57">
        <v>3</v>
      </c>
      <c r="D47" s="57">
        <v>7</v>
      </c>
      <c r="E47" s="57">
        <v>19</v>
      </c>
      <c r="F47" s="57">
        <v>85</v>
      </c>
      <c r="G47" s="57">
        <v>361</v>
      </c>
      <c r="H47" s="57">
        <v>1224</v>
      </c>
      <c r="I47" s="57">
        <v>3845</v>
      </c>
      <c r="J47" s="57">
        <v>32017</v>
      </c>
      <c r="K47" s="57">
        <v>51556</v>
      </c>
      <c r="L47" s="47">
        <f t="shared" si="0"/>
        <v>89120</v>
      </c>
      <c r="M47" s="48" t="s">
        <v>186</v>
      </c>
      <c r="N47" s="48" t="s">
        <v>187</v>
      </c>
    </row>
    <row r="48" spans="1:14" ht="15.75" customHeight="1" x14ac:dyDescent="1">
      <c r="A48" s="56" t="s">
        <v>189</v>
      </c>
      <c r="B48" s="57">
        <v>0</v>
      </c>
      <c r="C48" s="57">
        <v>2</v>
      </c>
      <c r="D48" s="57">
        <v>3</v>
      </c>
      <c r="E48" s="57">
        <v>7</v>
      </c>
      <c r="F48" s="57">
        <v>25</v>
      </c>
      <c r="G48" s="57">
        <v>316</v>
      </c>
      <c r="H48" s="57">
        <v>1619</v>
      </c>
      <c r="I48" s="57">
        <v>6606</v>
      </c>
      <c r="J48" s="57">
        <v>7153</v>
      </c>
      <c r="K48" s="57">
        <v>6460</v>
      </c>
      <c r="L48" s="47">
        <f t="shared" si="0"/>
        <v>22191</v>
      </c>
      <c r="M48" s="48" t="s">
        <v>188</v>
      </c>
      <c r="N48" s="48" t="s">
        <v>189</v>
      </c>
    </row>
    <row r="49" spans="1:14" ht="15.75" customHeight="1" x14ac:dyDescent="1">
      <c r="A49" s="56" t="s">
        <v>193</v>
      </c>
      <c r="B49" s="57">
        <v>38</v>
      </c>
      <c r="C49" s="57">
        <v>22</v>
      </c>
      <c r="D49" s="57">
        <v>49</v>
      </c>
      <c r="E49" s="57">
        <v>67</v>
      </c>
      <c r="F49" s="57">
        <v>546</v>
      </c>
      <c r="G49" s="57">
        <v>3916</v>
      </c>
      <c r="H49" s="57">
        <v>23249</v>
      </c>
      <c r="I49" s="57">
        <v>65388</v>
      </c>
      <c r="J49" s="57">
        <v>33461</v>
      </c>
      <c r="K49" s="57">
        <v>47488</v>
      </c>
      <c r="L49" s="47">
        <f t="shared" si="0"/>
        <v>174224</v>
      </c>
      <c r="M49" s="48" t="s">
        <v>190</v>
      </c>
      <c r="N49" s="48" t="s">
        <v>191</v>
      </c>
    </row>
    <row r="50" spans="1:14" ht="15.75" customHeight="1" x14ac:dyDescent="1">
      <c r="A50" s="56" t="s">
        <v>197</v>
      </c>
      <c r="B50" s="57">
        <v>0</v>
      </c>
      <c r="C50" s="57">
        <v>0</v>
      </c>
      <c r="D50" s="57">
        <v>0</v>
      </c>
      <c r="E50" s="57">
        <v>7</v>
      </c>
      <c r="F50" s="57">
        <v>197</v>
      </c>
      <c r="G50" s="57">
        <v>14124</v>
      </c>
      <c r="H50" s="57">
        <v>61424</v>
      </c>
      <c r="I50" s="57">
        <v>36159</v>
      </c>
      <c r="J50" s="57">
        <v>2403</v>
      </c>
      <c r="K50" s="57">
        <v>0</v>
      </c>
      <c r="L50" s="47">
        <f t="shared" si="0"/>
        <v>114314</v>
      </c>
      <c r="M50" s="48" t="s">
        <v>192</v>
      </c>
      <c r="N50" s="48" t="s">
        <v>193</v>
      </c>
    </row>
    <row r="51" spans="1:14" ht="15.75" customHeight="1" x14ac:dyDescent="1">
      <c r="A51" s="56" t="s">
        <v>195</v>
      </c>
      <c r="B51" s="57">
        <v>5</v>
      </c>
      <c r="C51" s="57">
        <v>6</v>
      </c>
      <c r="D51" s="57">
        <v>11</v>
      </c>
      <c r="E51" s="57">
        <v>29</v>
      </c>
      <c r="F51" s="57">
        <v>159</v>
      </c>
      <c r="G51" s="57">
        <v>688</v>
      </c>
      <c r="H51" s="57">
        <v>2849</v>
      </c>
      <c r="I51" s="57">
        <v>7004</v>
      </c>
      <c r="J51" s="57">
        <v>30253</v>
      </c>
      <c r="K51" s="57">
        <v>28094</v>
      </c>
      <c r="L51" s="47">
        <f t="shared" si="0"/>
        <v>69098</v>
      </c>
      <c r="M51" s="48" t="s">
        <v>194</v>
      </c>
      <c r="N51" s="48" t="s">
        <v>195</v>
      </c>
    </row>
    <row r="52" spans="1:14" ht="15.75" customHeight="1" x14ac:dyDescent="1">
      <c r="A52" s="56" t="s">
        <v>199</v>
      </c>
      <c r="B52" s="57">
        <v>15209</v>
      </c>
      <c r="C52" s="57">
        <v>3980</v>
      </c>
      <c r="D52" s="57">
        <v>13639</v>
      </c>
      <c r="E52" s="57">
        <v>18533</v>
      </c>
      <c r="F52" s="57">
        <v>78414</v>
      </c>
      <c r="G52" s="57">
        <v>144895</v>
      </c>
      <c r="H52" s="57">
        <v>84042</v>
      </c>
      <c r="I52" s="57">
        <v>57684</v>
      </c>
      <c r="J52" s="57">
        <v>34444</v>
      </c>
      <c r="K52" s="57">
        <v>21578</v>
      </c>
      <c r="L52" s="47">
        <f t="shared" si="0"/>
        <v>472418</v>
      </c>
      <c r="M52" s="48" t="s">
        <v>196</v>
      </c>
      <c r="N52" s="48" t="s">
        <v>197</v>
      </c>
    </row>
    <row r="53" spans="1:14" ht="15.75" customHeight="1" x14ac:dyDescent="1">
      <c r="M53" s="48" t="s">
        <v>198</v>
      </c>
      <c r="N53" s="48" t="s">
        <v>199</v>
      </c>
    </row>
    <row r="54" spans="1:14" ht="15.75" customHeight="1" x14ac:dyDescent="0.65"/>
    <row r="55" spans="1:14" ht="15.75" customHeight="1" x14ac:dyDescent="0.65"/>
    <row r="56" spans="1:14" ht="15.75" customHeight="1" x14ac:dyDescent="0.65"/>
    <row r="57" spans="1:14" ht="15.75" customHeight="1" x14ac:dyDescent="0.75">
      <c r="A57" s="32" t="s">
        <v>25</v>
      </c>
      <c r="B57" s="58" t="s">
        <v>220</v>
      </c>
    </row>
    <row r="58" spans="1:14" ht="15.75" customHeight="1" x14ac:dyDescent="0.65"/>
    <row r="59" spans="1:14" ht="15.75" customHeight="1" x14ac:dyDescent="0.65"/>
    <row r="60" spans="1:14" ht="15.75" customHeight="1" x14ac:dyDescent="0.65"/>
    <row r="61" spans="1:14" ht="15.75" customHeight="1" x14ac:dyDescent="0.65"/>
    <row r="62" spans="1:14" ht="15.75" customHeight="1" x14ac:dyDescent="0.65"/>
    <row r="63" spans="1:14" ht="15.75" customHeight="1" x14ac:dyDescent="0.65"/>
    <row r="64" spans="1:1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mergeCells count="1">
    <mergeCell ref="B3:K3"/>
  </mergeCells>
  <hyperlinks>
    <hyperlink ref="B57" r:id="rId1" xr:uid="{9FEF129B-D696-4E54-BC66-A7B1A2AEFE82}"/>
  </hyperlink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3D23D-A062-4A17-A3A9-D14A938B4B23}">
  <dimension ref="A1:G1000"/>
  <sheetViews>
    <sheetView workbookViewId="0"/>
  </sheetViews>
  <sheetFormatPr defaultColWidth="14.40625" defaultRowHeight="15" customHeight="1" x14ac:dyDescent="0.65"/>
  <cols>
    <col min="1" max="1" width="8.7265625" style="28" customWidth="1"/>
    <col min="2" max="2" width="13.26953125" style="28" customWidth="1"/>
    <col min="3" max="26" width="8.7265625" style="28" customWidth="1"/>
    <col min="27" max="16384" width="14.40625" style="28"/>
  </cols>
  <sheetData>
    <row r="1" spans="1:7" ht="14.75" x14ac:dyDescent="0.75">
      <c r="A1" s="32" t="str">
        <f>About!B2</f>
        <v>NH</v>
      </c>
      <c r="B1" s="32">
        <f>SUMIFS(D4:D53,A4:A53,A1)</f>
        <v>219.01500326157861</v>
      </c>
    </row>
    <row r="3" spans="1:7" ht="14.75" x14ac:dyDescent="0.75">
      <c r="A3" s="32" t="s">
        <v>100</v>
      </c>
      <c r="B3" s="32" t="s">
        <v>221</v>
      </c>
      <c r="C3" s="32" t="s">
        <v>218</v>
      </c>
      <c r="D3" s="32" t="s">
        <v>217</v>
      </c>
      <c r="G3" s="32" t="s">
        <v>222</v>
      </c>
    </row>
    <row r="4" spans="1:7" ht="16" x14ac:dyDescent="0.8">
      <c r="A4" s="45" t="s">
        <v>102</v>
      </c>
      <c r="B4" s="32">
        <v>12727</v>
      </c>
      <c r="C4" s="32">
        <f t="shared" ref="C4:C53" si="0">B4/$G$4</f>
        <v>2.0755055446836268</v>
      </c>
      <c r="D4" s="32">
        <f t="shared" ref="D4:D53" si="1">C4*1000</f>
        <v>2075.5055446836268</v>
      </c>
      <c r="G4" s="32">
        <f>8760*0.7</f>
        <v>6132</v>
      </c>
    </row>
    <row r="5" spans="1:7" ht="16" x14ac:dyDescent="0.8">
      <c r="A5" s="45" t="s">
        <v>104</v>
      </c>
      <c r="B5" s="32">
        <v>575</v>
      </c>
      <c r="C5" s="32">
        <f t="shared" si="0"/>
        <v>9.3770384866275272E-2</v>
      </c>
      <c r="D5" s="32">
        <f t="shared" si="1"/>
        <v>93.770384866275279</v>
      </c>
    </row>
    <row r="6" spans="1:7" ht="16" x14ac:dyDescent="0.8">
      <c r="A6" s="45" t="s">
        <v>106</v>
      </c>
      <c r="B6" s="32">
        <v>1925</v>
      </c>
      <c r="C6" s="32">
        <f t="shared" si="0"/>
        <v>0.3139269406392694</v>
      </c>
      <c r="D6" s="32">
        <f t="shared" si="1"/>
        <v>313.92694063926939</v>
      </c>
    </row>
    <row r="7" spans="1:7" ht="16" x14ac:dyDescent="0.8">
      <c r="A7" s="45" t="s">
        <v>108</v>
      </c>
      <c r="B7" s="32">
        <v>15444</v>
      </c>
      <c r="C7" s="32">
        <f t="shared" si="0"/>
        <v>2.5185909980430528</v>
      </c>
      <c r="D7" s="32">
        <f t="shared" si="1"/>
        <v>2518.5909980430529</v>
      </c>
    </row>
    <row r="8" spans="1:7" ht="16" x14ac:dyDescent="0.8">
      <c r="A8" s="45" t="s">
        <v>110</v>
      </c>
      <c r="B8" s="32">
        <v>27919</v>
      </c>
      <c r="C8" s="32">
        <f t="shared" si="0"/>
        <v>4.5530006523157205</v>
      </c>
      <c r="D8" s="32">
        <f t="shared" si="1"/>
        <v>4553.0006523157208</v>
      </c>
    </row>
    <row r="9" spans="1:7" ht="16" x14ac:dyDescent="0.8">
      <c r="A9" s="45" t="s">
        <v>112</v>
      </c>
      <c r="B9" s="32">
        <v>4138</v>
      </c>
      <c r="C9" s="32">
        <f t="shared" si="0"/>
        <v>0.67482061317677755</v>
      </c>
      <c r="D9" s="32">
        <f t="shared" si="1"/>
        <v>674.82061317677756</v>
      </c>
    </row>
    <row r="10" spans="1:7" ht="16" x14ac:dyDescent="0.8">
      <c r="A10" s="45" t="s">
        <v>114</v>
      </c>
      <c r="B10" s="32">
        <v>909</v>
      </c>
      <c r="C10" s="32">
        <f t="shared" si="0"/>
        <v>0.14823874755381605</v>
      </c>
      <c r="D10" s="32">
        <f t="shared" si="1"/>
        <v>148.23874755381604</v>
      </c>
    </row>
    <row r="11" spans="1:7" ht="16" x14ac:dyDescent="0.8">
      <c r="A11" s="45" t="s">
        <v>116</v>
      </c>
      <c r="B11" s="32">
        <v>898</v>
      </c>
      <c r="C11" s="32">
        <f t="shared" si="0"/>
        <v>0.14644487932159164</v>
      </c>
      <c r="D11" s="32">
        <f t="shared" si="1"/>
        <v>146.44487932159163</v>
      </c>
    </row>
    <row r="12" spans="1:7" ht="16" x14ac:dyDescent="0.8">
      <c r="A12" s="45" t="s">
        <v>118</v>
      </c>
      <c r="B12" s="32">
        <v>13358</v>
      </c>
      <c r="C12" s="32">
        <f t="shared" si="0"/>
        <v>2.1784083496412263</v>
      </c>
      <c r="D12" s="32">
        <f t="shared" si="1"/>
        <v>2178.4083496412263</v>
      </c>
    </row>
    <row r="13" spans="1:7" ht="16" x14ac:dyDescent="0.8">
      <c r="A13" s="45" t="s">
        <v>120</v>
      </c>
      <c r="B13" s="32">
        <v>16903</v>
      </c>
      <c r="C13" s="32">
        <f t="shared" si="0"/>
        <v>2.7565231572080888</v>
      </c>
      <c r="D13" s="32">
        <f t="shared" si="1"/>
        <v>2756.5231572080888</v>
      </c>
    </row>
    <row r="14" spans="1:7" ht="16" x14ac:dyDescent="0.8">
      <c r="A14" s="45" t="s">
        <v>122</v>
      </c>
      <c r="B14" s="32">
        <v>724</v>
      </c>
      <c r="C14" s="32">
        <f t="shared" si="0"/>
        <v>0.11806914546640573</v>
      </c>
      <c r="D14" s="32">
        <f t="shared" si="1"/>
        <v>118.06914546640573</v>
      </c>
    </row>
    <row r="15" spans="1:7" ht="16" x14ac:dyDescent="0.8">
      <c r="A15" s="45" t="s">
        <v>124</v>
      </c>
      <c r="B15" s="32">
        <v>5958</v>
      </c>
      <c r="C15" s="32">
        <f t="shared" si="0"/>
        <v>0.97162426614481412</v>
      </c>
      <c r="D15" s="32">
        <f t="shared" si="1"/>
        <v>971.6242661448141</v>
      </c>
    </row>
    <row r="16" spans="1:7" ht="16" x14ac:dyDescent="0.8">
      <c r="A16" s="45" t="s">
        <v>126</v>
      </c>
      <c r="B16" s="32">
        <v>31960</v>
      </c>
      <c r="C16" s="32">
        <f t="shared" si="0"/>
        <v>5.2120026092628828</v>
      </c>
      <c r="D16" s="32">
        <f t="shared" si="1"/>
        <v>5212.0026092628832</v>
      </c>
    </row>
    <row r="17" spans="1:4" ht="16" x14ac:dyDescent="0.8">
      <c r="A17" s="45" t="s">
        <v>128</v>
      </c>
      <c r="B17" s="32">
        <v>17920</v>
      </c>
      <c r="C17" s="32">
        <f t="shared" si="0"/>
        <v>2.9223744292237441</v>
      </c>
      <c r="D17" s="32">
        <f t="shared" si="1"/>
        <v>2922.3744292237443</v>
      </c>
    </row>
    <row r="18" spans="1:4" ht="16" x14ac:dyDescent="0.8">
      <c r="A18" s="45" t="s">
        <v>130</v>
      </c>
      <c r="B18" s="32">
        <v>28928</v>
      </c>
      <c r="C18" s="32">
        <f t="shared" si="0"/>
        <v>4.7175472928897584</v>
      </c>
      <c r="D18" s="32">
        <f t="shared" si="1"/>
        <v>4717.547292889758</v>
      </c>
    </row>
    <row r="19" spans="1:4" ht="16" x14ac:dyDescent="0.8">
      <c r="A19" s="45" t="s">
        <v>132</v>
      </c>
      <c r="B19" s="32">
        <v>12857</v>
      </c>
      <c r="C19" s="32">
        <f t="shared" si="0"/>
        <v>2.0967058056099153</v>
      </c>
      <c r="D19" s="32">
        <f t="shared" si="1"/>
        <v>2096.7058056099154</v>
      </c>
    </row>
    <row r="20" spans="1:4" ht="16" x14ac:dyDescent="0.8">
      <c r="A20" s="45" t="s">
        <v>134</v>
      </c>
      <c r="B20" s="32">
        <v>8322</v>
      </c>
      <c r="C20" s="32">
        <f t="shared" si="0"/>
        <v>1.3571428571428572</v>
      </c>
      <c r="D20" s="32">
        <f t="shared" si="1"/>
        <v>1357.1428571428571</v>
      </c>
    </row>
    <row r="21" spans="1:4" ht="15.75" customHeight="1" x14ac:dyDescent="0.8">
      <c r="A21" s="45" t="s">
        <v>136</v>
      </c>
      <c r="B21" s="32">
        <v>14873</v>
      </c>
      <c r="C21" s="32">
        <f t="shared" si="0"/>
        <v>2.4254729288975865</v>
      </c>
      <c r="D21" s="32">
        <f t="shared" si="1"/>
        <v>2425.4729288975864</v>
      </c>
    </row>
    <row r="22" spans="1:4" ht="15.75" customHeight="1" x14ac:dyDescent="0.8">
      <c r="A22" s="45" t="s">
        <v>138</v>
      </c>
      <c r="B22" s="32">
        <v>4398</v>
      </c>
      <c r="C22" s="32">
        <f t="shared" si="0"/>
        <v>0.71722113502935425</v>
      </c>
      <c r="D22" s="32">
        <f t="shared" si="1"/>
        <v>717.22113502935429</v>
      </c>
    </row>
    <row r="23" spans="1:4" ht="15.75" customHeight="1" x14ac:dyDescent="0.8">
      <c r="A23" s="45" t="s">
        <v>140</v>
      </c>
      <c r="B23" s="32">
        <v>3329</v>
      </c>
      <c r="C23" s="32">
        <f t="shared" si="0"/>
        <v>0.54288975864318334</v>
      </c>
      <c r="D23" s="32">
        <f t="shared" si="1"/>
        <v>542.88975864318331</v>
      </c>
    </row>
    <row r="24" spans="1:4" ht="15.75" customHeight="1" x14ac:dyDescent="0.8">
      <c r="A24" s="45" t="s">
        <v>142</v>
      </c>
      <c r="B24" s="32">
        <v>2149</v>
      </c>
      <c r="C24" s="32">
        <f t="shared" si="0"/>
        <v>0.3504566210045662</v>
      </c>
      <c r="D24" s="32">
        <f t="shared" si="1"/>
        <v>350.45662100456622</v>
      </c>
    </row>
    <row r="25" spans="1:4" ht="15.75" customHeight="1" x14ac:dyDescent="0.8">
      <c r="A25" s="45" t="s">
        <v>144</v>
      </c>
      <c r="B25" s="32">
        <v>11897</v>
      </c>
      <c r="C25" s="32">
        <f t="shared" si="0"/>
        <v>1.9401500326157861</v>
      </c>
      <c r="D25" s="32">
        <f t="shared" si="1"/>
        <v>1940.1500326157861</v>
      </c>
    </row>
    <row r="26" spans="1:4" ht="15.75" customHeight="1" x14ac:dyDescent="0.8">
      <c r="A26" s="45" t="s">
        <v>145</v>
      </c>
      <c r="B26" s="32">
        <v>21391</v>
      </c>
      <c r="C26" s="32">
        <f t="shared" si="0"/>
        <v>3.4884213959556427</v>
      </c>
      <c r="D26" s="32">
        <f t="shared" si="1"/>
        <v>3488.4213959556428</v>
      </c>
    </row>
    <row r="27" spans="1:4" ht="15.75" customHeight="1" x14ac:dyDescent="0.8">
      <c r="A27" s="45" t="s">
        <v>147</v>
      </c>
      <c r="B27" s="32">
        <v>15287</v>
      </c>
      <c r="C27" s="32">
        <f t="shared" si="0"/>
        <v>2.4929876060013045</v>
      </c>
      <c r="D27" s="32">
        <f t="shared" si="1"/>
        <v>2492.9876060013044</v>
      </c>
    </row>
    <row r="28" spans="1:4" ht="15.75" customHeight="1" x14ac:dyDescent="0.8">
      <c r="A28" s="45" t="s">
        <v>149</v>
      </c>
      <c r="B28" s="32">
        <v>13986</v>
      </c>
      <c r="C28" s="32">
        <f t="shared" si="0"/>
        <v>2.2808219178082192</v>
      </c>
      <c r="D28" s="32">
        <f t="shared" si="1"/>
        <v>2280.821917808219</v>
      </c>
    </row>
    <row r="29" spans="1:4" ht="15.75" customHeight="1" x14ac:dyDescent="0.8">
      <c r="A29" s="45" t="s">
        <v>151</v>
      </c>
      <c r="B29" s="32">
        <v>5072</v>
      </c>
      <c r="C29" s="32">
        <f t="shared" si="0"/>
        <v>0.82713633398564901</v>
      </c>
      <c r="D29" s="32">
        <f t="shared" si="1"/>
        <v>827.136333985649</v>
      </c>
    </row>
    <row r="30" spans="1:4" ht="15.75" customHeight="1" x14ac:dyDescent="0.8">
      <c r="A30" s="45" t="s">
        <v>153</v>
      </c>
      <c r="B30" s="32">
        <v>17023</v>
      </c>
      <c r="C30" s="32">
        <f t="shared" si="0"/>
        <v>2.7760926288323549</v>
      </c>
      <c r="D30" s="32">
        <f t="shared" si="1"/>
        <v>2776.0926288323549</v>
      </c>
    </row>
    <row r="31" spans="1:4" ht="15.75" customHeight="1" x14ac:dyDescent="0.8">
      <c r="A31" s="45" t="s">
        <v>155</v>
      </c>
      <c r="B31" s="32">
        <v>614</v>
      </c>
      <c r="C31" s="32">
        <f t="shared" si="0"/>
        <v>0.10013046314416177</v>
      </c>
      <c r="D31" s="32">
        <f t="shared" si="1"/>
        <v>100.13046314416177</v>
      </c>
    </row>
    <row r="32" spans="1:4" ht="15.75" customHeight="1" x14ac:dyDescent="0.8">
      <c r="A32" s="45" t="s">
        <v>157</v>
      </c>
      <c r="B32" s="32">
        <v>1343</v>
      </c>
      <c r="C32" s="32">
        <f t="shared" si="0"/>
        <v>0.21901500326157861</v>
      </c>
      <c r="D32" s="32">
        <f t="shared" si="1"/>
        <v>219.01500326157861</v>
      </c>
    </row>
    <row r="33" spans="1:4" ht="15.75" customHeight="1" x14ac:dyDescent="0.8">
      <c r="A33" s="45" t="s">
        <v>159</v>
      </c>
      <c r="B33" s="32">
        <v>3523</v>
      </c>
      <c r="C33" s="32">
        <f t="shared" si="0"/>
        <v>0.57452707110241352</v>
      </c>
      <c r="D33" s="32">
        <f t="shared" si="1"/>
        <v>574.52707110241352</v>
      </c>
    </row>
    <row r="34" spans="1:4" ht="15.75" customHeight="1" x14ac:dyDescent="0.8">
      <c r="A34" s="45" t="s">
        <v>161</v>
      </c>
      <c r="B34" s="32">
        <v>949</v>
      </c>
      <c r="C34" s="32">
        <f t="shared" si="0"/>
        <v>0.15476190476190477</v>
      </c>
      <c r="D34" s="32">
        <f t="shared" si="1"/>
        <v>154.76190476190476</v>
      </c>
    </row>
    <row r="35" spans="1:4" ht="15.75" customHeight="1" x14ac:dyDescent="0.8">
      <c r="A35" s="45" t="s">
        <v>163</v>
      </c>
      <c r="B35" s="32">
        <v>8509</v>
      </c>
      <c r="C35" s="32">
        <f t="shared" si="0"/>
        <v>1.3876386170906718</v>
      </c>
      <c r="D35" s="32">
        <f t="shared" si="1"/>
        <v>1387.6386170906719</v>
      </c>
    </row>
    <row r="36" spans="1:4" ht="15.75" customHeight="1" x14ac:dyDescent="0.8">
      <c r="A36" s="45" t="s">
        <v>165</v>
      </c>
      <c r="B36" s="32">
        <v>16650</v>
      </c>
      <c r="C36" s="32">
        <f t="shared" si="0"/>
        <v>2.7152641878669277</v>
      </c>
      <c r="D36" s="32">
        <f t="shared" si="1"/>
        <v>2715.2641878669278</v>
      </c>
    </row>
    <row r="37" spans="1:4" ht="15.75" customHeight="1" x14ac:dyDescent="0.8">
      <c r="A37" s="45" t="s">
        <v>167</v>
      </c>
      <c r="B37" s="32">
        <v>8216</v>
      </c>
      <c r="C37" s="32">
        <f t="shared" si="0"/>
        <v>1.3398564905414221</v>
      </c>
      <c r="D37" s="32">
        <f t="shared" si="1"/>
        <v>1339.8564905414221</v>
      </c>
    </row>
    <row r="38" spans="1:4" ht="15.75" customHeight="1" x14ac:dyDescent="0.8">
      <c r="A38" s="45" t="s">
        <v>169</v>
      </c>
      <c r="B38" s="32">
        <v>14372</v>
      </c>
      <c r="C38" s="32">
        <f t="shared" si="0"/>
        <v>2.3437703848662754</v>
      </c>
      <c r="D38" s="32">
        <f t="shared" si="1"/>
        <v>2343.7703848662754</v>
      </c>
    </row>
    <row r="39" spans="1:4" ht="15.75" customHeight="1" x14ac:dyDescent="0.8">
      <c r="A39" s="45" t="s">
        <v>171</v>
      </c>
      <c r="B39" s="32">
        <v>5094</v>
      </c>
      <c r="C39" s="32">
        <f t="shared" si="0"/>
        <v>0.83072407045009788</v>
      </c>
      <c r="D39" s="32">
        <f t="shared" si="1"/>
        <v>830.72407045009788</v>
      </c>
    </row>
    <row r="40" spans="1:4" ht="15.75" customHeight="1" x14ac:dyDescent="0.8">
      <c r="A40" s="45" t="s">
        <v>173</v>
      </c>
      <c r="B40" s="32">
        <v>14684</v>
      </c>
      <c r="C40" s="32">
        <f t="shared" si="0"/>
        <v>2.3946510110893673</v>
      </c>
      <c r="D40" s="32">
        <f t="shared" si="1"/>
        <v>2394.6510110893673</v>
      </c>
    </row>
    <row r="41" spans="1:4" ht="15.75" customHeight="1" x14ac:dyDescent="0.8">
      <c r="A41" s="45" t="s">
        <v>175</v>
      </c>
      <c r="B41" s="32">
        <v>13446</v>
      </c>
      <c r="C41" s="32">
        <f t="shared" si="0"/>
        <v>2.1927592954990214</v>
      </c>
      <c r="D41" s="32">
        <f t="shared" si="1"/>
        <v>2192.7592954990214</v>
      </c>
    </row>
    <row r="42" spans="1:4" ht="15.75" customHeight="1" x14ac:dyDescent="0.8">
      <c r="A42" s="45" t="s">
        <v>177</v>
      </c>
      <c r="B42" s="32">
        <v>618</v>
      </c>
      <c r="C42" s="32">
        <f t="shared" si="0"/>
        <v>0.10078277886497064</v>
      </c>
      <c r="D42" s="32">
        <f t="shared" si="1"/>
        <v>100.78277886497064</v>
      </c>
    </row>
    <row r="43" spans="1:4" ht="15.75" customHeight="1" x14ac:dyDescent="0.8">
      <c r="A43" s="45" t="s">
        <v>179</v>
      </c>
      <c r="B43" s="32">
        <v>8415</v>
      </c>
      <c r="C43" s="32">
        <f t="shared" si="0"/>
        <v>1.3723091976516635</v>
      </c>
      <c r="D43" s="32">
        <f t="shared" si="1"/>
        <v>1372.3091976516635</v>
      </c>
    </row>
    <row r="44" spans="1:4" ht="15.75" customHeight="1" x14ac:dyDescent="0.8">
      <c r="A44" s="45" t="s">
        <v>181</v>
      </c>
      <c r="B44" s="32">
        <v>8615</v>
      </c>
      <c r="C44" s="32">
        <f t="shared" si="0"/>
        <v>1.4049249836921069</v>
      </c>
      <c r="D44" s="32">
        <f t="shared" si="1"/>
        <v>1404.9249836921069</v>
      </c>
    </row>
    <row r="45" spans="1:4" ht="15.75" customHeight="1" x14ac:dyDescent="0.8">
      <c r="A45" s="45" t="s">
        <v>183</v>
      </c>
      <c r="B45" s="32">
        <v>8080</v>
      </c>
      <c r="C45" s="32">
        <f t="shared" si="0"/>
        <v>1.3176777560339203</v>
      </c>
      <c r="D45" s="32">
        <f t="shared" si="1"/>
        <v>1317.6777560339203</v>
      </c>
    </row>
    <row r="46" spans="1:4" ht="15.75" customHeight="1" x14ac:dyDescent="0.8">
      <c r="A46" s="45" t="s">
        <v>185</v>
      </c>
      <c r="B46" s="32">
        <v>21976</v>
      </c>
      <c r="C46" s="32">
        <f t="shared" si="0"/>
        <v>3.5838225701239401</v>
      </c>
      <c r="D46" s="32">
        <f t="shared" si="1"/>
        <v>3583.8225701239403</v>
      </c>
    </row>
    <row r="47" spans="1:4" ht="15.75" customHeight="1" x14ac:dyDescent="0.8">
      <c r="A47" s="45" t="s">
        <v>187</v>
      </c>
      <c r="B47" s="32">
        <v>862</v>
      </c>
      <c r="C47" s="32">
        <f t="shared" si="0"/>
        <v>0.1405740378343118</v>
      </c>
      <c r="D47" s="32">
        <f t="shared" si="1"/>
        <v>140.57403783431181</v>
      </c>
    </row>
    <row r="48" spans="1:4" ht="15.75" customHeight="1" x14ac:dyDescent="0.8">
      <c r="A48" s="45" t="s">
        <v>189</v>
      </c>
      <c r="B48" s="32">
        <v>695</v>
      </c>
      <c r="C48" s="32">
        <f t="shared" si="0"/>
        <v>0.11333985649054142</v>
      </c>
      <c r="D48" s="32">
        <f t="shared" si="1"/>
        <v>113.33985649054142</v>
      </c>
    </row>
    <row r="49" spans="1:4" ht="15.75" customHeight="1" x14ac:dyDescent="0.8">
      <c r="A49" s="45" t="s">
        <v>191</v>
      </c>
      <c r="B49" s="32">
        <v>10365</v>
      </c>
      <c r="C49" s="32">
        <f t="shared" si="0"/>
        <v>1.6903131115459882</v>
      </c>
      <c r="D49" s="32">
        <f t="shared" si="1"/>
        <v>1690.3131115459882</v>
      </c>
    </row>
    <row r="50" spans="1:4" ht="15.75" customHeight="1" x14ac:dyDescent="0.8">
      <c r="A50" s="45" t="s">
        <v>193</v>
      </c>
      <c r="B50" s="32">
        <v>13826</v>
      </c>
      <c r="C50" s="32">
        <f t="shared" si="0"/>
        <v>2.2547292889758643</v>
      </c>
      <c r="D50" s="32">
        <f t="shared" si="1"/>
        <v>2254.7292889758642</v>
      </c>
    </row>
    <row r="51" spans="1:4" ht="15.75" customHeight="1" x14ac:dyDescent="0.8">
      <c r="A51" s="45" t="s">
        <v>195</v>
      </c>
      <c r="B51" s="32">
        <v>2688</v>
      </c>
      <c r="C51" s="32">
        <f t="shared" si="0"/>
        <v>0.43835616438356162</v>
      </c>
      <c r="D51" s="32">
        <f t="shared" si="1"/>
        <v>438.35616438356163</v>
      </c>
    </row>
    <row r="52" spans="1:4" ht="15.75" customHeight="1" x14ac:dyDescent="0.8">
      <c r="A52" s="45" t="s">
        <v>197</v>
      </c>
      <c r="B52" s="32">
        <v>13295</v>
      </c>
      <c r="C52" s="32">
        <f t="shared" si="0"/>
        <v>2.1681343770384864</v>
      </c>
      <c r="D52" s="32">
        <f t="shared" si="1"/>
        <v>2168.1343770384865</v>
      </c>
    </row>
    <row r="53" spans="1:4" ht="15.75" customHeight="1" x14ac:dyDescent="0.8">
      <c r="A53" s="45" t="s">
        <v>199</v>
      </c>
      <c r="B53" s="32">
        <v>553</v>
      </c>
      <c r="C53" s="32">
        <f t="shared" si="0"/>
        <v>9.0182648401826479E-2</v>
      </c>
      <c r="D53" s="32">
        <f t="shared" si="1"/>
        <v>90.182648401826484</v>
      </c>
    </row>
    <row r="54" spans="1:4" ht="15.75" customHeight="1" x14ac:dyDescent="0.8">
      <c r="A54" s="50"/>
    </row>
    <row r="55" spans="1:4" ht="15.75" customHeight="1" x14ac:dyDescent="0.65"/>
    <row r="56" spans="1:4" ht="15.75" customHeight="1" x14ac:dyDescent="0.65"/>
    <row r="57" spans="1:4" ht="15.75" customHeight="1" x14ac:dyDescent="0.65"/>
    <row r="58" spans="1:4" ht="15.75" customHeight="1" x14ac:dyDescent="0.65"/>
    <row r="59" spans="1:4" ht="15.75" customHeight="1" x14ac:dyDescent="0.65"/>
    <row r="60" spans="1:4" ht="15.75" customHeight="1" x14ac:dyDescent="0.65"/>
    <row r="61" spans="1:4" ht="15.75" customHeight="1" x14ac:dyDescent="0.65"/>
    <row r="62" spans="1:4" ht="15.75" customHeight="1" x14ac:dyDescent="0.65"/>
    <row r="63" spans="1:4" ht="15.75" customHeight="1" x14ac:dyDescent="0.65"/>
    <row r="64" spans="1:4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B9D0F-F59F-4121-AE69-825DCCA06CD7}">
  <dimension ref="A1:F1000"/>
  <sheetViews>
    <sheetView workbookViewId="0">
      <selection activeCell="B3" sqref="B3"/>
    </sheetView>
  </sheetViews>
  <sheetFormatPr defaultColWidth="14.40625" defaultRowHeight="15" customHeight="1" x14ac:dyDescent="0.65"/>
  <cols>
    <col min="1" max="1" width="8.7265625" style="28" customWidth="1"/>
    <col min="2" max="2" width="13.86328125" style="28" customWidth="1"/>
    <col min="3" max="26" width="8.7265625" style="28" customWidth="1"/>
    <col min="27" max="16384" width="14.40625" style="28"/>
  </cols>
  <sheetData>
    <row r="1" spans="1:6" ht="14.75" x14ac:dyDescent="0.75">
      <c r="A1" s="32" t="str">
        <f>About!B2</f>
        <v>NH</v>
      </c>
      <c r="B1" s="32">
        <f>SUMIFS(C3:C52,A3:A52,A1)</f>
        <v>13000</v>
      </c>
    </row>
    <row r="2" spans="1:6" ht="14.75" x14ac:dyDescent="0.75">
      <c r="A2" s="32" t="s">
        <v>100</v>
      </c>
      <c r="B2" s="32" t="s">
        <v>223</v>
      </c>
      <c r="C2" s="32" t="s">
        <v>217</v>
      </c>
    </row>
    <row r="3" spans="1:6" ht="16" x14ac:dyDescent="0.8">
      <c r="A3" s="45" t="s">
        <v>102</v>
      </c>
      <c r="B3" s="32">
        <v>68</v>
      </c>
      <c r="C3" s="47">
        <f t="shared" ref="C3:C12" si="0">B3*1000</f>
        <v>68000</v>
      </c>
    </row>
    <row r="4" spans="1:6" ht="16" x14ac:dyDescent="0.8">
      <c r="A4" s="45" t="s">
        <v>104</v>
      </c>
      <c r="B4" s="32">
        <v>9000000</v>
      </c>
      <c r="C4" s="47">
        <f t="shared" si="0"/>
        <v>9000000000</v>
      </c>
    </row>
    <row r="5" spans="1:6" ht="16" x14ac:dyDescent="0.8">
      <c r="A5" s="45" t="s">
        <v>106</v>
      </c>
      <c r="B5" s="32">
        <v>157</v>
      </c>
      <c r="C5" s="47">
        <f t="shared" si="0"/>
        <v>157000</v>
      </c>
    </row>
    <row r="6" spans="1:6" ht="16" x14ac:dyDescent="0.8">
      <c r="A6" s="45" t="s">
        <v>108</v>
      </c>
      <c r="B6" s="32">
        <v>80</v>
      </c>
      <c r="C6" s="47">
        <f t="shared" si="0"/>
        <v>80000</v>
      </c>
    </row>
    <row r="7" spans="1:6" ht="16" x14ac:dyDescent="0.8">
      <c r="A7" s="45" t="s">
        <v>110</v>
      </c>
      <c r="B7" s="32">
        <v>170</v>
      </c>
      <c r="C7" s="47">
        <f t="shared" si="0"/>
        <v>170000</v>
      </c>
    </row>
    <row r="8" spans="1:6" ht="16" x14ac:dyDescent="0.8">
      <c r="A8" s="45" t="s">
        <v>112</v>
      </c>
      <c r="B8" s="32">
        <v>159</v>
      </c>
      <c r="C8" s="47">
        <f t="shared" si="0"/>
        <v>159000</v>
      </c>
    </row>
    <row r="9" spans="1:6" ht="16" x14ac:dyDescent="0.8">
      <c r="A9" s="45" t="s">
        <v>114</v>
      </c>
      <c r="B9" s="32">
        <v>7</v>
      </c>
      <c r="C9" s="47">
        <f t="shared" si="0"/>
        <v>7000</v>
      </c>
    </row>
    <row r="10" spans="1:6" ht="16" x14ac:dyDescent="0.8">
      <c r="A10" s="45" t="s">
        <v>116</v>
      </c>
      <c r="B10" s="32">
        <v>3</v>
      </c>
      <c r="C10" s="47">
        <f t="shared" si="0"/>
        <v>3000</v>
      </c>
    </row>
    <row r="11" spans="1:6" ht="16" x14ac:dyDescent="0.8">
      <c r="A11" s="45" t="s">
        <v>118</v>
      </c>
      <c r="B11" s="32">
        <v>47</v>
      </c>
      <c r="C11" s="47">
        <f t="shared" si="0"/>
        <v>47000</v>
      </c>
    </row>
    <row r="12" spans="1:6" ht="16" x14ac:dyDescent="0.8">
      <c r="A12" s="45" t="s">
        <v>120</v>
      </c>
      <c r="B12" s="32">
        <v>45</v>
      </c>
      <c r="C12" s="47">
        <f t="shared" si="0"/>
        <v>45000</v>
      </c>
    </row>
    <row r="13" spans="1:6" ht="16" x14ac:dyDescent="0.8">
      <c r="A13" s="45" t="s">
        <v>122</v>
      </c>
      <c r="B13" s="32" t="s">
        <v>224</v>
      </c>
      <c r="C13" s="47">
        <v>200</v>
      </c>
      <c r="D13" s="58" t="s">
        <v>225</v>
      </c>
    </row>
    <row r="14" spans="1:6" ht="16" x14ac:dyDescent="0.8">
      <c r="A14" s="45" t="s">
        <v>124</v>
      </c>
      <c r="B14" s="32">
        <v>126</v>
      </c>
      <c r="C14" s="47">
        <f t="shared" ref="C14:C52" si="1">B14*1000</f>
        <v>126000</v>
      </c>
    </row>
    <row r="15" spans="1:6" ht="16" x14ac:dyDescent="0.8">
      <c r="A15" s="45" t="s">
        <v>126</v>
      </c>
      <c r="B15" s="32">
        <v>86</v>
      </c>
      <c r="C15" s="47">
        <f t="shared" si="1"/>
        <v>86000</v>
      </c>
    </row>
    <row r="16" spans="1:6" ht="16" x14ac:dyDescent="0.8">
      <c r="A16" s="45" t="s">
        <v>128</v>
      </c>
      <c r="B16" s="32">
        <v>55</v>
      </c>
      <c r="C16" s="47">
        <f t="shared" si="1"/>
        <v>55000</v>
      </c>
      <c r="F16" s="59"/>
    </row>
    <row r="17" spans="1:3" ht="16" x14ac:dyDescent="0.8">
      <c r="A17" s="45" t="s">
        <v>130</v>
      </c>
      <c r="B17" s="32">
        <v>77</v>
      </c>
      <c r="C17" s="47">
        <f t="shared" si="1"/>
        <v>77000</v>
      </c>
    </row>
    <row r="18" spans="1:3" ht="16" x14ac:dyDescent="0.8">
      <c r="A18" s="45" t="s">
        <v>132</v>
      </c>
      <c r="B18" s="32">
        <v>126</v>
      </c>
      <c r="C18" s="47">
        <f t="shared" si="1"/>
        <v>126000</v>
      </c>
    </row>
    <row r="19" spans="1:3" ht="16" x14ac:dyDescent="0.8">
      <c r="A19" s="45" t="s">
        <v>134</v>
      </c>
      <c r="B19" s="32">
        <v>61</v>
      </c>
      <c r="C19" s="47">
        <f t="shared" si="1"/>
        <v>61000</v>
      </c>
    </row>
    <row r="20" spans="1:3" ht="16" x14ac:dyDescent="0.8">
      <c r="A20" s="45" t="s">
        <v>136</v>
      </c>
      <c r="B20" s="32">
        <v>61</v>
      </c>
      <c r="C20" s="47">
        <f t="shared" si="1"/>
        <v>61000</v>
      </c>
    </row>
    <row r="21" spans="1:3" ht="15.75" customHeight="1" x14ac:dyDescent="0.8">
      <c r="A21" s="45" t="s">
        <v>138</v>
      </c>
      <c r="B21" s="32">
        <v>48</v>
      </c>
      <c r="C21" s="47">
        <f t="shared" si="1"/>
        <v>48000</v>
      </c>
    </row>
    <row r="22" spans="1:3" ht="15.75" customHeight="1" x14ac:dyDescent="0.8">
      <c r="A22" s="45" t="s">
        <v>140</v>
      </c>
      <c r="B22" s="32">
        <v>11</v>
      </c>
      <c r="C22" s="47">
        <f t="shared" si="1"/>
        <v>11000</v>
      </c>
    </row>
    <row r="23" spans="1:3" ht="15.75" customHeight="1" x14ac:dyDescent="0.8">
      <c r="A23" s="45" t="s">
        <v>142</v>
      </c>
      <c r="B23" s="32">
        <v>12</v>
      </c>
      <c r="C23" s="47">
        <f t="shared" si="1"/>
        <v>12000</v>
      </c>
    </row>
    <row r="24" spans="1:3" ht="15.75" customHeight="1" x14ac:dyDescent="0.8">
      <c r="A24" s="45" t="s">
        <v>144</v>
      </c>
      <c r="B24" s="32">
        <v>58</v>
      </c>
      <c r="C24" s="47">
        <f t="shared" si="1"/>
        <v>58000</v>
      </c>
    </row>
    <row r="25" spans="1:3" ht="15.75" customHeight="1" x14ac:dyDescent="0.8">
      <c r="A25" s="45" t="s">
        <v>145</v>
      </c>
      <c r="B25" s="32">
        <v>47</v>
      </c>
      <c r="C25" s="47">
        <f t="shared" si="1"/>
        <v>47000</v>
      </c>
    </row>
    <row r="26" spans="1:3" ht="15.75" customHeight="1" x14ac:dyDescent="0.8">
      <c r="A26" s="45" t="s">
        <v>147</v>
      </c>
      <c r="B26" s="32">
        <v>71</v>
      </c>
      <c r="C26" s="47">
        <f t="shared" si="1"/>
        <v>71000</v>
      </c>
    </row>
    <row r="27" spans="1:3" ht="15.75" customHeight="1" x14ac:dyDescent="0.8">
      <c r="A27" s="45" t="s">
        <v>149</v>
      </c>
      <c r="B27" s="32">
        <v>106</v>
      </c>
      <c r="C27" s="47">
        <f t="shared" si="1"/>
        <v>106000</v>
      </c>
    </row>
    <row r="28" spans="1:3" ht="15.75" customHeight="1" x14ac:dyDescent="0.8">
      <c r="A28" s="45" t="s">
        <v>151</v>
      </c>
      <c r="B28" s="32">
        <v>209</v>
      </c>
      <c r="C28" s="47">
        <f t="shared" si="1"/>
        <v>209000</v>
      </c>
    </row>
    <row r="29" spans="1:3" ht="15.75" customHeight="1" x14ac:dyDescent="0.8">
      <c r="A29" s="45" t="s">
        <v>153</v>
      </c>
      <c r="B29" s="32">
        <v>118</v>
      </c>
      <c r="C29" s="47">
        <f t="shared" si="1"/>
        <v>118000</v>
      </c>
    </row>
    <row r="30" spans="1:3" ht="15.75" customHeight="1" x14ac:dyDescent="0.8">
      <c r="A30" s="45" t="s">
        <v>155</v>
      </c>
      <c r="B30" s="32">
        <v>160</v>
      </c>
      <c r="C30" s="47">
        <f t="shared" si="1"/>
        <v>160000</v>
      </c>
    </row>
    <row r="31" spans="1:3" ht="15.75" customHeight="1" x14ac:dyDescent="0.8">
      <c r="A31" s="45" t="s">
        <v>157</v>
      </c>
      <c r="B31" s="32">
        <v>13</v>
      </c>
      <c r="C31" s="47">
        <f t="shared" si="1"/>
        <v>13000</v>
      </c>
    </row>
    <row r="32" spans="1:3" ht="15.75" customHeight="1" x14ac:dyDescent="0.8">
      <c r="A32" s="45" t="s">
        <v>159</v>
      </c>
      <c r="B32" s="32">
        <v>4</v>
      </c>
      <c r="C32" s="47">
        <f t="shared" si="1"/>
        <v>4000</v>
      </c>
    </row>
    <row r="33" spans="1:3" ht="15.75" customHeight="1" x14ac:dyDescent="0.8">
      <c r="A33" s="45" t="s">
        <v>161</v>
      </c>
      <c r="B33" s="32">
        <v>180</v>
      </c>
      <c r="C33" s="47">
        <f t="shared" si="1"/>
        <v>180000</v>
      </c>
    </row>
    <row r="34" spans="1:3" ht="15.75" customHeight="1" x14ac:dyDescent="0.8">
      <c r="A34" s="45" t="s">
        <v>163</v>
      </c>
      <c r="B34" s="32">
        <v>48</v>
      </c>
      <c r="C34" s="47">
        <f t="shared" si="1"/>
        <v>48000</v>
      </c>
    </row>
    <row r="35" spans="1:3" ht="15.75" customHeight="1" x14ac:dyDescent="0.8">
      <c r="A35" s="45" t="s">
        <v>165</v>
      </c>
      <c r="B35" s="32">
        <v>53</v>
      </c>
      <c r="C35" s="47">
        <f t="shared" si="1"/>
        <v>53000</v>
      </c>
    </row>
    <row r="36" spans="1:3" ht="15.75" customHeight="1" x14ac:dyDescent="0.8">
      <c r="A36" s="45" t="s">
        <v>167</v>
      </c>
      <c r="B36" s="32">
        <v>104</v>
      </c>
      <c r="C36" s="47">
        <f t="shared" si="1"/>
        <v>104000</v>
      </c>
    </row>
    <row r="37" spans="1:3" ht="15.75" customHeight="1" x14ac:dyDescent="0.8">
      <c r="A37" s="45" t="s">
        <v>169</v>
      </c>
      <c r="B37" s="32">
        <v>63</v>
      </c>
      <c r="C37" s="47">
        <f t="shared" si="1"/>
        <v>63000</v>
      </c>
    </row>
    <row r="38" spans="1:3" ht="15.75" customHeight="1" x14ac:dyDescent="0.8">
      <c r="A38" s="45" t="s">
        <v>171</v>
      </c>
      <c r="B38" s="32">
        <v>99</v>
      </c>
      <c r="C38" s="47">
        <f t="shared" si="1"/>
        <v>99000</v>
      </c>
    </row>
    <row r="39" spans="1:3" ht="15.75" customHeight="1" x14ac:dyDescent="0.8">
      <c r="A39" s="45" t="s">
        <v>173</v>
      </c>
      <c r="B39" s="32">
        <v>116</v>
      </c>
      <c r="C39" s="47">
        <f t="shared" si="1"/>
        <v>116000</v>
      </c>
    </row>
    <row r="40" spans="1:3" ht="15.75" customHeight="1" x14ac:dyDescent="0.8">
      <c r="A40" s="45" t="s">
        <v>175</v>
      </c>
      <c r="B40" s="32">
        <v>42</v>
      </c>
      <c r="C40" s="47">
        <f t="shared" si="1"/>
        <v>42000</v>
      </c>
    </row>
    <row r="41" spans="1:3" ht="15.75" customHeight="1" x14ac:dyDescent="0.8">
      <c r="A41" s="45" t="s">
        <v>177</v>
      </c>
      <c r="B41" s="32">
        <v>1</v>
      </c>
      <c r="C41" s="47">
        <f t="shared" si="1"/>
        <v>1000</v>
      </c>
    </row>
    <row r="42" spans="1:3" ht="15.75" customHeight="1" x14ac:dyDescent="0.8">
      <c r="A42" s="45" t="s">
        <v>179</v>
      </c>
      <c r="B42" s="32">
        <v>46</v>
      </c>
      <c r="C42" s="47">
        <f t="shared" si="1"/>
        <v>46000</v>
      </c>
    </row>
    <row r="43" spans="1:3" ht="15.75" customHeight="1" x14ac:dyDescent="0.8">
      <c r="A43" s="45" t="s">
        <v>181</v>
      </c>
      <c r="B43" s="32">
        <v>117</v>
      </c>
      <c r="C43" s="47">
        <f t="shared" si="1"/>
        <v>117000</v>
      </c>
    </row>
    <row r="44" spans="1:3" ht="15.75" customHeight="1" x14ac:dyDescent="0.8">
      <c r="A44" s="45" t="s">
        <v>183</v>
      </c>
      <c r="B44" s="32">
        <v>54</v>
      </c>
      <c r="C44" s="47">
        <f t="shared" si="1"/>
        <v>54000</v>
      </c>
    </row>
    <row r="45" spans="1:3" ht="15.75" customHeight="1" x14ac:dyDescent="0.8">
      <c r="A45" s="45" t="s">
        <v>185</v>
      </c>
      <c r="B45" s="32">
        <v>384</v>
      </c>
      <c r="C45" s="47">
        <f t="shared" si="1"/>
        <v>384000</v>
      </c>
    </row>
    <row r="46" spans="1:3" ht="15.75" customHeight="1" x14ac:dyDescent="0.8">
      <c r="A46" s="45" t="s">
        <v>187</v>
      </c>
      <c r="B46" s="32">
        <v>119</v>
      </c>
      <c r="C46" s="47">
        <f t="shared" si="1"/>
        <v>119000</v>
      </c>
    </row>
    <row r="47" spans="1:3" ht="15.75" customHeight="1" x14ac:dyDescent="0.8">
      <c r="A47" s="45" t="s">
        <v>189</v>
      </c>
      <c r="B47" s="32">
        <v>5</v>
      </c>
      <c r="C47" s="47">
        <f t="shared" si="1"/>
        <v>5000</v>
      </c>
    </row>
    <row r="48" spans="1:3" ht="15.75" customHeight="1" x14ac:dyDescent="0.8">
      <c r="A48" s="45" t="s">
        <v>191</v>
      </c>
      <c r="B48" s="32">
        <v>37</v>
      </c>
      <c r="C48" s="47">
        <f t="shared" si="1"/>
        <v>37000</v>
      </c>
    </row>
    <row r="49" spans="1:3" ht="15.75" customHeight="1" x14ac:dyDescent="0.8">
      <c r="A49" s="45" t="s">
        <v>193</v>
      </c>
      <c r="B49" s="32">
        <v>71</v>
      </c>
      <c r="C49" s="47">
        <f t="shared" si="1"/>
        <v>71000</v>
      </c>
    </row>
    <row r="50" spans="1:3" ht="15.75" customHeight="1" x14ac:dyDescent="0.8">
      <c r="A50" s="45" t="s">
        <v>195</v>
      </c>
      <c r="B50" s="32">
        <v>33</v>
      </c>
      <c r="C50" s="47">
        <f t="shared" si="1"/>
        <v>33000</v>
      </c>
    </row>
    <row r="51" spans="1:3" ht="15.75" customHeight="1" x14ac:dyDescent="0.8">
      <c r="A51" s="45" t="s">
        <v>197</v>
      </c>
      <c r="B51" s="32">
        <v>82</v>
      </c>
      <c r="C51" s="47">
        <f t="shared" si="1"/>
        <v>82000</v>
      </c>
    </row>
    <row r="52" spans="1:3" ht="15.75" customHeight="1" x14ac:dyDescent="0.8">
      <c r="A52" s="45" t="s">
        <v>199</v>
      </c>
      <c r="B52" s="32">
        <v>136</v>
      </c>
      <c r="C52" s="47">
        <f t="shared" si="1"/>
        <v>136000</v>
      </c>
    </row>
    <row r="53" spans="1:3" ht="15.75" customHeight="1" x14ac:dyDescent="0.8">
      <c r="A53" s="50"/>
    </row>
    <row r="54" spans="1:3" ht="15.75" customHeight="1" x14ac:dyDescent="0.65"/>
    <row r="55" spans="1:3" ht="15.75" customHeight="1" x14ac:dyDescent="0.65"/>
    <row r="56" spans="1:3" ht="15.75" customHeight="1" x14ac:dyDescent="0.65"/>
    <row r="57" spans="1:3" ht="15.75" customHeight="1" x14ac:dyDescent="0.65"/>
    <row r="58" spans="1:3" ht="15.75" customHeight="1" x14ac:dyDescent="0.65"/>
    <row r="59" spans="1:3" ht="15.75" customHeight="1" x14ac:dyDescent="0.65"/>
    <row r="60" spans="1:3" ht="15.75" customHeight="1" x14ac:dyDescent="0.65"/>
    <row r="61" spans="1:3" ht="15.75" customHeight="1" x14ac:dyDescent="0.65"/>
    <row r="62" spans="1:3" ht="15.75" customHeight="1" x14ac:dyDescent="0.65"/>
    <row r="63" spans="1:3" ht="15.75" customHeight="1" x14ac:dyDescent="0.65"/>
    <row r="64" spans="1:3" ht="15.75" customHeight="1" x14ac:dyDescent="0.65"/>
    <row r="65" ht="15.75" customHeight="1" x14ac:dyDescent="0.65"/>
    <row r="66" ht="15.75" customHeight="1" x14ac:dyDescent="0.65"/>
    <row r="67" ht="15.75" customHeight="1" x14ac:dyDescent="0.65"/>
    <row r="68" ht="15.75" customHeight="1" x14ac:dyDescent="0.65"/>
    <row r="69" ht="15.75" customHeight="1" x14ac:dyDescent="0.65"/>
    <row r="70" ht="15.75" customHeight="1" x14ac:dyDescent="0.65"/>
    <row r="71" ht="15.75" customHeight="1" x14ac:dyDescent="0.65"/>
    <row r="72" ht="15.75" customHeight="1" x14ac:dyDescent="0.65"/>
    <row r="73" ht="15.75" customHeight="1" x14ac:dyDescent="0.65"/>
    <row r="74" ht="15.75" customHeight="1" x14ac:dyDescent="0.65"/>
    <row r="75" ht="15.75" customHeight="1" x14ac:dyDescent="0.65"/>
    <row r="76" ht="15.75" customHeight="1" x14ac:dyDescent="0.65"/>
    <row r="77" ht="15.75" customHeight="1" x14ac:dyDescent="0.65"/>
    <row r="78" ht="15.75" customHeight="1" x14ac:dyDescent="0.65"/>
    <row r="79" ht="15.75" customHeight="1" x14ac:dyDescent="0.65"/>
    <row r="80" ht="15.75" customHeight="1" x14ac:dyDescent="0.65"/>
    <row r="81" ht="15.75" customHeight="1" x14ac:dyDescent="0.65"/>
    <row r="82" ht="15.75" customHeight="1" x14ac:dyDescent="0.65"/>
    <row r="83" ht="15.75" customHeight="1" x14ac:dyDescent="0.65"/>
    <row r="84" ht="15.75" customHeight="1" x14ac:dyDescent="0.65"/>
    <row r="85" ht="15.75" customHeight="1" x14ac:dyDescent="0.65"/>
    <row r="86" ht="15.75" customHeight="1" x14ac:dyDescent="0.65"/>
    <row r="87" ht="15.75" customHeight="1" x14ac:dyDescent="0.65"/>
    <row r="88" ht="15.75" customHeight="1" x14ac:dyDescent="0.65"/>
    <row r="89" ht="15.75" customHeight="1" x14ac:dyDescent="0.65"/>
    <row r="90" ht="15.75" customHeight="1" x14ac:dyDescent="0.65"/>
    <row r="91" ht="15.75" customHeight="1" x14ac:dyDescent="0.65"/>
    <row r="92" ht="15.75" customHeight="1" x14ac:dyDescent="0.65"/>
    <row r="93" ht="15.75" customHeight="1" x14ac:dyDescent="0.65"/>
    <row r="94" ht="15.75" customHeight="1" x14ac:dyDescent="0.65"/>
    <row r="95" ht="15.75" customHeight="1" x14ac:dyDescent="0.65"/>
    <row r="96" ht="15.75" customHeight="1" x14ac:dyDescent="0.65"/>
    <row r="97" ht="15.75" customHeight="1" x14ac:dyDescent="0.65"/>
    <row r="98" ht="15.75" customHeight="1" x14ac:dyDescent="0.65"/>
    <row r="99" ht="15.75" customHeight="1" x14ac:dyDescent="0.65"/>
    <row r="100" ht="15.75" customHeight="1" x14ac:dyDescent="0.65"/>
    <row r="101" ht="15.75" customHeight="1" x14ac:dyDescent="0.65"/>
    <row r="102" ht="15.75" customHeight="1" x14ac:dyDescent="0.65"/>
    <row r="103" ht="15.75" customHeight="1" x14ac:dyDescent="0.65"/>
    <row r="104" ht="15.75" customHeight="1" x14ac:dyDescent="0.65"/>
    <row r="105" ht="15.75" customHeight="1" x14ac:dyDescent="0.65"/>
    <row r="106" ht="15.75" customHeight="1" x14ac:dyDescent="0.65"/>
    <row r="107" ht="15.75" customHeight="1" x14ac:dyDescent="0.65"/>
    <row r="108" ht="15.75" customHeight="1" x14ac:dyDescent="0.65"/>
    <row r="109" ht="15.75" customHeight="1" x14ac:dyDescent="0.65"/>
    <row r="110" ht="15.75" customHeight="1" x14ac:dyDescent="0.65"/>
    <row r="111" ht="15.75" customHeight="1" x14ac:dyDescent="0.65"/>
    <row r="112" ht="15.75" customHeight="1" x14ac:dyDescent="0.65"/>
    <row r="113" ht="15.75" customHeight="1" x14ac:dyDescent="0.65"/>
    <row r="114" ht="15.75" customHeight="1" x14ac:dyDescent="0.65"/>
    <row r="115" ht="15.75" customHeight="1" x14ac:dyDescent="0.65"/>
    <row r="116" ht="15.75" customHeight="1" x14ac:dyDescent="0.65"/>
    <row r="117" ht="15.75" customHeight="1" x14ac:dyDescent="0.65"/>
    <row r="118" ht="15.75" customHeight="1" x14ac:dyDescent="0.65"/>
    <row r="119" ht="15.75" customHeight="1" x14ac:dyDescent="0.65"/>
    <row r="120" ht="15.75" customHeight="1" x14ac:dyDescent="0.65"/>
    <row r="121" ht="15.75" customHeight="1" x14ac:dyDescent="0.65"/>
    <row r="122" ht="15.75" customHeight="1" x14ac:dyDescent="0.65"/>
    <row r="123" ht="15.75" customHeight="1" x14ac:dyDescent="0.65"/>
    <row r="124" ht="15.75" customHeight="1" x14ac:dyDescent="0.65"/>
    <row r="125" ht="15.75" customHeight="1" x14ac:dyDescent="0.65"/>
    <row r="126" ht="15.75" customHeight="1" x14ac:dyDescent="0.65"/>
    <row r="127" ht="15.75" customHeight="1" x14ac:dyDescent="0.65"/>
    <row r="128" ht="15.75" customHeight="1" x14ac:dyDescent="0.65"/>
    <row r="129" ht="15.75" customHeight="1" x14ac:dyDescent="0.65"/>
    <row r="130" ht="15.75" customHeight="1" x14ac:dyDescent="0.65"/>
    <row r="131" ht="15.75" customHeight="1" x14ac:dyDescent="0.65"/>
    <row r="132" ht="15.75" customHeight="1" x14ac:dyDescent="0.65"/>
    <row r="133" ht="15.75" customHeight="1" x14ac:dyDescent="0.65"/>
    <row r="134" ht="15.75" customHeight="1" x14ac:dyDescent="0.65"/>
    <row r="135" ht="15.75" customHeight="1" x14ac:dyDescent="0.65"/>
    <row r="136" ht="15.75" customHeight="1" x14ac:dyDescent="0.65"/>
    <row r="137" ht="15.75" customHeight="1" x14ac:dyDescent="0.65"/>
    <row r="138" ht="15.75" customHeight="1" x14ac:dyDescent="0.65"/>
    <row r="139" ht="15.75" customHeight="1" x14ac:dyDescent="0.65"/>
    <row r="140" ht="15.75" customHeight="1" x14ac:dyDescent="0.65"/>
    <row r="141" ht="15.75" customHeight="1" x14ac:dyDescent="0.65"/>
    <row r="142" ht="15.75" customHeight="1" x14ac:dyDescent="0.65"/>
    <row r="143" ht="15.75" customHeight="1" x14ac:dyDescent="0.65"/>
    <row r="144" ht="15.75" customHeight="1" x14ac:dyDescent="0.65"/>
    <row r="145" ht="15.75" customHeight="1" x14ac:dyDescent="0.65"/>
    <row r="146" ht="15.75" customHeight="1" x14ac:dyDescent="0.65"/>
    <row r="147" ht="15.75" customHeight="1" x14ac:dyDescent="0.65"/>
    <row r="148" ht="15.75" customHeight="1" x14ac:dyDescent="0.65"/>
    <row r="149" ht="15.75" customHeight="1" x14ac:dyDescent="0.65"/>
    <row r="150" ht="15.75" customHeight="1" x14ac:dyDescent="0.65"/>
    <row r="151" ht="15.75" customHeight="1" x14ac:dyDescent="0.65"/>
    <row r="152" ht="15.75" customHeight="1" x14ac:dyDescent="0.65"/>
    <row r="153" ht="15.75" customHeight="1" x14ac:dyDescent="0.65"/>
    <row r="154" ht="15.75" customHeight="1" x14ac:dyDescent="0.65"/>
    <row r="155" ht="15.75" customHeight="1" x14ac:dyDescent="0.65"/>
    <row r="156" ht="15.75" customHeight="1" x14ac:dyDescent="0.65"/>
    <row r="157" ht="15.75" customHeight="1" x14ac:dyDescent="0.65"/>
    <row r="158" ht="15.75" customHeight="1" x14ac:dyDescent="0.65"/>
    <row r="159" ht="15.75" customHeight="1" x14ac:dyDescent="0.65"/>
    <row r="160" ht="15.75" customHeight="1" x14ac:dyDescent="0.65"/>
    <row r="161" ht="15.75" customHeight="1" x14ac:dyDescent="0.65"/>
    <row r="162" ht="15.75" customHeight="1" x14ac:dyDescent="0.65"/>
    <row r="163" ht="15.75" customHeight="1" x14ac:dyDescent="0.65"/>
    <row r="164" ht="15.75" customHeight="1" x14ac:dyDescent="0.65"/>
    <row r="165" ht="15.75" customHeight="1" x14ac:dyDescent="0.65"/>
    <row r="166" ht="15.75" customHeight="1" x14ac:dyDescent="0.65"/>
    <row r="167" ht="15.75" customHeight="1" x14ac:dyDescent="0.65"/>
    <row r="168" ht="15.75" customHeight="1" x14ac:dyDescent="0.65"/>
    <row r="169" ht="15.75" customHeight="1" x14ac:dyDescent="0.65"/>
    <row r="170" ht="15.75" customHeight="1" x14ac:dyDescent="0.65"/>
    <row r="171" ht="15.75" customHeight="1" x14ac:dyDescent="0.65"/>
    <row r="172" ht="15.75" customHeight="1" x14ac:dyDescent="0.65"/>
    <row r="173" ht="15.75" customHeight="1" x14ac:dyDescent="0.65"/>
    <row r="174" ht="15.75" customHeight="1" x14ac:dyDescent="0.65"/>
    <row r="175" ht="15.75" customHeight="1" x14ac:dyDescent="0.65"/>
    <row r="176" ht="15.75" customHeight="1" x14ac:dyDescent="0.65"/>
    <row r="177" ht="15.75" customHeight="1" x14ac:dyDescent="0.65"/>
    <row r="178" ht="15.75" customHeight="1" x14ac:dyDescent="0.65"/>
    <row r="179" ht="15.75" customHeight="1" x14ac:dyDescent="0.65"/>
    <row r="180" ht="15.75" customHeight="1" x14ac:dyDescent="0.65"/>
    <row r="181" ht="15.75" customHeight="1" x14ac:dyDescent="0.65"/>
    <row r="182" ht="15.75" customHeight="1" x14ac:dyDescent="0.65"/>
    <row r="183" ht="15.75" customHeight="1" x14ac:dyDescent="0.65"/>
    <row r="184" ht="15.75" customHeight="1" x14ac:dyDescent="0.65"/>
    <row r="185" ht="15.75" customHeight="1" x14ac:dyDescent="0.65"/>
    <row r="186" ht="15.75" customHeight="1" x14ac:dyDescent="0.65"/>
    <row r="187" ht="15.75" customHeight="1" x14ac:dyDescent="0.65"/>
    <row r="188" ht="15.75" customHeight="1" x14ac:dyDescent="0.65"/>
    <row r="189" ht="15.75" customHeight="1" x14ac:dyDescent="0.65"/>
    <row r="190" ht="15.75" customHeight="1" x14ac:dyDescent="0.65"/>
    <row r="191" ht="15.75" customHeight="1" x14ac:dyDescent="0.65"/>
    <row r="192" ht="15.75" customHeight="1" x14ac:dyDescent="0.65"/>
    <row r="193" ht="15.75" customHeight="1" x14ac:dyDescent="0.65"/>
    <row r="194" ht="15.75" customHeight="1" x14ac:dyDescent="0.65"/>
    <row r="195" ht="15.75" customHeight="1" x14ac:dyDescent="0.65"/>
    <row r="196" ht="15.75" customHeight="1" x14ac:dyDescent="0.65"/>
    <row r="197" ht="15.75" customHeight="1" x14ac:dyDescent="0.65"/>
    <row r="198" ht="15.75" customHeight="1" x14ac:dyDescent="0.65"/>
    <row r="199" ht="15.75" customHeight="1" x14ac:dyDescent="0.65"/>
    <row r="200" ht="15.75" customHeight="1" x14ac:dyDescent="0.65"/>
    <row r="201" ht="15.75" customHeight="1" x14ac:dyDescent="0.65"/>
    <row r="202" ht="15.75" customHeight="1" x14ac:dyDescent="0.65"/>
    <row r="203" ht="15.75" customHeight="1" x14ac:dyDescent="0.65"/>
    <row r="204" ht="15.75" customHeight="1" x14ac:dyDescent="0.65"/>
    <row r="205" ht="15.75" customHeight="1" x14ac:dyDescent="0.65"/>
    <row r="206" ht="15.75" customHeight="1" x14ac:dyDescent="0.65"/>
    <row r="207" ht="15.75" customHeight="1" x14ac:dyDescent="0.65"/>
    <row r="208" ht="15.75" customHeight="1" x14ac:dyDescent="0.65"/>
    <row r="209" ht="15.75" customHeight="1" x14ac:dyDescent="0.65"/>
    <row r="210" ht="15.75" customHeight="1" x14ac:dyDescent="0.65"/>
    <row r="211" ht="15.75" customHeight="1" x14ac:dyDescent="0.65"/>
    <row r="212" ht="15.75" customHeight="1" x14ac:dyDescent="0.65"/>
    <row r="213" ht="15.75" customHeight="1" x14ac:dyDescent="0.65"/>
    <row r="214" ht="15.75" customHeight="1" x14ac:dyDescent="0.65"/>
    <row r="215" ht="15.75" customHeight="1" x14ac:dyDescent="0.65"/>
    <row r="216" ht="15.75" customHeight="1" x14ac:dyDescent="0.65"/>
    <row r="217" ht="15.75" customHeight="1" x14ac:dyDescent="0.65"/>
    <row r="218" ht="15.75" customHeight="1" x14ac:dyDescent="0.65"/>
    <row r="219" ht="15.75" customHeight="1" x14ac:dyDescent="0.65"/>
    <row r="220" ht="15.75" customHeight="1" x14ac:dyDescent="0.65"/>
    <row r="221" ht="15.75" customHeight="1" x14ac:dyDescent="0.65"/>
    <row r="222" ht="15.75" customHeight="1" x14ac:dyDescent="0.65"/>
    <row r="223" ht="15.75" customHeight="1" x14ac:dyDescent="0.65"/>
    <row r="224" ht="15.75" customHeight="1" x14ac:dyDescent="0.65"/>
    <row r="225" ht="15.75" customHeight="1" x14ac:dyDescent="0.65"/>
    <row r="226" ht="15.75" customHeight="1" x14ac:dyDescent="0.65"/>
    <row r="227" ht="15.75" customHeight="1" x14ac:dyDescent="0.65"/>
    <row r="228" ht="15.75" customHeight="1" x14ac:dyDescent="0.65"/>
    <row r="229" ht="15.75" customHeight="1" x14ac:dyDescent="0.65"/>
    <row r="230" ht="15.75" customHeight="1" x14ac:dyDescent="0.65"/>
    <row r="231" ht="15.75" customHeight="1" x14ac:dyDescent="0.65"/>
    <row r="232" ht="15.75" customHeight="1" x14ac:dyDescent="0.65"/>
    <row r="233" ht="15.75" customHeight="1" x14ac:dyDescent="0.65"/>
    <row r="234" ht="15.75" customHeight="1" x14ac:dyDescent="0.65"/>
    <row r="235" ht="15.75" customHeight="1" x14ac:dyDescent="0.65"/>
    <row r="236" ht="15.75" customHeight="1" x14ac:dyDescent="0.65"/>
    <row r="237" ht="15.75" customHeight="1" x14ac:dyDescent="0.65"/>
    <row r="238" ht="15.75" customHeight="1" x14ac:dyDescent="0.65"/>
    <row r="239" ht="15.75" customHeight="1" x14ac:dyDescent="0.65"/>
    <row r="240" ht="15.75" customHeight="1" x14ac:dyDescent="0.65"/>
    <row r="241" ht="15.75" customHeight="1" x14ac:dyDescent="0.65"/>
    <row r="242" ht="15.75" customHeight="1" x14ac:dyDescent="0.65"/>
    <row r="243" ht="15.75" customHeight="1" x14ac:dyDescent="0.65"/>
    <row r="244" ht="15.75" customHeight="1" x14ac:dyDescent="0.65"/>
    <row r="245" ht="15.75" customHeight="1" x14ac:dyDescent="0.65"/>
    <row r="246" ht="15.75" customHeight="1" x14ac:dyDescent="0.65"/>
    <row r="247" ht="15.75" customHeight="1" x14ac:dyDescent="0.65"/>
    <row r="248" ht="15.75" customHeight="1" x14ac:dyDescent="0.65"/>
    <row r="249" ht="15.75" customHeight="1" x14ac:dyDescent="0.65"/>
    <row r="250" ht="15.75" customHeight="1" x14ac:dyDescent="0.65"/>
    <row r="251" ht="15.75" customHeight="1" x14ac:dyDescent="0.65"/>
    <row r="252" ht="15.75" customHeight="1" x14ac:dyDescent="0.65"/>
    <row r="253" ht="15.75" customHeight="1" x14ac:dyDescent="0.65"/>
    <row r="254" ht="15.75" customHeight="1" x14ac:dyDescent="0.65"/>
    <row r="255" ht="15.75" customHeight="1" x14ac:dyDescent="0.65"/>
    <row r="256" ht="15.75" customHeight="1" x14ac:dyDescent="0.65"/>
    <row r="257" ht="15.75" customHeight="1" x14ac:dyDescent="0.65"/>
    <row r="258" ht="15.75" customHeight="1" x14ac:dyDescent="0.65"/>
    <row r="259" ht="15.75" customHeight="1" x14ac:dyDescent="0.65"/>
    <row r="260" ht="15.75" customHeight="1" x14ac:dyDescent="0.65"/>
    <row r="261" ht="15.75" customHeight="1" x14ac:dyDescent="0.65"/>
    <row r="262" ht="15.75" customHeight="1" x14ac:dyDescent="0.65"/>
    <row r="263" ht="15.75" customHeight="1" x14ac:dyDescent="0.65"/>
    <row r="264" ht="15.75" customHeight="1" x14ac:dyDescent="0.65"/>
    <row r="265" ht="15.75" customHeight="1" x14ac:dyDescent="0.65"/>
    <row r="266" ht="15.75" customHeight="1" x14ac:dyDescent="0.65"/>
    <row r="267" ht="15.75" customHeight="1" x14ac:dyDescent="0.65"/>
    <row r="268" ht="15.75" customHeight="1" x14ac:dyDescent="0.65"/>
    <row r="269" ht="15.75" customHeight="1" x14ac:dyDescent="0.65"/>
    <row r="270" ht="15.75" customHeight="1" x14ac:dyDescent="0.65"/>
    <row r="271" ht="15.75" customHeight="1" x14ac:dyDescent="0.65"/>
    <row r="272" ht="15.75" customHeight="1" x14ac:dyDescent="0.65"/>
    <row r="273" ht="15.75" customHeight="1" x14ac:dyDescent="0.65"/>
    <row r="274" ht="15.75" customHeight="1" x14ac:dyDescent="0.65"/>
    <row r="275" ht="15.75" customHeight="1" x14ac:dyDescent="0.65"/>
    <row r="276" ht="15.75" customHeight="1" x14ac:dyDescent="0.65"/>
    <row r="277" ht="15.75" customHeight="1" x14ac:dyDescent="0.65"/>
    <row r="278" ht="15.75" customHeight="1" x14ac:dyDescent="0.65"/>
    <row r="279" ht="15.75" customHeight="1" x14ac:dyDescent="0.65"/>
    <row r="280" ht="15.75" customHeight="1" x14ac:dyDescent="0.65"/>
    <row r="281" ht="15.75" customHeight="1" x14ac:dyDescent="0.65"/>
    <row r="282" ht="15.75" customHeight="1" x14ac:dyDescent="0.65"/>
    <row r="283" ht="15.75" customHeight="1" x14ac:dyDescent="0.65"/>
    <row r="284" ht="15.75" customHeight="1" x14ac:dyDescent="0.65"/>
    <row r="285" ht="15.75" customHeight="1" x14ac:dyDescent="0.65"/>
    <row r="286" ht="15.75" customHeight="1" x14ac:dyDescent="0.65"/>
    <row r="287" ht="15.75" customHeight="1" x14ac:dyDescent="0.65"/>
    <row r="288" ht="15.75" customHeight="1" x14ac:dyDescent="0.65"/>
    <row r="289" ht="15.75" customHeight="1" x14ac:dyDescent="0.65"/>
    <row r="290" ht="15.75" customHeight="1" x14ac:dyDescent="0.65"/>
    <row r="291" ht="15.75" customHeight="1" x14ac:dyDescent="0.65"/>
    <row r="292" ht="15.75" customHeight="1" x14ac:dyDescent="0.65"/>
    <row r="293" ht="15.75" customHeight="1" x14ac:dyDescent="0.65"/>
    <row r="294" ht="15.75" customHeight="1" x14ac:dyDescent="0.65"/>
    <row r="295" ht="15.75" customHeight="1" x14ac:dyDescent="0.65"/>
    <row r="296" ht="15.75" customHeight="1" x14ac:dyDescent="0.65"/>
    <row r="297" ht="15.75" customHeight="1" x14ac:dyDescent="0.65"/>
    <row r="298" ht="15.75" customHeight="1" x14ac:dyDescent="0.65"/>
    <row r="299" ht="15.75" customHeight="1" x14ac:dyDescent="0.65"/>
    <row r="300" ht="15.75" customHeight="1" x14ac:dyDescent="0.65"/>
    <row r="301" ht="15.75" customHeight="1" x14ac:dyDescent="0.65"/>
    <row r="302" ht="15.75" customHeight="1" x14ac:dyDescent="0.65"/>
    <row r="303" ht="15.75" customHeight="1" x14ac:dyDescent="0.65"/>
    <row r="304" ht="15.75" customHeight="1" x14ac:dyDescent="0.65"/>
    <row r="305" ht="15.75" customHeight="1" x14ac:dyDescent="0.65"/>
    <row r="306" ht="15.75" customHeight="1" x14ac:dyDescent="0.65"/>
    <row r="307" ht="15.75" customHeight="1" x14ac:dyDescent="0.65"/>
    <row r="308" ht="15.75" customHeight="1" x14ac:dyDescent="0.65"/>
    <row r="309" ht="15.75" customHeight="1" x14ac:dyDescent="0.65"/>
    <row r="310" ht="15.75" customHeight="1" x14ac:dyDescent="0.65"/>
    <row r="311" ht="15.75" customHeight="1" x14ac:dyDescent="0.65"/>
    <row r="312" ht="15.75" customHeight="1" x14ac:dyDescent="0.65"/>
    <row r="313" ht="15.75" customHeight="1" x14ac:dyDescent="0.65"/>
    <row r="314" ht="15.75" customHeight="1" x14ac:dyDescent="0.65"/>
    <row r="315" ht="15.75" customHeight="1" x14ac:dyDescent="0.65"/>
    <row r="316" ht="15.75" customHeight="1" x14ac:dyDescent="0.65"/>
    <row r="317" ht="15.75" customHeight="1" x14ac:dyDescent="0.65"/>
    <row r="318" ht="15.75" customHeight="1" x14ac:dyDescent="0.65"/>
    <row r="319" ht="15.75" customHeight="1" x14ac:dyDescent="0.65"/>
    <row r="320" ht="15.75" customHeight="1" x14ac:dyDescent="0.65"/>
    <row r="321" ht="15.75" customHeight="1" x14ac:dyDescent="0.65"/>
    <row r="322" ht="15.75" customHeight="1" x14ac:dyDescent="0.65"/>
    <row r="323" ht="15.75" customHeight="1" x14ac:dyDescent="0.65"/>
    <row r="324" ht="15.75" customHeight="1" x14ac:dyDescent="0.65"/>
    <row r="325" ht="15.75" customHeight="1" x14ac:dyDescent="0.65"/>
    <row r="326" ht="15.75" customHeight="1" x14ac:dyDescent="0.65"/>
    <row r="327" ht="15.75" customHeight="1" x14ac:dyDescent="0.65"/>
    <row r="328" ht="15.75" customHeight="1" x14ac:dyDescent="0.65"/>
    <row r="329" ht="15.75" customHeight="1" x14ac:dyDescent="0.65"/>
    <row r="330" ht="15.75" customHeight="1" x14ac:dyDescent="0.65"/>
    <row r="331" ht="15.75" customHeight="1" x14ac:dyDescent="0.65"/>
    <row r="332" ht="15.75" customHeight="1" x14ac:dyDescent="0.65"/>
    <row r="333" ht="15.75" customHeight="1" x14ac:dyDescent="0.65"/>
    <row r="334" ht="15.75" customHeight="1" x14ac:dyDescent="0.65"/>
    <row r="335" ht="15.75" customHeight="1" x14ac:dyDescent="0.65"/>
    <row r="336" ht="15.75" customHeight="1" x14ac:dyDescent="0.65"/>
    <row r="337" ht="15.75" customHeight="1" x14ac:dyDescent="0.65"/>
    <row r="338" ht="15.75" customHeight="1" x14ac:dyDescent="0.65"/>
    <row r="339" ht="15.75" customHeight="1" x14ac:dyDescent="0.65"/>
    <row r="340" ht="15.75" customHeight="1" x14ac:dyDescent="0.65"/>
    <row r="341" ht="15.75" customHeight="1" x14ac:dyDescent="0.65"/>
    <row r="342" ht="15.75" customHeight="1" x14ac:dyDescent="0.65"/>
    <row r="343" ht="15.75" customHeight="1" x14ac:dyDescent="0.65"/>
    <row r="344" ht="15.75" customHeight="1" x14ac:dyDescent="0.65"/>
    <row r="345" ht="15.75" customHeight="1" x14ac:dyDescent="0.65"/>
    <row r="346" ht="15.75" customHeight="1" x14ac:dyDescent="0.65"/>
    <row r="347" ht="15.75" customHeight="1" x14ac:dyDescent="0.65"/>
    <row r="348" ht="15.75" customHeight="1" x14ac:dyDescent="0.65"/>
    <row r="349" ht="15.75" customHeight="1" x14ac:dyDescent="0.65"/>
    <row r="350" ht="15.75" customHeight="1" x14ac:dyDescent="0.65"/>
    <row r="351" ht="15.75" customHeight="1" x14ac:dyDescent="0.65"/>
    <row r="352" ht="15.75" customHeight="1" x14ac:dyDescent="0.65"/>
    <row r="353" ht="15.75" customHeight="1" x14ac:dyDescent="0.65"/>
    <row r="354" ht="15.75" customHeight="1" x14ac:dyDescent="0.65"/>
    <row r="355" ht="15.75" customHeight="1" x14ac:dyDescent="0.65"/>
    <row r="356" ht="15.75" customHeight="1" x14ac:dyDescent="0.65"/>
    <row r="357" ht="15.75" customHeight="1" x14ac:dyDescent="0.65"/>
    <row r="358" ht="15.75" customHeight="1" x14ac:dyDescent="0.65"/>
    <row r="359" ht="15.75" customHeight="1" x14ac:dyDescent="0.65"/>
    <row r="360" ht="15.75" customHeight="1" x14ac:dyDescent="0.65"/>
    <row r="361" ht="15.75" customHeight="1" x14ac:dyDescent="0.65"/>
    <row r="362" ht="15.75" customHeight="1" x14ac:dyDescent="0.65"/>
    <row r="363" ht="15.75" customHeight="1" x14ac:dyDescent="0.65"/>
    <row r="364" ht="15.75" customHeight="1" x14ac:dyDescent="0.65"/>
    <row r="365" ht="15.75" customHeight="1" x14ac:dyDescent="0.65"/>
    <row r="366" ht="15.75" customHeight="1" x14ac:dyDescent="0.65"/>
    <row r="367" ht="15.75" customHeight="1" x14ac:dyDescent="0.65"/>
    <row r="368" ht="15.75" customHeight="1" x14ac:dyDescent="0.65"/>
    <row r="369" ht="15.75" customHeight="1" x14ac:dyDescent="0.65"/>
    <row r="370" ht="15.75" customHeight="1" x14ac:dyDescent="0.65"/>
    <row r="371" ht="15.75" customHeight="1" x14ac:dyDescent="0.65"/>
    <row r="372" ht="15.75" customHeight="1" x14ac:dyDescent="0.65"/>
    <row r="373" ht="15.75" customHeight="1" x14ac:dyDescent="0.65"/>
    <row r="374" ht="15.75" customHeight="1" x14ac:dyDescent="0.65"/>
    <row r="375" ht="15.75" customHeight="1" x14ac:dyDescent="0.65"/>
    <row r="376" ht="15.75" customHeight="1" x14ac:dyDescent="0.65"/>
    <row r="377" ht="15.75" customHeight="1" x14ac:dyDescent="0.65"/>
    <row r="378" ht="15.75" customHeight="1" x14ac:dyDescent="0.65"/>
    <row r="379" ht="15.75" customHeight="1" x14ac:dyDescent="0.65"/>
    <row r="380" ht="15.75" customHeight="1" x14ac:dyDescent="0.65"/>
    <row r="381" ht="15.75" customHeight="1" x14ac:dyDescent="0.65"/>
    <row r="382" ht="15.75" customHeight="1" x14ac:dyDescent="0.65"/>
    <row r="383" ht="15.75" customHeight="1" x14ac:dyDescent="0.65"/>
    <row r="384" ht="15.75" customHeight="1" x14ac:dyDescent="0.65"/>
    <row r="385" ht="15.75" customHeight="1" x14ac:dyDescent="0.65"/>
    <row r="386" ht="15.75" customHeight="1" x14ac:dyDescent="0.65"/>
    <row r="387" ht="15.75" customHeight="1" x14ac:dyDescent="0.65"/>
    <row r="388" ht="15.75" customHeight="1" x14ac:dyDescent="0.65"/>
    <row r="389" ht="15.75" customHeight="1" x14ac:dyDescent="0.65"/>
    <row r="390" ht="15.75" customHeight="1" x14ac:dyDescent="0.65"/>
    <row r="391" ht="15.75" customHeight="1" x14ac:dyDescent="0.65"/>
    <row r="392" ht="15.75" customHeight="1" x14ac:dyDescent="0.65"/>
    <row r="393" ht="15.75" customHeight="1" x14ac:dyDescent="0.65"/>
    <row r="394" ht="15.75" customHeight="1" x14ac:dyDescent="0.65"/>
    <row r="395" ht="15.75" customHeight="1" x14ac:dyDescent="0.65"/>
    <row r="396" ht="15.75" customHeight="1" x14ac:dyDescent="0.65"/>
    <row r="397" ht="15.75" customHeight="1" x14ac:dyDescent="0.65"/>
    <row r="398" ht="15.75" customHeight="1" x14ac:dyDescent="0.65"/>
    <row r="399" ht="15.75" customHeight="1" x14ac:dyDescent="0.65"/>
    <row r="400" ht="15.75" customHeight="1" x14ac:dyDescent="0.65"/>
    <row r="401" ht="15.75" customHeight="1" x14ac:dyDescent="0.65"/>
    <row r="402" ht="15.75" customHeight="1" x14ac:dyDescent="0.65"/>
    <row r="403" ht="15.75" customHeight="1" x14ac:dyDescent="0.65"/>
    <row r="404" ht="15.75" customHeight="1" x14ac:dyDescent="0.65"/>
    <row r="405" ht="15.75" customHeight="1" x14ac:dyDescent="0.65"/>
    <row r="406" ht="15.75" customHeight="1" x14ac:dyDescent="0.65"/>
    <row r="407" ht="15.75" customHeight="1" x14ac:dyDescent="0.65"/>
    <row r="408" ht="15.75" customHeight="1" x14ac:dyDescent="0.65"/>
    <row r="409" ht="15.75" customHeight="1" x14ac:dyDescent="0.65"/>
    <row r="410" ht="15.75" customHeight="1" x14ac:dyDescent="0.65"/>
    <row r="411" ht="15.75" customHeight="1" x14ac:dyDescent="0.65"/>
    <row r="412" ht="15.75" customHeight="1" x14ac:dyDescent="0.65"/>
    <row r="413" ht="15.75" customHeight="1" x14ac:dyDescent="0.65"/>
    <row r="414" ht="15.75" customHeight="1" x14ac:dyDescent="0.65"/>
    <row r="415" ht="15.75" customHeight="1" x14ac:dyDescent="0.65"/>
    <row r="416" ht="15.75" customHeight="1" x14ac:dyDescent="0.65"/>
    <row r="417" ht="15.75" customHeight="1" x14ac:dyDescent="0.65"/>
    <row r="418" ht="15.75" customHeight="1" x14ac:dyDescent="0.65"/>
    <row r="419" ht="15.75" customHeight="1" x14ac:dyDescent="0.65"/>
    <row r="420" ht="15.75" customHeight="1" x14ac:dyDescent="0.65"/>
    <row r="421" ht="15.75" customHeight="1" x14ac:dyDescent="0.65"/>
    <row r="422" ht="15.75" customHeight="1" x14ac:dyDescent="0.65"/>
    <row r="423" ht="15.75" customHeight="1" x14ac:dyDescent="0.65"/>
    <row r="424" ht="15.75" customHeight="1" x14ac:dyDescent="0.65"/>
    <row r="425" ht="15.75" customHeight="1" x14ac:dyDescent="0.65"/>
    <row r="426" ht="15.75" customHeight="1" x14ac:dyDescent="0.65"/>
    <row r="427" ht="15.75" customHeight="1" x14ac:dyDescent="0.65"/>
    <row r="428" ht="15.75" customHeight="1" x14ac:dyDescent="0.65"/>
    <row r="429" ht="15.75" customHeight="1" x14ac:dyDescent="0.65"/>
    <row r="430" ht="15.75" customHeight="1" x14ac:dyDescent="0.65"/>
    <row r="431" ht="15.75" customHeight="1" x14ac:dyDescent="0.65"/>
    <row r="432" ht="15.75" customHeight="1" x14ac:dyDescent="0.65"/>
    <row r="433" ht="15.75" customHeight="1" x14ac:dyDescent="0.65"/>
    <row r="434" ht="15.75" customHeight="1" x14ac:dyDescent="0.65"/>
    <row r="435" ht="15.75" customHeight="1" x14ac:dyDescent="0.65"/>
    <row r="436" ht="15.75" customHeight="1" x14ac:dyDescent="0.65"/>
    <row r="437" ht="15.75" customHeight="1" x14ac:dyDescent="0.65"/>
    <row r="438" ht="15.75" customHeight="1" x14ac:dyDescent="0.65"/>
    <row r="439" ht="15.75" customHeight="1" x14ac:dyDescent="0.65"/>
    <row r="440" ht="15.75" customHeight="1" x14ac:dyDescent="0.65"/>
    <row r="441" ht="15.75" customHeight="1" x14ac:dyDescent="0.65"/>
    <row r="442" ht="15.75" customHeight="1" x14ac:dyDescent="0.65"/>
    <row r="443" ht="15.75" customHeight="1" x14ac:dyDescent="0.65"/>
    <row r="444" ht="15.75" customHeight="1" x14ac:dyDescent="0.65"/>
    <row r="445" ht="15.75" customHeight="1" x14ac:dyDescent="0.65"/>
    <row r="446" ht="15.75" customHeight="1" x14ac:dyDescent="0.65"/>
    <row r="447" ht="15.75" customHeight="1" x14ac:dyDescent="0.65"/>
    <row r="448" ht="15.75" customHeight="1" x14ac:dyDescent="0.65"/>
    <row r="449" ht="15.75" customHeight="1" x14ac:dyDescent="0.65"/>
    <row r="450" ht="15.75" customHeight="1" x14ac:dyDescent="0.65"/>
    <row r="451" ht="15.75" customHeight="1" x14ac:dyDescent="0.65"/>
    <row r="452" ht="15.75" customHeight="1" x14ac:dyDescent="0.65"/>
    <row r="453" ht="15.75" customHeight="1" x14ac:dyDescent="0.65"/>
    <row r="454" ht="15.75" customHeight="1" x14ac:dyDescent="0.65"/>
    <row r="455" ht="15.75" customHeight="1" x14ac:dyDescent="0.65"/>
    <row r="456" ht="15.75" customHeight="1" x14ac:dyDescent="0.65"/>
    <row r="457" ht="15.75" customHeight="1" x14ac:dyDescent="0.65"/>
    <row r="458" ht="15.75" customHeight="1" x14ac:dyDescent="0.65"/>
    <row r="459" ht="15.75" customHeight="1" x14ac:dyDescent="0.65"/>
    <row r="460" ht="15.75" customHeight="1" x14ac:dyDescent="0.65"/>
    <row r="461" ht="15.75" customHeight="1" x14ac:dyDescent="0.65"/>
    <row r="462" ht="15.75" customHeight="1" x14ac:dyDescent="0.65"/>
    <row r="463" ht="15.75" customHeight="1" x14ac:dyDescent="0.65"/>
    <row r="464" ht="15.75" customHeight="1" x14ac:dyDescent="0.65"/>
    <row r="465" ht="15.75" customHeight="1" x14ac:dyDescent="0.65"/>
    <row r="466" ht="15.75" customHeight="1" x14ac:dyDescent="0.65"/>
    <row r="467" ht="15.75" customHeight="1" x14ac:dyDescent="0.65"/>
    <row r="468" ht="15.75" customHeight="1" x14ac:dyDescent="0.65"/>
    <row r="469" ht="15.75" customHeight="1" x14ac:dyDescent="0.65"/>
    <row r="470" ht="15.75" customHeight="1" x14ac:dyDescent="0.65"/>
    <row r="471" ht="15.75" customHeight="1" x14ac:dyDescent="0.65"/>
    <row r="472" ht="15.75" customHeight="1" x14ac:dyDescent="0.65"/>
    <row r="473" ht="15.75" customHeight="1" x14ac:dyDescent="0.65"/>
    <row r="474" ht="15.75" customHeight="1" x14ac:dyDescent="0.65"/>
    <row r="475" ht="15.75" customHeight="1" x14ac:dyDescent="0.65"/>
    <row r="476" ht="15.75" customHeight="1" x14ac:dyDescent="0.65"/>
    <row r="477" ht="15.75" customHeight="1" x14ac:dyDescent="0.65"/>
    <row r="478" ht="15.75" customHeight="1" x14ac:dyDescent="0.65"/>
    <row r="479" ht="15.75" customHeight="1" x14ac:dyDescent="0.65"/>
    <row r="480" ht="15.75" customHeight="1" x14ac:dyDescent="0.65"/>
    <row r="481" ht="15.75" customHeight="1" x14ac:dyDescent="0.65"/>
    <row r="482" ht="15.75" customHeight="1" x14ac:dyDescent="0.65"/>
    <row r="483" ht="15.75" customHeight="1" x14ac:dyDescent="0.65"/>
    <row r="484" ht="15.75" customHeight="1" x14ac:dyDescent="0.65"/>
    <row r="485" ht="15.75" customHeight="1" x14ac:dyDescent="0.65"/>
    <row r="486" ht="15.75" customHeight="1" x14ac:dyDescent="0.65"/>
    <row r="487" ht="15.75" customHeight="1" x14ac:dyDescent="0.65"/>
    <row r="488" ht="15.75" customHeight="1" x14ac:dyDescent="0.65"/>
    <row r="489" ht="15.75" customHeight="1" x14ac:dyDescent="0.65"/>
    <row r="490" ht="15.75" customHeight="1" x14ac:dyDescent="0.65"/>
    <row r="491" ht="15.75" customHeight="1" x14ac:dyDescent="0.65"/>
    <row r="492" ht="15.75" customHeight="1" x14ac:dyDescent="0.65"/>
    <row r="493" ht="15.75" customHeight="1" x14ac:dyDescent="0.65"/>
    <row r="494" ht="15.75" customHeight="1" x14ac:dyDescent="0.65"/>
    <row r="495" ht="15.75" customHeight="1" x14ac:dyDescent="0.65"/>
    <row r="496" ht="15.75" customHeight="1" x14ac:dyDescent="0.65"/>
    <row r="497" ht="15.75" customHeight="1" x14ac:dyDescent="0.65"/>
    <row r="498" ht="15.75" customHeight="1" x14ac:dyDescent="0.65"/>
    <row r="499" ht="15.75" customHeight="1" x14ac:dyDescent="0.65"/>
    <row r="500" ht="15.75" customHeight="1" x14ac:dyDescent="0.65"/>
    <row r="501" ht="15.75" customHeight="1" x14ac:dyDescent="0.65"/>
    <row r="502" ht="15.75" customHeight="1" x14ac:dyDescent="0.65"/>
    <row r="503" ht="15.75" customHeight="1" x14ac:dyDescent="0.65"/>
    <row r="504" ht="15.75" customHeight="1" x14ac:dyDescent="0.65"/>
    <row r="505" ht="15.75" customHeight="1" x14ac:dyDescent="0.65"/>
    <row r="506" ht="15.75" customHeight="1" x14ac:dyDescent="0.65"/>
    <row r="507" ht="15.75" customHeight="1" x14ac:dyDescent="0.65"/>
    <row r="508" ht="15.75" customHeight="1" x14ac:dyDescent="0.65"/>
    <row r="509" ht="15.75" customHeight="1" x14ac:dyDescent="0.65"/>
    <row r="510" ht="15.75" customHeight="1" x14ac:dyDescent="0.65"/>
    <row r="511" ht="15.75" customHeight="1" x14ac:dyDescent="0.65"/>
    <row r="512" ht="15.75" customHeight="1" x14ac:dyDescent="0.65"/>
    <row r="513" ht="15.75" customHeight="1" x14ac:dyDescent="0.65"/>
    <row r="514" ht="15.75" customHeight="1" x14ac:dyDescent="0.65"/>
    <row r="515" ht="15.75" customHeight="1" x14ac:dyDescent="0.65"/>
    <row r="516" ht="15.75" customHeight="1" x14ac:dyDescent="0.65"/>
    <row r="517" ht="15.75" customHeight="1" x14ac:dyDescent="0.65"/>
    <row r="518" ht="15.75" customHeight="1" x14ac:dyDescent="0.65"/>
    <row r="519" ht="15.75" customHeight="1" x14ac:dyDescent="0.65"/>
    <row r="520" ht="15.75" customHeight="1" x14ac:dyDescent="0.65"/>
    <row r="521" ht="15.75" customHeight="1" x14ac:dyDescent="0.65"/>
    <row r="522" ht="15.75" customHeight="1" x14ac:dyDescent="0.65"/>
    <row r="523" ht="15.75" customHeight="1" x14ac:dyDescent="0.65"/>
    <row r="524" ht="15.75" customHeight="1" x14ac:dyDescent="0.65"/>
    <row r="525" ht="15.75" customHeight="1" x14ac:dyDescent="0.65"/>
    <row r="526" ht="15.75" customHeight="1" x14ac:dyDescent="0.65"/>
    <row r="527" ht="15.75" customHeight="1" x14ac:dyDescent="0.65"/>
    <row r="528" ht="15.75" customHeight="1" x14ac:dyDescent="0.65"/>
    <row r="529" ht="15.75" customHeight="1" x14ac:dyDescent="0.65"/>
    <row r="530" ht="15.75" customHeight="1" x14ac:dyDescent="0.65"/>
    <row r="531" ht="15.75" customHeight="1" x14ac:dyDescent="0.65"/>
    <row r="532" ht="15.75" customHeight="1" x14ac:dyDescent="0.65"/>
    <row r="533" ht="15.75" customHeight="1" x14ac:dyDescent="0.65"/>
    <row r="534" ht="15.75" customHeight="1" x14ac:dyDescent="0.65"/>
    <row r="535" ht="15.75" customHeight="1" x14ac:dyDescent="0.65"/>
    <row r="536" ht="15.75" customHeight="1" x14ac:dyDescent="0.65"/>
    <row r="537" ht="15.75" customHeight="1" x14ac:dyDescent="0.65"/>
    <row r="538" ht="15.75" customHeight="1" x14ac:dyDescent="0.65"/>
    <row r="539" ht="15.75" customHeight="1" x14ac:dyDescent="0.65"/>
    <row r="540" ht="15.75" customHeight="1" x14ac:dyDescent="0.65"/>
    <row r="541" ht="15.75" customHeight="1" x14ac:dyDescent="0.65"/>
    <row r="542" ht="15.75" customHeight="1" x14ac:dyDescent="0.65"/>
    <row r="543" ht="15.75" customHeight="1" x14ac:dyDescent="0.65"/>
    <row r="544" ht="15.75" customHeight="1" x14ac:dyDescent="0.65"/>
    <row r="545" ht="15.75" customHeight="1" x14ac:dyDescent="0.65"/>
    <row r="546" ht="15.75" customHeight="1" x14ac:dyDescent="0.65"/>
    <row r="547" ht="15.75" customHeight="1" x14ac:dyDescent="0.65"/>
    <row r="548" ht="15.75" customHeight="1" x14ac:dyDescent="0.65"/>
    <row r="549" ht="15.75" customHeight="1" x14ac:dyDescent="0.65"/>
    <row r="550" ht="15.75" customHeight="1" x14ac:dyDescent="0.65"/>
    <row r="551" ht="15.75" customHeight="1" x14ac:dyDescent="0.65"/>
    <row r="552" ht="15.75" customHeight="1" x14ac:dyDescent="0.65"/>
    <row r="553" ht="15.75" customHeight="1" x14ac:dyDescent="0.65"/>
    <row r="554" ht="15.75" customHeight="1" x14ac:dyDescent="0.65"/>
    <row r="555" ht="15.75" customHeight="1" x14ac:dyDescent="0.65"/>
    <row r="556" ht="15.75" customHeight="1" x14ac:dyDescent="0.65"/>
    <row r="557" ht="15.75" customHeight="1" x14ac:dyDescent="0.65"/>
    <row r="558" ht="15.75" customHeight="1" x14ac:dyDescent="0.65"/>
    <row r="559" ht="15.75" customHeight="1" x14ac:dyDescent="0.65"/>
    <row r="560" ht="15.75" customHeight="1" x14ac:dyDescent="0.65"/>
    <row r="561" ht="15.75" customHeight="1" x14ac:dyDescent="0.65"/>
    <row r="562" ht="15.75" customHeight="1" x14ac:dyDescent="0.65"/>
    <row r="563" ht="15.75" customHeight="1" x14ac:dyDescent="0.65"/>
    <row r="564" ht="15.75" customHeight="1" x14ac:dyDescent="0.65"/>
    <row r="565" ht="15.75" customHeight="1" x14ac:dyDescent="0.65"/>
    <row r="566" ht="15.75" customHeight="1" x14ac:dyDescent="0.65"/>
    <row r="567" ht="15.75" customHeight="1" x14ac:dyDescent="0.65"/>
    <row r="568" ht="15.75" customHeight="1" x14ac:dyDescent="0.65"/>
    <row r="569" ht="15.75" customHeight="1" x14ac:dyDescent="0.65"/>
    <row r="570" ht="15.75" customHeight="1" x14ac:dyDescent="0.65"/>
    <row r="571" ht="15.75" customHeight="1" x14ac:dyDescent="0.65"/>
    <row r="572" ht="15.75" customHeight="1" x14ac:dyDescent="0.65"/>
    <row r="573" ht="15.75" customHeight="1" x14ac:dyDescent="0.65"/>
    <row r="574" ht="15.75" customHeight="1" x14ac:dyDescent="0.65"/>
    <row r="575" ht="15.75" customHeight="1" x14ac:dyDescent="0.65"/>
    <row r="576" ht="15.75" customHeight="1" x14ac:dyDescent="0.65"/>
    <row r="577" ht="15.75" customHeight="1" x14ac:dyDescent="0.65"/>
    <row r="578" ht="15.75" customHeight="1" x14ac:dyDescent="0.65"/>
    <row r="579" ht="15.75" customHeight="1" x14ac:dyDescent="0.65"/>
    <row r="580" ht="15.75" customHeight="1" x14ac:dyDescent="0.65"/>
    <row r="581" ht="15.75" customHeight="1" x14ac:dyDescent="0.65"/>
    <row r="582" ht="15.75" customHeight="1" x14ac:dyDescent="0.65"/>
    <row r="583" ht="15.75" customHeight="1" x14ac:dyDescent="0.65"/>
    <row r="584" ht="15.75" customHeight="1" x14ac:dyDescent="0.65"/>
    <row r="585" ht="15.75" customHeight="1" x14ac:dyDescent="0.65"/>
    <row r="586" ht="15.75" customHeight="1" x14ac:dyDescent="0.65"/>
    <row r="587" ht="15.75" customHeight="1" x14ac:dyDescent="0.65"/>
    <row r="588" ht="15.75" customHeight="1" x14ac:dyDescent="0.65"/>
    <row r="589" ht="15.75" customHeight="1" x14ac:dyDescent="0.65"/>
    <row r="590" ht="15.75" customHeight="1" x14ac:dyDescent="0.65"/>
    <row r="591" ht="15.75" customHeight="1" x14ac:dyDescent="0.65"/>
    <row r="592" ht="15.75" customHeight="1" x14ac:dyDescent="0.65"/>
    <row r="593" ht="15.75" customHeight="1" x14ac:dyDescent="0.65"/>
    <row r="594" ht="15.75" customHeight="1" x14ac:dyDescent="0.65"/>
    <row r="595" ht="15.75" customHeight="1" x14ac:dyDescent="0.65"/>
    <row r="596" ht="15.75" customHeight="1" x14ac:dyDescent="0.65"/>
    <row r="597" ht="15.75" customHeight="1" x14ac:dyDescent="0.65"/>
    <row r="598" ht="15.75" customHeight="1" x14ac:dyDescent="0.65"/>
    <row r="599" ht="15.75" customHeight="1" x14ac:dyDescent="0.65"/>
    <row r="600" ht="15.75" customHeight="1" x14ac:dyDescent="0.65"/>
    <row r="601" ht="15.75" customHeight="1" x14ac:dyDescent="0.65"/>
    <row r="602" ht="15.75" customHeight="1" x14ac:dyDescent="0.65"/>
    <row r="603" ht="15.75" customHeight="1" x14ac:dyDescent="0.65"/>
    <row r="604" ht="15.75" customHeight="1" x14ac:dyDescent="0.65"/>
    <row r="605" ht="15.75" customHeight="1" x14ac:dyDescent="0.65"/>
    <row r="606" ht="15.75" customHeight="1" x14ac:dyDescent="0.65"/>
    <row r="607" ht="15.75" customHeight="1" x14ac:dyDescent="0.65"/>
    <row r="608" ht="15.75" customHeight="1" x14ac:dyDescent="0.65"/>
    <row r="609" ht="15.75" customHeight="1" x14ac:dyDescent="0.65"/>
    <row r="610" ht="15.75" customHeight="1" x14ac:dyDescent="0.65"/>
    <row r="611" ht="15.75" customHeight="1" x14ac:dyDescent="0.65"/>
    <row r="612" ht="15.75" customHeight="1" x14ac:dyDescent="0.65"/>
    <row r="613" ht="15.75" customHeight="1" x14ac:dyDescent="0.65"/>
    <row r="614" ht="15.75" customHeight="1" x14ac:dyDescent="0.65"/>
    <row r="615" ht="15.75" customHeight="1" x14ac:dyDescent="0.65"/>
    <row r="616" ht="15.75" customHeight="1" x14ac:dyDescent="0.65"/>
    <row r="617" ht="15.75" customHeight="1" x14ac:dyDescent="0.65"/>
    <row r="618" ht="15.75" customHeight="1" x14ac:dyDescent="0.65"/>
    <row r="619" ht="15.75" customHeight="1" x14ac:dyDescent="0.65"/>
    <row r="620" ht="15.75" customHeight="1" x14ac:dyDescent="0.65"/>
    <row r="621" ht="15.75" customHeight="1" x14ac:dyDescent="0.65"/>
    <row r="622" ht="15.75" customHeight="1" x14ac:dyDescent="0.65"/>
    <row r="623" ht="15.75" customHeight="1" x14ac:dyDescent="0.65"/>
    <row r="624" ht="15.75" customHeight="1" x14ac:dyDescent="0.65"/>
    <row r="625" ht="15.75" customHeight="1" x14ac:dyDescent="0.65"/>
    <row r="626" ht="15.75" customHeight="1" x14ac:dyDescent="0.65"/>
    <row r="627" ht="15.75" customHeight="1" x14ac:dyDescent="0.65"/>
    <row r="628" ht="15.75" customHeight="1" x14ac:dyDescent="0.65"/>
    <row r="629" ht="15.75" customHeight="1" x14ac:dyDescent="0.65"/>
    <row r="630" ht="15.75" customHeight="1" x14ac:dyDescent="0.65"/>
    <row r="631" ht="15.75" customHeight="1" x14ac:dyDescent="0.65"/>
    <row r="632" ht="15.75" customHeight="1" x14ac:dyDescent="0.65"/>
    <row r="633" ht="15.75" customHeight="1" x14ac:dyDescent="0.65"/>
    <row r="634" ht="15.75" customHeight="1" x14ac:dyDescent="0.65"/>
    <row r="635" ht="15.75" customHeight="1" x14ac:dyDescent="0.65"/>
    <row r="636" ht="15.75" customHeight="1" x14ac:dyDescent="0.65"/>
    <row r="637" ht="15.75" customHeight="1" x14ac:dyDescent="0.65"/>
    <row r="638" ht="15.75" customHeight="1" x14ac:dyDescent="0.65"/>
    <row r="639" ht="15.75" customHeight="1" x14ac:dyDescent="0.65"/>
    <row r="640" ht="15.75" customHeight="1" x14ac:dyDescent="0.65"/>
    <row r="641" ht="15.75" customHeight="1" x14ac:dyDescent="0.65"/>
    <row r="642" ht="15.75" customHeight="1" x14ac:dyDescent="0.65"/>
    <row r="643" ht="15.75" customHeight="1" x14ac:dyDescent="0.65"/>
    <row r="644" ht="15.75" customHeight="1" x14ac:dyDescent="0.65"/>
    <row r="645" ht="15.75" customHeight="1" x14ac:dyDescent="0.65"/>
    <row r="646" ht="15.75" customHeight="1" x14ac:dyDescent="0.65"/>
    <row r="647" ht="15.75" customHeight="1" x14ac:dyDescent="0.65"/>
    <row r="648" ht="15.75" customHeight="1" x14ac:dyDescent="0.65"/>
    <row r="649" ht="15.75" customHeight="1" x14ac:dyDescent="0.65"/>
    <row r="650" ht="15.75" customHeight="1" x14ac:dyDescent="0.65"/>
    <row r="651" ht="15.75" customHeight="1" x14ac:dyDescent="0.65"/>
    <row r="652" ht="15.75" customHeight="1" x14ac:dyDescent="0.65"/>
    <row r="653" ht="15.75" customHeight="1" x14ac:dyDescent="0.65"/>
    <row r="654" ht="15.75" customHeight="1" x14ac:dyDescent="0.65"/>
    <row r="655" ht="15.75" customHeight="1" x14ac:dyDescent="0.65"/>
    <row r="656" ht="15.75" customHeight="1" x14ac:dyDescent="0.65"/>
    <row r="657" ht="15.75" customHeight="1" x14ac:dyDescent="0.65"/>
    <row r="658" ht="15.75" customHeight="1" x14ac:dyDescent="0.65"/>
    <row r="659" ht="15.75" customHeight="1" x14ac:dyDescent="0.65"/>
    <row r="660" ht="15.75" customHeight="1" x14ac:dyDescent="0.65"/>
    <row r="661" ht="15.75" customHeight="1" x14ac:dyDescent="0.65"/>
    <row r="662" ht="15.75" customHeight="1" x14ac:dyDescent="0.65"/>
    <row r="663" ht="15.75" customHeight="1" x14ac:dyDescent="0.65"/>
    <row r="664" ht="15.75" customHeight="1" x14ac:dyDescent="0.65"/>
    <row r="665" ht="15.75" customHeight="1" x14ac:dyDescent="0.65"/>
    <row r="666" ht="15.75" customHeight="1" x14ac:dyDescent="0.65"/>
    <row r="667" ht="15.75" customHeight="1" x14ac:dyDescent="0.65"/>
    <row r="668" ht="15.75" customHeight="1" x14ac:dyDescent="0.65"/>
    <row r="669" ht="15.75" customHeight="1" x14ac:dyDescent="0.65"/>
    <row r="670" ht="15.75" customHeight="1" x14ac:dyDescent="0.65"/>
    <row r="671" ht="15.75" customHeight="1" x14ac:dyDescent="0.65"/>
    <row r="672" ht="15.75" customHeight="1" x14ac:dyDescent="0.65"/>
    <row r="673" ht="15.75" customHeight="1" x14ac:dyDescent="0.65"/>
    <row r="674" ht="15.75" customHeight="1" x14ac:dyDescent="0.65"/>
    <row r="675" ht="15.75" customHeight="1" x14ac:dyDescent="0.65"/>
    <row r="676" ht="15.75" customHeight="1" x14ac:dyDescent="0.65"/>
    <row r="677" ht="15.75" customHeight="1" x14ac:dyDescent="0.65"/>
    <row r="678" ht="15.75" customHeight="1" x14ac:dyDescent="0.65"/>
    <row r="679" ht="15.75" customHeight="1" x14ac:dyDescent="0.65"/>
    <row r="680" ht="15.75" customHeight="1" x14ac:dyDescent="0.65"/>
    <row r="681" ht="15.75" customHeight="1" x14ac:dyDescent="0.65"/>
    <row r="682" ht="15.75" customHeight="1" x14ac:dyDescent="0.65"/>
    <row r="683" ht="15.75" customHeight="1" x14ac:dyDescent="0.65"/>
    <row r="684" ht="15.75" customHeight="1" x14ac:dyDescent="0.65"/>
    <row r="685" ht="15.75" customHeight="1" x14ac:dyDescent="0.65"/>
    <row r="686" ht="15.75" customHeight="1" x14ac:dyDescent="0.65"/>
    <row r="687" ht="15.75" customHeight="1" x14ac:dyDescent="0.65"/>
    <row r="688" ht="15.75" customHeight="1" x14ac:dyDescent="0.65"/>
    <row r="689" ht="15.75" customHeight="1" x14ac:dyDescent="0.65"/>
    <row r="690" ht="15.75" customHeight="1" x14ac:dyDescent="0.65"/>
    <row r="691" ht="15.75" customHeight="1" x14ac:dyDescent="0.65"/>
    <row r="692" ht="15.75" customHeight="1" x14ac:dyDescent="0.65"/>
    <row r="693" ht="15.75" customHeight="1" x14ac:dyDescent="0.65"/>
    <row r="694" ht="15.75" customHeight="1" x14ac:dyDescent="0.65"/>
    <row r="695" ht="15.75" customHeight="1" x14ac:dyDescent="0.65"/>
    <row r="696" ht="15.75" customHeight="1" x14ac:dyDescent="0.65"/>
    <row r="697" ht="15.75" customHeight="1" x14ac:dyDescent="0.65"/>
    <row r="698" ht="15.75" customHeight="1" x14ac:dyDescent="0.65"/>
    <row r="699" ht="15.75" customHeight="1" x14ac:dyDescent="0.65"/>
    <row r="700" ht="15.75" customHeight="1" x14ac:dyDescent="0.65"/>
    <row r="701" ht="15.75" customHeight="1" x14ac:dyDescent="0.65"/>
    <row r="702" ht="15.75" customHeight="1" x14ac:dyDescent="0.65"/>
    <row r="703" ht="15.75" customHeight="1" x14ac:dyDescent="0.65"/>
    <row r="704" ht="15.75" customHeight="1" x14ac:dyDescent="0.65"/>
    <row r="705" ht="15.75" customHeight="1" x14ac:dyDescent="0.65"/>
    <row r="706" ht="15.75" customHeight="1" x14ac:dyDescent="0.65"/>
    <row r="707" ht="15.75" customHeight="1" x14ac:dyDescent="0.65"/>
    <row r="708" ht="15.75" customHeight="1" x14ac:dyDescent="0.65"/>
    <row r="709" ht="15.75" customHeight="1" x14ac:dyDescent="0.65"/>
    <row r="710" ht="15.75" customHeight="1" x14ac:dyDescent="0.65"/>
    <row r="711" ht="15.75" customHeight="1" x14ac:dyDescent="0.65"/>
    <row r="712" ht="15.75" customHeight="1" x14ac:dyDescent="0.65"/>
    <row r="713" ht="15.75" customHeight="1" x14ac:dyDescent="0.65"/>
    <row r="714" ht="15.75" customHeight="1" x14ac:dyDescent="0.65"/>
    <row r="715" ht="15.75" customHeight="1" x14ac:dyDescent="0.65"/>
    <row r="716" ht="15.75" customHeight="1" x14ac:dyDescent="0.65"/>
    <row r="717" ht="15.75" customHeight="1" x14ac:dyDescent="0.65"/>
    <row r="718" ht="15.75" customHeight="1" x14ac:dyDescent="0.65"/>
    <row r="719" ht="15.75" customHeight="1" x14ac:dyDescent="0.65"/>
    <row r="720" ht="15.75" customHeight="1" x14ac:dyDescent="0.65"/>
    <row r="721" ht="15.75" customHeight="1" x14ac:dyDescent="0.65"/>
    <row r="722" ht="15.75" customHeight="1" x14ac:dyDescent="0.65"/>
    <row r="723" ht="15.75" customHeight="1" x14ac:dyDescent="0.65"/>
    <row r="724" ht="15.75" customHeight="1" x14ac:dyDescent="0.65"/>
    <row r="725" ht="15.75" customHeight="1" x14ac:dyDescent="0.65"/>
    <row r="726" ht="15.75" customHeight="1" x14ac:dyDescent="0.65"/>
    <row r="727" ht="15.75" customHeight="1" x14ac:dyDescent="0.65"/>
    <row r="728" ht="15.75" customHeight="1" x14ac:dyDescent="0.65"/>
    <row r="729" ht="15.75" customHeight="1" x14ac:dyDescent="0.65"/>
    <row r="730" ht="15.75" customHeight="1" x14ac:dyDescent="0.65"/>
    <row r="731" ht="15.75" customHeight="1" x14ac:dyDescent="0.65"/>
    <row r="732" ht="15.75" customHeight="1" x14ac:dyDescent="0.65"/>
    <row r="733" ht="15.75" customHeight="1" x14ac:dyDescent="0.65"/>
    <row r="734" ht="15.75" customHeight="1" x14ac:dyDescent="0.65"/>
    <row r="735" ht="15.75" customHeight="1" x14ac:dyDescent="0.65"/>
    <row r="736" ht="15.75" customHeight="1" x14ac:dyDescent="0.65"/>
    <row r="737" ht="15.75" customHeight="1" x14ac:dyDescent="0.65"/>
    <row r="738" ht="15.75" customHeight="1" x14ac:dyDescent="0.65"/>
    <row r="739" ht="15.75" customHeight="1" x14ac:dyDescent="0.65"/>
    <row r="740" ht="15.75" customHeight="1" x14ac:dyDescent="0.65"/>
    <row r="741" ht="15.75" customHeight="1" x14ac:dyDescent="0.65"/>
    <row r="742" ht="15.75" customHeight="1" x14ac:dyDescent="0.65"/>
    <row r="743" ht="15.75" customHeight="1" x14ac:dyDescent="0.65"/>
    <row r="744" ht="15.75" customHeight="1" x14ac:dyDescent="0.65"/>
    <row r="745" ht="15.75" customHeight="1" x14ac:dyDescent="0.65"/>
    <row r="746" ht="15.75" customHeight="1" x14ac:dyDescent="0.65"/>
    <row r="747" ht="15.75" customHeight="1" x14ac:dyDescent="0.65"/>
    <row r="748" ht="15.75" customHeight="1" x14ac:dyDescent="0.65"/>
    <row r="749" ht="15.75" customHeight="1" x14ac:dyDescent="0.65"/>
    <row r="750" ht="15.75" customHeight="1" x14ac:dyDescent="0.65"/>
    <row r="751" ht="15.75" customHeight="1" x14ac:dyDescent="0.65"/>
    <row r="752" ht="15.75" customHeight="1" x14ac:dyDescent="0.65"/>
    <row r="753" ht="15.75" customHeight="1" x14ac:dyDescent="0.65"/>
    <row r="754" ht="15.75" customHeight="1" x14ac:dyDescent="0.65"/>
    <row r="755" ht="15.75" customHeight="1" x14ac:dyDescent="0.65"/>
    <row r="756" ht="15.75" customHeight="1" x14ac:dyDescent="0.65"/>
    <row r="757" ht="15.75" customHeight="1" x14ac:dyDescent="0.65"/>
    <row r="758" ht="15.75" customHeight="1" x14ac:dyDescent="0.65"/>
    <row r="759" ht="15.75" customHeight="1" x14ac:dyDescent="0.65"/>
    <row r="760" ht="15.75" customHeight="1" x14ac:dyDescent="0.65"/>
    <row r="761" ht="15.75" customHeight="1" x14ac:dyDescent="0.65"/>
    <row r="762" ht="15.75" customHeight="1" x14ac:dyDescent="0.65"/>
    <row r="763" ht="15.75" customHeight="1" x14ac:dyDescent="0.65"/>
    <row r="764" ht="15.75" customHeight="1" x14ac:dyDescent="0.65"/>
    <row r="765" ht="15.75" customHeight="1" x14ac:dyDescent="0.65"/>
    <row r="766" ht="15.75" customHeight="1" x14ac:dyDescent="0.65"/>
    <row r="767" ht="15.75" customHeight="1" x14ac:dyDescent="0.65"/>
    <row r="768" ht="15.75" customHeight="1" x14ac:dyDescent="0.65"/>
    <row r="769" ht="15.75" customHeight="1" x14ac:dyDescent="0.65"/>
    <row r="770" ht="15.75" customHeight="1" x14ac:dyDescent="0.65"/>
    <row r="771" ht="15.75" customHeight="1" x14ac:dyDescent="0.65"/>
    <row r="772" ht="15.75" customHeight="1" x14ac:dyDescent="0.65"/>
    <row r="773" ht="15.75" customHeight="1" x14ac:dyDescent="0.65"/>
    <row r="774" ht="15.75" customHeight="1" x14ac:dyDescent="0.65"/>
    <row r="775" ht="15.75" customHeight="1" x14ac:dyDescent="0.65"/>
    <row r="776" ht="15.75" customHeight="1" x14ac:dyDescent="0.65"/>
    <row r="777" ht="15.75" customHeight="1" x14ac:dyDescent="0.65"/>
    <row r="778" ht="15.75" customHeight="1" x14ac:dyDescent="0.65"/>
    <row r="779" ht="15.75" customHeight="1" x14ac:dyDescent="0.65"/>
    <row r="780" ht="15.75" customHeight="1" x14ac:dyDescent="0.65"/>
    <row r="781" ht="15.75" customHeight="1" x14ac:dyDescent="0.65"/>
    <row r="782" ht="15.75" customHeight="1" x14ac:dyDescent="0.65"/>
    <row r="783" ht="15.75" customHeight="1" x14ac:dyDescent="0.65"/>
    <row r="784" ht="15.75" customHeight="1" x14ac:dyDescent="0.65"/>
    <row r="785" ht="15.75" customHeight="1" x14ac:dyDescent="0.65"/>
    <row r="786" ht="15.75" customHeight="1" x14ac:dyDescent="0.65"/>
    <row r="787" ht="15.75" customHeight="1" x14ac:dyDescent="0.65"/>
    <row r="788" ht="15.75" customHeight="1" x14ac:dyDescent="0.65"/>
    <row r="789" ht="15.75" customHeight="1" x14ac:dyDescent="0.65"/>
    <row r="790" ht="15.75" customHeight="1" x14ac:dyDescent="0.65"/>
    <row r="791" ht="15.75" customHeight="1" x14ac:dyDescent="0.65"/>
    <row r="792" ht="15.75" customHeight="1" x14ac:dyDescent="0.65"/>
    <row r="793" ht="15.75" customHeight="1" x14ac:dyDescent="0.65"/>
    <row r="794" ht="15.75" customHeight="1" x14ac:dyDescent="0.65"/>
    <row r="795" ht="15.75" customHeight="1" x14ac:dyDescent="0.65"/>
    <row r="796" ht="15.75" customHeight="1" x14ac:dyDescent="0.65"/>
    <row r="797" ht="15.75" customHeight="1" x14ac:dyDescent="0.65"/>
    <row r="798" ht="15.75" customHeight="1" x14ac:dyDescent="0.65"/>
    <row r="799" ht="15.75" customHeight="1" x14ac:dyDescent="0.65"/>
    <row r="800" ht="15.75" customHeight="1" x14ac:dyDescent="0.65"/>
    <row r="801" ht="15.75" customHeight="1" x14ac:dyDescent="0.65"/>
    <row r="802" ht="15.75" customHeight="1" x14ac:dyDescent="0.65"/>
    <row r="803" ht="15.75" customHeight="1" x14ac:dyDescent="0.65"/>
    <row r="804" ht="15.75" customHeight="1" x14ac:dyDescent="0.65"/>
    <row r="805" ht="15.75" customHeight="1" x14ac:dyDescent="0.65"/>
    <row r="806" ht="15.75" customHeight="1" x14ac:dyDescent="0.65"/>
    <row r="807" ht="15.75" customHeight="1" x14ac:dyDescent="0.65"/>
    <row r="808" ht="15.75" customHeight="1" x14ac:dyDescent="0.65"/>
    <row r="809" ht="15.75" customHeight="1" x14ac:dyDescent="0.65"/>
    <row r="810" ht="15.75" customHeight="1" x14ac:dyDescent="0.65"/>
    <row r="811" ht="15.75" customHeight="1" x14ac:dyDescent="0.65"/>
    <row r="812" ht="15.75" customHeight="1" x14ac:dyDescent="0.65"/>
    <row r="813" ht="15.75" customHeight="1" x14ac:dyDescent="0.65"/>
    <row r="814" ht="15.75" customHeight="1" x14ac:dyDescent="0.65"/>
    <row r="815" ht="15.75" customHeight="1" x14ac:dyDescent="0.65"/>
    <row r="816" ht="15.75" customHeight="1" x14ac:dyDescent="0.65"/>
    <row r="817" ht="15.75" customHeight="1" x14ac:dyDescent="0.65"/>
    <row r="818" ht="15.75" customHeight="1" x14ac:dyDescent="0.65"/>
    <row r="819" ht="15.75" customHeight="1" x14ac:dyDescent="0.65"/>
    <row r="820" ht="15.75" customHeight="1" x14ac:dyDescent="0.65"/>
    <row r="821" ht="15.75" customHeight="1" x14ac:dyDescent="0.65"/>
    <row r="822" ht="15.75" customHeight="1" x14ac:dyDescent="0.65"/>
    <row r="823" ht="15.75" customHeight="1" x14ac:dyDescent="0.65"/>
    <row r="824" ht="15.75" customHeight="1" x14ac:dyDescent="0.65"/>
    <row r="825" ht="15.75" customHeight="1" x14ac:dyDescent="0.65"/>
    <row r="826" ht="15.75" customHeight="1" x14ac:dyDescent="0.65"/>
    <row r="827" ht="15.75" customHeight="1" x14ac:dyDescent="0.65"/>
    <row r="828" ht="15.75" customHeight="1" x14ac:dyDescent="0.65"/>
    <row r="829" ht="15.75" customHeight="1" x14ac:dyDescent="0.65"/>
    <row r="830" ht="15.75" customHeight="1" x14ac:dyDescent="0.65"/>
    <row r="831" ht="15.75" customHeight="1" x14ac:dyDescent="0.65"/>
    <row r="832" ht="15.75" customHeight="1" x14ac:dyDescent="0.65"/>
    <row r="833" ht="15.75" customHeight="1" x14ac:dyDescent="0.65"/>
    <row r="834" ht="15.75" customHeight="1" x14ac:dyDescent="0.65"/>
    <row r="835" ht="15.75" customHeight="1" x14ac:dyDescent="0.65"/>
    <row r="836" ht="15.75" customHeight="1" x14ac:dyDescent="0.65"/>
    <row r="837" ht="15.75" customHeight="1" x14ac:dyDescent="0.65"/>
    <row r="838" ht="15.75" customHeight="1" x14ac:dyDescent="0.65"/>
    <row r="839" ht="15.75" customHeight="1" x14ac:dyDescent="0.65"/>
    <row r="840" ht="15.75" customHeight="1" x14ac:dyDescent="0.65"/>
    <row r="841" ht="15.75" customHeight="1" x14ac:dyDescent="0.65"/>
    <row r="842" ht="15.75" customHeight="1" x14ac:dyDescent="0.65"/>
    <row r="843" ht="15.75" customHeight="1" x14ac:dyDescent="0.65"/>
    <row r="844" ht="15.75" customHeight="1" x14ac:dyDescent="0.65"/>
    <row r="845" ht="15.75" customHeight="1" x14ac:dyDescent="0.65"/>
    <row r="846" ht="15.75" customHeight="1" x14ac:dyDescent="0.65"/>
    <row r="847" ht="15.75" customHeight="1" x14ac:dyDescent="0.65"/>
    <row r="848" ht="15.75" customHeight="1" x14ac:dyDescent="0.65"/>
    <row r="849" ht="15.75" customHeight="1" x14ac:dyDescent="0.65"/>
    <row r="850" ht="15.75" customHeight="1" x14ac:dyDescent="0.65"/>
    <row r="851" ht="15.75" customHeight="1" x14ac:dyDescent="0.65"/>
    <row r="852" ht="15.75" customHeight="1" x14ac:dyDescent="0.65"/>
    <row r="853" ht="15.75" customHeight="1" x14ac:dyDescent="0.65"/>
    <row r="854" ht="15.75" customHeight="1" x14ac:dyDescent="0.65"/>
    <row r="855" ht="15.75" customHeight="1" x14ac:dyDescent="0.65"/>
    <row r="856" ht="15.75" customHeight="1" x14ac:dyDescent="0.65"/>
    <row r="857" ht="15.75" customHeight="1" x14ac:dyDescent="0.65"/>
    <row r="858" ht="15.75" customHeight="1" x14ac:dyDescent="0.65"/>
    <row r="859" ht="15.75" customHeight="1" x14ac:dyDescent="0.65"/>
    <row r="860" ht="15.75" customHeight="1" x14ac:dyDescent="0.65"/>
    <row r="861" ht="15.75" customHeight="1" x14ac:dyDescent="0.65"/>
    <row r="862" ht="15.75" customHeight="1" x14ac:dyDescent="0.65"/>
    <row r="863" ht="15.75" customHeight="1" x14ac:dyDescent="0.65"/>
    <row r="864" ht="15.75" customHeight="1" x14ac:dyDescent="0.65"/>
    <row r="865" ht="15.75" customHeight="1" x14ac:dyDescent="0.65"/>
    <row r="866" ht="15.75" customHeight="1" x14ac:dyDescent="0.65"/>
    <row r="867" ht="15.75" customHeight="1" x14ac:dyDescent="0.65"/>
    <row r="868" ht="15.75" customHeight="1" x14ac:dyDescent="0.65"/>
    <row r="869" ht="15.75" customHeight="1" x14ac:dyDescent="0.65"/>
    <row r="870" ht="15.75" customHeight="1" x14ac:dyDescent="0.65"/>
    <row r="871" ht="15.75" customHeight="1" x14ac:dyDescent="0.65"/>
    <row r="872" ht="15.75" customHeight="1" x14ac:dyDescent="0.65"/>
    <row r="873" ht="15.75" customHeight="1" x14ac:dyDescent="0.65"/>
    <row r="874" ht="15.75" customHeight="1" x14ac:dyDescent="0.65"/>
    <row r="875" ht="15.75" customHeight="1" x14ac:dyDescent="0.65"/>
    <row r="876" ht="15.75" customHeight="1" x14ac:dyDescent="0.65"/>
    <row r="877" ht="15.75" customHeight="1" x14ac:dyDescent="0.65"/>
    <row r="878" ht="15.75" customHeight="1" x14ac:dyDescent="0.65"/>
    <row r="879" ht="15.75" customHeight="1" x14ac:dyDescent="0.65"/>
    <row r="880" ht="15.75" customHeight="1" x14ac:dyDescent="0.65"/>
    <row r="881" ht="15.75" customHeight="1" x14ac:dyDescent="0.65"/>
    <row r="882" ht="15.75" customHeight="1" x14ac:dyDescent="0.65"/>
    <row r="883" ht="15.75" customHeight="1" x14ac:dyDescent="0.65"/>
    <row r="884" ht="15.75" customHeight="1" x14ac:dyDescent="0.65"/>
    <row r="885" ht="15.75" customHeight="1" x14ac:dyDescent="0.65"/>
    <row r="886" ht="15.75" customHeight="1" x14ac:dyDescent="0.65"/>
    <row r="887" ht="15.75" customHeight="1" x14ac:dyDescent="0.65"/>
    <row r="888" ht="15.75" customHeight="1" x14ac:dyDescent="0.65"/>
    <row r="889" ht="15.75" customHeight="1" x14ac:dyDescent="0.65"/>
    <row r="890" ht="15.75" customHeight="1" x14ac:dyDescent="0.65"/>
    <row r="891" ht="15.75" customHeight="1" x14ac:dyDescent="0.65"/>
    <row r="892" ht="15.75" customHeight="1" x14ac:dyDescent="0.65"/>
    <row r="893" ht="15.75" customHeight="1" x14ac:dyDescent="0.65"/>
    <row r="894" ht="15.75" customHeight="1" x14ac:dyDescent="0.65"/>
    <row r="895" ht="15.75" customHeight="1" x14ac:dyDescent="0.65"/>
    <row r="896" ht="15.75" customHeight="1" x14ac:dyDescent="0.65"/>
    <row r="897" ht="15.75" customHeight="1" x14ac:dyDescent="0.65"/>
    <row r="898" ht="15.75" customHeight="1" x14ac:dyDescent="0.65"/>
    <row r="899" ht="15.75" customHeight="1" x14ac:dyDescent="0.65"/>
    <row r="900" ht="15.75" customHeight="1" x14ac:dyDescent="0.65"/>
    <row r="901" ht="15.75" customHeight="1" x14ac:dyDescent="0.65"/>
    <row r="902" ht="15.75" customHeight="1" x14ac:dyDescent="0.65"/>
    <row r="903" ht="15.75" customHeight="1" x14ac:dyDescent="0.65"/>
    <row r="904" ht="15.75" customHeight="1" x14ac:dyDescent="0.65"/>
    <row r="905" ht="15.75" customHeight="1" x14ac:dyDescent="0.65"/>
    <row r="906" ht="15.75" customHeight="1" x14ac:dyDescent="0.65"/>
    <row r="907" ht="15.75" customHeight="1" x14ac:dyDescent="0.65"/>
    <row r="908" ht="15.75" customHeight="1" x14ac:dyDescent="0.65"/>
    <row r="909" ht="15.75" customHeight="1" x14ac:dyDescent="0.65"/>
    <row r="910" ht="15.75" customHeight="1" x14ac:dyDescent="0.65"/>
    <row r="911" ht="15.75" customHeight="1" x14ac:dyDescent="0.65"/>
    <row r="912" ht="15.75" customHeight="1" x14ac:dyDescent="0.65"/>
    <row r="913" ht="15.75" customHeight="1" x14ac:dyDescent="0.65"/>
    <row r="914" ht="15.75" customHeight="1" x14ac:dyDescent="0.65"/>
    <row r="915" ht="15.75" customHeight="1" x14ac:dyDescent="0.65"/>
    <row r="916" ht="15.75" customHeight="1" x14ac:dyDescent="0.65"/>
    <row r="917" ht="15.75" customHeight="1" x14ac:dyDescent="0.65"/>
    <row r="918" ht="15.75" customHeight="1" x14ac:dyDescent="0.65"/>
    <row r="919" ht="15.75" customHeight="1" x14ac:dyDescent="0.65"/>
    <row r="920" ht="15.75" customHeight="1" x14ac:dyDescent="0.65"/>
    <row r="921" ht="15.75" customHeight="1" x14ac:dyDescent="0.65"/>
    <row r="922" ht="15.75" customHeight="1" x14ac:dyDescent="0.65"/>
    <row r="923" ht="15.75" customHeight="1" x14ac:dyDescent="0.65"/>
    <row r="924" ht="15.75" customHeight="1" x14ac:dyDescent="0.65"/>
    <row r="925" ht="15.75" customHeight="1" x14ac:dyDescent="0.65"/>
    <row r="926" ht="15.75" customHeight="1" x14ac:dyDescent="0.65"/>
    <row r="927" ht="15.75" customHeight="1" x14ac:dyDescent="0.65"/>
    <row r="928" ht="15.75" customHeight="1" x14ac:dyDescent="0.65"/>
    <row r="929" ht="15.75" customHeight="1" x14ac:dyDescent="0.65"/>
    <row r="930" ht="15.75" customHeight="1" x14ac:dyDescent="0.65"/>
    <row r="931" ht="15.75" customHeight="1" x14ac:dyDescent="0.65"/>
    <row r="932" ht="15.75" customHeight="1" x14ac:dyDescent="0.65"/>
    <row r="933" ht="15.75" customHeight="1" x14ac:dyDescent="0.65"/>
    <row r="934" ht="15.75" customHeight="1" x14ac:dyDescent="0.65"/>
    <row r="935" ht="15.75" customHeight="1" x14ac:dyDescent="0.65"/>
    <row r="936" ht="15.75" customHeight="1" x14ac:dyDescent="0.65"/>
    <row r="937" ht="15.75" customHeight="1" x14ac:dyDescent="0.65"/>
    <row r="938" ht="15.75" customHeight="1" x14ac:dyDescent="0.65"/>
    <row r="939" ht="15.75" customHeight="1" x14ac:dyDescent="0.65"/>
    <row r="940" ht="15.75" customHeight="1" x14ac:dyDescent="0.65"/>
    <row r="941" ht="15.75" customHeight="1" x14ac:dyDescent="0.65"/>
    <row r="942" ht="15.75" customHeight="1" x14ac:dyDescent="0.65"/>
    <row r="943" ht="15.75" customHeight="1" x14ac:dyDescent="0.65"/>
    <row r="944" ht="15.75" customHeight="1" x14ac:dyDescent="0.65"/>
    <row r="945" ht="15.75" customHeight="1" x14ac:dyDescent="0.65"/>
    <row r="946" ht="15.75" customHeight="1" x14ac:dyDescent="0.65"/>
    <row r="947" ht="15.75" customHeight="1" x14ac:dyDescent="0.65"/>
    <row r="948" ht="15.75" customHeight="1" x14ac:dyDescent="0.65"/>
    <row r="949" ht="15.75" customHeight="1" x14ac:dyDescent="0.65"/>
    <row r="950" ht="15.75" customHeight="1" x14ac:dyDescent="0.65"/>
    <row r="951" ht="15.75" customHeight="1" x14ac:dyDescent="0.65"/>
    <row r="952" ht="15.75" customHeight="1" x14ac:dyDescent="0.65"/>
    <row r="953" ht="15.75" customHeight="1" x14ac:dyDescent="0.65"/>
    <row r="954" ht="15.75" customHeight="1" x14ac:dyDescent="0.65"/>
    <row r="955" ht="15.75" customHeight="1" x14ac:dyDescent="0.65"/>
    <row r="956" ht="15.75" customHeight="1" x14ac:dyDescent="0.65"/>
    <row r="957" ht="15.75" customHeight="1" x14ac:dyDescent="0.65"/>
    <row r="958" ht="15.75" customHeight="1" x14ac:dyDescent="0.65"/>
    <row r="959" ht="15.75" customHeight="1" x14ac:dyDescent="0.65"/>
    <row r="960" ht="15.75" customHeight="1" x14ac:dyDescent="0.65"/>
    <row r="961" ht="15.75" customHeight="1" x14ac:dyDescent="0.65"/>
    <row r="962" ht="15.75" customHeight="1" x14ac:dyDescent="0.65"/>
    <row r="963" ht="15.75" customHeight="1" x14ac:dyDescent="0.65"/>
    <row r="964" ht="15.75" customHeight="1" x14ac:dyDescent="0.65"/>
    <row r="965" ht="15.75" customHeight="1" x14ac:dyDescent="0.65"/>
    <row r="966" ht="15.75" customHeight="1" x14ac:dyDescent="0.65"/>
    <row r="967" ht="15.75" customHeight="1" x14ac:dyDescent="0.65"/>
    <row r="968" ht="15.75" customHeight="1" x14ac:dyDescent="0.65"/>
    <row r="969" ht="15.75" customHeight="1" x14ac:dyDescent="0.65"/>
    <row r="970" ht="15.75" customHeight="1" x14ac:dyDescent="0.65"/>
    <row r="971" ht="15.75" customHeight="1" x14ac:dyDescent="0.65"/>
    <row r="972" ht="15.75" customHeight="1" x14ac:dyDescent="0.65"/>
    <row r="973" ht="15.75" customHeight="1" x14ac:dyDescent="0.65"/>
    <row r="974" ht="15.75" customHeight="1" x14ac:dyDescent="0.65"/>
    <row r="975" ht="15.75" customHeight="1" x14ac:dyDescent="0.65"/>
    <row r="976" ht="15.75" customHeight="1" x14ac:dyDescent="0.65"/>
    <row r="977" ht="15.75" customHeight="1" x14ac:dyDescent="0.65"/>
    <row r="978" ht="15.75" customHeight="1" x14ac:dyDescent="0.65"/>
    <row r="979" ht="15.75" customHeight="1" x14ac:dyDescent="0.65"/>
    <row r="980" ht="15.75" customHeight="1" x14ac:dyDescent="0.65"/>
    <row r="981" ht="15.75" customHeight="1" x14ac:dyDescent="0.65"/>
    <row r="982" ht="15.75" customHeight="1" x14ac:dyDescent="0.65"/>
    <row r="983" ht="15.75" customHeight="1" x14ac:dyDescent="0.65"/>
    <row r="984" ht="15.75" customHeight="1" x14ac:dyDescent="0.65"/>
    <row r="985" ht="15.75" customHeight="1" x14ac:dyDescent="0.65"/>
    <row r="986" ht="15.75" customHeight="1" x14ac:dyDescent="0.65"/>
    <row r="987" ht="15.75" customHeight="1" x14ac:dyDescent="0.65"/>
    <row r="988" ht="15.75" customHeight="1" x14ac:dyDescent="0.65"/>
    <row r="989" ht="15.75" customHeight="1" x14ac:dyDescent="0.65"/>
    <row r="990" ht="15.75" customHeight="1" x14ac:dyDescent="0.65"/>
    <row r="991" ht="15.75" customHeight="1" x14ac:dyDescent="0.65"/>
    <row r="992" ht="15.75" customHeight="1" x14ac:dyDescent="0.65"/>
    <row r="993" ht="15.75" customHeight="1" x14ac:dyDescent="0.65"/>
    <row r="994" ht="15.75" customHeight="1" x14ac:dyDescent="0.65"/>
    <row r="995" ht="15.75" customHeight="1" x14ac:dyDescent="0.65"/>
    <row r="996" ht="15.75" customHeight="1" x14ac:dyDescent="0.65"/>
    <row r="997" ht="15.75" customHeight="1" x14ac:dyDescent="0.65"/>
    <row r="998" ht="15.75" customHeight="1" x14ac:dyDescent="0.65"/>
    <row r="999" ht="15.75" customHeight="1" x14ac:dyDescent="0.65"/>
    <row r="1000" ht="15.75" customHeight="1" x14ac:dyDescent="0.65"/>
  </sheetData>
  <hyperlinks>
    <hyperlink ref="D13" r:id="rId1" xr:uid="{E2A4822C-AB5D-4AFB-BF4A-0ECD10C030A1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About</vt:lpstr>
      <vt:lpstr>coal ban</vt:lpstr>
      <vt:lpstr>Population by state</vt:lpstr>
      <vt:lpstr>solar PV</vt:lpstr>
      <vt:lpstr>solar thermal</vt:lpstr>
      <vt:lpstr>offshore wind</vt:lpstr>
      <vt:lpstr>onshore wind</vt:lpstr>
      <vt:lpstr>bio</vt:lpstr>
      <vt:lpstr>geothermal</vt:lpstr>
      <vt:lpstr>hydro</vt:lpstr>
      <vt:lpstr>Data</vt:lpstr>
      <vt:lpstr>MPCbS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2015-01-16T02:18:43Z</dcterms:created>
  <dcterms:modified xsi:type="dcterms:W3CDTF">2024-03-25T18:43:32Z</dcterms:modified>
</cp:coreProperties>
</file>