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orth Carolina\North_C-EPS\"/>
    </mc:Choice>
  </mc:AlternateContent>
  <xr:revisionPtr revIDLastSave="0" documentId="13_ncr:1_{C871F4FC-E5C7-439B-A022-AB73ACBCE1BE}" xr6:coauthVersionLast="46" xr6:coauthVersionMax="46" xr10:uidLastSave="{00000000-0000-0000-0000-000000000000}"/>
  <bookViews>
    <workbookView xWindow="-120" yWindow="-120" windowWidth="29040" windowHeight="17640"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O3" i="7" l="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E10" i="10"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62" i="18" l="1"/>
  <c r="G11" i="10"/>
  <c r="M3"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<sst xmlns="http://schemas.openxmlformats.org/spreadsheetml/2006/main" count="18921" uniqueCount="2187">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</sst>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91</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14" sqref="A14"/>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c r="A5" s="29"/>
    </row>
    <row r="7" spans="1:10" ht="30">
      <c r="A7" s="174" t="s">
        <v>2073</v>
      </c>
      <c r="B7" s="6" t="s">
        <v>2074</v>
      </c>
    </row>
    <row r="8" spans="1:10">
      <c r="A8" s="176"/>
    </row>
    <row r="9" spans="1:10">
      <c r="A9" s="73" t="s">
        <v>1902</v>
      </c>
      <c r="B9" s="172"/>
    </row>
    <row r="10" spans="1:10">
      <c r="A10" s="45"/>
    </row>
    <row r="11" spans="1:10">
      <c r="A11" s="29" t="s">
        <v>1330</v>
      </c>
    </row>
    <row r="12" spans="1:10">
      <c r="A12" s="45"/>
    </row>
    <row r="13" spans="1:10">
      <c r="A13" s="29" t="s">
        <v>1334</v>
      </c>
    </row>
    <row r="14" spans="1:10">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4" sqref="E14"/>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North Carolina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12.675022268432814</v>
      </c>
      <c r="C3" s="74">
        <f>E28</f>
        <v>4.0157100000000003</v>
      </c>
      <c r="D3" s="75">
        <v>0.55000000000000004</v>
      </c>
      <c r="E3" s="75">
        <v>0.4</v>
      </c>
      <c r="F3" s="120">
        <f t="shared" ref="F3:G9" si="0">$C3*(1-D3)</f>
        <v>1.8070694999999999</v>
      </c>
      <c r="G3" s="120">
        <f t="shared" si="0"/>
        <v>2.4094260000000003</v>
      </c>
      <c r="H3" s="69"/>
      <c r="I3" s="76">
        <f t="shared" ref="I3:I11" si="1">1-F3/$B3</f>
        <v>0.85743066467815898</v>
      </c>
      <c r="J3" s="76">
        <f t="shared" ref="J3:J11" si="2">1-G3/$B3</f>
        <v>0.8099075529042119</v>
      </c>
      <c r="K3" s="69" t="str">
        <f t="shared" ref="K3:K11" si="3">"In a scenario limiting global warming to 1.5 °C, " &amp; B$1 &amp; " would need to cut its " &amp; A3 &amp; " emissions by " &amp; ROUND(J3*100, 0) &amp; " to " &amp; ROUND(I3*100, 0) &amp; " percent of 2005 levels."</f>
        <v>In a scenario limiting global warming to 1.5 °C, North Carolina would need to cut its buildings emissions by 81 to 86 percent of 2005 levels.</v>
      </c>
      <c r="L3" s="69"/>
      <c r="M3" s="69"/>
      <c r="N3" s="69"/>
      <c r="O3" s="69"/>
      <c r="P3" s="69"/>
      <c r="Q3" s="69"/>
      <c r="R3" s="69"/>
      <c r="S3" s="69"/>
      <c r="T3" s="69"/>
      <c r="U3" s="69"/>
      <c r="V3" s="69"/>
      <c r="W3" s="69"/>
      <c r="X3" s="69"/>
      <c r="Y3" s="69"/>
      <c r="Z3" s="69"/>
    </row>
    <row r="4" spans="1:26">
      <c r="A4" s="73" t="s">
        <v>1028</v>
      </c>
      <c r="B4" s="119">
        <f>'State 2005 Data'!J6</f>
        <v>73.813510735914178</v>
      </c>
      <c r="C4" s="74">
        <f>G28</f>
        <v>34.866</v>
      </c>
      <c r="D4" s="75">
        <v>0.89</v>
      </c>
      <c r="E4" s="75">
        <v>0.66</v>
      </c>
      <c r="F4" s="120">
        <f t="shared" si="0"/>
        <v>3.8352599999999994</v>
      </c>
      <c r="G4" s="120">
        <f t="shared" si="0"/>
        <v>11.854439999999999</v>
      </c>
      <c r="H4" s="69"/>
      <c r="I4" s="76">
        <f t="shared" si="1"/>
        <v>0.94804121953064158</v>
      </c>
      <c r="J4" s="76">
        <f t="shared" si="2"/>
        <v>0.83940013309471018</v>
      </c>
      <c r="K4" s="69" t="str">
        <f t="shared" si="3"/>
        <v>In a scenario limiting global warming to 1.5 °C, North Carolina would need to cut its electricity emissions by 84 to 95 percent of 2005 levels.</v>
      </c>
      <c r="L4" s="69"/>
      <c r="M4" s="69"/>
      <c r="N4" s="69"/>
      <c r="O4" s="69"/>
      <c r="P4" s="69"/>
      <c r="Q4" s="69"/>
      <c r="R4" s="69"/>
      <c r="S4" s="69"/>
      <c r="T4" s="69"/>
      <c r="U4" s="69"/>
      <c r="V4" s="69"/>
      <c r="W4" s="69"/>
      <c r="X4" s="69"/>
      <c r="Y4" s="69"/>
      <c r="Z4" s="69"/>
    </row>
    <row r="5" spans="1:26">
      <c r="A5" s="73" t="s">
        <v>1863</v>
      </c>
      <c r="B5" s="119">
        <f>'State 2005 Data'!J7</f>
        <v>21.891378131792443</v>
      </c>
      <c r="C5" s="121">
        <f>H28</f>
        <v>159.49700000000001</v>
      </c>
      <c r="D5" s="75">
        <v>0.41</v>
      </c>
      <c r="E5" s="75">
        <v>0.33</v>
      </c>
      <c r="F5" s="120">
        <f t="shared" si="0"/>
        <v>94.103230000000025</v>
      </c>
      <c r="G5" s="120">
        <f t="shared" si="0"/>
        <v>106.86299</v>
      </c>
      <c r="H5" s="69"/>
      <c r="I5" s="76">
        <f>1-F5/$B5</f>
        <v>-3.2986434857354023</v>
      </c>
      <c r="J5" s="76">
        <f t="shared" si="2"/>
        <v>-3.8815103990554549</v>
      </c>
      <c r="K5" s="69" t="str">
        <f t="shared" si="3"/>
        <v>In a scenario limiting global warming to 1.5 °C, North Carolina would need to cut its industry emissions by -388 to -330 percent of 2005 levels.</v>
      </c>
      <c r="L5" s="69"/>
      <c r="M5" s="69"/>
      <c r="N5" s="69"/>
      <c r="O5" s="69"/>
      <c r="P5" s="69"/>
      <c r="Q5" s="69"/>
      <c r="R5" s="69"/>
      <c r="S5" s="69"/>
      <c r="T5" s="69"/>
      <c r="U5" s="69"/>
      <c r="V5" s="69"/>
      <c r="W5" s="69"/>
      <c r="X5" s="69"/>
      <c r="Y5" s="69"/>
      <c r="Z5" s="69"/>
    </row>
    <row r="6" spans="1:26">
      <c r="A6" s="73" t="s">
        <v>1864</v>
      </c>
      <c r="B6" s="119">
        <f>'State 2005 Data'!J8</f>
        <v>54.4024799266003</v>
      </c>
      <c r="C6" s="121">
        <f>F28</f>
        <v>30.835899999999999</v>
      </c>
      <c r="D6" s="75">
        <v>0.48</v>
      </c>
      <c r="E6" s="75">
        <v>0.27</v>
      </c>
      <c r="F6" s="120">
        <f>$C6*(1-D6)</f>
        <v>16.034668</v>
      </c>
      <c r="G6" s="120">
        <f t="shared" si="0"/>
        <v>22.510206999999998</v>
      </c>
      <c r="H6" s="69"/>
      <c r="I6" s="76">
        <f t="shared" si="1"/>
        <v>0.70525850987613181</v>
      </c>
      <c r="J6" s="76">
        <f t="shared" si="2"/>
        <v>0.58622829271072352</v>
      </c>
      <c r="K6" s="69" t="str">
        <f t="shared" si="3"/>
        <v>In a scenario limiting global warming to 1.5 °C, North Carolina would need to cut its transportation emissions by 59 to 71 percent of 2005 levels.</v>
      </c>
      <c r="L6" s="69"/>
      <c r="M6" s="69"/>
      <c r="N6" s="69"/>
      <c r="O6" s="69"/>
      <c r="P6" s="69"/>
      <c r="Q6" s="69"/>
      <c r="R6" s="69"/>
      <c r="S6" s="69"/>
      <c r="T6" s="69"/>
      <c r="U6" s="69"/>
      <c r="V6" s="69"/>
      <c r="W6" s="69"/>
      <c r="X6" s="69"/>
      <c r="Y6" s="69"/>
      <c r="Z6" s="69"/>
    </row>
    <row r="7" spans="1:26">
      <c r="A7" s="73" t="s">
        <v>775</v>
      </c>
      <c r="B7" s="119">
        <f>'State 2005 Data'!J9</f>
        <v>11.929893585805139</v>
      </c>
      <c r="C7" s="121">
        <f>D28</f>
        <v>21.963899999999999</v>
      </c>
      <c r="D7" s="75">
        <v>0.06</v>
      </c>
      <c r="E7" s="75">
        <v>0.02</v>
      </c>
      <c r="F7" s="120">
        <f t="shared" si="0"/>
        <v>20.646065999999998</v>
      </c>
      <c r="G7" s="120">
        <f t="shared" si="0"/>
        <v>21.524621999999997</v>
      </c>
      <c r="H7" s="69"/>
      <c r="I7" s="76">
        <f t="shared" si="1"/>
        <v>-0.73061610747021688</v>
      </c>
      <c r="J7" s="76">
        <f t="shared" si="2"/>
        <v>-0.80425934608597083</v>
      </c>
      <c r="K7" s="69" t="str">
        <f t="shared" si="3"/>
        <v>In a scenario limiting global warming to 1.5 °C, North Carolina would need to cut its agriculture emissions by -80 to -73 percent of 2005 levels.</v>
      </c>
      <c r="L7" s="69"/>
      <c r="M7" s="69"/>
      <c r="N7" s="69"/>
      <c r="O7" s="69"/>
      <c r="P7" s="69"/>
      <c r="Q7" s="69"/>
      <c r="R7" s="69"/>
      <c r="S7" s="69"/>
      <c r="T7" s="69"/>
      <c r="U7" s="69"/>
      <c r="V7" s="69"/>
      <c r="W7" s="69"/>
      <c r="X7" s="69"/>
      <c r="Y7" s="69"/>
      <c r="Z7" s="69"/>
    </row>
    <row r="8" spans="1:26">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North Carolina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7.1722213404621709</v>
      </c>
      <c r="C9" s="121">
        <f>C28</f>
        <v>3.7124999999999999</v>
      </c>
      <c r="D9" s="75">
        <v>0.06</v>
      </c>
      <c r="E9" s="75">
        <v>0.02</v>
      </c>
      <c r="F9" s="120">
        <f t="shared" si="0"/>
        <v>3.4897499999999999</v>
      </c>
      <c r="G9" s="120">
        <f t="shared" si="0"/>
        <v>3.6382499999999998</v>
      </c>
      <c r="H9" s="69"/>
      <c r="I9" s="76">
        <f t="shared" si="1"/>
        <v>0.51343526163748821</v>
      </c>
      <c r="J9" s="76">
        <f t="shared" si="2"/>
        <v>0.4927303791539771</v>
      </c>
      <c r="K9" s="69" t="str">
        <f t="shared" si="3"/>
        <v>In a scenario limiting global warming to 1.5 °C, North Carolina would need to cut its waste emissions by 49 to 51 percent of 2005 levels.</v>
      </c>
      <c r="L9" s="69"/>
      <c r="M9" s="69"/>
      <c r="N9" s="69"/>
      <c r="O9" s="69"/>
      <c r="P9" s="69"/>
      <c r="Q9" s="69"/>
      <c r="R9" s="69"/>
      <c r="S9" s="69"/>
      <c r="T9" s="69"/>
      <c r="U9" s="69"/>
      <c r="V9" s="69"/>
      <c r="W9" s="69"/>
      <c r="X9" s="69"/>
      <c r="Y9" s="69"/>
      <c r="Z9" s="69"/>
    </row>
    <row r="10" spans="1:26">
      <c r="A10" s="73" t="s">
        <v>1869</v>
      </c>
      <c r="B10" s="122">
        <f>SUM(B3:B9)</f>
        <v>142.56950598900704</v>
      </c>
      <c r="C10" s="122">
        <f>SUM(C3:C9)</f>
        <v>215.57601000000003</v>
      </c>
      <c r="D10" s="76">
        <f>1-F10/$C10</f>
        <v>0.53333841042887842</v>
      </c>
      <c r="E10" s="76">
        <f>1-G10/$C10</f>
        <v>0.3993536896800346</v>
      </c>
      <c r="F10" s="120">
        <f>SUM(F3:F9)</f>
        <v>100.60104350000002</v>
      </c>
      <c r="G10" s="120">
        <f>SUM(G3:G9)</f>
        <v>129.48493499999998</v>
      </c>
      <c r="H10" s="175">
        <f>IFERROR(B10*(1-'Unique State Inputs'!A$8),"")</f>
        <v>142.56950598900704</v>
      </c>
      <c r="I10" s="76">
        <f t="shared" si="1"/>
        <v>0.29437194298928859</v>
      </c>
      <c r="J10" s="76">
        <f t="shared" si="2"/>
        <v>9.1776785633359448E-2</v>
      </c>
      <c r="K10" s="69" t="str">
        <f t="shared" si="3"/>
        <v>In a scenario limiting global warming to 1.5 °C, North Carolina would need to cut its total (including land use) emissions by 9 to 29 percent of 2005 levels.</v>
      </c>
      <c r="L10" s="69"/>
      <c r="M10" s="69"/>
      <c r="N10" s="69"/>
      <c r="O10" s="69"/>
      <c r="P10" s="69"/>
      <c r="Q10" s="69"/>
      <c r="R10" s="69"/>
      <c r="S10" s="69"/>
      <c r="T10" s="69"/>
      <c r="U10" s="69"/>
      <c r="V10" s="69"/>
      <c r="W10" s="69"/>
      <c r="X10" s="69"/>
      <c r="Y10" s="69"/>
      <c r="Z10" s="69"/>
    </row>
    <row r="11" spans="1:26">
      <c r="A11" s="73" t="s">
        <v>1871</v>
      </c>
      <c r="B11" s="122">
        <f>SUM(B3:B9)-B8</f>
        <v>181.88450598900704</v>
      </c>
      <c r="C11" s="122">
        <f>SUM(C3:C9)-C8</f>
        <v>254.89101000000002</v>
      </c>
      <c r="D11" s="76">
        <f>1-F11/$C11</f>
        <v>0.45107501633737501</v>
      </c>
      <c r="E11" s="76">
        <f>1-G11/$C11</f>
        <v>0.33775641989099592</v>
      </c>
      <c r="F11" s="120">
        <f>F10-F8</f>
        <v>139.9160435</v>
      </c>
      <c r="G11" s="120">
        <f>G10-G8</f>
        <v>168.79993499999998</v>
      </c>
      <c r="H11" s="175">
        <f>IFERROR(B11*(1-'Unique State Inputs'!A$8),"")</f>
        <v>181.88450598900704</v>
      </c>
      <c r="I11" s="76">
        <f t="shared" si="1"/>
        <v>0.23074237280850951</v>
      </c>
      <c r="J11" s="76">
        <f t="shared" si="2"/>
        <v>7.1938898356729064E-2</v>
      </c>
      <c r="K11" s="69" t="str">
        <f t="shared" si="3"/>
        <v>In a scenario limiting global warming to 1.5 °C, North Carolina would need to cut its total (excluding land use) emissions by 7 to 23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60" zoomScaleNormal="70" workbookViewId="0">
      <pane ySplit="1" topLeftCell="A2" activePane="bottomLeft" state="frozen"/>
      <selection pane="bottomLeft" activeCell="S3" sqref="S3"/>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139.9160435</v>
      </c>
      <c r="M2" s="95">
        <f>'Target Calculations'!G11</f>
        <v>168.79993499999998</v>
      </c>
      <c r="N2" s="93" t="str">
        <f>'Target Calculations'!K11</f>
        <v>In a scenario limiting global warming to 1.5 °C, North Carolina would need to cut its total (excluding land use) emissions by 7 to 23 percent of 2005 levels.</v>
      </c>
      <c r="O2" s="113">
        <f>O3</f>
        <v>0</v>
      </c>
      <c r="P2" s="93">
        <f>P3</f>
        <v>0</v>
      </c>
      <c r="Q2" s="95">
        <f>'Target Calculations'!H11</f>
        <v>181.88450598900704</v>
      </c>
      <c r="R2" s="95">
        <f>Q2</f>
        <v>181.88450598900704</v>
      </c>
      <c r="S2" s="113">
        <f>S3</f>
        <v>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100.60104350000002</v>
      </c>
      <c r="M3" s="95">
        <f>'Target Calculations'!G10</f>
        <v>129.48493499999998</v>
      </c>
      <c r="N3" s="93" t="str">
        <f>'Target Calculations'!K10</f>
        <v>In a scenario limiting global warming to 1.5 °C, North Carolina would need to cut its total (including land use) emissions by 9 to 29 percent of 2005 levels.</v>
      </c>
      <c r="O3" s="96">
        <f>'Unique State Inputs'!A12</f>
        <v>0</v>
      </c>
      <c r="P3" s="93">
        <f>'Unique State Inputs'!A10</f>
        <v>0</v>
      </c>
      <c r="Q3" s="95">
        <f>'Target Calculations'!H10</f>
        <v>142.56950598900704</v>
      </c>
      <c r="R3" s="95">
        <f>Q3</f>
        <v>142.56950598900704</v>
      </c>
      <c r="S3" s="96">
        <f>'Unique State Inputs'!A14</f>
        <v>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str">
        <f>'Target Calculations'!K3</f>
        <v>In a scenario limiting global warming to 1.5 °C, North Carolina would need to cut its buildings emissions by 81 to 86 percent of 2005 levels.</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str">
        <f>'Target Calculations'!K4</f>
        <v>In a scenario limiting global warming to 1.5 °C, North Carolina would need to cut its electricity emissions by 84 to 95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str">
        <f>'Target Calculations'!K5</f>
        <v>In a scenario limiting global warming to 1.5 °C, North Carolina would need to cut its industry emissions by -388 to -330 percent of 2005 levels.</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str">
        <f>'Target Calculations'!K6</f>
        <v>In a scenario limiting global warming to 1.5 °C, North Carolina would need to cut its transportation emissions by 59 to 71 percent of 2005 levels.</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12% in 2030 that rises to 12%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North Carolina</v>
      </c>
      <c r="B6" s="148">
        <f>SUMIFS(B7:B57,$A7:$A57,$A$6)</f>
        <v>1910</v>
      </c>
      <c r="C6" s="148">
        <f>SUMIFS(C7:C57,$A7:$A57,$A$6)</f>
        <v>10568033</v>
      </c>
      <c r="D6" s="148">
        <f>ROUND(SUMIFS(D7:D57,$A7:$A57,$A$6),2)</f>
        <v>18.07</v>
      </c>
      <c r="E6" s="148">
        <f t="shared" ref="E6:L6" si="0">SUMIFS(E7:E57,$A7:$A57,$A$6)</f>
        <v>0</v>
      </c>
      <c r="F6" s="148">
        <f t="shared" si="0"/>
        <v>0.1137850789011861</v>
      </c>
      <c r="G6" s="148">
        <f t="shared" si="0"/>
        <v>0.12067761835177915</v>
      </c>
      <c r="H6" s="148">
        <f t="shared" si="0"/>
        <v>0.12067761835177915</v>
      </c>
      <c r="I6" s="148">
        <f t="shared" si="0"/>
        <v>17693787</v>
      </c>
      <c r="J6" s="148">
        <f t="shared" si="0"/>
        <v>0</v>
      </c>
      <c r="K6" s="148">
        <f t="shared" si="0"/>
        <v>14042350</v>
      </c>
      <c r="L6" s="148">
        <f t="shared" si="0"/>
        <v>42</v>
      </c>
      <c r="M6" s="148">
        <f>ROUND(SUMIFS(M7:M57,$A7:$A57,$A$6)*100,0)</f>
        <v>-21</v>
      </c>
      <c r="N6" s="148">
        <f>ROUND(SUMIFS(N7:N57,$A7:$A57,$A$6)*100,0)</f>
        <v>0</v>
      </c>
      <c r="O6" s="148">
        <f t="shared" ref="O6:AM6" si="1">ROUND(SUMIFS(O7:O57,$A7:$A57,$A$6),0)</f>
        <v>3285</v>
      </c>
      <c r="P6" s="148">
        <f t="shared" si="1"/>
        <v>1571</v>
      </c>
      <c r="Q6" s="148">
        <f t="shared" si="1"/>
        <v>2760</v>
      </c>
      <c r="R6" s="148">
        <f t="shared" si="1"/>
        <v>0</v>
      </c>
      <c r="S6" s="148">
        <f t="shared" si="1"/>
        <v>0</v>
      </c>
      <c r="T6" s="148">
        <f t="shared" si="1"/>
        <v>152</v>
      </c>
      <c r="U6" s="148">
        <f t="shared" si="1"/>
        <v>0</v>
      </c>
      <c r="V6" s="148">
        <f t="shared" si="1"/>
        <v>0</v>
      </c>
      <c r="W6" s="148">
        <f t="shared" si="1"/>
        <v>0</v>
      </c>
      <c r="X6" s="148">
        <f t="shared" si="1"/>
        <v>10308</v>
      </c>
      <c r="Y6" s="148">
        <f t="shared" si="1"/>
        <v>5373</v>
      </c>
      <c r="Z6" s="148">
        <f t="shared" si="1"/>
        <v>5150</v>
      </c>
      <c r="AA6" s="148">
        <f t="shared" si="1"/>
        <v>1999</v>
      </c>
      <c r="AB6" s="148">
        <f t="shared" si="1"/>
        <v>208</v>
      </c>
      <c r="AC6" s="148">
        <f t="shared" si="1"/>
        <v>4421</v>
      </c>
      <c r="AD6" s="148">
        <f t="shared" si="1"/>
        <v>0</v>
      </c>
      <c r="AE6" s="148">
        <f t="shared" si="1"/>
        <v>310</v>
      </c>
      <c r="AF6" s="148">
        <f t="shared" si="1"/>
        <v>0</v>
      </c>
      <c r="AG6" s="148">
        <f t="shared" si="1"/>
        <v>439</v>
      </c>
      <c r="AH6" s="148">
        <f t="shared" si="1"/>
        <v>5987</v>
      </c>
      <c r="AI6" s="148">
        <f t="shared" si="1"/>
        <v>0</v>
      </c>
      <c r="AJ6" s="148">
        <f t="shared" si="1"/>
        <v>0</v>
      </c>
      <c r="AK6" s="148">
        <f t="shared" si="1"/>
        <v>0</v>
      </c>
      <c r="AL6" s="148">
        <f t="shared" si="1"/>
        <v>0</v>
      </c>
      <c r="AM6" s="148">
        <f t="shared" si="1"/>
        <v>0</v>
      </c>
      <c r="AN6" s="148">
        <f>ROUND(SUMIFS(AN7:AN57,$A7:$A57,$A$6),)</f>
        <v>79</v>
      </c>
      <c r="AO6" s="148">
        <f t="shared" ref="AO6:AP6" si="2">ROUND(SUMIFS(AO7:AO57,$A7:$A57,$A$6),)</f>
        <v>1006</v>
      </c>
      <c r="AP6" s="148">
        <f t="shared" si="2"/>
        <v>0</v>
      </c>
      <c r="AQ6" s="148">
        <f>ROUND(SUMIFS(AQ7:AQ57,$A7:$A57,$A$6),0)</f>
        <v>31</v>
      </c>
      <c r="AR6" s="149">
        <f>SUMIFS(AR7:AR57,$A7:$A57,$A$6)</f>
        <v>0.59739675397718139</v>
      </c>
      <c r="AS6" s="148">
        <f>ROUND(SUMIFS(AS7:AS57,$A7:$A57,$A$6),0)</f>
        <v>1170</v>
      </c>
      <c r="AT6" s="148">
        <f>ROUND(SUMIFS(AT7:AT57,$A7:$A57,$A$6),0)</f>
        <v>1571</v>
      </c>
      <c r="AU6" s="148">
        <f>ROUND(SUMIFS(AU7:AU57,$A7:$A57,$A$6),0)</f>
        <v>4857</v>
      </c>
      <c r="AV6" s="148">
        <f>ROUND(SUMIFS(AV7:AV57,$A7:$A57,$A$6)*100,0)</f>
        <v>11</v>
      </c>
      <c r="AW6" s="148">
        <f>ROUND(SUMIFS(AW7:AW57,$A7:$A57,$A$6)*100,0)</f>
        <v>12</v>
      </c>
      <c r="AX6" s="148">
        <f>ROUND(SUMIFS(AX7:AX57,$A7:$A57,$A$6)*100,0)</f>
        <v>12</v>
      </c>
      <c r="AY6" s="148">
        <f>SUMIFS(AY7:AY57,$A7:$A57,$A$6)</f>
        <v>0</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NC</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NC</v>
      </c>
      <c r="D77" s="93">
        <v>2019</v>
      </c>
      <c r="E77" s="93">
        <v>2050</v>
      </c>
    </row>
    <row r="78" spans="1:40" ht="15.95" customHeight="1">
      <c r="B78" s="93" t="s">
        <v>2062</v>
      </c>
      <c r="C78" s="93" t="s">
        <v>497</v>
      </c>
      <c r="D78" s="93" cm="1">
        <f t="array" ref="D78">ROUND(INDEX($B$95:$H$845,MATCH(1,($C78=$E$95:$E$845)*($B78=$F$95:$F$845)*($C$77=$B$95:$B$845),0),MATCH(D$77,$B$95:$H$95,0))*100,1)</f>
        <v>6.5</v>
      </c>
      <c r="E78" s="168" cm="1">
        <f t="array" ref="E78">ROUND(INDEX($B$95:$H$845,MATCH(1,($C78=$E$95:$E$845)*($B78=$F$95:$F$845)*($C$77=$B$95:$B$845),0),MATCH(E$77,$B$95:$H$95,0))*100,1)</f>
        <v>5.8</v>
      </c>
    </row>
    <row r="79" spans="1:40" ht="15.95" customHeight="1">
      <c r="B79" s="168" t="s">
        <v>2062</v>
      </c>
      <c r="C79" s="93" t="s">
        <v>2061</v>
      </c>
      <c r="D79" s="168" cm="1">
        <f t="array" ref="D79">ROUND(INDEX($B$95:$H$845,MATCH(1,($C79=$E$95:$E$845)*($B79=$F$95:$F$845)*($C$77=$B$95:$B$845),0),MATCH(D$77,$B$95:$H$95,0))*100,1)</f>
        <v>66.599999999999994</v>
      </c>
      <c r="E79" s="168" cm="1">
        <f t="array" ref="E79">ROUND(INDEX($B$95:$H$845,MATCH(1,($C79=$E$95:$E$845)*($B79=$F$95:$F$845)*($C$77=$B$95:$B$845),0),MATCH(E$77,$B$95:$H$95,0))*100,1)</f>
        <v>57.8</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6.5</v>
      </c>
      <c r="E81" s="168" cm="1">
        <f t="array" ref="E81">ROUND(INDEX($B$95:$H$845,MATCH(1,($C81=$E$95:$E$845)*($B81=$F$95:$F$845)*($C$77=$B$95:$B$845),0),MATCH(E$77,$B$95:$H$95,0))*100,1)</f>
        <v>5.8</v>
      </c>
    </row>
    <row r="82" spans="2:26" ht="15.95" customHeight="1">
      <c r="B82" s="168" t="s">
        <v>2059</v>
      </c>
      <c r="C82" s="168" t="s">
        <v>2061</v>
      </c>
      <c r="D82" s="168" cm="1">
        <f t="array" ref="D82">ROUND(INDEX($B$95:$H$845,MATCH(1,($C82=$E$95:$E$845)*($B82=$F$95:$F$845)*($C$77=$B$95:$B$845),0),MATCH(D$77,$B$95:$H$95,0))*100,1)</f>
        <v>66.599999999999994</v>
      </c>
      <c r="E82" s="168" cm="1">
        <f t="array" ref="E82">ROUND(INDEX($B$95:$H$845,MATCH(1,($C82=$E$95:$E$845)*($B82=$F$95:$F$845)*($C$77=$B$95:$B$845),0),MATCH(E$77,$B$95:$H$95,0))*100,1)</f>
        <v>57.8</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NC</v>
      </c>
    </row>
    <row r="84" spans="2:26" ht="15.95" customHeight="1">
      <c r="B84" s="93" t="s">
        <v>2063</v>
      </c>
      <c r="C84" s="168" t="s">
        <v>497</v>
      </c>
      <c r="D84" s="168" cm="1">
        <f t="array" ref="D84">ROUND(INDEX($B$95:$H$845,MATCH(1,($C84=$E$95:$E$845)*($B84=$F$95:$F$845)*($C$77=$B$95:$B$845),0),MATCH(D$77,$B$95:$H$95,0))*100,1)</f>
        <v>0.7</v>
      </c>
      <c r="E84" s="168" cm="1">
        <f t="array" ref="E84">ROUND(INDEX($B$95:$H$845,MATCH(1,($C84=$E$95:$E$845)*($B84=$F$95:$F$845)*($C$77=$B$95:$B$845),0),MATCH(E$77,$B$95:$H$95,0))*100,1)</f>
        <v>0.6</v>
      </c>
    </row>
    <row r="85" spans="2:26" ht="15.95" customHeight="1">
      <c r="B85" s="168" t="s">
        <v>2063</v>
      </c>
      <c r="C85" s="168" t="s">
        <v>2061</v>
      </c>
      <c r="D85" s="168" cm="1">
        <f t="array" ref="D85">ROUND(INDEX($B$95:$H$845,MATCH(1,($C85=$E$95:$E$845)*($B85=$F$95:$F$845)*($C$77=$B$95:$B$845),0),MATCH(D$77,$B$95:$H$95,0))*100,1)</f>
        <v>45.9</v>
      </c>
      <c r="E85" s="168" cm="1">
        <f t="array" ref="E85">ROUND(INDEX($B$95:$H$845,MATCH(1,($C85=$E$95:$E$845)*($B85=$F$95:$F$845)*($C$77=$B$95:$B$845),0),MATCH(E$77,$B$95:$H$95,0))*100,1)</f>
        <v>26.9</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71.099999999999994</v>
      </c>
      <c r="E86" s="168" cm="1">
        <f t="array" ref="E86">ROUND(INDEX($B$95:$H$845,MATCH(1,($C86=$E$95:$E$845)*($B86=$F$95:$F$845)*($C$77=$B$95:$B$845),0),MATCH(E$77,$B$95:$H$95,0))*100,1)</f>
        <v>89.1</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0</v>
      </c>
      <c r="N87" s="168" cm="1">
        <f t="array" ref="N87">INDEX($K$95:$Z$195,MATCH(1,($J87=$L$95:$L$195)*($J$83=$K$95:$K$195),0),MATCH(N$85,$K$95:$Z$95,0))</f>
        <v>0</v>
      </c>
      <c r="O87" s="168" cm="1">
        <f t="array" ref="O87">INDEX($K$95:$Z$195,MATCH(1,($J87=$L$95:$L$195)*($J$83=$K$95:$K$195),0),MATCH(O$85,$K$95:$Z$95,0))</f>
        <v>0</v>
      </c>
      <c r="P87" s="168" cm="1">
        <f t="array" ref="P87">INDEX($K$95:$Z$195,MATCH(1,($J87=$L$95:$L$195)*($J$83=$K$95:$K$195),0),MATCH(P$85,$K$95:$Z$95,0))</f>
        <v>0</v>
      </c>
      <c r="Q87" s="168" cm="1">
        <f t="array" ref="Q87">INDEX($K$95:$Z$195,MATCH(1,($J87=$L$95:$L$195)*($J$83=$K$95:$K$195),0),MATCH(Q$85,$K$95:$Z$95,0))</f>
        <v>0</v>
      </c>
      <c r="R87" s="168" cm="1">
        <f t="array" ref="R87">INDEX($K$95:$Z$195,MATCH(1,($J87=$L$95:$L$195)*($J$83=$K$95:$K$195),0),MATCH(R$85,$K$95:$Z$95,0))</f>
        <v>0</v>
      </c>
    </row>
    <row r="88" spans="2:26" ht="15.95" customHeight="1">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North Carolina</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North Carolina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North Carolina</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12.675022268432814</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73.813510735914178</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21.891378131792443</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54.4024799266003</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11.929893585805139</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-31.78583077705435</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7.1722213404621709</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150.0986752119527</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181.88450598900704</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1917</v>
      </c>
      <c r="B2" s="272"/>
      <c r="C2" s="272"/>
      <c r="D2" s="272"/>
      <c r="E2" s="272"/>
    </row>
    <row r="19" spans="1:5">
      <c r="A19" t="s">
        <v>1918</v>
      </c>
    </row>
    <row r="20" spans="1:5">
      <c r="A20">
        <v>155400</v>
      </c>
      <c r="B20" t="s">
        <v>1919</v>
      </c>
    </row>
    <row r="21" spans="1:5">
      <c r="A21" s="281" t="s">
        <v>1920</v>
      </c>
      <c r="B21" s="272"/>
      <c r="C21" s="272"/>
      <c r="D21" s="272"/>
      <c r="E21" s="272"/>
    </row>
    <row r="38" spans="1:5">
      <c r="A38" t="s">
        <v>1918</v>
      </c>
    </row>
    <row r="39" spans="1:5">
      <c r="A39">
        <v>100800</v>
      </c>
      <c r="B39" t="s">
        <v>1919</v>
      </c>
    </row>
    <row r="40" spans="1:5">
      <c r="A40" s="281" t="s">
        <v>1921</v>
      </c>
      <c r="B40" s="272"/>
      <c r="C40" s="272"/>
      <c r="D40" s="272"/>
      <c r="E40" s="272"/>
    </row>
    <row r="57" spans="1:5" ht="15.95" customHeight="1" thickBot="1">
      <c r="A57" t="s">
        <v>1918</v>
      </c>
    </row>
    <row r="58" spans="1:5" ht="15.95" customHeight="1" thickBot="1">
      <c r="A58" s="1">
        <v>194000</v>
      </c>
      <c r="B58" t="s">
        <v>1922</v>
      </c>
    </row>
    <row r="60" spans="1:5">
      <c r="A60" s="280"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80"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80"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80" t="s">
        <v>1950</v>
      </c>
      <c r="B109" s="272"/>
      <c r="C109" s="272"/>
      <c r="D109" s="272"/>
      <c r="E109" s="272"/>
    </row>
    <row r="110" spans="1:5" ht="15.95" customHeight="1" thickBot="1"/>
    <row r="111" spans="1:5" ht="15.95" customHeight="1" thickBot="1">
      <c r="A111" s="4">
        <f>A122</f>
        <v>0.20481927710843381</v>
      </c>
      <c r="B111" t="s">
        <v>1951</v>
      </c>
    </row>
    <row r="113" spans="1:12">
      <c r="A113" s="280"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80"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80" t="s">
        <v>516</v>
      </c>
      <c r="B134" s="272"/>
      <c r="C134" s="272"/>
      <c r="D134" s="272"/>
      <c r="E134" s="272"/>
    </row>
    <row r="135" spans="1:12">
      <c r="A135" s="8" t="s">
        <v>1961</v>
      </c>
      <c r="B135" s="43"/>
      <c r="C135" s="43"/>
      <c r="D135" s="43"/>
      <c r="E135" s="43"/>
      <c r="F135" s="43"/>
      <c r="G135" s="43"/>
    </row>
    <row r="136" spans="1:12" ht="15.75">
      <c r="A136" s="9"/>
      <c r="B136" s="277" t="s">
        <v>1962</v>
      </c>
      <c r="C136" s="278"/>
      <c r="D136" s="278"/>
      <c r="E136" s="279"/>
      <c r="F136" s="43"/>
      <c r="G136" s="43"/>
    </row>
    <row r="137" spans="1:12" ht="15.75">
      <c r="A137" s="10"/>
      <c r="B137" s="277" t="s">
        <v>1963</v>
      </c>
      <c r="C137" s="279"/>
      <c r="D137" s="277" t="s">
        <v>1964</v>
      </c>
      <c r="E137" s="279"/>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80"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80"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80"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80"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80"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6"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6"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6"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2021-04-12T21:50:59Z</dcterms:modified>
</cp:coreProperties>
</file>