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orth Carolina\North_C-EPS\"/>
    </mc:Choice>
  </mc:AlternateContent>
  <xr:revisionPtr revIDLastSave="0" documentId="13_ncr:1_{31BAEA9B-54DD-48E5-AA82-CA870F4BDABB}" xr6:coauthVersionLast="46" xr6:coauthVersionMax="46" xr10:uidLastSave="{00000000-0000-0000-0000-000000000000}"/>
  <bookViews>
    <workbookView xWindow="2565" yWindow="780" windowWidth="23775" windowHeight="16065" firstSheet="3" activeTab="3"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M14" i="7" s="1"/>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M9" i="7"/>
  <c r="B160" i="12"/>
  <c r="M146" i="5" s="1"/>
  <c r="M152" i="5" s="1"/>
  <c r="M158" i="5" s="1"/>
  <c r="M449" i="5"/>
  <c r="B696" i="5"/>
  <c r="F163" i="9"/>
  <c r="F227" i="9"/>
  <c r="F291" i="9"/>
  <c r="F355" i="9"/>
  <c r="F419" i="9"/>
  <c r="F8" i="10"/>
  <c r="A131" i="12"/>
  <c r="O566" i="5"/>
  <c r="O568" i="5"/>
  <c r="J6" i="10" l="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M2" i="7" s="1"/>
  <c r="I8" i="10"/>
  <c r="K8" i="10" s="1"/>
  <c r="I9" i="10"/>
  <c r="F10" i="10"/>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s="1"/>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F11" i="10" l="1"/>
  <c r="L3" i="7" s="1"/>
  <c r="L2" i="7"/>
  <c r="K6" i="10"/>
  <c r="N14" i="7" s="1"/>
  <c r="P62" i="18"/>
  <c r="P205" i="5"/>
  <c r="P204" i="18"/>
  <c r="P129" i="18"/>
  <c r="P139" i="18"/>
  <c r="P223" i="18"/>
  <c r="P131" i="18"/>
  <c r="P553" i="5"/>
  <c r="P375" i="18"/>
  <c r="P547" i="5"/>
  <c r="P369" i="18"/>
  <c r="P140" i="18"/>
  <c r="P126" i="18"/>
  <c r="P76" i="5"/>
  <c r="P76" i="18"/>
  <c r="P64" i="5"/>
  <c r="P64" i="18"/>
  <c r="P546" i="5"/>
  <c r="P368" i="18"/>
  <c r="P223" i="5"/>
  <c r="P206" i="5"/>
  <c r="P211" i="5" s="1"/>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3" i="5"/>
  <c r="P139" i="5"/>
  <c r="K7" i="10"/>
  <c r="P140" i="5"/>
  <c r="P126" i="5"/>
  <c r="B673" i="5"/>
  <c r="B669" i="5"/>
  <c r="B670" i="5"/>
  <c r="B672" i="5"/>
  <c r="B671" i="5"/>
  <c r="B668" i="5"/>
  <c r="P240" i="5"/>
  <c r="P204" i="5"/>
  <c r="E11" i="10"/>
  <c r="P62" i="5"/>
  <c r="B10" i="10"/>
  <c r="H10" i="10" s="1"/>
  <c r="J3" i="10"/>
  <c r="B11" i="10"/>
  <c r="H11" i="10" s="1"/>
  <c r="I3" i="10"/>
  <c r="D11" i="10" l="1"/>
  <c r="P207" i="5"/>
  <c r="P215" i="5"/>
  <c r="P208" i="5"/>
  <c r="P209" i="5"/>
  <c r="P210" i="5"/>
  <c r="L88" i="3"/>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3" i="7" s="1"/>
  <c r="K10" i="10"/>
  <c r="N2"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<sst xmlns="http://schemas.openxmlformats.org/spreadsheetml/2006/main" count="18922" uniqueCount="2188">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</sst>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x14ac:dyDescent="0.25">
      <c r="A1" s="29" t="s">
        <v>0</v>
      </c>
      <c r="B1" t="s">
        <v>91</v>
      </c>
      <c r="C1" s="171">
        <v>44307</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3" sqref="A3:J4"/>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3.3863400000000001</v>
      </c>
      <c r="D4" s="264">
        <v>11.0497</v>
      </c>
      <c r="E4" s="264">
        <v>9.1327800000000003</v>
      </c>
      <c r="F4" s="264">
        <v>48.512099999999997</v>
      </c>
      <c r="G4" s="264">
        <v>29.852900000000002</v>
      </c>
      <c r="H4" s="264">
        <v>17.697600000000001</v>
      </c>
      <c r="I4" s="264">
        <v>0</v>
      </c>
      <c r="J4" s="264">
        <v>-54.767699999999998</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H9" sqref="H9"/>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North Carolina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12.675022268432814</v>
      </c>
      <c r="C3" s="74">
        <f>E28</f>
        <v>9.1327800000000003</v>
      </c>
      <c r="D3" s="75">
        <v>0.55000000000000004</v>
      </c>
      <c r="E3" s="75">
        <v>0.4</v>
      </c>
      <c r="F3" s="120">
        <f t="shared" ref="F3:G9" si="0">$C3*(1-D3)</f>
        <v>4.1097510000000002</v>
      </c>
      <c r="G3" s="120">
        <f t="shared" si="0"/>
        <v>5.4796680000000002</v>
      </c>
      <c r="H3" s="69"/>
      <c r="I3" s="76">
        <f t="shared" ref="I3:I11" si="1">1-F3/$B3</f>
        <v>0.67575985959130436</v>
      </c>
      <c r="J3" s="76">
        <f t="shared" ref="J3:J11" si="2">1-G3/$B3</f>
        <v>0.56767981278840574</v>
      </c>
      <c r="K3" s="69" t="str">
        <f t="shared" ref="K3:K11" si="3">"In a scenario limiting global warming to 1.5 °C, " &amp; B$1 &amp; " would need to cut its " &amp; A3 &amp; " emissions by " &amp; ROUND(J3*100, 0) &amp; " to " &amp; ROUND(I3*100, 0) &amp; " percent of 2005 levels."</f>
        <v>In a scenario limiting global warming to 1.5 °C, North Carolina would need to cut its buildings emissions by 57 to 68 percent of 2005 levels.</v>
      </c>
      <c r="L3" s="69"/>
      <c r="M3" s="69"/>
      <c r="N3" s="69"/>
      <c r="O3" s="69"/>
      <c r="P3" s="69"/>
      <c r="Q3" s="69"/>
      <c r="R3" s="69"/>
      <c r="S3" s="69"/>
      <c r="T3" s="69"/>
      <c r="U3" s="69"/>
      <c r="V3" s="69"/>
      <c r="W3" s="69"/>
      <c r="X3" s="69"/>
      <c r="Y3" s="69"/>
      <c r="Z3" s="69"/>
    </row>
    <row r="4" spans="1:26" x14ac:dyDescent="0.25">
      <c r="A4" s="73" t="s">
        <v>1028</v>
      </c>
      <c r="B4" s="119">
        <f>'State 2005 Data'!J6</f>
        <v>73.813510735914178</v>
      </c>
      <c r="C4" s="74">
        <f>G28</f>
        <v>29.852900000000002</v>
      </c>
      <c r="D4" s="75">
        <v>0.89</v>
      </c>
      <c r="E4" s="75">
        <v>0.66</v>
      </c>
      <c r="F4" s="120">
        <f t="shared" si="0"/>
        <v>3.2838189999999998</v>
      </c>
      <c r="G4" s="120">
        <f t="shared" si="0"/>
        <v>10.149986</v>
      </c>
      <c r="H4" s="69"/>
      <c r="I4" s="76">
        <f t="shared" si="1"/>
        <v>0.95551195211742923</v>
      </c>
      <c r="J4" s="76">
        <f t="shared" si="2"/>
        <v>0.86249148836296308</v>
      </c>
      <c r="K4" s="69" t="str">
        <f t="shared" si="3"/>
        <v>In a scenario limiting global warming to 1.5 °C, North Carolina would need to cut its electricity emissions by 86 to 96 percent of 2005 levels.</v>
      </c>
      <c r="L4" s="69"/>
      <c r="M4" s="69"/>
      <c r="N4" s="69"/>
      <c r="O4" s="69"/>
      <c r="P4" s="69"/>
      <c r="Q4" s="69"/>
      <c r="R4" s="69"/>
      <c r="S4" s="69"/>
      <c r="T4" s="69"/>
      <c r="U4" s="69"/>
      <c r="V4" s="69"/>
      <c r="W4" s="69"/>
      <c r="X4" s="69"/>
      <c r="Y4" s="69"/>
      <c r="Z4" s="69"/>
    </row>
    <row r="5" spans="1:26" x14ac:dyDescent="0.25">
      <c r="A5" s="73" t="s">
        <v>1863</v>
      </c>
      <c r="B5" s="119">
        <f>'State 2005 Data'!J7</f>
        <v>21.891378131792443</v>
      </c>
      <c r="C5" s="121">
        <f>H28</f>
        <v>17.697600000000001</v>
      </c>
      <c r="D5" s="75">
        <v>0.41</v>
      </c>
      <c r="E5" s="75">
        <v>0.33</v>
      </c>
      <c r="F5" s="120">
        <f t="shared" si="0"/>
        <v>10.441584000000002</v>
      </c>
      <c r="G5" s="120">
        <f t="shared" si="0"/>
        <v>11.857391999999999</v>
      </c>
      <c r="H5" s="69"/>
      <c r="I5" s="76">
        <f>1-F5/$B5</f>
        <v>0.52302756194065814</v>
      </c>
      <c r="J5" s="76">
        <f t="shared" si="2"/>
        <v>0.45835333305125603</v>
      </c>
      <c r="K5" s="69" t="str">
        <f t="shared" si="3"/>
        <v>In a scenario limiting global warming to 1.5 °C, North Carolina would need to cut its industry emissions by 46 to 52 percent of 2005 levels.</v>
      </c>
      <c r="L5" s="69"/>
      <c r="M5" s="69"/>
      <c r="N5" s="69"/>
      <c r="O5" s="69"/>
      <c r="P5" s="69"/>
      <c r="Q5" s="69"/>
      <c r="R5" s="69"/>
      <c r="S5" s="69"/>
      <c r="T5" s="69"/>
      <c r="U5" s="69"/>
      <c r="V5" s="69"/>
      <c r="W5" s="69"/>
      <c r="X5" s="69"/>
      <c r="Y5" s="69"/>
      <c r="Z5" s="69"/>
    </row>
    <row r="6" spans="1:26" x14ac:dyDescent="0.25">
      <c r="A6" s="73" t="s">
        <v>1864</v>
      </c>
      <c r="B6" s="119">
        <f>'State 2005 Data'!J8</f>
        <v>54.4024799266003</v>
      </c>
      <c r="C6" s="121">
        <f>F28</f>
        <v>48.512099999999997</v>
      </c>
      <c r="D6" s="75">
        <v>0.48</v>
      </c>
      <c r="E6" s="75">
        <v>0.27</v>
      </c>
      <c r="F6" s="120">
        <f>$C6*(1-D6)</f>
        <v>25.226292000000001</v>
      </c>
      <c r="G6" s="120">
        <f t="shared" si="0"/>
        <v>35.413832999999997</v>
      </c>
      <c r="H6" s="69"/>
      <c r="I6" s="76">
        <f t="shared" si="1"/>
        <v>0.53630253558228858</v>
      </c>
      <c r="J6" s="76">
        <f t="shared" si="2"/>
        <v>0.34904009802898217</v>
      </c>
      <c r="K6" s="69" t="str">
        <f t="shared" si="3"/>
        <v>In a scenario limiting global warming to 1.5 °C, North Carolina would need to cut its transportation emissions by 35 to 54 percent of 2005 levels.</v>
      </c>
      <c r="L6" s="69"/>
      <c r="M6" s="69"/>
      <c r="N6" s="69"/>
      <c r="O6" s="69"/>
      <c r="P6" s="69"/>
      <c r="Q6" s="69"/>
      <c r="R6" s="69"/>
      <c r="S6" s="69"/>
      <c r="T6" s="69"/>
      <c r="U6" s="69"/>
      <c r="V6" s="69"/>
      <c r="W6" s="69"/>
      <c r="X6" s="69"/>
      <c r="Y6" s="69"/>
      <c r="Z6" s="69"/>
    </row>
    <row r="7" spans="1:26" x14ac:dyDescent="0.25">
      <c r="A7" s="73" t="s">
        <v>775</v>
      </c>
      <c r="B7" s="119">
        <f>'State 2005 Data'!J9</f>
        <v>11.929893585805139</v>
      </c>
      <c r="C7" s="121">
        <f>D28</f>
        <v>11.0497</v>
      </c>
      <c r="D7" s="75">
        <v>0.06</v>
      </c>
      <c r="E7" s="75">
        <v>0.02</v>
      </c>
      <c r="F7" s="120">
        <f t="shared" si="0"/>
        <v>10.386717999999998</v>
      </c>
      <c r="G7" s="120">
        <f t="shared" si="0"/>
        <v>10.828705999999999</v>
      </c>
      <c r="H7" s="69"/>
      <c r="I7" s="76">
        <f t="shared" si="1"/>
        <v>0.12935367568083744</v>
      </c>
      <c r="J7" s="76">
        <f t="shared" si="2"/>
        <v>9.2304895922575181E-2</v>
      </c>
      <c r="K7" s="69" t="str">
        <f t="shared" si="3"/>
        <v>In a scenario limiting global warming to 1.5 °C, North Carolina would need to cut its agriculture emissions by 9 to 13 percent of 2005 levels.</v>
      </c>
      <c r="L7" s="69"/>
      <c r="M7" s="69"/>
      <c r="N7" s="69"/>
      <c r="O7" s="69"/>
      <c r="P7" s="69"/>
      <c r="Q7" s="69"/>
      <c r="R7" s="69"/>
      <c r="S7" s="69"/>
      <c r="T7" s="69"/>
      <c r="U7" s="69"/>
      <c r="V7" s="69"/>
      <c r="W7" s="69"/>
      <c r="X7" s="69"/>
      <c r="Y7" s="69"/>
      <c r="Z7" s="69"/>
    </row>
    <row r="8" spans="1:26" x14ac:dyDescent="0.25">
      <c r="A8" s="73" t="s">
        <v>1888</v>
      </c>
      <c r="B8" s="119">
        <f>C8</f>
        <v>-54.767699999999998</v>
      </c>
      <c r="C8" s="121">
        <f>J28</f>
        <v>-54.767699999999998</v>
      </c>
      <c r="D8" s="77">
        <v>0</v>
      </c>
      <c r="E8" s="77">
        <v>0</v>
      </c>
      <c r="F8" s="120">
        <f t="shared" si="0"/>
        <v>-54.767699999999998</v>
      </c>
      <c r="G8" s="120">
        <f t="shared" si="0"/>
        <v>-54.767699999999998</v>
      </c>
      <c r="H8" s="69"/>
      <c r="I8" s="76">
        <f t="shared" si="1"/>
        <v>0</v>
      </c>
      <c r="J8" s="76">
        <f t="shared" si="2"/>
        <v>0</v>
      </c>
      <c r="K8" s="69" t="str">
        <f t="shared" si="3"/>
        <v>In a scenario limiting global warming to 1.5 °C, North Carolina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7.1722213404621709</v>
      </c>
      <c r="C9" s="121">
        <f>C28</f>
        <v>3.3863400000000001</v>
      </c>
      <c r="D9" s="75">
        <v>0.06</v>
      </c>
      <c r="E9" s="75">
        <v>0.02</v>
      </c>
      <c r="F9" s="120">
        <f t="shared" si="0"/>
        <v>3.1831595999999998</v>
      </c>
      <c r="G9" s="120">
        <f t="shared" si="0"/>
        <v>3.3186132000000002</v>
      </c>
      <c r="H9" s="69"/>
      <c r="I9" s="76">
        <f t="shared" si="1"/>
        <v>0.55618218556053645</v>
      </c>
      <c r="J9" s="76">
        <f t="shared" si="2"/>
        <v>0.53729632111630399</v>
      </c>
      <c r="K9" s="69" t="str">
        <f t="shared" si="3"/>
        <v>In a scenario limiting global warming to 1.5 °C, North Carolina would need to cut its waste emissions by 54 to 56 percent of 2005 levels.</v>
      </c>
      <c r="L9" s="69"/>
      <c r="M9" s="69"/>
      <c r="N9" s="69"/>
      <c r="O9" s="69"/>
      <c r="P9" s="69"/>
      <c r="Q9" s="69"/>
      <c r="R9" s="69"/>
      <c r="S9" s="69"/>
      <c r="T9" s="69"/>
      <c r="U9" s="69"/>
      <c r="V9" s="69"/>
      <c r="W9" s="69"/>
      <c r="X9" s="69"/>
      <c r="Y9" s="69"/>
      <c r="Z9" s="69"/>
    </row>
    <row r="10" spans="1:26" x14ac:dyDescent="0.25">
      <c r="A10" s="73" t="s">
        <v>1869</v>
      </c>
      <c r="B10" s="122">
        <f>SUM(B3:B9)</f>
        <v>127.11680598900706</v>
      </c>
      <c r="C10" s="122">
        <f>SUM(C3:C9)</f>
        <v>64.863720000000001</v>
      </c>
      <c r="D10" s="76">
        <f>1-F10/$C10</f>
        <v>0.9712686290579694</v>
      </c>
      <c r="E10" s="76">
        <f>1-G10/$C10</f>
        <v>0.65650292335993066</v>
      </c>
      <c r="F10" s="120">
        <f>SUM(F3:F9)</f>
        <v>1.8636236000000075</v>
      </c>
      <c r="G10" s="120">
        <f>SUM(G3:G9)</f>
        <v>22.280498200000004</v>
      </c>
      <c r="H10" s="175">
        <f>IFERROR(B10*(1-'Unique State Inputs'!A$8),"")</f>
        <v>69.914243293953888</v>
      </c>
      <c r="I10" s="76">
        <f t="shared" si="1"/>
        <v>0.98533928235924073</v>
      </c>
      <c r="J10" s="76">
        <f t="shared" si="2"/>
        <v>0.82472421308377741</v>
      </c>
      <c r="K10" s="69" t="str">
        <f t="shared" si="3"/>
        <v>In a scenario limiting global warming to 1.5 °C, North Carolina would need to cut its total (including land use) emissions by 82 to 99 percent of 2005 levels.</v>
      </c>
      <c r="L10" s="69"/>
      <c r="M10" s="69"/>
      <c r="N10" s="69"/>
      <c r="O10" s="69"/>
      <c r="P10" s="69"/>
      <c r="Q10" s="69"/>
      <c r="R10" s="69"/>
      <c r="S10" s="69"/>
      <c r="T10" s="69"/>
      <c r="U10" s="69"/>
      <c r="V10" s="69"/>
      <c r="W10" s="69"/>
      <c r="X10" s="69"/>
      <c r="Y10" s="69"/>
      <c r="Z10" s="69"/>
    </row>
    <row r="11" spans="1:26" x14ac:dyDescent="0.25">
      <c r="A11" s="73" t="s">
        <v>1871</v>
      </c>
      <c r="B11" s="122">
        <f>SUM(B3:B9)-B8</f>
        <v>181.88450598900707</v>
      </c>
      <c r="C11" s="122">
        <f>SUM(C3:C9)-C8</f>
        <v>119.63141999999999</v>
      </c>
      <c r="D11" s="76">
        <f>1-F11/$C11</f>
        <v>0.52661831147703497</v>
      </c>
      <c r="E11" s="76">
        <f>1-G11/$C11</f>
        <v>0.35595349281986277</v>
      </c>
      <c r="F11" s="120">
        <f>F10-F8</f>
        <v>56.631323600000002</v>
      </c>
      <c r="G11" s="120">
        <f>G10-G8</f>
        <v>77.048198200000002</v>
      </c>
      <c r="H11" s="175">
        <f>IFERROR(B11*(1-'Unique State Inputs'!A$8),"")</f>
        <v>100.03647829395389</v>
      </c>
      <c r="I11" s="76">
        <f t="shared" si="1"/>
        <v>0.68864129854236866</v>
      </c>
      <c r="J11" s="76">
        <f t="shared" si="2"/>
        <v>0.57638943580682611</v>
      </c>
      <c r="K11" s="69" t="str">
        <f t="shared" si="3"/>
        <v>In a scenario limiting global warming to 1.5 °C, North Carolina would need to cut its total (excluding land use) emissions by 58 to 69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3.3863400000000001</v>
      </c>
      <c r="D28" s="112">
        <f>'Unique State Inputs'!D4</f>
        <v>11.0497</v>
      </c>
      <c r="E28" s="112">
        <f>'Unique State Inputs'!E4</f>
        <v>9.1327800000000003</v>
      </c>
      <c r="F28" s="112">
        <f>'Unique State Inputs'!F4</f>
        <v>48.512099999999997</v>
      </c>
      <c r="G28" s="112">
        <f>'Unique State Inputs'!G4</f>
        <v>29.852900000000002</v>
      </c>
      <c r="H28" s="112">
        <f>'Unique State Inputs'!H4</f>
        <v>17.697600000000001</v>
      </c>
      <c r="I28" s="112">
        <f>'Unique State Inputs'!I4</f>
        <v>0</v>
      </c>
      <c r="J28" s="112">
        <f>'Unique State Inputs'!J4</f>
        <v>-54.767699999999998</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abSelected="1" topLeftCell="H1" zoomScale="84" zoomScaleNormal="70" workbookViewId="0">
      <pane ySplit="1" topLeftCell="A2" activePane="bottomLeft" state="frozen"/>
      <selection pane="bottomLeft" activeCell="O2" sqref="O2"/>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Calculations'!F10</f>
        <v>1.8636236000000075</v>
      </c>
      <c r="M2" s="95">
        <f>'Target Calculations'!G10</f>
        <v>22.280498200000004</v>
      </c>
      <c r="N2" s="93" t="str">
        <f>'Target Calculations'!K10</f>
        <v>In a scenario limiting global warming to 1.5 °C, North Carolina would need to cut its total (including land use) emissions by 82 to 99 percent of 2005 levels.</v>
      </c>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Calculations'!F11</f>
        <v>56.631323600000002</v>
      </c>
      <c r="M3" s="95">
        <f>'Target Calculations'!G11</f>
        <v>77.048198200000002</v>
      </c>
      <c r="N3" s="93" t="str">
        <f>'Target Calculations'!K11</f>
        <v>In a scenario limiting global warming to 1.5 °C, North Carolina would need to cut its total (excluding land use) emissions by 58 to 69 percent of 2005 levels.</v>
      </c>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4.1097510000000002</v>
      </c>
      <c r="M9" s="95">
        <f>'Target Calculations'!G3</f>
        <v>5.4796680000000002</v>
      </c>
      <c r="N9" s="93" t="str">
        <f>'Target Calculations'!K3</f>
        <v>In a scenario limiting global warming to 1.5 °C, North Carolina would need to cut its buildings emissions by 57 to 68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3.2838189999999998</v>
      </c>
      <c r="M11" s="95">
        <f>'Target Calculations'!G4</f>
        <v>10.149986</v>
      </c>
      <c r="N11" s="93" t="str">
        <f>'Target Calculations'!K4</f>
        <v>In a scenario limiting global warming to 1.5 °C, North Carolina would need to cut its electricity emissions by 86 to 96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10.441584000000002</v>
      </c>
      <c r="M12" s="95">
        <f>'Target Calculations'!G5</f>
        <v>11.857391999999999</v>
      </c>
      <c r="N12" s="93" t="str">
        <f>'Target Calculations'!K5</f>
        <v>In a scenario limiting global warming to 1.5 °C, North Carolina would need to cut its industry emissions by 46 to 52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25.226292000000001</v>
      </c>
      <c r="M14" s="95">
        <f>'Target Calculations'!G6</f>
        <v>35.413832999999997</v>
      </c>
      <c r="N14" s="93" t="str">
        <f>'Target Calculations'!K6</f>
        <v>In a scenario limiting global warming to 1.5 °C, North Carolina would need to cut its transportation emissions by 35 to 54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12% in 2030 that rises to 12%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North Carolina</v>
      </c>
      <c r="B6" s="148">
        <f>SUMIFS(B7:B57,$A7:$A57,$A$6)</f>
        <v>1910</v>
      </c>
      <c r="C6" s="148">
        <f>SUMIFS(C7:C57,$A7:$A57,$A$6)</f>
        <v>10568033</v>
      </c>
      <c r="D6" s="148">
        <f>ROUND(SUMIFS(D7:D57,$A7:$A57,$A$6),2)</f>
        <v>18.07</v>
      </c>
      <c r="E6" s="148">
        <f t="shared" ref="E6:L6" si="0">SUMIFS(E7:E57,$A7:$A57,$A$6)</f>
        <v>0</v>
      </c>
      <c r="F6" s="148">
        <f t="shared" si="0"/>
        <v>0.1137850789011861</v>
      </c>
      <c r="G6" s="148">
        <f t="shared" si="0"/>
        <v>0.12067761835177915</v>
      </c>
      <c r="H6" s="148">
        <f t="shared" si="0"/>
        <v>0.12067761835177915</v>
      </c>
      <c r="I6" s="148">
        <f t="shared" si="0"/>
        <v>17693787</v>
      </c>
      <c r="J6" s="148">
        <f t="shared" si="0"/>
        <v>0</v>
      </c>
      <c r="K6" s="148">
        <f t="shared" si="0"/>
        <v>14042350</v>
      </c>
      <c r="L6" s="148">
        <f t="shared" si="0"/>
        <v>42</v>
      </c>
      <c r="M6" s="148">
        <f>ROUND(SUMIFS(M7:M57,$A7:$A57,$A$6)*100,0)</f>
        <v>-21</v>
      </c>
      <c r="N6" s="148">
        <f>ROUND(SUMIFS(N7:N57,$A7:$A57,$A$6)*100,0)</f>
        <v>0</v>
      </c>
      <c r="O6" s="148">
        <f t="shared" ref="O6:AM6" si="1">ROUND(SUMIFS(O7:O57,$A7:$A57,$A$6),0)</f>
        <v>3285</v>
      </c>
      <c r="P6" s="148">
        <f t="shared" si="1"/>
        <v>1571</v>
      </c>
      <c r="Q6" s="148">
        <f t="shared" si="1"/>
        <v>2760</v>
      </c>
      <c r="R6" s="148">
        <f t="shared" si="1"/>
        <v>0</v>
      </c>
      <c r="S6" s="148">
        <f t="shared" si="1"/>
        <v>0</v>
      </c>
      <c r="T6" s="148">
        <f t="shared" si="1"/>
        <v>152</v>
      </c>
      <c r="U6" s="148">
        <f t="shared" si="1"/>
        <v>0</v>
      </c>
      <c r="V6" s="148">
        <f t="shared" si="1"/>
        <v>0</v>
      </c>
      <c r="W6" s="148">
        <f t="shared" si="1"/>
        <v>0</v>
      </c>
      <c r="X6" s="148">
        <f t="shared" si="1"/>
        <v>10308</v>
      </c>
      <c r="Y6" s="148">
        <f t="shared" si="1"/>
        <v>5373</v>
      </c>
      <c r="Z6" s="148">
        <f t="shared" si="1"/>
        <v>5150</v>
      </c>
      <c r="AA6" s="148">
        <f t="shared" si="1"/>
        <v>1999</v>
      </c>
      <c r="AB6" s="148">
        <f t="shared" si="1"/>
        <v>208</v>
      </c>
      <c r="AC6" s="148">
        <f t="shared" si="1"/>
        <v>4421</v>
      </c>
      <c r="AD6" s="148">
        <f t="shared" si="1"/>
        <v>0</v>
      </c>
      <c r="AE6" s="148">
        <f t="shared" si="1"/>
        <v>310</v>
      </c>
      <c r="AF6" s="148">
        <f t="shared" si="1"/>
        <v>0</v>
      </c>
      <c r="AG6" s="148">
        <f t="shared" si="1"/>
        <v>439</v>
      </c>
      <c r="AH6" s="148">
        <f t="shared" si="1"/>
        <v>5987</v>
      </c>
      <c r="AI6" s="148">
        <f t="shared" si="1"/>
        <v>0</v>
      </c>
      <c r="AJ6" s="148">
        <f t="shared" si="1"/>
        <v>0</v>
      </c>
      <c r="AK6" s="148">
        <f t="shared" si="1"/>
        <v>0</v>
      </c>
      <c r="AL6" s="148">
        <f t="shared" si="1"/>
        <v>0</v>
      </c>
      <c r="AM6" s="148">
        <f t="shared" si="1"/>
        <v>0</v>
      </c>
      <c r="AN6" s="148">
        <f>ROUND(SUMIFS(AN7:AN57,$A7:$A57,$A$6),)</f>
        <v>79</v>
      </c>
      <c r="AO6" s="148">
        <f t="shared" ref="AO6:AP6" si="2">ROUND(SUMIFS(AO7:AO57,$A7:$A57,$A$6),)</f>
        <v>1006</v>
      </c>
      <c r="AP6" s="148">
        <f t="shared" si="2"/>
        <v>0</v>
      </c>
      <c r="AQ6" s="148">
        <f>ROUND(SUMIFS(AQ7:AQ57,$A7:$A57,$A$6),0)</f>
        <v>31</v>
      </c>
      <c r="AR6" s="149">
        <f>SUMIFS(AR7:AR57,$A7:$A57,$A$6)</f>
        <v>0.59739675397718139</v>
      </c>
      <c r="AS6" s="148">
        <f>ROUND(SUMIFS(AS7:AS57,$A7:$A57,$A$6),0)</f>
        <v>1170</v>
      </c>
      <c r="AT6" s="148">
        <f>ROUND(SUMIFS(AT7:AT57,$A7:$A57,$A$6),0)</f>
        <v>1571</v>
      </c>
      <c r="AU6" s="148">
        <f>ROUND(SUMIFS(AU7:AU57,$A7:$A57,$A$6),0)</f>
        <v>4857</v>
      </c>
      <c r="AV6" s="148">
        <f>ROUND(SUMIFS(AV7:AV57,$A7:$A57,$A$6)*100,0)</f>
        <v>11</v>
      </c>
      <c r="AW6" s="148">
        <f>ROUND(SUMIFS(AW7:AW57,$A7:$A57,$A$6)*100,0)</f>
        <v>12</v>
      </c>
      <c r="AX6" s="148">
        <f>ROUND(SUMIFS(AX7:AX57,$A7:$A57,$A$6)*100,0)</f>
        <v>12</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NC</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NC</v>
      </c>
      <c r="D77" s="93">
        <v>2019</v>
      </c>
      <c r="E77" s="93">
        <v>2050</v>
      </c>
    </row>
    <row r="78" spans="1:40" ht="15.95" customHeight="1" x14ac:dyDescent="0.25">
      <c r="B78" s="93" t="s">
        <v>2062</v>
      </c>
      <c r="C78" s="93" t="s">
        <v>497</v>
      </c>
      <c r="D78" s="93" cm="1">
        <f t="array" ref="D78">ROUND(INDEX($B$95:$H$845,MATCH(1,($C78=$E$95:$E$845)*($B78=$F$95:$F$845)*($C$77=$B$95:$B$845),0),MATCH(D$77,$B$95:$H$95,0))*100,1)</f>
        <v>6.5</v>
      </c>
      <c r="E78" s="168" cm="1">
        <f t="array" ref="E78">ROUND(INDEX($B$95:$H$845,MATCH(1,($C78=$E$95:$E$845)*($B78=$F$95:$F$845)*($C$77=$B$95:$B$845),0),MATCH(E$77,$B$95:$H$95,0))*100,1)</f>
        <v>5.8</v>
      </c>
    </row>
    <row r="79" spans="1:40" ht="15.95" customHeight="1" x14ac:dyDescent="0.25">
      <c r="B79" s="168" t="s">
        <v>2062</v>
      </c>
      <c r="C79" s="93" t="s">
        <v>2061</v>
      </c>
      <c r="D79" s="168" cm="1">
        <f t="array" ref="D79">ROUND(INDEX($B$95:$H$845,MATCH(1,($C79=$E$95:$E$845)*($B79=$F$95:$F$845)*($C$77=$B$95:$B$845),0),MATCH(D$77,$B$95:$H$95,0))*100,1)</f>
        <v>66.599999999999994</v>
      </c>
      <c r="E79" s="168" cm="1">
        <f t="array" ref="E79">ROUND(INDEX($B$95:$H$845,MATCH(1,($C79=$E$95:$E$845)*($B79=$F$95:$F$845)*($C$77=$B$95:$B$845),0),MATCH(E$77,$B$95:$H$95,0))*100,1)</f>
        <v>57.8</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6.5</v>
      </c>
      <c r="E81" s="168" cm="1">
        <f t="array" ref="E81">ROUND(INDEX($B$95:$H$845,MATCH(1,($C81=$E$95:$E$845)*($B81=$F$95:$F$845)*($C$77=$B$95:$B$845),0),MATCH(E$77,$B$95:$H$95,0))*100,1)</f>
        <v>5.8</v>
      </c>
    </row>
    <row r="82" spans="2:26" ht="15.95" customHeight="1" x14ac:dyDescent="0.25">
      <c r="B82" s="168" t="s">
        <v>2059</v>
      </c>
      <c r="C82" s="168" t="s">
        <v>2061</v>
      </c>
      <c r="D82" s="168" cm="1">
        <f t="array" ref="D82">ROUND(INDEX($B$95:$H$845,MATCH(1,($C82=$E$95:$E$845)*($B82=$F$95:$F$845)*($C$77=$B$95:$B$845),0),MATCH(D$77,$B$95:$H$95,0))*100,1)</f>
        <v>66.599999999999994</v>
      </c>
      <c r="E82" s="168" cm="1">
        <f t="array" ref="E82">ROUND(INDEX($B$95:$H$845,MATCH(1,($C82=$E$95:$E$845)*($B82=$F$95:$F$845)*($C$77=$B$95:$B$845),0),MATCH(E$77,$B$95:$H$95,0))*100,1)</f>
        <v>57.8</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NC</v>
      </c>
    </row>
    <row r="84" spans="2:26" ht="15.95" customHeight="1" x14ac:dyDescent="0.25">
      <c r="B84" s="93" t="s">
        <v>2063</v>
      </c>
      <c r="C84" s="168" t="s">
        <v>497</v>
      </c>
      <c r="D84" s="168" cm="1">
        <f t="array" ref="D84">ROUND(INDEX($B$95:$H$845,MATCH(1,($C84=$E$95:$E$845)*($B84=$F$95:$F$845)*($C$77=$B$95:$B$845),0),MATCH(D$77,$B$95:$H$95,0))*100,1)</f>
        <v>0.7</v>
      </c>
      <c r="E84" s="168" cm="1">
        <f t="array" ref="E84">ROUND(INDEX($B$95:$H$845,MATCH(1,($C84=$E$95:$E$845)*($B84=$F$95:$F$845)*($C$77=$B$95:$B$845),0),MATCH(E$77,$B$95:$H$95,0))*100,1)</f>
        <v>0.6</v>
      </c>
    </row>
    <row r="85" spans="2:26" ht="15.95" customHeight="1" x14ac:dyDescent="0.25">
      <c r="B85" s="168" t="s">
        <v>2063</v>
      </c>
      <c r="C85" s="168" t="s">
        <v>2061</v>
      </c>
      <c r="D85" s="168" cm="1">
        <f t="array" ref="D85">ROUND(INDEX($B$95:$H$845,MATCH(1,($C85=$E$95:$E$845)*($B85=$F$95:$F$845)*($C$77=$B$95:$B$845),0),MATCH(D$77,$B$95:$H$95,0))*100,1)</f>
        <v>45.9</v>
      </c>
      <c r="E85" s="168" cm="1">
        <f t="array" ref="E85">ROUND(INDEX($B$95:$H$845,MATCH(1,($C85=$E$95:$E$845)*($B85=$F$95:$F$845)*($C$77=$B$95:$B$845),0),MATCH(E$77,$B$95:$H$95,0))*100,1)</f>
        <v>26.9</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71.099999999999994</v>
      </c>
      <c r="E86" s="168" cm="1">
        <f t="array" ref="E86">ROUND(INDEX($B$95:$H$845,MATCH(1,($C86=$E$95:$E$845)*($B86=$F$95:$F$845)*($C$77=$B$95:$B$845),0),MATCH(E$77,$B$95:$H$95,0))*100,1)</f>
        <v>89.1</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0</v>
      </c>
      <c r="N87" s="168" cm="1">
        <f t="array" ref="N87">INDEX($K$95:$Z$195,MATCH(1,($J87=$L$95:$L$195)*($J$83=$K$95:$K$195),0),MATCH(N$85,$K$95:$Z$95,0))</f>
        <v>0</v>
      </c>
      <c r="O87" s="168" cm="1">
        <f t="array" ref="O87">INDEX($K$95:$Z$195,MATCH(1,($J87=$L$95:$L$195)*($J$83=$K$95:$K$195),0),MATCH(O$85,$K$95:$Z$95,0))</f>
        <v>0</v>
      </c>
      <c r="P87" s="168" cm="1">
        <f t="array" ref="P87">INDEX($K$95:$Z$195,MATCH(1,($J87=$L$95:$L$195)*($J$83=$K$95:$K$195),0),MATCH(P$85,$K$95:$Z$95,0))</f>
        <v>0</v>
      </c>
      <c r="Q87" s="168" cm="1">
        <f t="array" ref="Q87">INDEX($K$95:$Z$195,MATCH(1,($J87=$L$95:$L$195)*($J$83=$K$95:$K$195),0),MATCH(Q$85,$K$95:$Z$95,0))</f>
        <v>0</v>
      </c>
      <c r="R87" s="168" cm="1">
        <f t="array" ref="R87">INDEX($K$95:$Z$195,MATCH(1,($J87=$L$95:$L$195)*($J$83=$K$95:$K$195),0),MATCH(R$85,$K$95:$Z$95,0))</f>
        <v>0</v>
      </c>
    </row>
    <row r="88" spans="2:26" ht="15.95" customHeight="1" x14ac:dyDescent="0.25">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North Carolina</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North Carolina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North Carolina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12.675022268432814</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73.813510735914178</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21.891378131792443</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54.4024799266003</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11.929893585805139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-31.78583077705435</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7.1722213404621709</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150.0986752119527</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181.88450598900704</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76" t="s">
        <v>421</v>
      </c>
      <c r="B1" s="272"/>
      <c r="C1" s="272"/>
      <c r="D1" s="272"/>
      <c r="E1" s="272"/>
    </row>
    <row r="2" spans="1:5" x14ac:dyDescent="0.25">
      <c r="A2" s="277" t="s">
        <v>1917</v>
      </c>
      <c r="B2" s="272"/>
      <c r="C2" s="272"/>
      <c r="D2" s="272"/>
      <c r="E2" s="272"/>
    </row>
    <row r="19" spans="1:5" x14ac:dyDescent="0.25">
      <c r="A19" t="s">
        <v>1918</v>
      </c>
    </row>
    <row r="20" spans="1:5" x14ac:dyDescent="0.25">
      <c r="A20">
        <v>155400</v>
      </c>
      <c r="B20" t="s">
        <v>1919</v>
      </c>
    </row>
    <row r="21" spans="1:5" x14ac:dyDescent="0.25">
      <c r="A21" s="277" t="s">
        <v>1920</v>
      </c>
      <c r="B21" s="272"/>
      <c r="C21" s="272"/>
      <c r="D21" s="272"/>
      <c r="E21" s="272"/>
    </row>
    <row r="38" spans="1:5" x14ac:dyDescent="0.25">
      <c r="A38" t="s">
        <v>1918</v>
      </c>
    </row>
    <row r="39" spans="1:5" x14ac:dyDescent="0.25">
      <c r="A39">
        <v>100800</v>
      </c>
      <c r="B39" t="s">
        <v>1919</v>
      </c>
    </row>
    <row r="40" spans="1:5" x14ac:dyDescent="0.25">
      <c r="A40" s="277"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76"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76"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76"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76"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76"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76"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76" t="s">
        <v>516</v>
      </c>
      <c r="B134" s="272"/>
      <c r="C134" s="272"/>
      <c r="D134" s="272"/>
      <c r="E134" s="272"/>
    </row>
    <row r="135" spans="1:12" x14ac:dyDescent="0.25">
      <c r="A135" s="8" t="s">
        <v>1961</v>
      </c>
      <c r="B135" s="43"/>
      <c r="C135" s="43"/>
      <c r="D135" s="43"/>
      <c r="E135" s="43"/>
      <c r="F135" s="43"/>
      <c r="G135" s="43"/>
    </row>
    <row r="136" spans="1:12" ht="15.75" x14ac:dyDescent="0.3">
      <c r="A136" s="9"/>
      <c r="B136" s="279" t="s">
        <v>1962</v>
      </c>
      <c r="C136" s="280"/>
      <c r="D136" s="280"/>
      <c r="E136" s="281"/>
      <c r="F136" s="43"/>
      <c r="G136" s="43"/>
    </row>
    <row r="137" spans="1:12" ht="15.75" x14ac:dyDescent="0.3">
      <c r="A137" s="10"/>
      <c r="B137" s="279" t="s">
        <v>1963</v>
      </c>
      <c r="C137" s="281"/>
      <c r="D137" s="279" t="s">
        <v>1964</v>
      </c>
      <c r="E137" s="281"/>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76"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76"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76"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76"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76"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76"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8"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8"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8"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2021-04-29T19:51:56Z</dcterms:modified>
</cp:coreProperties>
</file>