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89745A8B-E54D-4613-83CF-AA7487E64880}"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E3" i="24"/>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<sst xmlns="http://schemas.openxmlformats.org/spreadsheetml/2006/main" count="35244" uniqueCount="4350">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</sst>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3909</v>
      </c>
      <c r="C1" s="432">
        <v>45467</v>
      </c>
      <c r="G1" s="433" t="s">
        <v>3924</v>
      </c>
      <c r="H1" s="433" t="s">
        <v>3925</v>
      </c>
    </row>
    <row r="2" spans="1:8" x14ac:dyDescent="0.25">
      <c r="B2" t="str">
        <f>_xlfn.XLOOKUP(B1,H:H,G:G,0,0,1)</f>
        <v>OK</v>
      </c>
      <c r="C2" t="str">
        <f>_xlfn.XLOOKUP(B2,G:G, H:H, 0,0,1)</f>
        <v>Oklahoma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Oklahoma.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Oklahoma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PV:**Oklahoma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Wind:**Oklahoma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5"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Oklahoma</v>
      </c>
      <c r="B3" s="394">
        <f>ROUND(SUMIFS(B$4:B$54, $A$4:$A$54, $A$3),0)</f>
        <v>68399</v>
      </c>
      <c r="C3" s="395">
        <f t="shared" ref="C3" si="0">ROUND(SUMIFS(C$4:C$54, $A$4:$A$54, $A$3),0)</f>
        <v>68</v>
      </c>
      <c r="D3" s="394">
        <f>SUMIFS(D$4:D$54, $A$4:$A$54, $A$3)</f>
        <v>0</v>
      </c>
      <c r="E3" s="394">
        <f>SUMIFS(E$4:E$54, $A$4:$A$54, $A$3)</f>
        <v>0</v>
      </c>
      <c r="F3" s="396">
        <f>ROUND(SUMIFS(F$4:F$54,$A$4:$A$54,$A$3)*100,0)</f>
        <v>0</v>
      </c>
      <c r="G3" s="177">
        <f>SUMIFS(G$4:G$54, $A$4:$A$54, $A$3)</f>
        <v>14384521</v>
      </c>
      <c r="H3" s="177">
        <f>SUMIFS(H$4:H$54, $A$4:$A$54, $A$3)</f>
        <v>11919968</v>
      </c>
      <c r="I3" s="396">
        <f>ROUND(SUMIFS(I$4:I$54,$A$4:$A$54,$A$3)*100,0)</f>
        <v>-17</v>
      </c>
      <c r="J3" s="396">
        <f>ROUND(SUMIFS(J$4:J$54, $A$4:$A$54, $A$3),0)</f>
        <v>4313</v>
      </c>
      <c r="K3" s="177">
        <f t="shared" ref="K3:AI3" si="1">ROUND(SUMIFS(K$4:K$54, $A$4:$A$54, $A$3),0)</f>
        <v>1570</v>
      </c>
      <c r="L3" s="396">
        <f t="shared" si="1"/>
        <v>2063</v>
      </c>
      <c r="M3" s="177">
        <f t="shared" si="1"/>
        <v>1850</v>
      </c>
      <c r="N3" s="177">
        <f t="shared" si="1"/>
        <v>250</v>
      </c>
      <c r="O3" s="177">
        <f t="shared" si="1"/>
        <v>0</v>
      </c>
      <c r="P3" s="177">
        <f t="shared" si="1"/>
        <v>0</v>
      </c>
      <c r="Q3" s="177">
        <f t="shared" si="1"/>
        <v>0</v>
      </c>
      <c r="R3" s="177">
        <f t="shared" si="1"/>
        <v>50</v>
      </c>
      <c r="S3" s="396">
        <f t="shared" si="1"/>
        <v>0</v>
      </c>
      <c r="T3" s="177">
        <f t="shared" si="1"/>
        <v>3246</v>
      </c>
      <c r="U3" s="177">
        <f t="shared" si="1"/>
        <v>7321</v>
      </c>
      <c r="V3" s="177">
        <f t="shared" si="1"/>
        <v>0</v>
      </c>
      <c r="W3" s="177">
        <f t="shared" si="1"/>
        <v>864</v>
      </c>
      <c r="X3" s="177">
        <f t="shared" si="1"/>
        <v>8169</v>
      </c>
      <c r="Y3" s="177">
        <f t="shared" si="1"/>
        <v>31</v>
      </c>
      <c r="Z3" s="177">
        <f t="shared" si="1"/>
        <v>0</v>
      </c>
      <c r="AA3" s="177">
        <f t="shared" si="1"/>
        <v>3</v>
      </c>
      <c r="AB3" s="177">
        <f t="shared" si="1"/>
        <v>0</v>
      </c>
      <c r="AC3" s="177">
        <f t="shared" si="1"/>
        <v>65</v>
      </c>
      <c r="AD3" s="177">
        <f t="shared" si="1"/>
        <v>7249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975</v>
      </c>
      <c r="AQ3" s="396">
        <f t="shared" si="3"/>
        <v>4088377</v>
      </c>
      <c r="AR3" s="396">
        <f>ROUND(SUMIFS(AR$4:AR$54,$A$4:$A$54,$A$3),2)</f>
        <v>23.85</v>
      </c>
      <c r="AS3" s="177">
        <f>SUMIFS(AS$4:AS$54, $A$4:$A$54, $A$3)</f>
        <v>1211559100000000</v>
      </c>
      <c r="AT3" s="177">
        <f t="shared" ref="AT3:BH3" si="4">SUMIFS(AT$4:AT$54, $A$4:$A$54, $A$3)</f>
        <v>3272182628088</v>
      </c>
      <c r="AU3" s="177">
        <f t="shared" si="4"/>
        <v>3279078281142.0601</v>
      </c>
      <c r="AV3" s="177">
        <f t="shared" si="4"/>
        <v>40918870918529.703</v>
      </c>
      <c r="AW3" s="177">
        <f t="shared" si="4"/>
        <v>315064379595500</v>
      </c>
      <c r="AX3" s="177">
        <f t="shared" si="4"/>
        <v>1799887716000000</v>
      </c>
      <c r="AY3" s="177">
        <f t="shared" si="4"/>
        <v>213932923974652</v>
      </c>
      <c r="AZ3" s="177">
        <f t="shared" si="4"/>
        <v>450152951148179</v>
      </c>
      <c r="BA3" s="177">
        <f t="shared" si="4"/>
        <v>1283899668393580</v>
      </c>
      <c r="BB3" s="177">
        <f t="shared" si="4"/>
        <v>4682784166304.7002</v>
      </c>
      <c r="BC3" s="177">
        <f t="shared" si="4"/>
        <v>13765443060414.801</v>
      </c>
      <c r="BD3" s="177">
        <f t="shared" si="4"/>
        <v>77359549009847.297</v>
      </c>
      <c r="BE3" s="177">
        <f t="shared" si="4"/>
        <v>312609505393362</v>
      </c>
      <c r="BF3" s="177">
        <f t="shared" si="4"/>
        <v>3175457278562280</v>
      </c>
      <c r="BG3" s="177">
        <f t="shared" si="4"/>
        <v>326041428299364</v>
      </c>
      <c r="BH3" s="177">
        <f t="shared" si="4"/>
        <v>646452281523616</v>
      </c>
      <c r="BI3" s="177">
        <f>ROUND(SUMIFS(BI$4:BI$54,$A$4:$A$54,$A$3),2)</f>
        <v>94.37</v>
      </c>
      <c r="BJ3" s="177">
        <f t="shared" ref="BJ3:BP3" si="5">ROUND(SUMIFS(BJ$4:BJ$54,$A$4:$A$54,$A$3),2)</f>
        <v>69.88</v>
      </c>
      <c r="BK3" s="177">
        <f t="shared" si="5"/>
        <v>23.82</v>
      </c>
      <c r="BL3" s="177">
        <f t="shared" si="5"/>
        <v>52.89</v>
      </c>
      <c r="BM3" s="177">
        <f t="shared" si="5"/>
        <v>100.79</v>
      </c>
      <c r="BN3" s="177">
        <f t="shared" si="5"/>
        <v>56.68</v>
      </c>
      <c r="BO3" s="177">
        <f t="shared" si="5"/>
        <v>65.62</v>
      </c>
      <c r="BP3" s="396">
        <f t="shared" si="5"/>
        <v>69.63</v>
      </c>
      <c r="BQ3" s="396">
        <f t="shared" ref="BQ3:BR3" si="6">ROUND(SUMIFS(BQ$4:BQ$54,$A$4:$A$54,$A$3)*100,0)</f>
        <v>7</v>
      </c>
      <c r="BR3" s="396">
        <f t="shared" si="6"/>
        <v>8</v>
      </c>
      <c r="BS3" s="396">
        <f>ROUND(SUMIFS(BS$4:BS$54,$A$4:$A$54,$A$3)*100,0)</f>
        <v>45</v>
      </c>
      <c r="BT3" s="396">
        <f>ROUND(SUMIFS(BT$4:BT$54,$A$4:$A$54,$A$3)*100,0)</f>
        <v>42</v>
      </c>
      <c r="BU3" s="396">
        <f t="shared" ref="BU3:CH3" si="7">ROUND(SUMIFS(BU$4:BU$54,$A$4:$A$54,$A$3)*100,0)</f>
        <v>63</v>
      </c>
      <c r="BV3" s="396">
        <f t="shared" si="7"/>
        <v>74</v>
      </c>
      <c r="BW3" s="396">
        <f t="shared" si="7"/>
        <v>19</v>
      </c>
      <c r="BX3" s="396">
        <f t="shared" si="7"/>
        <v>31</v>
      </c>
      <c r="BY3" s="396">
        <f t="shared" si="7"/>
        <v>40</v>
      </c>
      <c r="BZ3" s="396">
        <f>ROUND(SUMIFS(BZ$4:BZ$54,$A$4:$A$54,$A$3)*100,0)</f>
        <v>42</v>
      </c>
      <c r="CA3" s="396">
        <f>ROUND(SUMIFS(CA$4:CA$54,$A$4:$A$54,$A$3)*100,0)</f>
        <v>100</v>
      </c>
      <c r="CB3" s="396">
        <f>ROUND(SUMIFS(CB$4:CB$54,$A$4:$A$54,$A$3)*100,0)</f>
        <v>100</v>
      </c>
      <c r="CC3" s="396">
        <f t="shared" si="7"/>
        <v>19</v>
      </c>
      <c r="CD3" s="396">
        <f t="shared" si="7"/>
        <v>31</v>
      </c>
      <c r="CE3" s="396">
        <f t="shared" si="7"/>
        <v>40</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OK</v>
      </c>
      <c r="C1" s="408">
        <f>SUM(C4:C87)</f>
        <v>95.055468321903987</v>
      </c>
      <c r="D1" s="408">
        <f t="shared" ref="D1:AG1" si="0">SUM(D4:D87)</f>
        <v>95.434599839611877</v>
      </c>
      <c r="E1" s="408">
        <f t="shared" si="0"/>
        <v>97.622166821799397</v>
      </c>
      <c r="F1" s="408">
        <f t="shared" si="0"/>
        <v>100.62328745565709</v>
      </c>
      <c r="G1" s="408">
        <f t="shared" si="0"/>
        <v>99.017970691412216</v>
      </c>
      <c r="H1" s="408">
        <f t="shared" si="0"/>
        <v>100.59613694726148</v>
      </c>
      <c r="I1" s="408">
        <f t="shared" si="0"/>
        <v>102.64218739667835</v>
      </c>
      <c r="J1" s="408">
        <f t="shared" si="0"/>
        <v>103.4148741093435</v>
      </c>
      <c r="K1" s="408">
        <f t="shared" si="0"/>
        <v>101.7229455305049</v>
      </c>
      <c r="L1" s="408">
        <f t="shared" si="0"/>
        <v>100.23536313900688</v>
      </c>
      <c r="M1" s="408">
        <f t="shared" si="0"/>
        <v>103.33688443498451</v>
      </c>
      <c r="N1" s="408">
        <f t="shared" si="0"/>
        <v>104.62809458094333</v>
      </c>
      <c r="O1" s="408">
        <f t="shared" si="0"/>
        <v>104.44700248466543</v>
      </c>
      <c r="P1" s="408">
        <f t="shared" si="0"/>
        <v>105.29581579500959</v>
      </c>
      <c r="Q1" s="408">
        <f t="shared" si="0"/>
        <v>104.32157557947691</v>
      </c>
      <c r="R1" s="408">
        <f t="shared" si="0"/>
        <v>110.38918364792482</v>
      </c>
      <c r="S1" s="408">
        <f t="shared" si="0"/>
        <v>112.03564039628428</v>
      </c>
      <c r="T1" s="408">
        <f t="shared" si="0"/>
        <v>112.83165182928728</v>
      </c>
      <c r="U1" s="408">
        <f t="shared" si="0"/>
        <v>115.7051906759129</v>
      </c>
      <c r="V1" s="408">
        <f t="shared" si="0"/>
        <v>109.24383201699979</v>
      </c>
      <c r="W1" s="408">
        <f t="shared" si="0"/>
        <v>108.71300692790201</v>
      </c>
      <c r="X1" s="408">
        <f t="shared" si="0"/>
        <v>109.72321348289329</v>
      </c>
      <c r="Y1" s="408">
        <f t="shared" si="0"/>
        <v>108.5992039285314</v>
      </c>
      <c r="Z1" s="408">
        <f t="shared" si="0"/>
        <v>108.27934288602106</v>
      </c>
      <c r="AA1" s="408">
        <f t="shared" si="0"/>
        <v>109.46939185663668</v>
      </c>
      <c r="AB1" s="408">
        <f t="shared" si="0"/>
        <v>105.22999779157509</v>
      </c>
      <c r="AC1" s="408">
        <f t="shared" si="0"/>
        <v>101.19452616046942</v>
      </c>
      <c r="AD1" s="408">
        <f t="shared" si="0"/>
        <v>98.57379642708301</v>
      </c>
      <c r="AE1" s="408">
        <f t="shared" si="0"/>
        <v>103.88253293887031</v>
      </c>
      <c r="AF1" s="408">
        <f t="shared" si="0"/>
        <v>96.425850595046299</v>
      </c>
      <c r="AG1" s="408">
        <f t="shared" si="0"/>
        <v>89.63444408464278</v>
      </c>
      <c r="AH1" s="408">
        <f>SUM(AH4:AH87)</f>
        <v>92.498424350726367</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412" t="s">
        <v>2220</v>
      </c>
      <c r="B5" s="398" t="s">
        <v>4118</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412" t="s">
        <v>2220</v>
      </c>
      <c r="B6" s="398" t="s">
        <v>4122</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412" t="s">
        <v>2220</v>
      </c>
      <c r="B7" s="398" t="s">
        <v>4124</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412" t="s">
        <v>2220</v>
      </c>
      <c r="B8" s="398" t="s">
        <v>4126</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412" t="s">
        <v>2220</v>
      </c>
      <c r="B9" s="398" t="s">
        <v>4136</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412" t="s">
        <v>2220</v>
      </c>
      <c r="B10" s="398" t="s">
        <v>4145</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412" t="s">
        <v>2220</v>
      </c>
      <c r="B11" s="398" t="s">
        <v>4140</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412" t="s">
        <v>2220</v>
      </c>
      <c r="B13" s="398" t="s">
        <v>4155</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412" t="s">
        <v>2220</v>
      </c>
      <c r="B14" s="398" t="s">
        <v>4173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412" t="s">
        <v>2220</v>
      </c>
      <c r="B17" s="398" t="s">
        <v>4153</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412" t="s">
        <v>2220</v>
      </c>
      <c r="B23" s="398" t="s">
        <v>4161</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412" t="s">
        <v>2220</v>
      </c>
      <c r="B26" s="398" t="s">
        <v>4181</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412" t="s">
        <v>2220</v>
      </c>
      <c r="B30" s="398" t="s">
        <v>4186</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412" t="s">
        <v>2220</v>
      </c>
      <c r="B33" s="398" t="s">
        <v>4163</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3">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3">
        <f>SUMIFS('EPA Export Aggregation'!U:U,'EPA Export Aggregation'!$A:$A,$B33,'EPA Export Aggregation'!$D:$D,$A$1)*IF($A33="CH4",About!$D$58,IF($A33="N2O",About!$D$59,1))</f>
        <v>7.27267716057E-2</v>
      </c>
      <c r="S33" s="413">
        <f>SUMIFS('EPA Export Aggregation'!V:V,'EPA Export Aggregation'!$A:$A,$B33,'EPA Export Aggregation'!$D:$D,$A$1)*IF($A33="CH4",About!$D$58,IF($A33="N2O",About!$D$59,1))</f>
        <v>0</v>
      </c>
      <c r="T33" s="413">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3">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3">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3">
        <f>SUMIFS('EPA Export Aggregation'!AD:AD,'EPA Export Aggregation'!$A:$A,$B33,'EPA Export Aggregation'!$D:$D,$A$1)*IF($A33="CH4",About!$D$58,IF($A33="N2O",About!$D$59,1))</f>
        <v>0.12087377384420001</v>
      </c>
      <c r="AB33" s="413">
        <f>SUMIFS('EPA Export Aggregation'!AE:AE,'EPA Export Aggregation'!$A:$A,$B33,'EPA Export Aggregation'!$D:$D,$A$1)*IF($A33="CH4",About!$D$58,IF($A33="N2O",About!$D$59,1))</f>
        <v>0.1057261798033</v>
      </c>
      <c r="AC33" s="413">
        <f>SUMIFS('EPA Export Aggregation'!AF:AF,'EPA Export Aggregation'!$A:$A,$B33,'EPA Export Aggregation'!$D:$D,$A$1)*IF($A33="CH4",About!$D$58,IF($A33="N2O",About!$D$59,1))</f>
        <v>3.7295866243500002E-2</v>
      </c>
      <c r="AD33" s="413">
        <f>SUMIFS('EPA Export Aggregation'!AG:AG,'EPA Export Aggregation'!$A:$A,$B33,'EPA Export Aggregation'!$D:$D,$A$1)*IF($A33="CH4",About!$D$58,IF($A33="N2O",About!$D$59,1))</f>
        <v>5.4063709978499998E-2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2024-06-24T21:50:13Z</dcterms:modified>
</cp:coreProperties>
</file>