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Pennsylvania\PA-eps\"/>
    </mc:Choice>
  </mc:AlternateContent>
  <xr:revisionPtr revIDLastSave="0" documentId="13_ncr:1_{369088E9-9F89-4ED3-9B53-E545CEFC0819}"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137" i="23"/>
  <c r="T137" i="23" s="1"/>
  <c r="P184" i="19"/>
  <c r="T956" i="23"/>
  <c r="U956" i="23" s="1"/>
  <c r="T80" i="23"/>
  <c r="U79" i="23" s="1"/>
  <c r="L950" i="23"/>
  <c r="T950" i="23" s="1"/>
  <c r="J39" i="30"/>
  <c r="P332" i="19"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955" i="23" s="1"/>
  <c r="T955" i="23" s="1"/>
  <c r="L88" i="3"/>
  <c r="L947" i="23" s="1"/>
  <c r="T947" i="23" s="1"/>
  <c r="Q88" i="3"/>
  <c r="R88" i="3"/>
  <c r="K88" i="3"/>
  <c r="P88" i="3"/>
  <c r="M88" i="3"/>
  <c r="L954" i="23" s="1"/>
  <c r="T954" i="23" s="1"/>
  <c r="I10" i="10"/>
  <c r="J10" i="10"/>
  <c r="J11" i="10"/>
  <c r="I11" i="10"/>
  <c r="K3" i="10"/>
  <c r="L949" i="23" l="1"/>
  <c r="T949" i="23" s="1"/>
  <c r="P546" i="5"/>
  <c r="U219" i="23"/>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<sst xmlns="http://schemas.openxmlformats.org/spreadsheetml/2006/main" count="32060" uniqueCount="2370">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</sst>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105</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Pennsylvania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38.001646417253092</v>
      </c>
      <c r="C3" s="74">
        <f>E28</f>
        <v>3.6472799999999999</v>
      </c>
      <c r="D3" s="75">
        <v>0.55000000000000004</v>
      </c>
      <c r="E3" s="75">
        <v>0.4</v>
      </c>
      <c r="F3" s="117">
        <f t="shared" ref="F3:G9" si="0">$C3*(1-D3)</f>
        <v>1.6412759999999997</v>
      </c>
      <c r="G3" s="117">
        <f t="shared" si="0"/>
        <v>2.1883679999999996</v>
      </c>
      <c r="H3" s="69"/>
      <c r="I3" s="76">
        <f t="shared" ref="I3:I11" si="1">1-F3/$B3</f>
        <v>0.95681039758175201</v>
      </c>
      <c r="J3" s="76">
        <f>1-G3/$B3</f>
        <v>0.94241386344233602</v>
      </c>
      <c r="K3" s="69" t="str">
        <f t="shared" ref="K3:K11" si="2">"In a scenario limiting global warming to 1.5 °C, " &amp; B$1 &amp; " would need to cut its " &amp; A3 &amp; " emissions by " &amp; ROUND(J3*100, 0) &amp; " to " &amp; ROUND(I3*100, 0) &amp; " percent of 2005 levels."</f>
        <v>In a scenario limiting global warming to 1.5 °C, Pennsylvania would need to cut its buildings emissions by 94 to 96 percent of 2005 levels.</v>
      </c>
      <c r="L3" s="69"/>
      <c r="M3" s="69"/>
      <c r="N3" s="69"/>
      <c r="O3" s="69"/>
      <c r="P3" s="69"/>
      <c r="Q3" s="69"/>
      <c r="R3" s="69"/>
      <c r="S3" s="69"/>
      <c r="T3" s="69"/>
      <c r="U3" s="69"/>
      <c r="V3" s="69"/>
      <c r="W3" s="69"/>
      <c r="X3" s="69"/>
      <c r="Y3" s="69"/>
      <c r="Z3" s="69"/>
    </row>
    <row r="4" spans="1:26" ht="14.5" x14ac:dyDescent="0.35">
      <c r="A4" s="73" t="s">
        <v>1027</v>
      </c>
      <c r="B4" s="116">
        <f>'State 2005 Data'!J6</f>
        <v>121.90193477924565</v>
      </c>
      <c r="C4" s="74">
        <f>G28</f>
        <v>12.6975</v>
      </c>
      <c r="D4" s="75">
        <v>0.89</v>
      </c>
      <c r="E4" s="75">
        <v>0.66</v>
      </c>
      <c r="F4" s="117">
        <f t="shared" si="0"/>
        <v>1.3967249999999998</v>
      </c>
      <c r="G4" s="117">
        <f t="shared" si="0"/>
        <v>4.3171499999999998</v>
      </c>
      <c r="H4" s="69"/>
      <c r="I4" s="76">
        <f t="shared" si="1"/>
        <v>0.9885422245140788</v>
      </c>
      <c r="J4" s="76">
        <f t="shared" ref="J4:J11" si="3">1-G4/$B4</f>
        <v>0.96458505758897095</v>
      </c>
      <c r="K4" s="69" t="str">
        <f t="shared" si="2"/>
        <v>In a scenario limiting global warming to 1.5 °C, Pennsylvania would need to cut its electricity emissions by 96 to 99 percent of 2005 levels.</v>
      </c>
      <c r="L4" s="69"/>
      <c r="M4" s="69"/>
      <c r="N4" s="69"/>
      <c r="O4" s="69"/>
      <c r="P4" s="69"/>
      <c r="Q4" s="69"/>
      <c r="R4" s="69"/>
      <c r="S4" s="69"/>
      <c r="T4" s="69"/>
      <c r="U4" s="69"/>
      <c r="V4" s="69"/>
      <c r="W4" s="69"/>
      <c r="X4" s="69"/>
      <c r="Y4" s="69"/>
      <c r="Z4" s="69"/>
    </row>
    <row r="5" spans="1:26" ht="14.5" x14ac:dyDescent="0.35">
      <c r="A5" s="73" t="s">
        <v>1858</v>
      </c>
      <c r="B5" s="116">
        <f>'State 2005 Data'!J7</f>
        <v>92.25339191592559</v>
      </c>
      <c r="C5" s="118">
        <f>H28</f>
        <v>26.9559</v>
      </c>
      <c r="D5" s="75">
        <v>0.41</v>
      </c>
      <c r="E5" s="75">
        <v>0.33</v>
      </c>
      <c r="F5" s="117">
        <f t="shared" si="0"/>
        <v>15.903981000000002</v>
      </c>
      <c r="G5" s="117">
        <f t="shared" si="0"/>
        <v>18.060452999999999</v>
      </c>
      <c r="H5" s="69"/>
      <c r="I5" s="76">
        <f>1-F5/$B5</f>
        <v>0.82760546068057883</v>
      </c>
      <c r="J5" s="76">
        <f t="shared" si="3"/>
        <v>0.80422992992540321</v>
      </c>
      <c r="K5" s="69" t="str">
        <f t="shared" si="2"/>
        <v>In a scenario limiting global warming to 1.5 °C, Pennsylvania would need to cut its industry emissions by 80 to 83 percent of 2005 levels.</v>
      </c>
      <c r="L5" s="69"/>
      <c r="M5" s="69"/>
      <c r="N5" s="69"/>
      <c r="O5" s="69"/>
      <c r="P5" s="69"/>
      <c r="Q5" s="69"/>
      <c r="R5" s="69"/>
      <c r="S5" s="69"/>
      <c r="T5" s="69"/>
      <c r="U5" s="69"/>
      <c r="V5" s="69"/>
      <c r="W5" s="69"/>
      <c r="X5" s="69"/>
      <c r="Y5" s="69"/>
      <c r="Z5" s="69"/>
    </row>
    <row r="6" spans="1:26" ht="14.5" x14ac:dyDescent="0.35">
      <c r="A6" s="73" t="s">
        <v>1859</v>
      </c>
      <c r="B6" s="116">
        <f>'State 2005 Data'!J8</f>
        <v>73.587337772251601</v>
      </c>
      <c r="C6" s="118">
        <f>F28</f>
        <v>14.0167</v>
      </c>
      <c r="D6" s="75">
        <v>0.48</v>
      </c>
      <c r="E6" s="75">
        <v>0.27</v>
      </c>
      <c r="F6" s="117">
        <f>$C6*(1-D6)</f>
        <v>7.2886839999999999</v>
      </c>
      <c r="G6" s="117">
        <f t="shared" si="0"/>
        <v>10.232191</v>
      </c>
      <c r="H6" s="69"/>
      <c r="I6" s="76">
        <f t="shared" si="1"/>
        <v>0.90095192704812832</v>
      </c>
      <c r="J6" s="76">
        <f t="shared" si="3"/>
        <v>0.86095174374064165</v>
      </c>
      <c r="K6" s="69" t="str">
        <f t="shared" si="2"/>
        <v>In a scenario limiting global warming to 1.5 °C, Pennsylvania would need to cut its transportation emissions by 86 to 90 percent of 2005 levels.</v>
      </c>
      <c r="L6" s="69"/>
      <c r="M6" s="69"/>
      <c r="N6" s="69"/>
      <c r="O6" s="69"/>
      <c r="P6" s="69"/>
      <c r="Q6" s="69"/>
      <c r="R6" s="69"/>
      <c r="S6" s="69"/>
      <c r="T6" s="69"/>
      <c r="U6" s="69"/>
      <c r="V6" s="69"/>
      <c r="W6" s="69"/>
      <c r="X6" s="69"/>
      <c r="Y6" s="69"/>
      <c r="Z6" s="69"/>
    </row>
    <row r="7" spans="1:26" ht="14.5" x14ac:dyDescent="0.35">
      <c r="A7" s="73" t="s">
        <v>774</v>
      </c>
      <c r="B7" s="116">
        <f>'State 2005 Data'!J9</f>
        <v>7.7049237356988884</v>
      </c>
      <c r="C7" s="118">
        <f>D28</f>
        <v>7.6132600000000004</v>
      </c>
      <c r="D7" s="75">
        <v>0.06</v>
      </c>
      <c r="E7" s="75">
        <v>0.02</v>
      </c>
      <c r="F7" s="117">
        <f t="shared" si="0"/>
        <v>7.1564643999999999</v>
      </c>
      <c r="G7" s="117">
        <f t="shared" si="0"/>
        <v>7.4609947999999999</v>
      </c>
      <c r="H7" s="69"/>
      <c r="I7" s="76">
        <f t="shared" si="1"/>
        <v>7.1182967478021331E-2</v>
      </c>
      <c r="J7" s="76">
        <f t="shared" si="3"/>
        <v>3.1658838434532877E-2</v>
      </c>
      <c r="K7" s="69" t="str">
        <f t="shared" si="2"/>
        <v>In a scenario limiting global warming to 1.5 °C, Pennsylvania would need to cut its agriculture emissions by 3 to 7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Pennsylvania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4.859659728010298</v>
      </c>
      <c r="C9" s="118">
        <f>C28</f>
        <v>1.59965</v>
      </c>
      <c r="D9" s="75">
        <v>0.06</v>
      </c>
      <c r="E9" s="75">
        <v>0.02</v>
      </c>
      <c r="F9" s="117">
        <f t="shared" si="0"/>
        <v>1.503671</v>
      </c>
      <c r="G9" s="117">
        <f t="shared" si="0"/>
        <v>1.5676570000000001</v>
      </c>
      <c r="H9" s="69"/>
      <c r="I9" s="76">
        <f t="shared" si="1"/>
        <v>0.69058101098455893</v>
      </c>
      <c r="J9" s="76">
        <f t="shared" si="3"/>
        <v>0.6774142454945401</v>
      </c>
      <c r="K9" s="69" t="str">
        <f t="shared" si="2"/>
        <v>In a scenario limiting global warming to 1.5 °C, Pennsylvania would need to cut its waste emissions by 68 to 69 percent of 2005 levels.</v>
      </c>
      <c r="L9" s="69"/>
      <c r="M9" s="69"/>
      <c r="N9" s="69"/>
      <c r="O9" s="69"/>
      <c r="P9" s="69"/>
      <c r="Q9" s="69"/>
      <c r="R9" s="69"/>
      <c r="S9" s="69"/>
      <c r="T9" s="69"/>
      <c r="U9" s="69"/>
      <c r="V9" s="69"/>
      <c r="W9" s="69"/>
      <c r="X9" s="69"/>
      <c r="Y9" s="69"/>
      <c r="Z9" s="69"/>
    </row>
    <row r="10" spans="1:26" ht="14.5" x14ac:dyDescent="0.35">
      <c r="A10" s="73" t="s">
        <v>1864</v>
      </c>
      <c r="B10" s="119">
        <f>SUM(B3:B9)</f>
        <v>331.87053434838515</v>
      </c>
      <c r="C10" s="119">
        <f>SUM(C3:C9)</f>
        <v>60.091929999999991</v>
      </c>
      <c r="D10" s="76">
        <f>1-F10/$C10</f>
        <v>0.52651809652311032</v>
      </c>
      <c r="E10" s="76">
        <f>1-G10/$C10</f>
        <v>0.37781239843686165</v>
      </c>
      <c r="F10" s="117">
        <f>SUM(F3:F9)</f>
        <v>28.452441400000005</v>
      </c>
      <c r="G10" s="117">
        <f>SUM(G3:G9)</f>
        <v>37.388453799999994</v>
      </c>
      <c r="H10" s="171">
        <f>IFERROR(B10*(1-'Unique State Inputs'!A$8),"")</f>
        <v>182.52879389161185</v>
      </c>
      <c r="I10" s="76">
        <f t="shared" si="1"/>
        <v>0.91426644291917847</v>
      </c>
      <c r="J10" s="76">
        <f t="shared" si="3"/>
        <v>0.88734024286485458</v>
      </c>
      <c r="K10" s="69" t="str">
        <f t="shared" si="2"/>
        <v>In a scenario limiting global warming to 1.5 °C, Pennsylvania would need to cut its total (including land use) emissions by 89 to 91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338.30889434838514</v>
      </c>
      <c r="C11" s="119">
        <f>SUM(C3:C9)-C8</f>
        <v>66.530289999999994</v>
      </c>
      <c r="D11" s="76">
        <f>1-F11/$C11</f>
        <v>0.47556516888773503</v>
      </c>
      <c r="E11" s="76">
        <f>1-G11/$C11</f>
        <v>0.34125022151564344</v>
      </c>
      <c r="F11" s="117">
        <f>F10-F8</f>
        <v>34.890801400000008</v>
      </c>
      <c r="G11" s="117">
        <f>G10-G8</f>
        <v>43.826813799999996</v>
      </c>
      <c r="H11" s="171">
        <f>IFERROR(B11*(1-'Unique State Inputs'!A$8),"")</f>
        <v>186.06989189161183</v>
      </c>
      <c r="I11" s="76">
        <f t="shared" si="1"/>
        <v>0.89686702897006898</v>
      </c>
      <c r="J11" s="76">
        <f t="shared" si="3"/>
        <v>0.87045326170210635</v>
      </c>
      <c r="K11" s="69" t="str">
        <f t="shared" si="2"/>
        <v>In a scenario limiting global warming to 1.5 °C, Pennsylvania would need to cut its total (excluding land use) emissions by 87 to 90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Pennsylvania had 1934 EV charging outlets, approximately 15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Pennsylvania had 1934 EV charging outlets, approximately 15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Pennsylvania had 1934 EV charging outlets, approximately 15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Pennsylvania, the share of electricity among fuels used for heating in urban, residential buildings will rise from 6.2% to 12.1%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Pennsylvania, the share of electricity among fuels used for heating in urban, residential buildings will rise from 6.2% to 12.1%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Pennsylvania, the share of electricity among fuels used by appliances in urban, residential buildings will fall from 72.3% to 71.2%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Pennsylvania, the share of electricity among fuels used by appliances in urban, residential buildings will fall from 72.3% to 71.2%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Pennsylvania, the share of electricity among fuels used for heating in rural, residential buildings will rise from 6.2% to 12.1%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Pennsylvania, the share of electricity among fuels used for heating in rural, residential buildings will rise from 6.2% to 12.1%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72.3% to 71.2%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72.3% to 71.2%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Pennsylvania, the share of electricity among fuels used for heating in commercial buildings will fall from 0.3% to 0.2%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Pennsylvania, the share of electricity among fuels used for heating in commercial buildings will fall from 0.3% to 0.2%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Pennsylvania, the share of electricity among fuels used by appliances in commercial buildings will fall from 46.5% to 25.9%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Pennsylvania, the share of electricity among fuels used by appliances in commercial buildings will fall from 46.5% to 25.9%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Pennsylvania, the share of electricity among fuels used by other components in commercial buildings will rise from 94.3% to 98%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Pennsylvania, the share of electricity among fuels used by other components in commercial buildings will rise from 94.3% to 98%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Pennsylvania.//**Natural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Pennsylvania.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Pennsylvania.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Pennsylvania declined by -7%.</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Pennsylvania declined by -7%.</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Pennsylvania declined by -7%.</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Pennsylvania declined by -94%.</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Pennsylvania declined by -94%.</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Pennsylvania declined by -94%.</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Pennsylvania declined by -94%.</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Pennsylvania declined by -94%.</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Pennsylvania declined by -94%.</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Pennsylvania declined by -94%.</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Pennsylvania declined by -94%.</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Pennsylvania declined by -94%.</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Pennsylvania declined by -94%.</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Pennsylvania declined by -94%.</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Pennsylvania declined by -94%.</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Pennsylvania declined by -94%.</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Pennsylvania declined by -94%.</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Pennsylvania declined by -94%.</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Pennsylvania declined by -94%.</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Pennsylvania, a 100% setting provides for an additional 12208 MW of demand response capacity in 2050 (on top of a BAU quantity of 3950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Pennsylvania, a 100% setting provides for an additional 12208 MW of demand response capacity in 2050 (on top of a BAU quantity of 3950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Pennsylvania, a 100% setting provides for an additional 12208 MW of demand response capacity in 2050 (on top of a BAU quantity of 3950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Pennsylvania will retire 1714 MW of coal by 2050. Pennsylvania currently has 9348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Pennsylvania will retire 1714 MW of coal by 2050. Pennsylvania currently has 9348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Pennsylvania will retire 0 MW of gas non-peaking plants by 2050. Pennsylvania currently has 16907MW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Pennsylvania will retire 0 MW of gas non-peaking plants by 2050. Pennsylvania currently has 16907MW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Pennsylvania will retire 803 MW of nuclear capacity by 2050. Pennsylvania currently has 9093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Pennsylvania will retire 803 MW of nuclear capacity by 2050. Pennsylvania currently has 9093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Pennsylvania will retire 69 MW of biomass capacity by 2050. Pennsylvania currently has 191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Pennsylvania will retire 67 MW of petroleum capacity by 2050. Pennsylvania currently has 1548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Pennsylvania will retire 48 MW of natural gas peaker capacity by 2050. Pennsylvania currently has 5957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Pennsylvania will retire 48 MW of natural gas peaker capacity by 2050. Pennsylvania currently has 5957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Pennsylvania will retire 0 MW of natural gas peaker capacity by 2050. Pennsylvania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Pennsylvania will retire 0 MW of natural gas peaker capacity by 2050. Pennsylvania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Pennsylvania had about 0 of grid battery storage.  The BAU scenario is based on EIA AEO data and sees grid battery capacity reach 94 by 2050.  The additional potential is based on NREL's Renewable Electricity Futures Study (80% RE-ITI (2014) scenario) and suggests Pennsylvania could reach 1196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Pennsylvania had about 0 of grid battery storage.  The BAU scenario is based on EIA AEO data and sees grid battery capacity reach 94 by 2050.  The additional potential is based on NREL's Renewable Electricity Futures Study (80% RE-ITI (2014) scenario) and suggests Pennsylvania could reach 1196 of grid battery storage by 2050.</v>
      </c>
      <c r="U255" s="305" t="str">
        <f>N255&amp;O255&amp;P255&amp;T255</f>
        <v>**Description:** This policy causes grid-scale electricity storage from chemical batteries to increase above the amount predicted in the BAU Scenario. // **Guidance for setting values: **In 2019, Pennsylvania had about 0 of grid battery storage.  The BAU scenario is based on EIA AEO data and sees grid battery capacity reach 94 by 2050.  The additional potential is based on NREL's Renewable Electricity Futures Study (80% RE-ITI (2014) scenario) and suggests Pennsylvania could reach 1196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Pennsylvania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**Pennsylvania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Pennsylvania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**Pennsylvania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Pennsylvania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**Pennsylvania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The model assumes that exports represent 0% of Pennsylvania's hard coal production.</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//**Hard Coal : **The model assumes that exports represent 0% of Pennsylvania's hard coal production.</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The model assumes that exports represent 0% of Pennsylvania's natural gas production.</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//**Natural Gas : **The model assumes that exports represent 0% of Pennsylvania's natural gas production.</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The model assumes that exports represent 73.1023998423423% of Pennsylvania's petroleum gasoline production.</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//**Petroleum Gasoline : **The model assumes that exports represent 73.1023998423423% of Pennsylvania's petroleum gasoline production.</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The model assumes that exports represent 93.4450060833252% of Pennsylvania's heavy or residual fuel oil production.</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//**Heavy/Residual Fuel Oil : **The model assumes that exports represent 93.4450060833252% of Pennsylvania's heavy or residual fuel oil production.</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The model assumes that exports represent 73% of Pennsylvania's LPG propane or butane production.</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//**LPG/Propane/Butane : **The model assumes that exports represent 73% of Pennsylvania's LPG propane or butane production.</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87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87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87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Pennsylvania had 1934 EV charging outlets, approximately 15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Pennsylvania.//**Natural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Pennsylvania.//**Natural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Pennsylvania.//**Natural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Pennsylvania.//**Natural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Pennsylvania.//**Natural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Pennsylvania.//**Natural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Pennsylvania.//**Natural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Pennsylvania.//**Natural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Pennsylvania.//**Natural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Pennsylvania.//**Natural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Pennsylvania.//**Natural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Pennsylvania.//**Natural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Pennsylvania.//**Natural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Pennsylvania.//**Natural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Pennsylvania.//**Natural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Pennsylvania.//**Natural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Pennsylvania declined by -7%.</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Pennsylvania, a 100% setting provides for an additional 12208 MW of demand response capacity in 2050 (on top of a BAU quantity of 3950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Pennsylvania had about 0 of grid battery storage.  The BAU scenario is based on EIA AEO data and sees grid battery capacity reach 94 by 2050.  The additional potential is based on NREL's Renewable Electricity Futures Study (80% RE-ITI (2014) scenario) and suggests Pennsylvania could reach 1196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87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Pennsylvania had 1934 EV charging outlets, approximately 15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6.2% to 12.1% through 2050.//**Urban Residential Appliances: **In the BAU case, in Pennsylvania, the share of electricity among fuels used by appliances in urban, residential buildings will fall from 72.3% to 71.2% through 2050.//**Urban Residential Other Components: ** In the BAU case, the share of electricity among fuels used by other components in urban, residential buildings is 100%.//**Rural Residential Heating: **In the BAU case, in Pennsylvania, the share of electricity among fuels used for heating in rural, residential buildings will rise from 6.2% to 12.1% through 2050.//**Rural Residential Appliances: **In the BAU case, in , the share of electricity among fuels used by appliances in rural, residential buildings will fall from 72.3% to 71.2% through 2050.//**Rural Residential Other Components: **In the United States, the share of electricity among fuels used by other components in urban, residential buildings is 100%.//**Commercial Heating: **In the BAU case, in Pennsylvania, the share of electricity among fuels used for heating in commercial buildings will fall from 0.3% to 0.2% through 2050.//**Commercial Appliances: **In the BAU case, in Pennsylvania, the share of electricity among fuels used by appliances in commercial buildings will fall from 46.5% to 25.9% through 2050.//**Commercial Other Components: **In the BAU case, in the Pennsylvania, the share of electricity among fuels used by other components in commercial buildings will rise from 94.3% to 98%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Pennsylvania.//**Natural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Pennsylvania declined by -7%.</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Pennsylvania declined by -94%.//**Natural Gas Nonpeaker : **From 2010-2018, electricity exports in Pennsylvania declined by -94%.//**Nuclear : **From 2010-2018, electricity exports in Pennsylvania declined by -94%.//**Hydro : **From 2010-2018, electricity exports in Pennsylvania declined by -94%.//**Onshore Wind : **From 2010-2018, electricity exports in Pennsylvania declined by -94%.//**Solar PV : **From 2010-2018, electricity exports in Pennsylvania declined by -94%.//**Biomass : **From 2010-2018, electricity exports in Pennsylvania declined by -94%.//**Petroleum : **From 2010-2018, electricity exports in Pennsylvania declined by -94%.</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Pennsylvania, a 100% setting provides for an additional 12208 MW of demand response capacity in 2050 (on top of a BAU quantity of 3950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Pennsylvania will retire 1714 MW of coal by 2050. Pennsylvania currently has 9348 MW of coal capacity.//**Natural Gas Nonpeaker : **The EIA projects that Pennsylvania will retire 0 MW of gas non-peaking plants by 2050. Pennsylvania currently has 16907MW of natural gas non-peaking capacity.//**Nuclear : **The EIA projects that Pennsylvania will retire 803 MW of nuclear capacity by 2050. Pennsylvania currently has 9093 MW of nuclear capacity.//**Natural Gas Peaker : **The EIA projects that Pennsylvania will retire 48 MW of natural gas peaker capacity by 2050. Pennsylvania currently has 5957 MW of natural gas peaker capacity.//**Lignite : **The EIA projects that Pennsylvania will retire 0 MW of natural gas peaker capacity by 2050. Pennsylvania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Pennsylvania had about 0 of grid battery storage.  The BAU scenario is based on EIA AEO data and sees grid battery capacity reach 94 by 2050.  The additional potential is based on NREL's Renewable Electricity Futures Study (80% RE-ITI (2014) scenario) and suggests Pennsylvania could reach 1196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**Pennsylvania does not have a capacity construction subsidy for onshore wind. However, the Investment Tax Credit, a similar program for solar power, covers 30% of system costs through 2019, with declining amounts thereafter.//**Solar PV : **Pennsylvania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**Pennsylvania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87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Pennsylvania had 1934 EV charging outlets, approximately 15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Pennsylvania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Pennsylvania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Pennsylvania,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Pennsylvania, the share of electricity among fuels used for heating in urban, residential buildings will rise from 6.2% to 12.1%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Pennsylvania, the share of electricity among fuels used by appliances in urban, residential buildings will fall from 72.3% to 71.2%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Pennsylvania, the share of electricity among fuels used for heating in rural, residential buildings will rise from 6.2% to 12.1%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72.3% to 71.2%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Pennsylvania, the share of electricity among fuels used for heating in commercial buildings will fall from 0.3% to 0.2%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Pennsylvania, the share of electricity among fuels used by appliances in commercial buildings will fall from 46.5% to 25.9%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Pennsylvania, the share of electricity among fuels used by other components in commercial buildings will rise from 94.3% to 98%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Pennsylvania.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18% in 2050 as a generation-weighted state average. Many states have different requirements for municipalities, co-ops, and investor owned utilities. In 2020, the value is 16%. To set a carbon-free electricity standard that starts ramping up in 2021, the Customize Implementation Schedule feature below allows users to customize the start year setting. Simply take the 16% value, divide by your chosen policy setting, and enter the resulting value in the 'Implementation %' box for 2020.  // **Guidance for setting values:** Multiple states have set 100% clean energy or renewable energy laws or goals, not includingPennsylvania.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declined by -7%.</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declined by -94%.</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declined by -94%.</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declined by -94%.</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declined by -94%.</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declined by -94%.</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declined by -94%.</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declined by -94%.</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Pennsylvania declined by -94%.</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Pennsylvania, a 100% setting provides for an additional 12208 MW of demand response capacity in 2050 (on top of a BAU quantity of 3950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Pennsylvania will retire 1714 MW of coal by 2050. Pennsylvania currently has 9348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Pennsylvania will retire 0 MW of gas non-peaking plants by 2050. Pennsylvania currently has 16907MW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Pennsylvania will retire 803 MW of nuclear capacity by 2050. Pennsylvania currently has 9093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Pennsylvania will retire 69 MW of biomass capacity by 2050. Pennsylvania currently has 191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Pennsylvania will retire 69 MW of biomass capacity by 2050. Pennsylvania currently has 191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Pennsylvania will retire 67 MW of petroleum capacity by 2050. Pennsylvania currently has 1548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Pennsylvania will retire 48 MW of natural gas peaker capacity by 2050. Pennsylvania currently has 5957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Pennsylvania will retire 0 MW of natural gas peaker capacity by 2050. Pennsylvania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Pennsylvania had about 0 of grid battery storage.  The BAU scenario is based on EIA AEO data and sees grid battery capacity reach 94 by 2050.  The additional potential is based on NREL's Renewable Electricity Futures Study (80% RE-ITI (2014) scenario) and suggests Pennsylvania could reach 1196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Pennsylvania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Pennsylvania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Pennsylvania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Pennsylvania's hard coal production.</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Pennsylvania's natural gas production.</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73.1023998423423% of Pennsylvania's petroleum gasoline production.</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93.4450060833252% of Pennsylvania's heavy or residual fuel oil production.</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73% of Pennsylvania's LPG propane or butane production.</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87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Pennsylvania</v>
      </c>
      <c r="B6" s="145">
        <f>SUMIFS(B7:B57,$A7:$A57,$A$6)</f>
        <v>1934</v>
      </c>
      <c r="C6" s="145">
        <f>SUMIFS(C7:C57,$A7:$A57,$A$6)</f>
        <v>12844885</v>
      </c>
      <c r="D6" s="145">
        <f>ROUND(SUMIFS(D7:D57,$A7:$A57,$A$6),2)</f>
        <v>15.06</v>
      </c>
      <c r="E6" s="145">
        <f t="shared" ref="E6:L6" si="0">SUMIFS(E7:E57,$A7:$A57,$A$6)</f>
        <v>0</v>
      </c>
      <c r="F6" s="145">
        <f t="shared" si="0"/>
        <v>0.157</v>
      </c>
      <c r="G6" s="145">
        <f t="shared" si="0"/>
        <v>0.18</v>
      </c>
      <c r="H6" s="145">
        <f t="shared" si="0"/>
        <v>0.18</v>
      </c>
      <c r="I6" s="145">
        <f t="shared" si="0"/>
        <v>888943</v>
      </c>
      <c r="J6" s="145">
        <f t="shared" si="0"/>
        <v>56834118</v>
      </c>
      <c r="K6" s="145">
        <f t="shared" si="0"/>
        <v>56343</v>
      </c>
      <c r="L6" s="145">
        <f t="shared" si="0"/>
        <v>52574530</v>
      </c>
      <c r="M6" s="145">
        <f>ROUND(SUMIFS(M7:M57,$A7:$A57,$A$6)*100,0)</f>
        <v>-94</v>
      </c>
      <c r="N6" s="145">
        <f>ROUND(SUMIFS(N7:N57,$A7:$A57,$A$6)*100,0)</f>
        <v>-7</v>
      </c>
      <c r="O6" s="145">
        <f t="shared" ref="O6:AM6" si="1">ROUND(SUMIFS(O7:O57,$A7:$A57,$A$6),0)</f>
        <v>8258</v>
      </c>
      <c r="P6" s="145">
        <f t="shared" si="1"/>
        <v>3950</v>
      </c>
      <c r="Q6" s="145">
        <f t="shared" si="1"/>
        <v>1714</v>
      </c>
      <c r="R6" s="145">
        <f t="shared" si="1"/>
        <v>0</v>
      </c>
      <c r="S6" s="145">
        <f t="shared" si="1"/>
        <v>803</v>
      </c>
      <c r="T6" s="145">
        <f t="shared" si="1"/>
        <v>69</v>
      </c>
      <c r="U6" s="145">
        <f t="shared" si="1"/>
        <v>67</v>
      </c>
      <c r="V6" s="145">
        <f t="shared" si="1"/>
        <v>48</v>
      </c>
      <c r="W6" s="145">
        <f t="shared" si="1"/>
        <v>0</v>
      </c>
      <c r="X6" s="145">
        <f t="shared" si="1"/>
        <v>9348</v>
      </c>
      <c r="Y6" s="145">
        <f t="shared" si="1"/>
        <v>16907</v>
      </c>
      <c r="Z6" s="145">
        <f t="shared" si="1"/>
        <v>9093</v>
      </c>
      <c r="AA6" s="145">
        <f t="shared" si="1"/>
        <v>900</v>
      </c>
      <c r="AB6" s="145">
        <f t="shared" si="1"/>
        <v>1460</v>
      </c>
      <c r="AC6" s="145">
        <f t="shared" si="1"/>
        <v>68</v>
      </c>
      <c r="AD6" s="145">
        <f t="shared" si="1"/>
        <v>0</v>
      </c>
      <c r="AE6" s="145">
        <f t="shared" si="1"/>
        <v>191</v>
      </c>
      <c r="AF6" s="145">
        <f t="shared" si="1"/>
        <v>0</v>
      </c>
      <c r="AG6" s="145">
        <f t="shared" si="1"/>
        <v>1548</v>
      </c>
      <c r="AH6" s="145">
        <f t="shared" si="1"/>
        <v>5957</v>
      </c>
      <c r="AI6" s="145">
        <f t="shared" si="1"/>
        <v>0</v>
      </c>
      <c r="AJ6" s="145">
        <f t="shared" si="1"/>
        <v>0</v>
      </c>
      <c r="AK6" s="145">
        <f t="shared" si="1"/>
        <v>0</v>
      </c>
      <c r="AL6" s="145">
        <f t="shared" si="1"/>
        <v>0</v>
      </c>
      <c r="AM6" s="145">
        <f t="shared" si="1"/>
        <v>197</v>
      </c>
      <c r="AN6" s="380">
        <f>ROUND(SUMIFS(AN7:AN57,$A7:$A57,$A$6),)</f>
        <v>94</v>
      </c>
      <c r="AO6" s="145">
        <f t="shared" ref="AO6:AP6" si="2">ROUND(SUMIFS(AO7:AO57,$A7:$A57,$A$6),)</f>
        <v>1196</v>
      </c>
      <c r="AP6" s="145">
        <f t="shared" si="2"/>
        <v>0</v>
      </c>
      <c r="AQ6" s="145">
        <f>ROUND(SUMIFS(AQ7:AQ57,$A7:$A57,$A$6),0)</f>
        <v>87</v>
      </c>
      <c r="AR6" s="146">
        <f>SUMIFS(AR7:AR57,$A7:$A57,$A$6)</f>
        <v>0.58606600314300683</v>
      </c>
      <c r="AS6" s="145">
        <f>ROUND(SUMIFS(AS7:AS57,$A7:$A57,$A$6),0)</f>
        <v>2940</v>
      </c>
      <c r="AT6" s="145">
        <f>ROUND(SUMIFS(AT7:AT57,$A7:$A57,$A$6),0)</f>
        <v>3950</v>
      </c>
      <c r="AU6" s="145">
        <f>ROUND(SUMIFS(AU7:AU57,$A7:$A57,$A$6),0)</f>
        <v>12208</v>
      </c>
      <c r="AV6" s="145">
        <f>ROUND(SUMIFS(AV7:AV57,$A7:$A57,$A$6)*100,0)</f>
        <v>16</v>
      </c>
      <c r="AW6" s="145">
        <f>ROUND(SUMIFS(AW7:AW57,$A7:$A57,$A$6)*100,0)</f>
        <v>18</v>
      </c>
      <c r="AX6" s="145">
        <f>ROUND(SUMIFS(AX7:AX57,$A7:$A57,$A$6)*100,0)</f>
        <v>18</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PA</v>
      </c>
      <c r="B63" s="155">
        <f>SUMIFS(B64:B72,$A$64:$A$72,$A$63)</f>
        <v>0</v>
      </c>
      <c r="C63" s="155">
        <f t="shared" ref="C63:Y63" si="9">SUMIFS(C64:C72,$A$64:$A$72,$A$63)</f>
        <v>391368992400000</v>
      </c>
      <c r="D63" s="155">
        <f t="shared" si="9"/>
        <v>25845301793202.898</v>
      </c>
      <c r="E63" s="155">
        <f t="shared" si="9"/>
        <v>0</v>
      </c>
      <c r="F63" s="155">
        <f t="shared" si="9"/>
        <v>94286730970854.797</v>
      </c>
      <c r="G63" s="155">
        <f t="shared" si="9"/>
        <v>5326308840000000</v>
      </c>
      <c r="H63" s="155">
        <f t="shared" si="9"/>
        <v>0</v>
      </c>
      <c r="I63" s="155">
        <f t="shared" si="9"/>
        <v>1594979282691630</v>
      </c>
      <c r="J63" s="155">
        <f t="shared" si="9"/>
        <v>37525711000000</v>
      </c>
      <c r="K63" s="155">
        <f t="shared" si="9"/>
        <v>971019392400000</v>
      </c>
      <c r="L63" s="155">
        <f t="shared" si="9"/>
        <v>27658301793202.898</v>
      </c>
      <c r="M63" s="155">
        <f t="shared" si="9"/>
        <v>73046174750860.5</v>
      </c>
      <c r="N63" s="155">
        <f t="shared" si="9"/>
        <v>128999730970854</v>
      </c>
      <c r="O63" s="155">
        <f t="shared" si="9"/>
        <v>6839503840000000</v>
      </c>
      <c r="P63" s="155">
        <f t="shared" si="9"/>
        <v>213605339025086</v>
      </c>
      <c r="Q63" s="155">
        <f t="shared" si="9"/>
        <v>2178603282691630</v>
      </c>
      <c r="R63" s="155">
        <f t="shared" si="9"/>
        <v>0</v>
      </c>
      <c r="S63" s="156">
        <f t="shared" si="9"/>
        <v>40.304961513969452</v>
      </c>
      <c r="T63" s="156">
        <f t="shared" si="9"/>
        <v>93.445006083325225</v>
      </c>
      <c r="U63" s="156">
        <f t="shared" si="9"/>
        <v>0</v>
      </c>
      <c r="V63" s="156">
        <f t="shared" si="9"/>
        <v>73.090641555026025</v>
      </c>
      <c r="W63" s="156">
        <f t="shared" si="9"/>
        <v>77.875661226326613</v>
      </c>
      <c r="X63" s="156">
        <f t="shared" si="9"/>
        <v>0</v>
      </c>
      <c r="Y63" s="156">
        <f t="shared" si="9"/>
        <v>73.211093335040715</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PA</v>
      </c>
      <c r="D77" s="93">
        <v>2019</v>
      </c>
      <c r="E77" s="93">
        <v>2050</v>
      </c>
    </row>
    <row r="78" spans="1:40" ht="16" customHeight="1" x14ac:dyDescent="0.35">
      <c r="B78" s="93" t="s">
        <v>2056</v>
      </c>
      <c r="C78" s="93" t="s">
        <v>496</v>
      </c>
      <c r="D78" s="93" cm="1">
        <f t="array" ref="D78">ROUND(INDEX($B$95:$H$845,MATCH(1,($C78=$E$95:$E$845)*($B78=$F$95:$F$845)*($C$77=$B$95:$B$845),0),MATCH(D$77,$B$95:$H$95,0))*100,1)</f>
        <v>6.2</v>
      </c>
      <c r="E78" s="165" cm="1">
        <f t="array" ref="E78">ROUND(INDEX($B$95:$H$845,MATCH(1,($C78=$E$95:$E$845)*($B78=$F$95:$F$845)*($C$77=$B$95:$B$845),0),MATCH(E$77,$B$95:$H$95,0))*100,1)</f>
        <v>12.1</v>
      </c>
    </row>
    <row r="79" spans="1:40" ht="16" customHeight="1" x14ac:dyDescent="0.35">
      <c r="B79" s="165" t="s">
        <v>2056</v>
      </c>
      <c r="C79" s="93" t="s">
        <v>2055</v>
      </c>
      <c r="D79" s="165" cm="1">
        <f t="array" ref="D79">ROUND(INDEX($B$95:$H$845,MATCH(1,($C79=$E$95:$E$845)*($B79=$F$95:$F$845)*($C$77=$B$95:$B$845),0),MATCH(D$77,$B$95:$H$95,0))*100,1)</f>
        <v>72.3</v>
      </c>
      <c r="E79" s="165" cm="1">
        <f t="array" ref="E79">ROUND(INDEX($B$95:$H$845,MATCH(1,($C79=$E$95:$E$845)*($B79=$F$95:$F$845)*($C$77=$B$95:$B$845),0),MATCH(E$77,$B$95:$H$95,0))*100,1)</f>
        <v>71.2</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6.2</v>
      </c>
      <c r="E81" s="165" cm="1">
        <f t="array" ref="E81">ROUND(INDEX($B$95:$H$845,MATCH(1,($C81=$E$95:$E$845)*($B81=$F$95:$F$845)*($C$77=$B$95:$B$845),0),MATCH(E$77,$B$95:$H$95,0))*100,1)</f>
        <v>12.1</v>
      </c>
    </row>
    <row r="82" spans="2:26" ht="16" customHeight="1" x14ac:dyDescent="0.35">
      <c r="B82" s="165" t="s">
        <v>2053</v>
      </c>
      <c r="C82" s="165" t="s">
        <v>2055</v>
      </c>
      <c r="D82" s="165" cm="1">
        <f t="array" ref="D82">ROUND(INDEX($B$95:$H$845,MATCH(1,($C82=$E$95:$E$845)*($B82=$F$95:$F$845)*($C$77=$B$95:$B$845),0),MATCH(D$77,$B$95:$H$95,0))*100,1)</f>
        <v>72.3</v>
      </c>
      <c r="E82" s="165" cm="1">
        <f t="array" ref="E82">ROUND(INDEX($B$95:$H$845,MATCH(1,($C82=$E$95:$E$845)*($B82=$F$95:$F$845)*($C$77=$B$95:$B$845),0),MATCH(E$77,$B$95:$H$95,0))*100,1)</f>
        <v>71.2</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PA</v>
      </c>
    </row>
    <row r="84" spans="2:26" ht="16" customHeight="1" x14ac:dyDescent="0.35">
      <c r="B84" s="93" t="s">
        <v>2057</v>
      </c>
      <c r="C84" s="165" t="s">
        <v>496</v>
      </c>
      <c r="D84" s="165" cm="1">
        <f t="array" ref="D84">ROUND(INDEX($B$95:$H$845,MATCH(1,($C84=$E$95:$E$845)*($B84=$F$95:$F$845)*($C$77=$B$95:$B$845),0),MATCH(D$77,$B$95:$H$95,0))*100,1)</f>
        <v>0.3</v>
      </c>
      <c r="E84" s="165" cm="1">
        <f t="array" ref="E84">ROUND(INDEX($B$95:$H$845,MATCH(1,($C84=$E$95:$E$845)*($B84=$F$95:$F$845)*($C$77=$B$95:$B$845),0),MATCH(E$77,$B$95:$H$95,0))*100,1)</f>
        <v>0.2</v>
      </c>
    </row>
    <row r="85" spans="2:26" ht="16" customHeight="1" x14ac:dyDescent="0.35">
      <c r="B85" s="165" t="s">
        <v>2057</v>
      </c>
      <c r="C85" s="165" t="s">
        <v>2055</v>
      </c>
      <c r="D85" s="165" cm="1">
        <f t="array" ref="D85">ROUND(INDEX($B$95:$H$845,MATCH(1,($C85=$E$95:$E$845)*($B85=$F$95:$F$845)*($C$77=$B$95:$B$845),0),MATCH(D$77,$B$95:$H$95,0))*100,1)</f>
        <v>46.5</v>
      </c>
      <c r="E85" s="165" cm="1">
        <f t="array" ref="E85">ROUND(INDEX($B$95:$H$845,MATCH(1,($C85=$E$95:$E$845)*($B85=$F$95:$F$845)*($C$77=$B$95:$B$845),0),MATCH(E$77,$B$95:$H$95,0))*100,1)</f>
        <v>25.9</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94.3</v>
      </c>
      <c r="E86" s="165" cm="1">
        <f t="array" ref="E86">ROUND(INDEX($B$95:$H$845,MATCH(1,($C86=$E$95:$E$845)*($B86=$F$95:$F$845)*($C$77=$B$95:$B$845),0),MATCH(E$77,$B$95:$H$95,0))*100,1)</f>
        <v>98</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25845301793202.898</v>
      </c>
      <c r="N86" s="165" cm="1">
        <f t="array" ref="N86">INDEX($K$95:$Z$195,MATCH(1,($J86=$L$95:$L$195)*($J$83=$K$95:$K$195),0),MATCH(N$85,$K$95:$Z$95,0))</f>
        <v>0</v>
      </c>
      <c r="O86" s="165" cm="1">
        <f t="array" ref="O86">INDEX($K$95:$Z$195,MATCH(1,($J86=$L$95:$L$195)*($J$83=$K$95:$K$195),0),MATCH(O$85,$K$95:$Z$95,0))</f>
        <v>94286730970854.797</v>
      </c>
      <c r="P86" s="165" cm="1">
        <f t="array" ref="P86">INDEX($K$95:$Z$195,MATCH(1,($J86=$L$95:$L$195)*($J$83=$K$95:$K$195),0),MATCH(P$85,$K$95:$Z$95,0))</f>
        <v>0</v>
      </c>
      <c r="Q86" s="165" cm="1">
        <f t="array" ref="Q86">INDEX($K$95:$Z$195,MATCH(1,($J86=$L$95:$L$195)*($J$83=$K$95:$K$195),0),MATCH(Q$85,$K$95:$Z$95,0))</f>
        <v>0</v>
      </c>
      <c r="R86" s="165" cm="1">
        <f t="array" ref="R86">INDEX($K$95:$Z$195,MATCH(1,($J86=$L$95:$L$195)*($J$83=$K$95:$K$195),0),MATCH(R$85,$K$95:$Z$95,0))</f>
        <v>1592611282691630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27658301793202.898</v>
      </c>
      <c r="N87" s="165" cm="1">
        <f t="array" ref="N87">INDEX($K$95:$Z$195,MATCH(1,($J87=$L$95:$L$195)*($J$83=$K$95:$K$195),0),MATCH(N$85,$K$95:$Z$95,0))</f>
        <v>73046174750860.5</v>
      </c>
      <c r="O87" s="165" cm="1">
        <f t="array" ref="O87">INDEX($K$95:$Z$195,MATCH(1,($J87=$L$95:$L$195)*($J$83=$K$95:$K$195),0),MATCH(O$85,$K$95:$Z$95,0))</f>
        <v>128999730970854</v>
      </c>
      <c r="P87" s="165" cm="1">
        <f t="array" ref="P87">INDEX($K$95:$Z$195,MATCH(1,($J87=$L$95:$L$195)*($J$83=$K$95:$K$195),0),MATCH(P$85,$K$95:$Z$95,0))</f>
        <v>0</v>
      </c>
      <c r="Q87" s="165" cm="1">
        <f t="array" ref="Q87">INDEX($K$95:$Z$195,MATCH(1,($J87=$L$95:$L$195)*($J$83=$K$95:$K$195),0),MATCH(Q$85,$K$95:$Z$95,0))</f>
        <v>213605339025086</v>
      </c>
      <c r="R87" s="165" cm="1">
        <f t="array" ref="R87">INDEX($K$95:$Z$195,MATCH(1,($J87=$L$95:$L$195)*($J$83=$K$95:$K$195),0),MATCH(R$85,$K$95:$Z$95,0))</f>
        <v>2178603282691630</v>
      </c>
    </row>
    <row r="88" spans="2:26" ht="16" customHeight="1" x14ac:dyDescent="0.35">
      <c r="J88" s="93" t="s">
        <v>2058</v>
      </c>
      <c r="K88" s="165">
        <f>IFERROR(K86/K87 *100,0)</f>
        <v>0</v>
      </c>
      <c r="L88" s="165">
        <f t="shared" ref="L88:R88" si="19">IFERROR(L86/L87 *100,0)</f>
        <v>0</v>
      </c>
      <c r="M88" s="165">
        <f t="shared" si="19"/>
        <v>93.445006083325225</v>
      </c>
      <c r="N88" s="264">
        <f>ROUND(IFERROR(N86/N87 *100,0),0)</f>
        <v>0</v>
      </c>
      <c r="O88" s="165">
        <f>ROUND(IFERROR(O86/O87 *100,0),0)</f>
        <v>73</v>
      </c>
      <c r="P88" s="165">
        <f t="shared" si="19"/>
        <v>0</v>
      </c>
      <c r="Q88" s="165">
        <f t="shared" si="19"/>
        <v>0</v>
      </c>
      <c r="R88" s="165">
        <f t="shared" si="19"/>
        <v>73.102399842342294</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Pennsylvania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Pennsylvania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Pennsylvania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38.001646417253092</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121.90193477924565</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92.25339191592559</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73.587337772251601</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7.7049237356988884</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-34.910378078828131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4.859659728010298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303.39851626955698</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338.30889434838514</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2021-09-30T18:41:46Z</dcterms:modified>
</cp:coreProperties>
</file>