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RI\webappdata\"/>
    </mc:Choice>
  </mc:AlternateContent>
  <xr:revisionPtr revIDLastSave="0" documentId="8_{6CC666C3-A542-4571-937C-82FABCB58AAD}" xr6:coauthVersionLast="47" xr6:coauthVersionMax="47" xr10:uidLastSave="{00000000-0000-0000-0000-000000000000}"/>
  <bookViews>
    <workbookView xWindow="-120" yWindow="-120" windowWidth="29040" windowHeight="17520" firstSheet="3" activeTab="4"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Z1" i="23" s="1"/>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AA35" i="23"/>
  <c r="Y30" i="23"/>
  <c r="L25" i="23"/>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J32" i="27"/>
  <c r="K32" i="27" s="1"/>
  <c r="O32" i="27"/>
  <c r="P32" i="27" s="1"/>
  <c r="S1" i="23"/>
  <c r="AF1" i="23"/>
  <c r="X1" i="23"/>
  <c r="D1" i="23" l="1"/>
  <c r="AA1" i="23"/>
  <c r="K1" i="23"/>
  <c r="V1" i="23"/>
  <c r="L1" i="23"/>
  <c r="H1" i="23"/>
  <c r="Y1" i="23"/>
  <c r="C1" i="23"/>
  <c r="G41" i="27" s="1"/>
  <c r="P1" i="23"/>
  <c r="U1" i="23"/>
  <c r="I1" i="23"/>
  <c r="T1" i="23"/>
  <c r="AB1" i="23"/>
  <c r="E1" i="23"/>
  <c r="AG1" i="23"/>
  <c r="AC1" i="23"/>
  <c r="Q1" i="23"/>
  <c r="R1" i="23"/>
  <c r="L7" i="29"/>
  <c r="W1" i="23"/>
  <c r="G1" i="23"/>
  <c r="N1" i="23"/>
  <c r="M1" i="23"/>
  <c r="O1" i="23"/>
  <c r="G21" i="27"/>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K6" i="29" l="1"/>
  <c r="L6" i="29" s="1"/>
  <c r="J37" i="19" s="1"/>
  <c r="P355" i="31" s="1"/>
  <c r="O41" i="27"/>
  <c r="P41" i="27" s="1"/>
  <c r="J41" i="27"/>
  <c r="K41" i="27" s="1"/>
  <c r="K2"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<sst xmlns="http://schemas.openxmlformats.org/spreadsheetml/2006/main" count="30815" uniqueCount="2737">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</sst>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2398</v>
      </c>
      <c r="C1" s="193">
        <v>45967</v>
      </c>
      <c r="G1" s="123" t="s">
        <v>2263</v>
      </c>
      <c r="H1" s="123" t="s">
        <v>2264</v>
      </c>
    </row>
    <row r="2" spans="1:8" x14ac:dyDescent="0.25">
      <c r="B2" t="str">
        <f>_xlfn.XLOOKUP(B1,H:H,G:G,0,0,1)</f>
        <v>RI</v>
      </c>
      <c r="C2" t="str">
        <f>_xlfn.XLOOKUP(B2,G:G, H:H, 0,0,1)</f>
        <v>Rhode Island</v>
      </c>
      <c r="G2" t="s">
        <v>2080</v>
      </c>
      <c r="H2" t="s">
        <v>2280</v>
      </c>
    </row>
    <row r="3" spans="1:8" x14ac:dyDescent="0.25">
      <c r="A3" t="s">
        <v>103</v>
      </c>
      <c r="G3" t="s">
        <v>2081</v>
      </c>
      <c r="H3" t="s">
        <v>2281</v>
      </c>
    </row>
    <row r="4" spans="1:8" x14ac:dyDescent="0.25">
      <c r="A4" t="s">
        <v>136</v>
      </c>
      <c r="G4" t="s">
        <v>2082</v>
      </c>
      <c r="H4" t="s">
        <v>2282</v>
      </c>
    </row>
    <row r="5" spans="1:8" x14ac:dyDescent="0.25">
      <c r="A5" t="s">
        <v>107</v>
      </c>
      <c r="G5" t="s">
        <v>2083</v>
      </c>
      <c r="H5" t="s">
        <v>2283</v>
      </c>
    </row>
    <row r="6" spans="1:8" x14ac:dyDescent="0.25">
      <c r="A6" t="s">
        <v>104</v>
      </c>
      <c r="G6" t="s">
        <v>2084</v>
      </c>
      <c r="H6" t="s">
        <v>2284</v>
      </c>
    </row>
    <row r="7" spans="1:8" x14ac:dyDescent="0.25">
      <c r="G7" t="s">
        <v>474</v>
      </c>
      <c r="H7" t="s">
        <v>2290</v>
      </c>
    </row>
    <row r="8" spans="1:8" x14ac:dyDescent="0.25">
      <c r="A8" t="s">
        <v>105</v>
      </c>
      <c r="G8" t="s">
        <v>2085</v>
      </c>
      <c r="H8" t="s">
        <v>2296</v>
      </c>
    </row>
    <row r="9" spans="1:8" x14ac:dyDescent="0.25">
      <c r="A9" t="s">
        <v>106</v>
      </c>
      <c r="G9" t="s">
        <v>2086</v>
      </c>
      <c r="H9" t="s">
        <v>2086</v>
      </c>
    </row>
    <row r="10" spans="1:8" x14ac:dyDescent="0.25">
      <c r="A10" s="36" t="s">
        <v>1003</v>
      </c>
      <c r="G10" t="s">
        <v>2087</v>
      </c>
      <c r="H10" t="s">
        <v>2302</v>
      </c>
    </row>
    <row r="11" spans="1:8" x14ac:dyDescent="0.25">
      <c r="A11" s="36"/>
      <c r="G11" t="s">
        <v>2088</v>
      </c>
      <c r="H11" t="s">
        <v>2307</v>
      </c>
    </row>
    <row r="12" spans="1:8" x14ac:dyDescent="0.25">
      <c r="A12" t="s">
        <v>108</v>
      </c>
      <c r="G12" t="s">
        <v>2089</v>
      </c>
      <c r="H12" t="s">
        <v>2311</v>
      </c>
    </row>
    <row r="13" spans="1:8" x14ac:dyDescent="0.25">
      <c r="A13" t="s">
        <v>109</v>
      </c>
      <c r="G13" t="s">
        <v>2090</v>
      </c>
      <c r="H13" t="s">
        <v>2312</v>
      </c>
    </row>
    <row r="14" spans="1:8" x14ac:dyDescent="0.25">
      <c r="A14" t="s">
        <v>110</v>
      </c>
      <c r="G14" t="s">
        <v>2091</v>
      </c>
      <c r="H14" t="s">
        <v>2313</v>
      </c>
    </row>
    <row r="15" spans="1:8" x14ac:dyDescent="0.25">
      <c r="G15" t="s">
        <v>2092</v>
      </c>
      <c r="H15" t="s">
        <v>2314</v>
      </c>
    </row>
    <row r="16" spans="1:8" x14ac:dyDescent="0.25">
      <c r="A16" s="37" t="s">
        <v>1089</v>
      </c>
      <c r="B16" s="38"/>
      <c r="G16" t="s">
        <v>2093</v>
      </c>
      <c r="H16" t="s">
        <v>2315</v>
      </c>
    </row>
    <row r="17" spans="1:8" x14ac:dyDescent="0.25">
      <c r="A17" t="s">
        <v>1072</v>
      </c>
      <c r="B17" s="15">
        <f>MAX(PolicyLevers!H:H)</f>
        <v>2769</v>
      </c>
      <c r="G17" t="s">
        <v>2094</v>
      </c>
      <c r="H17" t="s">
        <v>2316</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25">
      <c r="G20" t="s">
        <v>2097</v>
      </c>
      <c r="H20" t="s">
        <v>2321</v>
      </c>
    </row>
    <row r="21" spans="1:8" x14ac:dyDescent="0.25">
      <c r="A21" s="37" t="s">
        <v>1437</v>
      </c>
      <c r="B21" s="38"/>
      <c r="G21" t="s">
        <v>2098</v>
      </c>
      <c r="H21" t="s">
        <v>2326</v>
      </c>
    </row>
    <row r="22" spans="1:8" x14ac:dyDescent="0.25">
      <c r="A22" t="s">
        <v>1431</v>
      </c>
      <c r="G22" t="s">
        <v>2099</v>
      </c>
      <c r="H22" t="s">
        <v>2331</v>
      </c>
    </row>
    <row r="23" spans="1:8" x14ac:dyDescent="0.25">
      <c r="A23" t="s">
        <v>1432</v>
      </c>
      <c r="G23" t="s">
        <v>2100</v>
      </c>
      <c r="H23" t="s">
        <v>2337</v>
      </c>
    </row>
    <row r="24" spans="1:8" x14ac:dyDescent="0.25">
      <c r="A24" t="s">
        <v>1433</v>
      </c>
      <c r="G24" t="s">
        <v>2101</v>
      </c>
      <c r="H24" t="s">
        <v>2342</v>
      </c>
    </row>
    <row r="25" spans="1:8" x14ac:dyDescent="0.25">
      <c r="A25" t="s">
        <v>1434</v>
      </c>
      <c r="G25" t="s">
        <v>2102</v>
      </c>
      <c r="H25" t="s">
        <v>2348</v>
      </c>
    </row>
    <row r="26" spans="1:8" x14ac:dyDescent="0.25">
      <c r="G26" t="s">
        <v>2103</v>
      </c>
      <c r="H26" t="s">
        <v>2354</v>
      </c>
    </row>
    <row r="27" spans="1:8" x14ac:dyDescent="0.25">
      <c r="A27" s="37" t="s">
        <v>1435</v>
      </c>
      <c r="B27" s="38"/>
      <c r="C27" s="38"/>
      <c r="G27" t="s">
        <v>2104</v>
      </c>
      <c r="H27" t="s">
        <v>2355</v>
      </c>
    </row>
    <row r="28" spans="1:8" x14ac:dyDescent="0.25">
      <c r="A28" t="s">
        <v>1082</v>
      </c>
      <c r="G28" t="s">
        <v>2105</v>
      </c>
      <c r="H28" t="s">
        <v>2356</v>
      </c>
    </row>
    <row r="29" spans="1:8" x14ac:dyDescent="0.25">
      <c r="A29" t="s">
        <v>1068</v>
      </c>
      <c r="G29" t="s">
        <v>2106</v>
      </c>
      <c r="H29" t="s">
        <v>2358</v>
      </c>
    </row>
    <row r="30" spans="1:8" x14ac:dyDescent="0.25">
      <c r="A30" t="s">
        <v>1069</v>
      </c>
      <c r="G30" t="s">
        <v>2107</v>
      </c>
      <c r="H30" t="s">
        <v>2362</v>
      </c>
    </row>
    <row r="31" spans="1:8" x14ac:dyDescent="0.25">
      <c r="A31" t="s">
        <v>1070</v>
      </c>
      <c r="G31" t="s">
        <v>475</v>
      </c>
      <c r="H31" t="s">
        <v>2363</v>
      </c>
    </row>
    <row r="32" spans="1:8" x14ac:dyDescent="0.25">
      <c r="A32" t="s">
        <v>1071</v>
      </c>
      <c r="G32" t="s">
        <v>2108</v>
      </c>
      <c r="H32" t="s">
        <v>2364</v>
      </c>
    </row>
    <row r="33" spans="1:8" x14ac:dyDescent="0.25">
      <c r="G33" t="s">
        <v>2109</v>
      </c>
      <c r="H33" t="s">
        <v>2369</v>
      </c>
    </row>
    <row r="34" spans="1:8" x14ac:dyDescent="0.25">
      <c r="A34" t="s">
        <v>1083</v>
      </c>
      <c r="G34" t="s">
        <v>2110</v>
      </c>
      <c r="H34" t="s">
        <v>2375</v>
      </c>
    </row>
    <row r="35" spans="1:8" x14ac:dyDescent="0.25">
      <c r="A35" t="s">
        <v>1066</v>
      </c>
      <c r="G35" t="s">
        <v>2111</v>
      </c>
      <c r="H35" t="s">
        <v>2378</v>
      </c>
    </row>
    <row r="36" spans="1:8" x14ac:dyDescent="0.25">
      <c r="A36" t="s">
        <v>1067</v>
      </c>
      <c r="G36" t="s">
        <v>2112</v>
      </c>
      <c r="H36" t="s">
        <v>2382</v>
      </c>
    </row>
    <row r="37" spans="1:8" x14ac:dyDescent="0.25">
      <c r="G37" t="s">
        <v>2113</v>
      </c>
      <c r="H37" t="s">
        <v>2386</v>
      </c>
    </row>
    <row r="38" spans="1:8" x14ac:dyDescent="0.25">
      <c r="A38" t="s">
        <v>1084</v>
      </c>
      <c r="G38" t="s">
        <v>2114</v>
      </c>
      <c r="H38" t="s">
        <v>2387</v>
      </c>
    </row>
    <row r="39" spans="1:8" x14ac:dyDescent="0.25">
      <c r="A39" t="s">
        <v>1073</v>
      </c>
      <c r="G39" t="s">
        <v>2115</v>
      </c>
      <c r="H39" t="s">
        <v>2388</v>
      </c>
    </row>
    <row r="40" spans="1:8" x14ac:dyDescent="0.25">
      <c r="A40" t="s">
        <v>1074</v>
      </c>
      <c r="G40" t="s">
        <v>2116</v>
      </c>
      <c r="H40" t="s">
        <v>2393</v>
      </c>
    </row>
    <row r="41" spans="1:8" x14ac:dyDescent="0.25">
      <c r="G41" t="s">
        <v>2117</v>
      </c>
      <c r="H41" t="s">
        <v>2398</v>
      </c>
    </row>
    <row r="42" spans="1:8" x14ac:dyDescent="0.25">
      <c r="A42" t="s">
        <v>1085</v>
      </c>
      <c r="G42" t="s">
        <v>2118</v>
      </c>
      <c r="H42" t="s">
        <v>2403</v>
      </c>
    </row>
    <row r="43" spans="1:8" x14ac:dyDescent="0.25">
      <c r="A43" t="s">
        <v>1075</v>
      </c>
      <c r="G43" t="s">
        <v>2119</v>
      </c>
      <c r="H43" t="s">
        <v>2404</v>
      </c>
    </row>
    <row r="44" spans="1:8" x14ac:dyDescent="0.25">
      <c r="A44" t="s">
        <v>1076</v>
      </c>
      <c r="G44" t="s">
        <v>2120</v>
      </c>
      <c r="H44" t="s">
        <v>2405</v>
      </c>
    </row>
    <row r="45" spans="1:8" x14ac:dyDescent="0.25">
      <c r="G45" t="s">
        <v>2121</v>
      </c>
      <c r="H45" t="s">
        <v>2406</v>
      </c>
    </row>
    <row r="46" spans="1:8" x14ac:dyDescent="0.25">
      <c r="A46" s="37" t="s">
        <v>1436</v>
      </c>
      <c r="B46" s="38"/>
      <c r="G46" t="s">
        <v>2122</v>
      </c>
      <c r="H46" t="s">
        <v>2407</v>
      </c>
    </row>
    <row r="47" spans="1:8" x14ac:dyDescent="0.25">
      <c r="A47" t="s">
        <v>1077</v>
      </c>
      <c r="G47" t="s">
        <v>2123</v>
      </c>
      <c r="H47" t="s">
        <v>2408</v>
      </c>
    </row>
    <row r="48" spans="1:8" x14ac:dyDescent="0.25">
      <c r="A48" t="s">
        <v>1078</v>
      </c>
      <c r="G48" t="s">
        <v>2124</v>
      </c>
      <c r="H48" t="s">
        <v>2410</v>
      </c>
    </row>
    <row r="49" spans="1:8" x14ac:dyDescent="0.25">
      <c r="G49" t="s">
        <v>2125</v>
      </c>
      <c r="H49" t="s">
        <v>2414</v>
      </c>
    </row>
    <row r="50" spans="1:8" x14ac:dyDescent="0.25">
      <c r="A50" t="s">
        <v>1079</v>
      </c>
      <c r="G50" t="s">
        <v>2126</v>
      </c>
      <c r="H50" t="s">
        <v>2418</v>
      </c>
    </row>
    <row r="51" spans="1:8" x14ac:dyDescent="0.25">
      <c r="A51" t="s">
        <v>1086</v>
      </c>
      <c r="G51" t="s">
        <v>2127</v>
      </c>
      <c r="H51" t="s">
        <v>2419</v>
      </c>
    </row>
    <row r="52" spans="1:8" x14ac:dyDescent="0.25">
      <c r="A52" t="s">
        <v>1080</v>
      </c>
      <c r="G52" t="s">
        <v>2128</v>
      </c>
      <c r="H52" t="s">
        <v>2420</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2597</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2598</v>
      </c>
      <c r="K13" s="88" t="s">
        <v>192</v>
      </c>
      <c r="L13" s="78" t="s">
        <v>193</v>
      </c>
      <c r="M13" s="233" t="s">
        <v>1428</v>
      </c>
    </row>
    <row r="14" spans="1:14" ht="15.75" x14ac:dyDescent="0.25">
      <c r="A14" s="143" t="s">
        <v>4</v>
      </c>
      <c r="B14" s="143" t="s">
        <v>1601</v>
      </c>
      <c r="C14" s="234"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2645</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Rhode Island, the share of electricity among fuels used for heating in urban, residential buildings will rise from 5% to 9% through 2050.//**Urban Residential Appliances:** In the BAU case, in Rhode Island, the share of electricity among fuels used for appliances in urban, residential buildings will fall from 32% to 32% through 2050.//**Urban Residential Other Components:** In the United States, the share of electricity among fuels used by other components in urban, residential buildings is 100%.//**Rural Residential Heating:** In the BAU case, in Rhode Island, the share of electricity among fuels used for heating in rural, residential buildings will rise from 5% to 9% through 2050.//**Rural Residential Appliances:** In the BAU case, in Rhode Island, the share of electricity among fuels used for appliances in rural, residential buildings will fall from 32% to 32% through 2050.//**Rural Residential Other Components:** In the United States, the share of electricity among fuels used by other components in rural, residential buildings is 100%.//**Commercial Heating:** In the BAU case, in Rhode Island, the share of electricity among fuels used for heating in commercial buildings will fall from 3% to 3% through 2050.//**Comercial Appliances:** In the BAU case, in Rhode Island, the share of electricity among fuels used for appliances in commercial buildings will fall from 55% to 52% through 2050.//**Comercial Other Components:** In the BAU case, in Rhode Island, the share of electricity among fuels used for other components in commercial buildings will rise from 60% to 72%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2592</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2624</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2593</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2646</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2594</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Rhode Island.</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Rhode Island.. After weighing for coop and municipality requirements, the BAU assumes a total CES of 72% in 2030 that rises to 100%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The BAU scenario includes a CES alternative compliance payment of roughly 67.07 $/MWh.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Rhode Island.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Rhode Island, a 100% setting provides for an additional  379 MW of demand response capacity in 2050 (on top of a BAU quantity of 181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2637</v>
      </c>
    </row>
    <row r="40" spans="1:14" x14ac:dyDescent="0.25">
      <c r="A40" t="s">
        <v>8</v>
      </c>
      <c r="B40" t="s">
        <v>59</v>
      </c>
      <c r="C40" t="s">
        <v>129</v>
      </c>
      <c r="D40" t="s">
        <v>59</v>
      </c>
      <c r="E40" s="58"/>
      <c r="F40">
        <v>0</v>
      </c>
      <c r="G40">
        <v>1</v>
      </c>
      <c r="H40">
        <v>1</v>
      </c>
      <c r="I40" s="88" t="s">
        <v>29</v>
      </c>
      <c r="J40" s="224" t="s">
        <v>2625</v>
      </c>
    </row>
    <row r="41" spans="1:14" x14ac:dyDescent="0.25">
      <c r="A41" t="s">
        <v>8</v>
      </c>
      <c r="B41" t="s">
        <v>1857</v>
      </c>
      <c r="C41" t="s">
        <v>1858</v>
      </c>
      <c r="D41" t="s">
        <v>1857</v>
      </c>
      <c r="E41" s="58"/>
      <c r="F41">
        <v>0</v>
      </c>
      <c r="G41">
        <v>1</v>
      </c>
      <c r="H41">
        <v>1</v>
      </c>
      <c r="I41" s="88" t="s">
        <v>29</v>
      </c>
      <c r="J41" s="224" t="s">
        <v>2638</v>
      </c>
    </row>
    <row r="42" spans="1:14" s="243" customFormat="1" x14ac:dyDescent="0.25">
      <c r="A42" s="243" t="s">
        <v>8</v>
      </c>
      <c r="B42" s="243" t="s">
        <v>355</v>
      </c>
      <c r="C42" s="243" t="s">
        <v>356</v>
      </c>
      <c r="D42" s="243" t="s">
        <v>355</v>
      </c>
      <c r="E42" s="243" t="s">
        <v>529</v>
      </c>
      <c r="F42" s="244">
        <v>0</v>
      </c>
      <c r="G42" s="244">
        <v>1</v>
      </c>
      <c r="H42" s="244">
        <v>1</v>
      </c>
      <c r="I42" s="245" t="s">
        <v>29</v>
      </c>
      <c r="J42" s="231" t="s">
        <v>2546</v>
      </c>
      <c r="K42" s="245"/>
      <c r="L42" s="246" t="s">
        <v>2547</v>
      </c>
      <c r="M42" s="247"/>
      <c r="N42" s="245"/>
    </row>
    <row r="43" spans="1:14" x14ac:dyDescent="0.25">
      <c r="A43" s="143" t="s">
        <v>8</v>
      </c>
      <c r="B43" s="143" t="s">
        <v>2629</v>
      </c>
      <c r="C43" t="s">
        <v>253</v>
      </c>
      <c r="D43" s="143" t="s">
        <v>252</v>
      </c>
      <c r="E43" t="s">
        <v>528</v>
      </c>
      <c r="F43" s="222">
        <v>-0.3</v>
      </c>
      <c r="G43" s="222">
        <v>0.6</v>
      </c>
      <c r="H43" s="222">
        <v>0.01</v>
      </c>
      <c r="I43" s="78" t="s">
        <v>254</v>
      </c>
      <c r="J43" s="88" t="s">
        <v>2630</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2642</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2626</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2586</v>
      </c>
      <c r="C49" t="s">
        <v>2588</v>
      </c>
      <c r="D49" t="s">
        <v>1795</v>
      </c>
      <c r="E49" t="s">
        <v>2589</v>
      </c>
      <c r="F49" s="216">
        <v>-100</v>
      </c>
      <c r="G49">
        <v>100</v>
      </c>
      <c r="H49">
        <v>1</v>
      </c>
      <c r="I49" s="88" t="s">
        <v>1833</v>
      </c>
      <c r="J49" s="88" t="s">
        <v>2621</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2627</v>
      </c>
      <c r="K51" s="88"/>
      <c r="L51" s="78"/>
      <c r="M51" s="227"/>
    </row>
    <row r="52" spans="1:14" x14ac:dyDescent="0.25">
      <c r="A52" t="s">
        <v>8</v>
      </c>
      <c r="B52" t="s">
        <v>1803</v>
      </c>
      <c r="C52" t="s">
        <v>1804</v>
      </c>
      <c r="D52" t="s">
        <v>1803</v>
      </c>
      <c r="E52" t="s">
        <v>1805</v>
      </c>
      <c r="F52">
        <v>-100</v>
      </c>
      <c r="G52">
        <v>100</v>
      </c>
      <c r="H52">
        <v>1</v>
      </c>
      <c r="I52" s="143" t="s">
        <v>1806</v>
      </c>
      <c r="J52" s="88" t="s">
        <v>2599</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2622</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2595</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2582</v>
      </c>
      <c r="C72" s="112" t="s">
        <v>1941</v>
      </c>
      <c r="D72" s="112" t="s">
        <v>2583</v>
      </c>
      <c r="E72" s="112" t="s">
        <v>2584</v>
      </c>
      <c r="F72" s="250">
        <v>0</v>
      </c>
      <c r="G72" s="250">
        <v>1</v>
      </c>
      <c r="H72" s="250">
        <v>1</v>
      </c>
      <c r="I72" s="236" t="s">
        <v>29</v>
      </c>
      <c r="J72" s="236" t="s">
        <v>2620</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2647</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2648</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2639</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2640</v>
      </c>
      <c r="K91" s="88" t="s">
        <v>239</v>
      </c>
      <c r="L91" s="78" t="s">
        <v>240</v>
      </c>
    </row>
    <row r="92" spans="1:14" x14ac:dyDescent="0.25">
      <c r="A92" s="143" t="s">
        <v>10</v>
      </c>
      <c r="B92" t="s">
        <v>1519</v>
      </c>
      <c r="C92" t="s">
        <v>1562</v>
      </c>
      <c r="D92" s="58"/>
      <c r="E92" s="58"/>
      <c r="F92">
        <v>0</v>
      </c>
      <c r="G92">
        <v>1</v>
      </c>
      <c r="H92">
        <v>1</v>
      </c>
      <c r="I92" s="88" t="s">
        <v>29</v>
      </c>
      <c r="J92" t="s">
        <v>2641</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2635</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25">
      <c r="A2" t="s">
        <v>71</v>
      </c>
      <c r="B2" t="s">
        <v>15</v>
      </c>
      <c r="C2" t="s">
        <v>727</v>
      </c>
      <c r="D2" t="s">
        <v>15</v>
      </c>
      <c r="E2" t="s">
        <v>726</v>
      </c>
      <c r="F2" s="220">
        <v>0</v>
      </c>
      <c r="G2" s="220">
        <v>1</v>
      </c>
      <c r="H2" s="220">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Rhode Island, the share of electricity among fuels used for heating in urban, residential buildings will rise from 5% to 9%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Rhode Island, the share of electricity among fuels used for heating in urban, residential buildings will rise from 5% to 9% through 2050.//**Urban Residential Appliances:** In the BAU case, in Rhode Island, the share of electricity among fuels used for appliances in urban, residential buildings will fall from 32% to 32% through 2050.//**Urban Residential Other Components:** In the United States, the share of electricity among fuels used by other components in urban, residential buildings is 100%.//**Rural Residential Heating:** In the BAU case, in Rhode Island, the share of electricity among fuels used for heating in rural, residential buildings will rise from 5% to 9% through 2050.//**Rural Residential Appliances:** In the BAU case, in Rhode Island, the share of electricity among fuels used for appliances in rural, residential buildings will fall from 32% to 32% through 2050.//**Rural Residential Other Components:** In the United States, the share of electricity among fuels used by other components in rural, residential buildings is 100%.//**Commercial Heating:** In the BAU case, in Rhode Island, the share of electricity among fuels used for heating in commercial buildings will fall from 3% to 3% through 2050.//**Comercial Appliances:** In the BAU case, in Rhode Island, the share of electricity among fuels used for appliances in commercial buildings will fall from 55% to 52% through 2050.//**Comercial Other Components:** In the BAU case, in Rhode Island, the share of electricity among fuels used for other components in commercial buildings will rise from 60% to 72%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Rhode Island, the share of electricity among fuels used for appliances in urban, residential buildings will fall from 32% to 32%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Rhode Island, the share of electricity among fuels used for heating in rural, residential buildings will rise from 5% to 9%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Rhode Island, the share of electricity among fuels used for appliances in rural, residential buildings will fall from 32% to 32%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Rhode Island, the share of electricity among fuels used for heating in commercial buildings will fall from 3% to 3%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Rhode Island, the share of electricity among fuels used for appliances in commercial buildings will fall from 55% to 52%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Rhode Island, the share of electricity among fuels used for other components in commercial buildings will rise from 60% to 72% through 2050.</v>
      </c>
    </row>
    <row r="3" spans="1:20" x14ac:dyDescent="0.25">
      <c r="A3" t="s">
        <v>8</v>
      </c>
      <c r="B3" s="88" t="s">
        <v>1360</v>
      </c>
      <c r="C3" s="221" t="s">
        <v>2527</v>
      </c>
      <c r="D3" s="88" t="s">
        <v>1360</v>
      </c>
      <c r="E3" t="s">
        <v>526</v>
      </c>
      <c r="F3" s="220">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including Rhode Island.. After weighing for coop and municipality requirements, the BAU assumes a total CES of 72% in 2030 that rises to 100%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Rhode Island.. After weighing for coop and municipality requirements, the BAU assumes a total CES of 72% in 2030 that rises to 100%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Rhode Island.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Rhode Island.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2530</v>
      </c>
      <c r="K5" t="str">
        <f>_xlfn.CONCAT("From 2008 to 2021, electricity imports grew by ",'Supporting Data'!F3,"%.")</f>
        <v>From 2008 to 2021, electricity imports grew by -99%.</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row>
    <row r="6" spans="1:20" x14ac:dyDescent="0.25">
      <c r="A6" t="s">
        <v>8</v>
      </c>
      <c r="B6" t="s">
        <v>17</v>
      </c>
      <c r="C6" t="s">
        <v>27</v>
      </c>
      <c r="D6" t="s">
        <v>17</v>
      </c>
      <c r="E6" t="s">
        <v>531</v>
      </c>
      <c r="F6" s="220">
        <v>0</v>
      </c>
      <c r="G6" s="8">
        <v>1</v>
      </c>
      <c r="H6" s="8">
        <v>0.01</v>
      </c>
      <c r="I6" s="88" t="s">
        <v>33</v>
      </c>
      <c r="J6" s="88" t="s">
        <v>2531</v>
      </c>
      <c r="K6" t="str">
        <f>_xlfn.CONCAT("For ", About!$C$2, ", a 100% setting provides for an additional  ",'Supporting Data'!J3," MW of demand response capacity in 2050 (on top of a BAU quantity of ", 'Supporting Data'!L3, " MW).")</f>
        <v>For Rhode Island, a 100% setting provides for an additional  379 MW of demand response capacity in 2050 (on top of a BAU quantity of 181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Rhode Island, a 100% setting provides for an additional  379 MW of demand response capacity in 2050 (on top of a BAU quantity of 181 MW).</v>
      </c>
    </row>
    <row r="7" spans="1:20" x14ac:dyDescent="0.25">
      <c r="A7" s="143" t="s">
        <v>8</v>
      </c>
      <c r="B7" t="s">
        <v>1026</v>
      </c>
      <c r="C7" t="s">
        <v>1028</v>
      </c>
      <c r="D7" t="s">
        <v>1026</v>
      </c>
      <c r="E7" t="s">
        <v>1029</v>
      </c>
      <c r="F7" s="222">
        <v>0</v>
      </c>
      <c r="G7" s="222">
        <v>0.95</v>
      </c>
      <c r="H7" s="222">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Rhode Island does not have a capacity construction subsidy. However, the Investment Tax Credit, a similar program for solar power, covers 30% of system costs through 2019, with declining amounts thereafter.//**Solar PV: **Rhode Island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**Rhode Island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Rhode Island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**Rhode Island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**Rhode Island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1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 thousand acres per year in 2050.</v>
      </c>
    </row>
    <row r="9" spans="1:20" x14ac:dyDescent="0.2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Rhode Island.</v>
      </c>
      <c r="L9" s="143" t="str">
        <f>J9&amp;K9</f>
        <v>**Description:** This policy prevents new capacity of the selected type(s) from being built or deployed.  // **Guidance for setting values:** No new coal is planned in Rhode Island.</v>
      </c>
      <c r="M9" s="102"/>
    </row>
    <row r="10" spans="1:20" ht="165" x14ac:dyDescent="0.25">
      <c r="A10" s="143" t="s">
        <v>4</v>
      </c>
      <c r="B10" s="143" t="s">
        <v>1609</v>
      </c>
      <c r="C10" t="s">
        <v>1611</v>
      </c>
      <c r="D10" s="143" t="s">
        <v>1613</v>
      </c>
      <c r="E10" t="s">
        <v>1614</v>
      </c>
      <c r="F10" s="223">
        <v>0</v>
      </c>
      <c r="G10" s="223">
        <v>50000</v>
      </c>
      <c r="H10" s="223">
        <v>100</v>
      </c>
      <c r="I10" s="223" t="s">
        <v>1616</v>
      </c>
      <c r="J10" s="224" t="s">
        <v>2643</v>
      </c>
      <c r="K10" s="219" t="str">
        <f>_xlfn.CONCAT(IF('Supporting Data'!$AN$3=0," This state has no additional state subsidies. ",_xlfn.CONCAT(" As of late 2020, there is an additional state subsidy of $",'Supporting Data'!$AN$3,".")))</f>
        <v xml:space="preserve"> This state has no additional state subsidies. </v>
      </c>
      <c r="L10" s="219"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2644</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Rhode Island will retire 0 MW of coal by 2050. Rhode Island currently has 0 MW of coal capacity.</v>
      </c>
      <c r="L12" s="78" t="str">
        <f>J12&amp;K12&amp;M12&amp;N12&amp;O12&amp;P12</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RI will retire 0 MW of natural gas by 2050. RI currently has 1787 MW of natural gas non-peaker capacity.</v>
      </c>
      <c r="N12" t="str">
        <f>_xlfn.CONCAT("//**Nuclear:** The EIA projects that ", About!B2, " will retire ", 'Supporting Data'!$O$3, " MW of nuclear by 2050. ", About!B2, " currently has ",'Supporting Data'!$V$3, " MW of nuclear capacity." )</f>
        <v>//**Nuclear:** The EIA projects that RI will retire 0 MW of nuclear by 2050. RI currently has 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RI will retire 0 MW of natural gas by 2050. RI currently has 0 MW of natural gas peaker capacity.</v>
      </c>
      <c r="P12" t="str">
        <f>_xlfn.CONCAT("//**Lignite:** The EIA projects that ", About!B2, " will retire ", 'Supporting Data'!$S$3, " MW of lignite by 2050. ", About!B2, " currently has ",'Supporting Data'!$AE$3, " MW of lignite capacity." )</f>
        <v>//**Lignite:** The EIA projects that RI will retire 0 MW of lignite by 2050. RI currently has 0 MW of lignite capacity.</v>
      </c>
    </row>
    <row r="13" spans="1:20" x14ac:dyDescent="0.25">
      <c r="A13" t="s">
        <v>9</v>
      </c>
      <c r="B13" t="s">
        <v>731</v>
      </c>
      <c r="C13" t="s">
        <v>732</v>
      </c>
      <c r="D13" t="s">
        <v>732</v>
      </c>
      <c r="E13" t="s">
        <v>733</v>
      </c>
      <c r="F13" s="220">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 xml:space="preserve">//**Crude oil:**: The model assumes the state has no crude oil production. </v>
      </c>
      <c r="N13"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t="str">
        <f>_xlfn.CONCAT(IF('Supporting Data'!$BF$3=0,"//**Natural gas:** The model assumes the state has no natural gas production. ",_xlfn.CONCAT("//**Natural gas:** The model assumes that exports represent ",'Supporting Data'!BN3,"% of the state's production.")))</f>
        <v xml:space="preserve">//**Natural gas:** The model assumes the state has no natural gas production. </v>
      </c>
      <c r="R13"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0">
        <v>0</v>
      </c>
      <c r="G14" s="220">
        <v>0.75</v>
      </c>
      <c r="H14" s="220">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2539</v>
      </c>
      <c r="N14" s="88"/>
    </row>
    <row r="15" spans="1:20" x14ac:dyDescent="0.25">
      <c r="K15" s="58" t="s">
        <v>2540</v>
      </c>
      <c r="M15" s="58" t="s">
        <v>2541</v>
      </c>
    </row>
    <row r="16" spans="1:20" x14ac:dyDescent="0.25">
      <c r="A16" s="143" t="s">
        <v>4</v>
      </c>
      <c r="B16" s="143" t="s">
        <v>1601</v>
      </c>
      <c r="C16" t="s">
        <v>2585</v>
      </c>
      <c r="D16" s="143" t="s">
        <v>1602</v>
      </c>
      <c r="E16" t="s">
        <v>1603</v>
      </c>
      <c r="F16" s="220">
        <v>0</v>
      </c>
      <c r="G16" s="220">
        <v>1</v>
      </c>
      <c r="H16" s="220">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adopted ACC and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25">
      <c r="A17" t="s">
        <v>8</v>
      </c>
      <c r="B17" s="88" t="s">
        <v>2544</v>
      </c>
      <c r="C17" t="s">
        <v>1889</v>
      </c>
      <c r="F17" s="143">
        <v>0</v>
      </c>
      <c r="G17" s="143">
        <v>1000</v>
      </c>
      <c r="H17" s="228">
        <v>20</v>
      </c>
      <c r="I17" s="143" t="s">
        <v>1835</v>
      </c>
      <c r="J17" s="88" t="s">
        <v>1887</v>
      </c>
      <c r="K17" t="s">
        <v>2545</v>
      </c>
      <c r="L17" t="str">
        <f>M17&amp;K17</f>
        <v>**Description:** The BAU scenario includes a CES alternative compliance payment of roughly 67.07 $/MWh.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**Description:** The BAU scenario includes a CES alternative compliance payment of roughly 67.07 $/MWh.</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2435</v>
      </c>
      <c r="C1" s="263"/>
      <c r="D1" s="161"/>
      <c r="E1" s="162" t="s">
        <v>2436</v>
      </c>
      <c r="F1" s="163"/>
      <c r="H1" s="162" t="s">
        <v>2437</v>
      </c>
      <c r="J1" s="164" t="s">
        <v>2438</v>
      </c>
      <c r="K1" s="263" t="s">
        <v>2439</v>
      </c>
      <c r="L1" s="263"/>
      <c r="M1" s="263" t="s">
        <v>2440</v>
      </c>
      <c r="N1" s="263"/>
      <c r="O1" s="263"/>
      <c r="P1" s="263"/>
      <c r="Q1" s="263"/>
      <c r="R1" s="263"/>
      <c r="S1" s="263"/>
      <c r="T1" s="263" t="s">
        <v>2441</v>
      </c>
      <c r="U1" s="263"/>
      <c r="V1" s="263"/>
      <c r="W1" s="263"/>
      <c r="X1" s="263"/>
      <c r="Y1" s="263"/>
      <c r="Z1" s="263"/>
      <c r="AA1" s="263"/>
      <c r="AB1" s="263"/>
      <c r="AC1" s="263"/>
      <c r="AD1" s="263"/>
      <c r="AE1" s="263"/>
      <c r="AF1" s="263"/>
      <c r="AG1" s="263"/>
      <c r="AH1" s="263"/>
      <c r="AI1" s="264"/>
      <c r="AJ1" s="258" t="s">
        <v>2442</v>
      </c>
      <c r="AK1" s="258"/>
      <c r="AL1" s="258"/>
      <c r="AM1"/>
      <c r="AN1" s="262" t="s">
        <v>2443</v>
      </c>
      <c r="AO1" s="262"/>
      <c r="AQ1" t="s">
        <v>2444</v>
      </c>
      <c r="AS1" s="254" t="s">
        <v>2445</v>
      </c>
      <c r="AT1" s="255"/>
      <c r="AU1" s="255"/>
      <c r="AV1" s="255"/>
      <c r="AW1" s="255"/>
      <c r="AX1" s="255"/>
      <c r="AY1" s="255"/>
      <c r="AZ1" s="255"/>
      <c r="BA1" s="254" t="s">
        <v>2446</v>
      </c>
      <c r="BB1" s="255"/>
      <c r="BC1" s="255"/>
      <c r="BD1" s="255"/>
      <c r="BE1" s="255"/>
      <c r="BF1" s="255"/>
      <c r="BG1" s="255"/>
      <c r="BH1" s="255"/>
      <c r="BI1" s="256" t="s">
        <v>2447</v>
      </c>
      <c r="BJ1" s="257"/>
      <c r="BK1" s="257"/>
      <c r="BL1" s="257"/>
      <c r="BM1" s="257"/>
      <c r="BN1" s="257"/>
      <c r="BO1" s="257"/>
      <c r="BP1" s="257"/>
      <c r="BQ1" s="258" t="s">
        <v>2448</v>
      </c>
      <c r="BR1" s="258"/>
      <c r="BS1" s="258"/>
      <c r="BT1" s="258"/>
      <c r="BU1" s="258"/>
      <c r="BV1" s="258"/>
      <c r="BW1" s="258"/>
      <c r="BX1" s="258"/>
      <c r="BY1" s="258"/>
      <c r="BZ1" s="258"/>
      <c r="CA1" s="258"/>
      <c r="CB1" s="258"/>
      <c r="CC1" s="258"/>
      <c r="CD1" s="258"/>
      <c r="CE1" s="258"/>
      <c r="CF1" s="258"/>
      <c r="CG1" s="258"/>
      <c r="CH1" s="258"/>
      <c r="CI1" s="259" t="s">
        <v>2449</v>
      </c>
      <c r="CJ1" s="260"/>
      <c r="CK1" s="261"/>
      <c r="CL1" s="38" t="s">
        <v>2450</v>
      </c>
    </row>
    <row r="2" spans="1:91" s="146" customFormat="1" ht="59.1" customHeight="1" thickBot="1" x14ac:dyDescent="0.3">
      <c r="A2" s="65"/>
      <c r="B2" s="165" t="s">
        <v>2451</v>
      </c>
      <c r="C2" s="166" t="s">
        <v>2452</v>
      </c>
      <c r="D2" s="65" t="s">
        <v>2453</v>
      </c>
      <c r="E2" s="65" t="s">
        <v>2454</v>
      </c>
      <c r="F2" s="166" t="s">
        <v>2455</v>
      </c>
      <c r="G2" s="65" t="s">
        <v>2456</v>
      </c>
      <c r="H2" s="65" t="s">
        <v>2457</v>
      </c>
      <c r="I2" s="166" t="s">
        <v>2458</v>
      </c>
      <c r="J2" s="166" t="s">
        <v>2459</v>
      </c>
      <c r="K2" s="167" t="s">
        <v>2460</v>
      </c>
      <c r="L2" s="168" t="s">
        <v>2461</v>
      </c>
      <c r="M2" s="169" t="s">
        <v>2462</v>
      </c>
      <c r="N2" s="169" t="s">
        <v>2463</v>
      </c>
      <c r="O2" s="169" t="s">
        <v>2464</v>
      </c>
      <c r="P2" s="169" t="s">
        <v>2465</v>
      </c>
      <c r="Q2" s="169" t="s">
        <v>2466</v>
      </c>
      <c r="R2" s="169" t="s">
        <v>2467</v>
      </c>
      <c r="S2" s="170" t="s">
        <v>2468</v>
      </c>
      <c r="T2" s="171" t="s">
        <v>2469</v>
      </c>
      <c r="U2" s="171" t="s">
        <v>2470</v>
      </c>
      <c r="V2" s="171" t="s">
        <v>2471</v>
      </c>
      <c r="W2" s="171" t="s">
        <v>2472</v>
      </c>
      <c r="X2" s="171" t="s">
        <v>2473</v>
      </c>
      <c r="Y2" s="171" t="s">
        <v>2474</v>
      </c>
      <c r="Z2" s="171" t="s">
        <v>2475</v>
      </c>
      <c r="AA2" s="171" t="s">
        <v>2476</v>
      </c>
      <c r="AB2" s="171" t="s">
        <v>2477</v>
      </c>
      <c r="AC2" s="171" t="s">
        <v>2478</v>
      </c>
      <c r="AD2" s="171" t="s">
        <v>2479</v>
      </c>
      <c r="AE2" s="171" t="s">
        <v>2480</v>
      </c>
      <c r="AF2" s="171" t="s">
        <v>2481</v>
      </c>
      <c r="AG2" s="171" t="s">
        <v>2482</v>
      </c>
      <c r="AH2" s="171" t="s">
        <v>2483</v>
      </c>
      <c r="AI2" s="172" t="s">
        <v>2484</v>
      </c>
      <c r="AJ2" s="146">
        <v>2021</v>
      </c>
      <c r="AK2" s="146">
        <v>2030</v>
      </c>
      <c r="AL2" s="146">
        <v>2050</v>
      </c>
      <c r="AM2" s="173" t="s">
        <v>2485</v>
      </c>
      <c r="AN2" s="174" t="s">
        <v>2486</v>
      </c>
      <c r="AO2" s="166" t="s">
        <v>2487</v>
      </c>
      <c r="AP2" s="175" t="s">
        <v>2488</v>
      </c>
      <c r="AQ2" s="175" t="s">
        <v>2489</v>
      </c>
      <c r="AR2" s="173" t="s">
        <v>2490</v>
      </c>
      <c r="AS2" s="176" t="s">
        <v>708</v>
      </c>
      <c r="AT2" s="176" t="s">
        <v>447</v>
      </c>
      <c r="AU2" s="176" t="s">
        <v>2491</v>
      </c>
      <c r="AV2" s="176" t="s">
        <v>716</v>
      </c>
      <c r="AW2" s="176" t="s">
        <v>709</v>
      </c>
      <c r="AX2" s="176" t="s">
        <v>46</v>
      </c>
      <c r="AY2" s="176" t="s">
        <v>54</v>
      </c>
      <c r="AZ2" s="177" t="s">
        <v>53</v>
      </c>
      <c r="BA2" s="176" t="s">
        <v>708</v>
      </c>
      <c r="BB2" s="176" t="s">
        <v>447</v>
      </c>
      <c r="BC2" s="176" t="s">
        <v>2491</v>
      </c>
      <c r="BD2" s="176" t="s">
        <v>716</v>
      </c>
      <c r="BE2" s="176" t="s">
        <v>709</v>
      </c>
      <c r="BF2" s="176" t="s">
        <v>46</v>
      </c>
      <c r="BG2" s="176" t="s">
        <v>54</v>
      </c>
      <c r="BH2" s="177" t="s">
        <v>53</v>
      </c>
      <c r="BI2" s="176" t="s">
        <v>708</v>
      </c>
      <c r="BJ2" s="176" t="s">
        <v>447</v>
      </c>
      <c r="BK2" s="176" t="s">
        <v>2491</v>
      </c>
      <c r="BL2" s="176" t="s">
        <v>716</v>
      </c>
      <c r="BM2" s="176" t="s">
        <v>709</v>
      </c>
      <c r="BN2" s="176" t="s">
        <v>46</v>
      </c>
      <c r="BO2" s="176" t="s">
        <v>54</v>
      </c>
      <c r="BP2" s="177"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6" t="s">
        <v>2509</v>
      </c>
      <c r="CI2" s="178" t="s">
        <v>2510</v>
      </c>
      <c r="CJ2" s="179" t="s">
        <v>2511</v>
      </c>
      <c r="CK2" s="180" t="s">
        <v>2512</v>
      </c>
      <c r="CL2" s="146" t="s">
        <v>2513</v>
      </c>
      <c r="CM2" s="65" t="s">
        <v>2514</v>
      </c>
    </row>
    <row r="3" spans="1:91" s="58" customFormat="1" x14ac:dyDescent="0.25">
      <c r="A3" s="181" t="str">
        <f>About!$C$2</f>
        <v>Rhode Island</v>
      </c>
      <c r="B3" s="182">
        <f>ROUND(SUMIFS(B$4:B$54, $A$4:$A$54, $A$3),0)</f>
        <v>924</v>
      </c>
      <c r="C3" s="183">
        <f t="shared" ref="C3" si="0">ROUND(SUMIFS(C$4:C$54, $A$4:$A$54, $A$3),0)</f>
        <v>1</v>
      </c>
      <c r="D3" s="182">
        <f>SUMIFS(D$4:D$54, $A$4:$A$54, $A$3)</f>
        <v>1142517</v>
      </c>
      <c r="E3" s="182">
        <f>SUMIFS(E$4:E$54, $A$4:$A$54, $A$3)</f>
        <v>12783.000000001</v>
      </c>
      <c r="F3" s="134">
        <f>ROUND(SUMIFS(F$4:F$54,$A$4:$A$54,$A$3)*100,0)</f>
        <v>-99</v>
      </c>
      <c r="G3" s="58">
        <f>SUMIFS(G$4:G$54, $A$4:$A$54, $A$3)</f>
        <v>51858</v>
      </c>
      <c r="H3" s="58">
        <f>SUMIFS(H$4:H$54, $A$4:$A$54, $A$3)</f>
        <v>1330952</v>
      </c>
      <c r="I3" s="134">
        <f>ROUND(SUMIFS(I$4:I$54,$A$4:$A$54,$A$3)*100,0)</f>
        <v>2467</v>
      </c>
      <c r="J3" s="134">
        <f>ROUND(SUMIFS(J$4:J$54, $A$4:$A$54, $A$3),0)</f>
        <v>379</v>
      </c>
      <c r="K3" s="58">
        <f t="shared" ref="K3:AI3" si="1">ROUND(SUMIFS(K$4:K$54, $A$4:$A$54, $A$3),0)</f>
        <v>138</v>
      </c>
      <c r="L3" s="134">
        <f t="shared" si="1"/>
        <v>181</v>
      </c>
      <c r="M3" s="58">
        <f t="shared" si="1"/>
        <v>0</v>
      </c>
      <c r="N3" s="58">
        <f t="shared" si="1"/>
        <v>0</v>
      </c>
      <c r="O3" s="58">
        <f t="shared" si="1"/>
        <v>0</v>
      </c>
      <c r="P3" s="58">
        <f t="shared" si="1"/>
        <v>0</v>
      </c>
      <c r="Q3" s="58">
        <f t="shared" si="1"/>
        <v>0</v>
      </c>
      <c r="R3" s="58">
        <f t="shared" si="1"/>
        <v>0</v>
      </c>
      <c r="S3" s="134">
        <f t="shared" si="1"/>
        <v>0</v>
      </c>
      <c r="T3" s="58">
        <f t="shared" si="1"/>
        <v>0</v>
      </c>
      <c r="U3" s="58">
        <f t="shared" si="1"/>
        <v>1787</v>
      </c>
      <c r="V3" s="58">
        <f t="shared" si="1"/>
        <v>0</v>
      </c>
      <c r="W3" s="58">
        <f t="shared" si="1"/>
        <v>3</v>
      </c>
      <c r="X3" s="58">
        <f t="shared" si="1"/>
        <v>39</v>
      </c>
      <c r="Y3" s="58">
        <f t="shared" si="1"/>
        <v>80</v>
      </c>
      <c r="Z3" s="58">
        <f t="shared" si="1"/>
        <v>0</v>
      </c>
      <c r="AA3" s="58">
        <f t="shared" si="1"/>
        <v>40</v>
      </c>
      <c r="AB3" s="58">
        <f t="shared" si="1"/>
        <v>0</v>
      </c>
      <c r="AC3" s="58">
        <f t="shared" si="1"/>
        <v>7</v>
      </c>
      <c r="AD3" s="58">
        <f t="shared" si="1"/>
        <v>0</v>
      </c>
      <c r="AE3" s="58">
        <f t="shared" si="1"/>
        <v>0</v>
      </c>
      <c r="AF3" s="58">
        <f t="shared" si="1"/>
        <v>29</v>
      </c>
      <c r="AG3" s="58">
        <f t="shared" si="1"/>
        <v>0</v>
      </c>
      <c r="AH3" s="58">
        <f t="shared" si="1"/>
        <v>0</v>
      </c>
      <c r="AI3" s="134">
        <f t="shared" si="1"/>
        <v>0</v>
      </c>
      <c r="AJ3" s="58">
        <f>ROUND(SUMIFS(AJ$4:AJ$54,$A$4:$A$54,$A$3)*100,0)</f>
        <v>18</v>
      </c>
      <c r="AK3" s="58">
        <f t="shared" ref="AK3:AL3" si="2">ROUND(SUMIFS(AK$4:AK$54,$A$4:$A$54,$A$3)*100,0)</f>
        <v>72</v>
      </c>
      <c r="AL3" s="58">
        <f t="shared" si="2"/>
        <v>100</v>
      </c>
      <c r="AM3" s="58">
        <f>SUMIFS(AM$4:AM$54, $A$4:$A$54, $A$3)</f>
        <v>1</v>
      </c>
      <c r="AN3" s="58">
        <f t="shared" ref="AN3:AQ3" si="3">SUMIFS(AN$4:AN$54, $A$4:$A$54, $A$3)</f>
        <v>0</v>
      </c>
      <c r="AO3" s="134">
        <f t="shared" si="3"/>
        <v>0</v>
      </c>
      <c r="AP3" s="134">
        <f t="shared" si="3"/>
        <v>521</v>
      </c>
      <c r="AQ3" s="134">
        <f t="shared" si="3"/>
        <v>1098082</v>
      </c>
      <c r="AR3" s="134">
        <f>ROUND(SUMIFS(AR$4:AR$54,$A$4:$A$54,$A$3),2)</f>
        <v>47.45</v>
      </c>
      <c r="AS3" s="58">
        <f>SUMIFS(AS$4:AS$54, $A$4:$A$54, $A$3)</f>
        <v>0</v>
      </c>
      <c r="AT3" s="58">
        <f t="shared" ref="AT3:BH3" si="4">SUMIFS(AT$4:AT$54, $A$4:$A$54, $A$3)</f>
        <v>0</v>
      </c>
      <c r="AU3" s="58">
        <f t="shared" si="4"/>
        <v>0</v>
      </c>
      <c r="AV3" s="58">
        <f t="shared" si="4"/>
        <v>0</v>
      </c>
      <c r="AW3" s="58">
        <f t="shared" si="4"/>
        <v>0</v>
      </c>
      <c r="AX3" s="58">
        <f t="shared" si="4"/>
        <v>0</v>
      </c>
      <c r="AY3" s="58">
        <f t="shared" si="4"/>
        <v>0</v>
      </c>
      <c r="AZ3" s="58">
        <f t="shared" si="4"/>
        <v>0</v>
      </c>
      <c r="BA3" s="58">
        <f t="shared" si="4"/>
        <v>0</v>
      </c>
      <c r="BB3" s="58">
        <f t="shared" si="4"/>
        <v>0</v>
      </c>
      <c r="BC3" s="58">
        <f t="shared" si="4"/>
        <v>0</v>
      </c>
      <c r="BD3" s="58">
        <f t="shared" si="4"/>
        <v>0</v>
      </c>
      <c r="BE3" s="58">
        <f t="shared" si="4"/>
        <v>0</v>
      </c>
      <c r="BF3" s="58">
        <f t="shared" si="4"/>
        <v>0</v>
      </c>
      <c r="BG3" s="58">
        <f t="shared" si="4"/>
        <v>0</v>
      </c>
      <c r="BH3" s="58">
        <f t="shared" si="4"/>
        <v>0</v>
      </c>
      <c r="BI3" s="58">
        <f>ROUND(SUMIFS(BI$4:BI$54,$A$4:$A$54,$A$3),2)</f>
        <v>0</v>
      </c>
      <c r="BJ3" s="58">
        <f t="shared" ref="BJ3:BP3" si="5">ROUND(SUMIFS(BJ$4:BJ$54,$A$4:$A$54,$A$3),2)</f>
        <v>0</v>
      </c>
      <c r="BK3" s="58">
        <f t="shared" si="5"/>
        <v>0</v>
      </c>
      <c r="BL3" s="58">
        <f t="shared" si="5"/>
        <v>0</v>
      </c>
      <c r="BM3" s="58">
        <f t="shared" si="5"/>
        <v>0</v>
      </c>
      <c r="BN3" s="58">
        <f t="shared" si="5"/>
        <v>0</v>
      </c>
      <c r="BO3" s="58">
        <f t="shared" si="5"/>
        <v>0</v>
      </c>
      <c r="BP3" s="134">
        <f t="shared" si="5"/>
        <v>0</v>
      </c>
      <c r="BQ3" s="134">
        <f t="shared" ref="BQ3:BR3" si="6">ROUND(SUMIFS(BQ$4:BQ$54,$A$4:$A$54,$A$3)*100,0)</f>
        <v>3</v>
      </c>
      <c r="BR3" s="134">
        <f t="shared" si="6"/>
        <v>3</v>
      </c>
      <c r="BS3" s="134">
        <f>ROUND(SUMIFS(BS$4:BS$54,$A$4:$A$54,$A$3)*100,0)</f>
        <v>55</v>
      </c>
      <c r="BT3" s="134">
        <f>ROUND(SUMIFS(BT$4:BT$54,$A$4:$A$54,$A$3)*100,0)</f>
        <v>52</v>
      </c>
      <c r="BU3" s="134">
        <f t="shared" ref="BU3:CH3" si="7">ROUND(SUMIFS(BU$4:BU$54,$A$4:$A$54,$A$3)*100,0)</f>
        <v>60</v>
      </c>
      <c r="BV3" s="134">
        <f t="shared" si="7"/>
        <v>72</v>
      </c>
      <c r="BW3" s="134">
        <f t="shared" si="7"/>
        <v>5</v>
      </c>
      <c r="BX3" s="134">
        <f t="shared" si="7"/>
        <v>9</v>
      </c>
      <c r="BY3" s="134">
        <f t="shared" si="7"/>
        <v>32</v>
      </c>
      <c r="BZ3" s="134">
        <f>ROUND(SUMIFS(BZ$4:BZ$54,$A$4:$A$54,$A$3)*100,0)</f>
        <v>32</v>
      </c>
      <c r="CA3" s="134">
        <f>ROUND(SUMIFS(CA$4:CA$54,$A$4:$A$54,$A$3)*100,0)</f>
        <v>100</v>
      </c>
      <c r="CB3" s="134">
        <f>ROUND(SUMIFS(CB$4:CB$54,$A$4:$A$54,$A$3)*100,0)</f>
        <v>100</v>
      </c>
      <c r="CC3" s="134">
        <f t="shared" si="7"/>
        <v>5</v>
      </c>
      <c r="CD3" s="134">
        <f t="shared" si="7"/>
        <v>9</v>
      </c>
      <c r="CE3" s="134">
        <f t="shared" si="7"/>
        <v>32</v>
      </c>
      <c r="CF3" s="134">
        <f t="shared" si="7"/>
        <v>32</v>
      </c>
      <c r="CG3" s="134">
        <f t="shared" si="7"/>
        <v>100</v>
      </c>
      <c r="CH3" s="134">
        <f t="shared" si="7"/>
        <v>100</v>
      </c>
      <c r="CI3" s="58">
        <f>SUMIFS(CI$4:CI$54, $A$4:$A$54, $A$3)</f>
        <v>1</v>
      </c>
      <c r="CJ3" s="58">
        <f t="shared" ref="CJ3:CK3" si="8">SUMIFS(CJ$4:CJ$54, $A$4:$A$54, $A$3)</f>
        <v>1</v>
      </c>
      <c r="CK3" s="58">
        <f t="shared" si="8"/>
        <v>1</v>
      </c>
      <c r="CL3" s="58" t="str">
        <f>_xlfn.XLOOKUP($A$3,A4:A54,CL4:CL54,0,0,1)</f>
        <v>TRUE</v>
      </c>
      <c r="CM3" s="58">
        <f>SUMIFS(CM$4:CM$54, $A$4:$A$54, $A$3)</f>
        <v>67.069999999999993</v>
      </c>
    </row>
    <row r="4" spans="1:91" x14ac:dyDescent="0.25">
      <c r="A4" t="s">
        <v>2280</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2281</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2282</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2283</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2284</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2290</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2296</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2515</v>
      </c>
    </row>
    <row r="12" spans="1:91" x14ac:dyDescent="0.25">
      <c r="A12" t="s">
        <v>2302</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2307</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2311</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2312</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2313</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2314</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2315</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2316</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2317</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2318</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2321</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2326</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2331</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2337</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2342</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2348</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2354</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2355</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2356</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2358</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2362</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2363</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2364</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2369</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2375</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2378</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2382</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2386</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2387</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2388</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2393</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2398</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2403</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2404</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2405</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2406</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2407</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2408</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2410</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2414</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2418</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2419</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2420</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abSelected="1"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2649</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2650</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2651</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2652</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2653</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2654</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2655</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2701</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2699</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2656</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2657</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2658</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2659</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2702</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Rhode Island, the share of electricity among fuels used for heating in urban, residential buildings will rise from 5% to 9% through 2050.//**Urban Residential Appliances:** In the BAU case, in Rhode Island, the share of electricity among fuels used for appliances in urban, residential buildings will fall from 32% to 32% through 2050.//**Urban Residential Other Components:** In the United States, the share of electricity among fuels used by other components in urban, residential buildings is 100%.//**Rural Residential Heating:** In the BAU case, in Rhode Island, the share of electricity among fuels used for heating in rural, residential buildings will rise from 5% to 9% through 2050.//**Rural Residential Appliances:** In the BAU case, in Rhode Island, the share of electricity among fuels used for appliances in rural, residential buildings will fall from 32% to 32% through 2050.//**Rural Residential Other Components:** In the United States, the share of electricity among fuels used by other components in rural, residential buildings is 100%.//**Commercial Heating:** In the BAU case, in Rhode Island, the share of electricity among fuels used for heating in commercial buildings will fall from 3% to 3% through 2050.//**Comercial Appliances:** In the BAU case, in Rhode Island, the share of electricity among fuels used for appliances in commercial buildings will fall from 55% to 52% through 2050.//**Comercial Other Components:** In the BAU case, in Rhode Island, the share of electricity among fuels used for other components in commercial buildings will rise from 60% to 72%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2660</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Rhode Island, the share of electricity among fuels used for heating in urban, residential buildings will rise from 5% to 9% through 2050.//**Urban Residential Appliances:** In the BAU case, in Rhode Island, the share of electricity among fuels used for appliances in urban, residential buildings will fall from 32% to 32% through 2050.//**Urban Residential Other Components:** In the United States, the share of electricity among fuels used by other components in urban, residential buildings is 100%.//**Rural Residential Heating:** In the BAU case, in Rhode Island, the share of electricity among fuels used for heating in rural, residential buildings will rise from 5% to 9% through 2050.//**Rural Residential Appliances:** In the BAU case, in Rhode Island, the share of electricity among fuels used for appliances in rural, residential buildings will fall from 32% to 32% through 2050.//**Rural Residential Other Components:** In the United States, the share of electricity among fuels used by other components in rural, residential buildings is 100%.//**Commercial Heating:** In the BAU case, in Rhode Island, the share of electricity among fuels used for heating in commercial buildings will fall from 3% to 3% through 2050.//**Comercial Appliances:** In the BAU case, in Rhode Island, the share of electricity among fuels used for appliances in commercial buildings will fall from 55% to 52% through 2050.//**Comercial Other Components:** In the BAU case, in Rhode Island, the share of electricity among fuels used for other components in commercial buildings will rise from 60% to 72%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Rhode Island, the share of electricity among fuels used for heating in urban, residential buildings will rise from 5% to 9% through 2050.//**Urban Residential Appliances:** In the BAU case, in Rhode Island, the share of electricity among fuels used for appliances in urban, residential buildings will fall from 32% to 32% through 2050.//**Urban Residential Other Components:** In the United States, the share of electricity among fuels used by other components in urban, residential buildings is 100%.//**Rural Residential Heating:** In the BAU case, in Rhode Island, the share of electricity among fuels used for heating in rural, residential buildings will rise from 5% to 9% through 2050.//**Rural Residential Appliances:** In the BAU case, in Rhode Island, the share of electricity among fuels used for appliances in rural, residential buildings will fall from 32% to 32% through 2050.//**Rural Residential Other Components:** In the United States, the share of electricity among fuels used by other components in rural, residential buildings is 100%.//**Commercial Heating:** In the BAU case, in Rhode Island, the share of electricity among fuels used for heating in commercial buildings will fall from 3% to 3% through 2050.//**Comercial Appliances:** In the BAU case, in Rhode Island, the share of electricity among fuels used for appliances in commercial buildings will fall from 55% to 52% through 2050.//**Comercial Other Components:** In the BAU case, in Rhode Island, the share of electricity among fuels used for other components in commercial buildings will rise from 60% to 72%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Rhode Island, the share of electricity among fuels used for heating in urban, residential buildings will rise from 5% to 9% through 2050.//**Urban Residential Appliances:** In the BAU case, in Rhode Island, the share of electricity among fuels used for appliances in urban, residential buildings will fall from 32% to 32% through 2050.//**Urban Residential Other Components:** In the United States, the share of electricity among fuels used by other components in urban, residential buildings is 100%.//**Rural Residential Heating:** In the BAU case, in Rhode Island, the share of electricity among fuels used for heating in rural, residential buildings will rise from 5% to 9% through 2050.//**Rural Residential Appliances:** In the BAU case, in Rhode Island, the share of electricity among fuels used for appliances in rural, residential buildings will fall from 32% to 32% through 2050.//**Rural Residential Other Components:** In the United States, the share of electricity among fuels used by other components in rural, residential buildings is 100%.//**Commercial Heating:** In the BAU case, in Rhode Island, the share of electricity among fuels used for heating in commercial buildings will fall from 3% to 3% through 2050.//**Comercial Appliances:** In the BAU case, in Rhode Island, the share of electricity among fuels used for appliances in commercial buildings will fall from 55% to 52% through 2050.//**Comercial Other Components:** In the BAU case, in Rhode Island, the share of electricity among fuels used for other components in commercial buildings will rise from 60% to 72%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Rhode Island, the share of electricity among fuels used for heating in urban, residential buildings will rise from 5% to 9% through 2050.//**Urban Residential Appliances:** In the BAU case, in Rhode Island, the share of electricity among fuels used for appliances in urban, residential buildings will fall from 32% to 32% through 2050.//**Urban Residential Other Components:** In the United States, the share of electricity among fuels used by other components in urban, residential buildings is 100%.//**Rural Residential Heating:** In the BAU case, in Rhode Island, the share of electricity among fuels used for heating in rural, residential buildings will rise from 5% to 9% through 2050.//**Rural Residential Appliances:** In the BAU case, in Rhode Island, the share of electricity among fuels used for appliances in rural, residential buildings will fall from 32% to 32% through 2050.//**Rural Residential Other Components:** In the United States, the share of electricity among fuels used by other components in rural, residential buildings is 100%.//**Commercial Heating:** In the BAU case, in Rhode Island, the share of electricity among fuels used for heating in commercial buildings will fall from 3% to 3% through 2050.//**Comercial Appliances:** In the BAU case, in Rhode Island, the share of electricity among fuels used for appliances in commercial buildings will fall from 55% to 52% through 2050.//**Comercial Other Components:** In the BAU case, in Rhode Island, the share of electricity among fuels used for other components in commercial buildings will rise from 60% to 72%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Rhode Island, the share of electricity among fuels used for heating in urban, residential buildings will rise from 5% to 9% through 2050.//**Urban Residential Appliances:** In the BAU case, in Rhode Island, the share of electricity among fuels used for appliances in urban, residential buildings will fall from 32% to 32% through 2050.//**Urban Residential Other Components:** In the United States, the share of electricity among fuels used by other components in urban, residential buildings is 100%.//**Rural Residential Heating:** In the BAU case, in Rhode Island, the share of electricity among fuels used for heating in rural, residential buildings will rise from 5% to 9% through 2050.//**Rural Residential Appliances:** In the BAU case, in Rhode Island, the share of electricity among fuels used for appliances in rural, residential buildings will fall from 32% to 32% through 2050.//**Rural Residential Other Components:** In the United States, the share of electricity among fuels used by other components in rural, residential buildings is 100%.//**Commercial Heating:** In the BAU case, in Rhode Island, the share of electricity among fuels used for heating in commercial buildings will fall from 3% to 3% through 2050.//**Comercial Appliances:** In the BAU case, in Rhode Island, the share of electricity among fuels used for appliances in commercial buildings will fall from 55% to 52% through 2050.//**Comercial Other Components:** In the BAU case, in Rhode Island, the share of electricity among fuels used for other components in commercial buildings will rise from 60% to 72%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Rhode Island, the share of electricity among fuels used for heating in urban, residential buildings will rise from 5% to 9% through 2050.//**Urban Residential Appliances:** In the BAU case, in Rhode Island, the share of electricity among fuels used for appliances in urban, residential buildings will fall from 32% to 32% through 2050.//**Urban Residential Other Components:** In the United States, the share of electricity among fuels used by other components in urban, residential buildings is 100%.//**Rural Residential Heating:** In the BAU case, in Rhode Island, the share of electricity among fuels used for heating in rural, residential buildings will rise from 5% to 9% through 2050.//**Rural Residential Appliances:** In the BAU case, in Rhode Island, the share of electricity among fuels used for appliances in rural, residential buildings will fall from 32% to 32% through 2050.//**Rural Residential Other Components:** In the United States, the share of electricity among fuels used by other components in rural, residential buildings is 100%.//**Commercial Heating:** In the BAU case, in Rhode Island, the share of electricity among fuels used for heating in commercial buildings will fall from 3% to 3% through 2050.//**Comercial Appliances:** In the BAU case, in Rhode Island, the share of electricity among fuels used for appliances in commercial buildings will fall from 55% to 52% through 2050.//**Comercial Other Components:** In the BAU case, in Rhode Island, the share of electricity among fuels used for other components in commercial buildings will rise from 60% to 72%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Rhode Island, the share of electricity among fuels used for heating in urban, residential buildings will rise from 5% to 9% through 2050.//**Urban Residential Appliances:** In the BAU case, in Rhode Island, the share of electricity among fuels used for appliances in urban, residential buildings will fall from 32% to 32% through 2050.//**Urban Residential Other Components:** In the United States, the share of electricity among fuels used by other components in urban, residential buildings is 100%.//**Rural Residential Heating:** In the BAU case, in Rhode Island, the share of electricity among fuels used for heating in rural, residential buildings will rise from 5% to 9% through 2050.//**Rural Residential Appliances:** In the BAU case, in Rhode Island, the share of electricity among fuels used for appliances in rural, residential buildings will fall from 32% to 32% through 2050.//**Rural Residential Other Components:** In the United States, the share of electricity among fuels used by other components in rural, residential buildings is 100%.//**Commercial Heating:** In the BAU case, in Rhode Island, the share of electricity among fuels used for heating in commercial buildings will fall from 3% to 3% through 2050.//**Comercial Appliances:** In the BAU case, in Rhode Island, the share of electricity among fuels used for appliances in commercial buildings will fall from 55% to 52% through 2050.//**Comercial Other Components:** In the BAU case, in Rhode Island, the share of electricity among fuels used for other components in commercial buildings will rise from 60% to 72%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Rhode Island, the share of electricity among fuels used for heating in urban, residential buildings will rise from 5% to 9% through 2050.//**Urban Residential Appliances:** In the BAU case, in Rhode Island, the share of electricity among fuels used for appliances in urban, residential buildings will fall from 32% to 32% through 2050.//**Urban Residential Other Components:** In the United States, the share of electricity among fuels used by other components in urban, residential buildings is 100%.//**Rural Residential Heating:** In the BAU case, in Rhode Island, the share of electricity among fuels used for heating in rural, residential buildings will rise from 5% to 9% through 2050.//**Rural Residential Appliances:** In the BAU case, in Rhode Island, the share of electricity among fuels used for appliances in rural, residential buildings will fall from 32% to 32% through 2050.//**Rural Residential Other Components:** In the United States, the share of electricity among fuels used by other components in rural, residential buildings is 100%.//**Commercial Heating:** In the BAU case, in Rhode Island, the share of electricity among fuels used for heating in commercial buildings will fall from 3% to 3% through 2050.//**Comercial Appliances:** In the BAU case, in Rhode Island, the share of electricity among fuels used for appliances in commercial buildings will fall from 55% to 52% through 2050.//**Comercial Other Components:** In the BAU case, in Rhode Island, the share of electricity among fuels used for other components in commercial buildings will rise from 60% to 72%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Rhode Island, the share of electricity among fuels used for heating in urban, residential buildings will rise from 5% to 9% through 2050.//**Urban Residential Appliances:** In the BAU case, in Rhode Island, the share of electricity among fuels used for appliances in urban, residential buildings will fall from 32% to 32% through 2050.//**Urban Residential Other Components:** In the United States, the share of electricity among fuels used by other components in urban, residential buildings is 100%.//**Rural Residential Heating:** In the BAU case, in Rhode Island, the share of electricity among fuels used for heating in rural, residential buildings will rise from 5% to 9% through 2050.//**Rural Residential Appliances:** In the BAU case, in Rhode Island, the share of electricity among fuels used for appliances in rural, residential buildings will fall from 32% to 32% through 2050.//**Rural Residential Other Components:** In the United States, the share of electricity among fuels used by other components in rural, residential buildings is 100%.//**Commercial Heating:** In the BAU case, in Rhode Island, the share of electricity among fuels used for heating in commercial buildings will fall from 3% to 3% through 2050.//**Comercial Appliances:** In the BAU case, in Rhode Island, the share of electricity among fuels used for appliances in commercial buildings will fall from 55% to 52% through 2050.//**Comercial Other Components:** In the BAU case, in Rhode Island, the share of electricity among fuels used for other components in commercial buildings will rise from 60% to 72%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Rhode Island, the share of electricity among fuels used for heating in urban, residential buildings will rise from 5% to 9% through 2050.//**Urban Residential Appliances:** In the BAU case, in Rhode Island, the share of electricity among fuels used for appliances in urban, residential buildings will fall from 32% to 32% through 2050.//**Urban Residential Other Components:** In the United States, the share of electricity among fuels used by other components in urban, residential buildings is 100%.//**Rural Residential Heating:** In the BAU case, in Rhode Island, the share of electricity among fuels used for heating in rural, residential buildings will rise from 5% to 9% through 2050.//**Rural Residential Appliances:** In the BAU case, in Rhode Island, the share of electricity among fuels used for appliances in rural, residential buildings will fall from 32% to 32% through 2050.//**Rural Residential Other Components:** In the United States, the share of electricity among fuels used by other components in rural, residential buildings is 100%.//**Commercial Heating:** In the BAU case, in Rhode Island, the share of electricity among fuels used for heating in commercial buildings will fall from 3% to 3% through 2050.//**Comercial Appliances:** In the BAU case, in Rhode Island, the share of electricity among fuels used for appliances in commercial buildings will fall from 55% to 52% through 2050.//**Comercial Other Components:** In the BAU case, in Rhode Island, the share of electricity among fuels used for other components in commercial buildings will rise from 60% to 72%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Rhode Island, the share of electricity among fuels used for heating in urban, residential buildings will rise from 5% to 9% through 2050.//**Urban Residential Appliances:** In the BAU case, in Rhode Island, the share of electricity among fuels used for appliances in urban, residential buildings will fall from 32% to 32% through 2050.//**Urban Residential Other Components:** In the United States, the share of electricity among fuels used by other components in urban, residential buildings is 100%.//**Rural Residential Heating:** In the BAU case, in Rhode Island, the share of electricity among fuels used for heating in rural, residential buildings will rise from 5% to 9% through 2050.//**Rural Residential Appliances:** In the BAU case, in Rhode Island, the share of electricity among fuels used for appliances in rural, residential buildings will fall from 32% to 32% through 2050.//**Rural Residential Other Components:** In the United States, the share of electricity among fuels used by other components in rural, residential buildings is 100%.//**Commercial Heating:** In the BAU case, in Rhode Island, the share of electricity among fuels used for heating in commercial buildings will fall from 3% to 3% through 2050.//**Comercial Appliances:** In the BAU case, in Rhode Island, the share of electricity among fuels used for appliances in commercial buildings will fall from 55% to 52% through 2050.//**Comercial Other Components:** In the BAU case, in Rhode Island, the share of electricity among fuels used for other components in commercial buildings will rise from 60% to 72%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Rhode Island, the share of electricity among fuels used for heating in urban, residential buildings will rise from 5% to 9% through 2050.//**Urban Residential Appliances:** In the BAU case, in Rhode Island, the share of electricity among fuels used for appliances in urban, residential buildings will fall from 32% to 32% through 2050.//**Urban Residential Other Components:** In the United States, the share of electricity among fuels used by other components in urban, residential buildings is 100%.//**Rural Residential Heating:** In the BAU case, in Rhode Island, the share of electricity among fuels used for heating in rural, residential buildings will rise from 5% to 9% through 2050.//**Rural Residential Appliances:** In the BAU case, in Rhode Island, the share of electricity among fuels used for appliances in rural, residential buildings will fall from 32% to 32% through 2050.//**Rural Residential Other Components:** In the United States, the share of electricity among fuels used by other components in rural, residential buildings is 100%.//**Commercial Heating:** In the BAU case, in Rhode Island, the share of electricity among fuels used for heating in commercial buildings will fall from 3% to 3% through 2050.//**Comercial Appliances:** In the BAU case, in Rhode Island, the share of electricity among fuels used for appliances in commercial buildings will fall from 55% to 52% through 2050.//**Comercial Other Components:** In the BAU case, in Rhode Island, the share of electricity among fuels used for other components in commercial buildings will rise from 60% to 72%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Rhode Island, the share of electricity among fuels used for heating in urban, residential buildings will rise from 5% to 9% through 2050.//**Urban Residential Appliances:** In the BAU case, in Rhode Island, the share of electricity among fuels used for appliances in urban, residential buildings will fall from 32% to 32% through 2050.//**Urban Residential Other Components:** In the United States, the share of electricity among fuels used by other components in urban, residential buildings is 100%.//**Rural Residential Heating:** In the BAU case, in Rhode Island, the share of electricity among fuels used for heating in rural, residential buildings will rise from 5% to 9% through 2050.//**Rural Residential Appliances:** In the BAU case, in Rhode Island, the share of electricity among fuels used for appliances in rural, residential buildings will fall from 32% to 32% through 2050.//**Rural Residential Other Components:** In the United States, the share of electricity among fuels used by other components in rural, residential buildings is 100%.//**Commercial Heating:** In the BAU case, in Rhode Island, the share of electricity among fuels used for heating in commercial buildings will fall from 3% to 3% through 2050.//**Comercial Appliances:** In the BAU case, in Rhode Island, the share of electricity among fuels used for appliances in commercial buildings will fall from 55% to 52% through 2050.//**Comercial Other Components:** In the BAU case, in Rhode Island, the share of electricity among fuels used for other components in commercial buildings will rise from 60% to 72%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Rhode Island, the share of electricity among fuels used for heating in urban, residential buildings will rise from 5% to 9% through 2050.//**Urban Residential Appliances:** In the BAU case, in Rhode Island, the share of electricity among fuels used for appliances in urban, residential buildings will fall from 32% to 32% through 2050.//**Urban Residential Other Components:** In the United States, the share of electricity among fuels used by other components in urban, residential buildings is 100%.//**Rural Residential Heating:** In the BAU case, in Rhode Island, the share of electricity among fuels used for heating in rural, residential buildings will rise from 5% to 9% through 2050.//**Rural Residential Appliances:** In the BAU case, in Rhode Island, the share of electricity among fuels used for appliances in rural, residential buildings will fall from 32% to 32% through 2050.//**Rural Residential Other Components:** In the United States, the share of electricity among fuels used by other components in rural, residential buildings is 100%.//**Commercial Heating:** In the BAU case, in Rhode Island, the share of electricity among fuels used for heating in commercial buildings will fall from 3% to 3% through 2050.//**Comercial Appliances:** In the BAU case, in Rhode Island, the share of electricity among fuels used for appliances in commercial buildings will fall from 55% to 52% through 2050.//**Comercial Other Components:** In the BAU case, in Rhode Island, the share of electricity among fuels used for other components in commercial buildings will rise from 60% to 72%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2661</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2662</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2663</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2664</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2703</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2704</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2665</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2666</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2667</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Rhode Island.</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2668</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Rhode Island.</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Rhode Island.</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Rhode Island.</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Rhode Island.</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Rhode Island.</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Rhode Island.</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Rhode Island.</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Rhode Island.</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Rhode Island.</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Rhode Island.</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Rhode Island.</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Rhode Island.</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Rhode Island.</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Rhode Island.</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Rhode Island.</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Rhode Island.</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Rhode Island.</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Rhode Island.</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Rhode Island.</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Rhode Island.</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Rhode Island.</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Rhode Island.</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Rhode Island.</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2705</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2700</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including Rhode Island.. After weighing for coop and municipality requirements, the BAU assumes a total CES of 72% in 2030 that rises to 100% by 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2706</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The BAU scenario includes a CES alternative compliance payment of roughly 67.07 $/MWh.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2694</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Rhode Island.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2670</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2671</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-99%.</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2707</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Rhode Island, a 100% setting provides for an additional  379 MW of demand response capacity in 2050 (on top of a BAU quantity of 181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2672</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2673</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Rhode Island will retire 0 MW of coal by 2050. Rhode Island currently has 0 MW of coal capacity.//**Natural gas non-peaker:** The EIA projects that RI will retire 0 MW of natural gas by 2050. RI currently has 1787 MW of natural gas non-peaker capacity.//**Nuclear:** The EIA projects that RI will retire 0 MW of nuclear by 2050. RI currently has 0 MW of nuclear capacity.//**Natural gas peaker:** The EIA projects that RI will retire 0 MW of natural gas by 2050. RI currently has 0 MW of natural gas peaker capacity.//**Lignite:** The EIA projects that RI will retire 0 MW of lignite by 2050. RI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2708</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2709</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2710</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2711</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2674</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2675</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2676</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2677</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2678</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2679</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2680</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2681</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2682</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2433</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2669</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2434</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2434</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2434</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2434</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2434</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2434</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2434</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2434</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2434</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2434</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2434</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2434</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2434</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2434</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2434</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2434</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2434</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2434</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2434</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2434</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2434</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2434</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2434</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2434</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2434</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2683</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2685</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2684</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2695</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2696</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2686</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2687</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2687</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2687</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2687</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2687</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2712</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2688</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2697</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2689</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2690</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2691</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2692</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2698</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2713</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2693</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1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2714</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2715</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2716</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2717</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2718</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2719</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2720</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2721</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2722</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2723</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2724</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2725</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2726</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2727</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2728</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2729</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2730</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2731</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2732</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2733</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2734</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2735</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2736</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2590</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2664</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2602</v>
      </c>
      <c r="B5" t="str">
        <f>A5</f>
        <v>g CO2e / 2024 dollar</v>
      </c>
    </row>
    <row r="6" spans="1:2" x14ac:dyDescent="0.25">
      <c r="A6" s="68" t="s">
        <v>563</v>
      </c>
      <c r="B6" t="str">
        <f t="shared" ref="B6:B46" si="0">A6</f>
        <v>thousand metric tons / year</v>
      </c>
    </row>
    <row r="7" spans="1:2" x14ac:dyDescent="0.25">
      <c r="A7" s="68" t="s">
        <v>2603</v>
      </c>
      <c r="B7" t="str">
        <f>A7</f>
        <v>g CO2 / 2024 dollar</v>
      </c>
    </row>
    <row r="8" spans="1:2" ht="30" x14ac:dyDescent="0.25">
      <c r="A8" s="68" t="s">
        <v>2604</v>
      </c>
      <c r="B8" t="str">
        <f t="shared" si="0"/>
        <v>2024 dollars / metric ton CO2e abated, Annual average abatement (million metric tons CO2e)</v>
      </c>
    </row>
    <row r="9" spans="1:2" x14ac:dyDescent="0.25">
      <c r="A9" s="68" t="s">
        <v>2605</v>
      </c>
      <c r="B9" t="str">
        <f t="shared" si="0"/>
        <v>billion 2024 dollars / year</v>
      </c>
    </row>
    <row r="10" spans="1:2" x14ac:dyDescent="0.25">
      <c r="A10" s="68" t="s">
        <v>2606</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2607</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2608</v>
      </c>
      <c r="B20" t="str">
        <f t="shared" si="0"/>
        <v>kilowatt-hour / 2024 dollar</v>
      </c>
    </row>
    <row r="21" spans="1:2" x14ac:dyDescent="0.25">
      <c r="A21" s="68" t="s">
        <v>353</v>
      </c>
      <c r="B21" t="str">
        <f t="shared" si="0"/>
        <v>gigawatts (GW) / year</v>
      </c>
    </row>
    <row r="22" spans="1:2" x14ac:dyDescent="0.25">
      <c r="A22" s="68" t="s">
        <v>2609</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2610</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2611</v>
      </c>
      <c r="B37" t="str">
        <f t="shared" si="0"/>
        <v>2024 dollars / short ton</v>
      </c>
    </row>
    <row r="38" spans="1:2" x14ac:dyDescent="0.25">
      <c r="A38" s="68" t="s">
        <v>2612</v>
      </c>
      <c r="B38" t="str">
        <f t="shared" si="0"/>
        <v>2024 dollars / thousand cubic feet</v>
      </c>
    </row>
    <row r="39" spans="1:2" x14ac:dyDescent="0.25">
      <c r="A39" s="68" t="s">
        <v>2613</v>
      </c>
      <c r="B39" t="str">
        <f t="shared" si="0"/>
        <v>2024 dollars / gallon</v>
      </c>
    </row>
    <row r="40" spans="1:2" x14ac:dyDescent="0.25">
      <c r="A40" s="68" t="s">
        <v>2614</v>
      </c>
      <c r="B40" t="str">
        <f t="shared" si="0"/>
        <v>2024 dollars / barrel of oil</v>
      </c>
    </row>
    <row r="41" spans="1:2" x14ac:dyDescent="0.25">
      <c r="A41" s="68" t="s">
        <v>2615</v>
      </c>
      <c r="B41" t="str">
        <f t="shared" si="0"/>
        <v>2024 dollars / kg</v>
      </c>
    </row>
    <row r="42" spans="1:2" x14ac:dyDescent="0.25">
      <c r="A42" s="68" t="s">
        <v>2616</v>
      </c>
      <c r="B42" t="str">
        <f t="shared" si="0"/>
        <v>2024 dollars / kilowatt-hour (kWh)</v>
      </c>
    </row>
    <row r="43" spans="1:2" x14ac:dyDescent="0.25">
      <c r="A43" s="68" t="s">
        <v>2609</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2617</v>
      </c>
      <c r="B45" t="str">
        <f t="shared" si="0"/>
        <v>million 2024 dollars / megawatt (MW)</v>
      </c>
    </row>
    <row r="46" spans="1:2" ht="30" x14ac:dyDescent="0.25">
      <c r="A46" s="68" t="s">
        <v>2618</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2421</v>
      </c>
      <c r="H96" s="58" t="s">
        <v>2422</v>
      </c>
      <c r="I96" t="s">
        <v>2423</v>
      </c>
    </row>
    <row r="97" spans="1:10" x14ac:dyDescent="0.25">
      <c r="A97" s="143" t="s">
        <v>706</v>
      </c>
      <c r="B97" s="143" t="s">
        <v>582</v>
      </c>
      <c r="C97" s="15">
        <v>1</v>
      </c>
      <c r="D97" t="s">
        <v>65</v>
      </c>
      <c r="E97" t="s">
        <v>64</v>
      </c>
      <c r="F97" t="str">
        <f>UnitControlCenter!$B$16</f>
        <v>terawatt-hours (TWh) / year</v>
      </c>
      <c r="G97" s="58" t="s">
        <v>2424</v>
      </c>
      <c r="H97" s="58" t="s">
        <v>2425</v>
      </c>
      <c r="I97" t="s">
        <v>2423</v>
      </c>
    </row>
    <row r="98" spans="1:10" x14ac:dyDescent="0.25">
      <c r="A98" s="143" t="s">
        <v>706</v>
      </c>
      <c r="B98" s="143" t="s">
        <v>583</v>
      </c>
      <c r="C98" s="15">
        <v>1</v>
      </c>
      <c r="D98" t="s">
        <v>65</v>
      </c>
      <c r="E98" t="s">
        <v>66</v>
      </c>
      <c r="F98" t="str">
        <f>UnitControlCenter!$B$21</f>
        <v>gigawatts (GW) / year</v>
      </c>
      <c r="G98" s="58" t="s">
        <v>2426</v>
      </c>
      <c r="H98" s="58" t="s">
        <v>2427</v>
      </c>
      <c r="I98" t="s">
        <v>2428</v>
      </c>
    </row>
    <row r="99" spans="1:10" x14ac:dyDescent="0.25">
      <c r="A99" s="143" t="s">
        <v>706</v>
      </c>
      <c r="B99" s="143" t="s">
        <v>584</v>
      </c>
      <c r="C99" s="15">
        <v>1</v>
      </c>
      <c r="D99" t="s">
        <v>65</v>
      </c>
      <c r="E99" t="s">
        <v>64</v>
      </c>
      <c r="F99" t="str">
        <f>UnitControlCenter!$B$21</f>
        <v>gigawatts (GW) / year</v>
      </c>
      <c r="G99" s="58" t="s">
        <v>2429</v>
      </c>
      <c r="H99" s="58" t="s">
        <v>2430</v>
      </c>
      <c r="I99" t="s">
        <v>2431</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2432</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2262</v>
      </c>
      <c r="B2" t="s">
        <v>1595</v>
      </c>
      <c r="C2" s="40" t="s">
        <v>1596</v>
      </c>
    </row>
    <row r="3" spans="1:3" x14ac:dyDescent="0.25">
      <c r="A3" t="s">
        <v>1831</v>
      </c>
      <c r="B3" t="s">
        <v>1832</v>
      </c>
    </row>
    <row r="4" spans="1:3" x14ac:dyDescent="0.2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80% below 1990 levels by 2040</v>
      </c>
      <c r="C2" s="1">
        <f>IF(INDEX('State Targets'!I:I,MATCH(About!$C$2,'State Targets'!$B:$B,0))=0,"",INDEX('State Targets'!I:I,MATCH(About!$C$2,'State Targets'!$B:$B,0)))</f>
        <v>2040</v>
      </c>
      <c r="D2" s="1">
        <f>INDEX('State Targets'!J:J,MATCH(About!$C$2,'State Targets'!$B:$B,0))</f>
        <v>1.7999999999999996</v>
      </c>
      <c r="E2" s="1">
        <f>INDEX('State Targets'!K:K,MATCH(About!$C$2,'State Targets'!$B:$B,0))</f>
        <v>1.7999999999999996</v>
      </c>
      <c r="F2" s="1" t="str">
        <f>IF(INDEX('State Targets'!L:L,MATCH(About!$C$2,'State Targets'!$B:$B,0))=0,"",INDEX('State Targets'!L:L,MATCH(About!$C$2,'State Targets'!$B:$B,0)))</f>
        <v xml:space="preserve">Rhode Island enacted statutory targets in 2021 to reduce GHG emissions 80% below 1990 levels by 2040. </v>
      </c>
    </row>
    <row r="3" spans="1:6" x14ac:dyDescent="0.25">
      <c r="A3" s="1" t="s">
        <v>1739</v>
      </c>
      <c r="B3" s="1" t="str">
        <f>IF(INDEX('State Targets'!M:M,MATCH(About!$C$2,'State Targets'!$B:$B,0))=0,"",INDEX('State Targets'!M:M,MATCH(About!$C$2,'State Targets'!$B:$B,0)))</f>
        <v>Net-zero emissions by 2050</v>
      </c>
      <c r="C3" s="1">
        <f>IF(INDEX('State Targets'!N:N,MATCH(About!$C$2,'State Targets'!$B:$B,0))=0,"",INDEX('State Targets'!N:N,MATCH(About!$C$2,'State Targets'!$B:$B,0)))</f>
        <v>2050</v>
      </c>
      <c r="D3" s="1">
        <f>INDEX('State Targets'!O:O,MATCH(About!$C$2,'State Targets'!$B:$B,0))</f>
        <v>0</v>
      </c>
      <c r="E3" s="1">
        <f>INDEX('State Targets'!P:P,MATCH(About!$C$2,'State Targets'!$B:$B,0))</f>
        <v>0</v>
      </c>
      <c r="F3" s="1" t="str">
        <f>IF(INDEX('State Targets'!Q:Q,MATCH(About!$C$2,'State Targets'!$B:$B,0))=0,"",INDEX('State Targets'!Q:Q,MATCH(About!$C$2,'State Targets'!$B:$B,0)))</f>
        <v>Rhode Island enacted statutory targets in 2021 to achieve net-zero emissions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25">
      <c r="A2" t="s">
        <v>2080</v>
      </c>
      <c r="B2" t="s">
        <v>2280</v>
      </c>
    </row>
    <row r="3" spans="1:17" x14ac:dyDescent="0.25">
      <c r="A3" t="s">
        <v>2081</v>
      </c>
      <c r="B3" t="s">
        <v>2281</v>
      </c>
    </row>
    <row r="4" spans="1:17" x14ac:dyDescent="0.25">
      <c r="A4" t="s">
        <v>2082</v>
      </c>
      <c r="B4" t="s">
        <v>2282</v>
      </c>
    </row>
    <row r="5" spans="1:17" x14ac:dyDescent="0.25">
      <c r="A5" t="s">
        <v>2083</v>
      </c>
      <c r="B5" t="s">
        <v>2283</v>
      </c>
    </row>
    <row r="6" spans="1:17" x14ac:dyDescent="0.2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2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2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25">
      <c r="A9" t="s">
        <v>2086</v>
      </c>
      <c r="B9" t="s">
        <v>2086</v>
      </c>
      <c r="J9" s="132" t="str">
        <f t="shared" si="0"/>
        <v/>
      </c>
      <c r="K9" s="132" t="str">
        <f t="shared" si="1"/>
        <v/>
      </c>
      <c r="O9" t="str">
        <f t="shared" si="2"/>
        <v/>
      </c>
      <c r="P9" t="str">
        <f t="shared" si="3"/>
        <v/>
      </c>
    </row>
    <row r="10" spans="1:17" x14ac:dyDescent="0.2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2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25">
      <c r="A12" t="s">
        <v>2089</v>
      </c>
      <c r="B12" t="s">
        <v>2311</v>
      </c>
      <c r="J12" s="132" t="str">
        <f t="shared" si="0"/>
        <v/>
      </c>
      <c r="K12" s="132" t="str">
        <f t="shared" si="1"/>
        <v/>
      </c>
      <c r="O12" t="str">
        <f t="shared" si="2"/>
        <v/>
      </c>
      <c r="P12" t="str">
        <f t="shared" si="3"/>
        <v/>
      </c>
    </row>
    <row r="13" spans="1:17" x14ac:dyDescent="0.25">
      <c r="A13" t="s">
        <v>2090</v>
      </c>
      <c r="B13" t="s">
        <v>2312</v>
      </c>
      <c r="J13" s="132" t="str">
        <f t="shared" si="0"/>
        <v/>
      </c>
      <c r="K13" s="132" t="str">
        <f t="shared" si="1"/>
        <v/>
      </c>
      <c r="O13" t="str">
        <f t="shared" si="2"/>
        <v/>
      </c>
      <c r="P13" t="str">
        <f t="shared" si="3"/>
        <v/>
      </c>
    </row>
    <row r="14" spans="1:17" x14ac:dyDescent="0.25">
      <c r="A14" t="s">
        <v>2091</v>
      </c>
      <c r="B14" t="s">
        <v>2313</v>
      </c>
      <c r="J14" s="132" t="str">
        <f t="shared" si="0"/>
        <v/>
      </c>
      <c r="K14" s="132" t="str">
        <f t="shared" si="1"/>
        <v/>
      </c>
      <c r="O14" t="str">
        <f t="shared" si="2"/>
        <v/>
      </c>
      <c r="P14" t="str">
        <f t="shared" si="3"/>
        <v/>
      </c>
    </row>
    <row r="15" spans="1:17" x14ac:dyDescent="0.25">
      <c r="A15" t="s">
        <v>2092</v>
      </c>
      <c r="B15" t="s">
        <v>2314</v>
      </c>
      <c r="J15" s="132" t="str">
        <f t="shared" si="0"/>
        <v/>
      </c>
      <c r="K15" s="132" t="str">
        <f t="shared" si="1"/>
        <v/>
      </c>
      <c r="O15" t="str">
        <f t="shared" si="2"/>
        <v/>
      </c>
      <c r="P15" t="str">
        <f t="shared" si="3"/>
        <v/>
      </c>
    </row>
    <row r="16" spans="1:17" x14ac:dyDescent="0.25">
      <c r="A16" t="s">
        <v>2093</v>
      </c>
      <c r="B16" t="s">
        <v>2315</v>
      </c>
      <c r="J16" s="132" t="str">
        <f t="shared" si="0"/>
        <v/>
      </c>
      <c r="K16" s="132" t="str">
        <f t="shared" si="1"/>
        <v/>
      </c>
      <c r="O16" t="str">
        <f t="shared" si="2"/>
        <v/>
      </c>
      <c r="P16" t="str">
        <f t="shared" si="3"/>
        <v/>
      </c>
    </row>
    <row r="17" spans="1:17" x14ac:dyDescent="0.25">
      <c r="A17" t="s">
        <v>2094</v>
      </c>
      <c r="B17" t="s">
        <v>2316</v>
      </c>
      <c r="J17" s="132" t="str">
        <f t="shared" si="0"/>
        <v/>
      </c>
      <c r="K17" s="132" t="str">
        <f t="shared" si="1"/>
        <v/>
      </c>
      <c r="O17" t="str">
        <f t="shared" si="2"/>
        <v/>
      </c>
      <c r="P17" t="str">
        <f t="shared" si="3"/>
        <v/>
      </c>
    </row>
    <row r="18" spans="1:17" x14ac:dyDescent="0.25">
      <c r="A18" t="s">
        <v>2095</v>
      </c>
      <c r="B18" t="s">
        <v>2317</v>
      </c>
      <c r="J18" s="132" t="str">
        <f t="shared" si="0"/>
        <v/>
      </c>
      <c r="K18" s="132" t="str">
        <f t="shared" si="1"/>
        <v/>
      </c>
      <c r="O18" t="str">
        <f t="shared" si="2"/>
        <v/>
      </c>
      <c r="P18" t="str">
        <f t="shared" si="3"/>
        <v/>
      </c>
    </row>
    <row r="19" spans="1:17" x14ac:dyDescent="0.2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2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2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2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2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2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25">
      <c r="A26" t="s">
        <v>2103</v>
      </c>
      <c r="B26" t="s">
        <v>2354</v>
      </c>
      <c r="J26" s="132" t="str">
        <f t="shared" si="0"/>
        <v/>
      </c>
      <c r="K26" s="132" t="str">
        <f t="shared" si="1"/>
        <v/>
      </c>
      <c r="O26" t="str">
        <f t="shared" si="2"/>
        <v/>
      </c>
      <c r="P26" t="str">
        <f t="shared" si="3"/>
        <v/>
      </c>
    </row>
    <row r="27" spans="1:17" x14ac:dyDescent="0.25">
      <c r="A27" t="s">
        <v>2104</v>
      </c>
      <c r="B27" t="s">
        <v>2355</v>
      </c>
      <c r="J27" s="132" t="str">
        <f t="shared" si="0"/>
        <v/>
      </c>
      <c r="K27" s="132" t="str">
        <f t="shared" si="1"/>
        <v/>
      </c>
      <c r="O27" t="str">
        <f t="shared" si="2"/>
        <v/>
      </c>
      <c r="P27" t="str">
        <f t="shared" si="3"/>
        <v/>
      </c>
    </row>
    <row r="28" spans="1:17" x14ac:dyDescent="0.2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2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25">
      <c r="A30" t="s">
        <v>2107</v>
      </c>
      <c r="B30" t="s">
        <v>2362</v>
      </c>
      <c r="J30" s="132" t="str">
        <f t="shared" si="0"/>
        <v/>
      </c>
      <c r="K30" s="132" t="str">
        <f t="shared" si="1"/>
        <v/>
      </c>
      <c r="O30" t="str">
        <f t="shared" si="2"/>
        <v/>
      </c>
      <c r="P30" t="str">
        <f t="shared" si="3"/>
        <v/>
      </c>
    </row>
    <row r="31" spans="1:17" x14ac:dyDescent="0.25">
      <c r="A31" t="s">
        <v>475</v>
      </c>
      <c r="B31" t="s">
        <v>2363</v>
      </c>
      <c r="J31" s="132" t="str">
        <f t="shared" si="0"/>
        <v/>
      </c>
      <c r="K31" s="132" t="str">
        <f t="shared" si="1"/>
        <v/>
      </c>
      <c r="O31" t="str">
        <f t="shared" si="2"/>
        <v/>
      </c>
      <c r="P31" t="str">
        <f t="shared" si="3"/>
        <v/>
      </c>
    </row>
    <row r="32" spans="1:17" x14ac:dyDescent="0.2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2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2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2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2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25">
      <c r="A37" t="s">
        <v>2113</v>
      </c>
      <c r="B37" t="s">
        <v>2386</v>
      </c>
      <c r="J37" s="132" t="str">
        <f t="shared" si="0"/>
        <v/>
      </c>
      <c r="K37" s="132" t="str">
        <f t="shared" si="1"/>
        <v/>
      </c>
      <c r="O37" t="str">
        <f t="shared" si="2"/>
        <v/>
      </c>
      <c r="P37" t="str">
        <f t="shared" si="3"/>
        <v/>
      </c>
    </row>
    <row r="38" spans="1:17" x14ac:dyDescent="0.25">
      <c r="A38" t="s">
        <v>2114</v>
      </c>
      <c r="B38" t="s">
        <v>2387</v>
      </c>
      <c r="J38" s="132" t="str">
        <f t="shared" si="0"/>
        <v/>
      </c>
      <c r="K38" s="132" t="str">
        <f t="shared" si="1"/>
        <v/>
      </c>
      <c r="O38" t="str">
        <f t="shared" si="2"/>
        <v/>
      </c>
      <c r="P38" t="str">
        <f t="shared" si="3"/>
        <v/>
      </c>
    </row>
    <row r="39" spans="1:17" x14ac:dyDescent="0.2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2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25">
      <c r="A41" t="s">
        <v>2117</v>
      </c>
      <c r="B41" t="s">
        <v>2398</v>
      </c>
      <c r="C41" s="102" t="s">
        <v>2399</v>
      </c>
      <c r="D41">
        <v>1990</v>
      </c>
      <c r="E41" s="130">
        <v>0.8</v>
      </c>
      <c r="F41" s="130">
        <v>1</v>
      </c>
      <c r="G41" s="134">
        <f>ROUND(IF(About!$B$2=$A41,INDEX('State GHG Summary'!$C$1:$AH$1,MATCH('State Targets'!D41,'State GHG Summary'!$C$3:$AH$3,0)),0),0)</f>
        <v>9</v>
      </c>
      <c r="H41" t="s">
        <v>2400</v>
      </c>
      <c r="I41" s="132">
        <v>2040</v>
      </c>
      <c r="J41" s="132">
        <f t="shared" si="0"/>
        <v>1.7999999999999996</v>
      </c>
      <c r="K41" s="132">
        <f t="shared" si="1"/>
        <v>1.7999999999999996</v>
      </c>
      <c r="L41" s="132" t="s">
        <v>2401</v>
      </c>
      <c r="M41" s="132" t="s">
        <v>2305</v>
      </c>
      <c r="N41" s="133">
        <v>2050</v>
      </c>
      <c r="O41">
        <f t="shared" si="2"/>
        <v>0</v>
      </c>
      <c r="P41">
        <f t="shared" si="3"/>
        <v>0</v>
      </c>
      <c r="Q41" s="131" t="s">
        <v>2402</v>
      </c>
    </row>
    <row r="42" spans="1:17" x14ac:dyDescent="0.25">
      <c r="A42" t="s">
        <v>2118</v>
      </c>
      <c r="B42" t="s">
        <v>2403</v>
      </c>
      <c r="J42" s="132" t="str">
        <f t="shared" si="0"/>
        <v/>
      </c>
      <c r="K42" s="132" t="str">
        <f t="shared" si="1"/>
        <v/>
      </c>
      <c r="O42" t="str">
        <f t="shared" si="2"/>
        <v/>
      </c>
      <c r="P42" t="str">
        <f t="shared" si="3"/>
        <v/>
      </c>
    </row>
    <row r="43" spans="1:17" x14ac:dyDescent="0.25">
      <c r="A43" t="s">
        <v>2119</v>
      </c>
      <c r="B43" t="s">
        <v>2404</v>
      </c>
      <c r="J43" s="132" t="str">
        <f t="shared" si="0"/>
        <v/>
      </c>
      <c r="K43" s="132" t="str">
        <f t="shared" si="1"/>
        <v/>
      </c>
      <c r="O43" t="str">
        <f t="shared" si="2"/>
        <v/>
      </c>
      <c r="P43" t="str">
        <f t="shared" si="3"/>
        <v/>
      </c>
    </row>
    <row r="44" spans="1:17" x14ac:dyDescent="0.25">
      <c r="A44" t="s">
        <v>2120</v>
      </c>
      <c r="B44" t="s">
        <v>2405</v>
      </c>
      <c r="J44" s="132" t="str">
        <f t="shared" si="0"/>
        <v/>
      </c>
      <c r="K44" s="132" t="str">
        <f t="shared" si="1"/>
        <v/>
      </c>
      <c r="O44" t="str">
        <f t="shared" si="2"/>
        <v/>
      </c>
      <c r="P44" t="str">
        <f t="shared" si="3"/>
        <v/>
      </c>
    </row>
    <row r="45" spans="1:17" x14ac:dyDescent="0.25">
      <c r="A45" t="s">
        <v>2121</v>
      </c>
      <c r="B45" t="s">
        <v>2406</v>
      </c>
      <c r="J45" s="132" t="str">
        <f t="shared" si="0"/>
        <v/>
      </c>
      <c r="K45" s="132" t="str">
        <f t="shared" si="1"/>
        <v/>
      </c>
      <c r="O45" t="str">
        <f t="shared" si="2"/>
        <v/>
      </c>
      <c r="P45" t="str">
        <f t="shared" si="3"/>
        <v/>
      </c>
    </row>
    <row r="46" spans="1:17" x14ac:dyDescent="0.25">
      <c r="A46" t="s">
        <v>2122</v>
      </c>
      <c r="B46" t="s">
        <v>2407</v>
      </c>
      <c r="J46" s="132" t="str">
        <f t="shared" si="0"/>
        <v/>
      </c>
      <c r="K46" s="132" t="str">
        <f t="shared" si="1"/>
        <v/>
      </c>
      <c r="O46" t="str">
        <f t="shared" si="2"/>
        <v/>
      </c>
      <c r="P46" t="str">
        <f t="shared" si="3"/>
        <v/>
      </c>
    </row>
    <row r="47" spans="1:17" x14ac:dyDescent="0.2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2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2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25">
      <c r="A50" t="s">
        <v>2126</v>
      </c>
      <c r="B50" t="s">
        <v>2418</v>
      </c>
      <c r="J50" s="132" t="str">
        <f t="shared" si="0"/>
        <v/>
      </c>
      <c r="K50" s="132" t="str">
        <f t="shared" si="1"/>
        <v/>
      </c>
      <c r="O50" t="str">
        <f t="shared" si="2"/>
        <v/>
      </c>
      <c r="P50" t="str">
        <f t="shared" si="3"/>
        <v/>
      </c>
    </row>
    <row r="51" spans="1:17" x14ac:dyDescent="0.25">
      <c r="A51" t="s">
        <v>2127</v>
      </c>
      <c r="B51" t="s">
        <v>2419</v>
      </c>
      <c r="J51" s="132" t="str">
        <f t="shared" si="0"/>
        <v/>
      </c>
      <c r="K51" s="132" t="str">
        <f t="shared" si="1"/>
        <v/>
      </c>
      <c r="O51" t="str">
        <f t="shared" si="2"/>
        <v/>
      </c>
      <c r="P51" t="str">
        <f t="shared" si="3"/>
        <v/>
      </c>
    </row>
    <row r="52" spans="1:17" x14ac:dyDescent="0.2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RI</v>
      </c>
      <c r="C1" s="115">
        <f>SUM(C4:C87)</f>
        <v>8.7686451843405013</v>
      </c>
      <c r="D1" s="115">
        <f t="shared" ref="D1:AG1" si="0">SUM(D4:D87)</f>
        <v>10.5225086363046</v>
      </c>
      <c r="E1" s="115">
        <f t="shared" si="0"/>
        <v>12.876762825642798</v>
      </c>
      <c r="F1" s="115">
        <f t="shared" si="0"/>
        <v>10.5439563470119</v>
      </c>
      <c r="G1" s="115">
        <f t="shared" si="0"/>
        <v>12.5711324295875</v>
      </c>
      <c r="H1" s="115">
        <f t="shared" si="0"/>
        <v>11.866339406801</v>
      </c>
      <c r="I1" s="115">
        <f t="shared" si="0"/>
        <v>13.4112944030691</v>
      </c>
      <c r="J1" s="115">
        <f t="shared" si="0"/>
        <v>13.152515638247799</v>
      </c>
      <c r="K1" s="115">
        <f t="shared" si="0"/>
        <v>13.692759099262299</v>
      </c>
      <c r="L1" s="115">
        <f t="shared" si="0"/>
        <v>13.097846003497301</v>
      </c>
      <c r="M1" s="115">
        <f t="shared" si="0"/>
        <v>11.706974842927799</v>
      </c>
      <c r="N1" s="115">
        <f t="shared" si="0"/>
        <v>12.3558625170469</v>
      </c>
      <c r="O1" s="115">
        <f t="shared" si="0"/>
        <v>11.670751291838002</v>
      </c>
      <c r="P1" s="115">
        <f t="shared" si="0"/>
        <v>11.5796853809467</v>
      </c>
      <c r="Q1" s="115">
        <f t="shared" si="0"/>
        <v>11.125325551017198</v>
      </c>
      <c r="R1" s="115">
        <f t="shared" si="0"/>
        <v>11.298678246001399</v>
      </c>
      <c r="S1" s="115">
        <f t="shared" si="0"/>
        <v>10.8055661577151</v>
      </c>
      <c r="T1" s="115">
        <f t="shared" si="0"/>
        <v>11.3387883013362</v>
      </c>
      <c r="U1" s="115">
        <f t="shared" si="0"/>
        <v>10.917407908785998</v>
      </c>
      <c r="V1" s="115">
        <f t="shared" si="0"/>
        <v>11.491374788120501</v>
      </c>
      <c r="W1" s="115">
        <f t="shared" si="0"/>
        <v>11.299719572772601</v>
      </c>
      <c r="X1" s="115">
        <f t="shared" si="0"/>
        <v>11.353278797244499</v>
      </c>
      <c r="Y1" s="115">
        <f t="shared" si="0"/>
        <v>10.740564638627299</v>
      </c>
      <c r="Z1" s="115">
        <f t="shared" si="0"/>
        <v>10.427080488171301</v>
      </c>
      <c r="AA1" s="115">
        <f t="shared" si="0"/>
        <v>11.017106682190898</v>
      </c>
      <c r="AB1" s="115">
        <f t="shared" si="0"/>
        <v>11.2279305716728</v>
      </c>
      <c r="AC1" s="115">
        <f t="shared" si="0"/>
        <v>10.004218403095798</v>
      </c>
      <c r="AD1" s="115">
        <f t="shared" si="0"/>
        <v>10.256351778813302</v>
      </c>
      <c r="AE1" s="115">
        <f t="shared" si="0"/>
        <v>11.419644345851999</v>
      </c>
      <c r="AF1" s="115">
        <f t="shared" si="0"/>
        <v>10.771239773722801</v>
      </c>
      <c r="AG1" s="115">
        <f t="shared" si="0"/>
        <v>10.218615373226401</v>
      </c>
      <c r="AH1" s="115">
        <f>SUM(AH4:AH87)</f>
        <v>10.874852894121499</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0.66017333777190002</v>
      </c>
      <c r="D4">
        <f>SUMIFS('EPA Export Aggregation'!G:G,'EPA Export Aggregation'!$A:$A,$B4,'EPA Export Aggregation'!$D:$D,$A$1)*IF($A4="CH4",About!$D$58,IF($A4="N2O",About!$D$59,1))</f>
        <v>1.3475517900942999</v>
      </c>
      <c r="E4">
        <f>SUMIFS('EPA Export Aggregation'!H:H,'EPA Export Aggregation'!$A:$A,$B4,'EPA Export Aggregation'!$D:$D,$A$1)*IF($A4="CH4",About!$D$58,IF($A4="N2O",About!$D$59,1))</f>
        <v>2.1516516596367001</v>
      </c>
      <c r="F4">
        <f>SUMIFS('EPA Export Aggregation'!I:I,'EPA Export Aggregation'!$A:$A,$B4,'EPA Export Aggregation'!$D:$D,$A$1)*IF($A4="CH4",About!$D$58,IF($A4="N2O",About!$D$59,1))</f>
        <v>1.9828459779567</v>
      </c>
      <c r="G4">
        <f>SUMIFS('EPA Export Aggregation'!J:J,'EPA Export Aggregation'!$A:$A,$B4,'EPA Export Aggregation'!$D:$D,$A$1)*IF($A4="CH4",About!$D$58,IF($A4="N2O",About!$D$59,1))</f>
        <v>2.1098525349627</v>
      </c>
      <c r="H4">
        <f>SUMIFS('EPA Export Aggregation'!K:K,'EPA Export Aggregation'!$A:$A,$B4,'EPA Export Aggregation'!$D:$D,$A$1)*IF($A4="CH4",About!$D$58,IF($A4="N2O",About!$D$59,1))</f>
        <v>1.9716991265423001</v>
      </c>
      <c r="I4">
        <f>SUMIFS('EPA Export Aggregation'!L:L,'EPA Export Aggregation'!$A:$A,$B4,'EPA Export Aggregation'!$D:$D,$A$1)*IF($A4="CH4",About!$D$58,IF($A4="N2O",About!$D$59,1))</f>
        <v>3.4294642691124002</v>
      </c>
      <c r="J4">
        <f>SUMIFS('EPA Export Aggregation'!M:M,'EPA Export Aggregation'!$A:$A,$B4,'EPA Export Aggregation'!$D:$D,$A$1)*IF($A4="CH4",About!$D$58,IF($A4="N2O",About!$D$59,1))</f>
        <v>3.3461052944587002</v>
      </c>
      <c r="K4">
        <f>SUMIFS('EPA Export Aggregation'!N:N,'EPA Export Aggregation'!$A:$A,$B4,'EPA Export Aggregation'!$D:$D,$A$1)*IF($A4="CH4",About!$D$58,IF($A4="N2O",About!$D$59,1))</f>
        <v>3.269590803536</v>
      </c>
      <c r="L4">
        <f>SUMIFS('EPA Export Aggregation'!O:O,'EPA Export Aggregation'!$A:$A,$B4,'EPA Export Aggregation'!$D:$D,$A$1)*IF($A4="CH4",About!$D$58,IF($A4="N2O",About!$D$59,1))</f>
        <v>2.9580898271251002</v>
      </c>
      <c r="M4">
        <f>SUMIFS('EPA Export Aggregation'!P:P,'EPA Export Aggregation'!$A:$A,$B4,'EPA Export Aggregation'!$D:$D,$A$1)*IF($A4="CH4",About!$D$58,IF($A4="N2O",About!$D$59,1))</f>
        <v>2.6559971691390998</v>
      </c>
      <c r="N4">
        <f>SUMIFS('EPA Export Aggregation'!Q:Q,'EPA Export Aggregation'!$A:$A,$B4,'EPA Export Aggregation'!$D:$D,$A$1)*IF($A4="CH4",About!$D$58,IF($A4="N2O",About!$D$59,1))</f>
        <v>3.1971463363158001</v>
      </c>
      <c r="O4">
        <f>SUMIFS('EPA Export Aggregation'!R:R,'EPA Export Aggregation'!$A:$A,$B4,'EPA Export Aggregation'!$D:$D,$A$1)*IF($A4="CH4",About!$D$58,IF($A4="N2O",About!$D$59,1))</f>
        <v>2.9209242031478002</v>
      </c>
      <c r="P4">
        <f>SUMIFS('EPA Export Aggregation'!S:S,'EPA Export Aggregation'!$A:$A,$B4,'EPA Export Aggregation'!$D:$D,$A$1)*IF($A4="CH4",About!$D$58,IF($A4="N2O",About!$D$59,1))</f>
        <v>2.2847763252089002</v>
      </c>
      <c r="Q4">
        <f>SUMIFS('EPA Export Aggregation'!T:T,'EPA Export Aggregation'!$A:$A,$B4,'EPA Export Aggregation'!$D:$D,$A$1)*IF($A4="CH4",About!$D$58,IF($A4="N2O",About!$D$59,1))</f>
        <v>1.9534342167178</v>
      </c>
      <c r="R4">
        <f>SUMIFS('EPA Export Aggregation'!U:U,'EPA Export Aggregation'!$A:$A,$B4,'EPA Export Aggregation'!$D:$D,$A$1)*IF($A4="CH4",About!$D$58,IF($A4="N2O",About!$D$59,1))</f>
        <v>2.3833058876551001</v>
      </c>
      <c r="S4">
        <f>SUMIFS('EPA Export Aggregation'!V:V,'EPA Export Aggregation'!$A:$A,$B4,'EPA Export Aggregation'!$D:$D,$A$1)*IF($A4="CH4",About!$D$58,IF($A4="N2O",About!$D$59,1))</f>
        <v>2.3258761164377</v>
      </c>
      <c r="T4">
        <f>SUMIFS('EPA Export Aggregation'!W:W,'EPA Export Aggregation'!$A:$A,$B4,'EPA Export Aggregation'!$D:$D,$A$1)*IF($A4="CH4",About!$D$58,IF($A4="N2O",About!$D$59,1))</f>
        <v>2.8035914997922999</v>
      </c>
      <c r="U4">
        <f>SUMIFS('EPA Export Aggregation'!X:X,'EPA Export Aggregation'!$A:$A,$B4,'EPA Export Aggregation'!$D:$D,$A$1)*IF($A4="CH4",About!$D$58,IF($A4="N2O",About!$D$59,1))</f>
        <v>2.8766628200232001</v>
      </c>
      <c r="V4">
        <f>SUMIFS('EPA Export Aggregation'!Y:Y,'EPA Export Aggregation'!$A:$A,$B4,'EPA Export Aggregation'!$D:$D,$A$1)*IF($A4="CH4",About!$D$58,IF($A4="N2O",About!$D$59,1))</f>
        <v>3.0060234594020998</v>
      </c>
      <c r="W4">
        <f>SUMIFS('EPA Export Aggregation'!Z:Z,'EPA Export Aggregation'!$A:$A,$B4,'EPA Export Aggregation'!$D:$D,$A$1)*IF($A4="CH4",About!$D$58,IF($A4="N2O",About!$D$59,1))</f>
        <v>3.0738327041932001</v>
      </c>
      <c r="X4">
        <f>SUMIFS('EPA Export Aggregation'!AA:AA,'EPA Export Aggregation'!$A:$A,$B4,'EPA Export Aggregation'!$D:$D,$A$1)*IF($A4="CH4",About!$D$58,IF($A4="N2O",About!$D$59,1))</f>
        <v>3.4710351634665</v>
      </c>
      <c r="Y4">
        <f>SUMIFS('EPA Export Aggregation'!AB:AB,'EPA Export Aggregation'!$A:$A,$B4,'EPA Export Aggregation'!$D:$D,$A$1)*IF($A4="CH4",About!$D$58,IF($A4="N2O",About!$D$59,1))</f>
        <v>3.3193838312044002</v>
      </c>
      <c r="Z4">
        <f>SUMIFS('EPA Export Aggregation'!AC:AC,'EPA Export Aggregation'!$A:$A,$B4,'EPA Export Aggregation'!$D:$D,$A$1)*IF($A4="CH4",About!$D$58,IF($A4="N2O",About!$D$59,1))</f>
        <v>2.559533300684</v>
      </c>
      <c r="AA4">
        <f>SUMIFS('EPA Export Aggregation'!AD:AD,'EPA Export Aggregation'!$A:$A,$B4,'EPA Export Aggregation'!$D:$D,$A$1)*IF($A4="CH4",About!$D$58,IF($A4="N2O",About!$D$59,1))</f>
        <v>2.4810688961946998</v>
      </c>
      <c r="AB4">
        <f>SUMIFS('EPA Export Aggregation'!AE:AE,'EPA Export Aggregation'!$A:$A,$B4,'EPA Export Aggregation'!$D:$D,$A$1)*IF($A4="CH4",About!$D$58,IF($A4="N2O",About!$D$59,1))</f>
        <v>2.7771106177485998</v>
      </c>
      <c r="AC4">
        <f>SUMIFS('EPA Export Aggregation'!AF:AF,'EPA Export Aggregation'!$A:$A,$B4,'EPA Export Aggregation'!$D:$D,$A$1)*IF($A4="CH4",About!$D$58,IF($A4="N2O",About!$D$59,1))</f>
        <v>2.5638887983241001</v>
      </c>
      <c r="AD4">
        <f>SUMIFS('EPA Export Aggregation'!AG:AG,'EPA Export Aggregation'!$A:$A,$B4,'EPA Export Aggregation'!$D:$D,$A$1)*IF($A4="CH4",About!$D$58,IF($A4="N2O",About!$D$59,1))</f>
        <v>2.7932831317781002</v>
      </c>
      <c r="AE4">
        <f>SUMIFS('EPA Export Aggregation'!AH:AH,'EPA Export Aggregation'!$A:$A,$B4,'EPA Export Aggregation'!$D:$D,$A$1)*IF($A4="CH4",About!$D$58,IF($A4="N2O",About!$D$59,1))</f>
        <v>3.1587953229038002</v>
      </c>
      <c r="AF4">
        <f>SUMIFS('EPA Export Aggregation'!AI:AI,'EPA Export Aggregation'!$A:$A,$B4,'EPA Export Aggregation'!$D:$D,$A$1)*IF($A4="CH4",About!$D$58,IF($A4="N2O",About!$D$59,1))</f>
        <v>2.8059195165358002</v>
      </c>
      <c r="AG4">
        <f>SUMIFS('EPA Export Aggregation'!AJ:AJ,'EPA Export Aggregation'!$A:$A,$B4,'EPA Export Aggregation'!$D:$D,$A$1)*IF($A4="CH4",About!$D$58,IF($A4="N2O",About!$D$59,1))</f>
        <v>3.1780663435312002</v>
      </c>
      <c r="AH4">
        <f>SUMIFS('EPA Export Aggregation'!AK:AK,'EPA Export Aggregation'!$A:$A,$B4,'EPA Export Aggregation'!$D:$D,$A$1)*IF($A4="CH4",About!$D$58,IF($A4="N2O",About!$D$59,1))</f>
        <v>3.3717899837413001</v>
      </c>
    </row>
    <row r="5" spans="1:34" x14ac:dyDescent="0.25">
      <c r="A5" s="119" t="s">
        <v>479</v>
      </c>
      <c r="B5" s="120" t="s">
        <v>1957</v>
      </c>
      <c r="C5">
        <f>SUMIFS('EPA Export Aggregation'!F:F,'EPA Export Aggregation'!$A:$A,$B5,'EPA Export Aggregation'!$D:$D,$A$1)*IF($A5="CH4",About!$D$58,IF($A5="N2O",About!$D$59,1))</f>
        <v>3.9595144222815</v>
      </c>
      <c r="D5">
        <f>SUMIFS('EPA Export Aggregation'!G:G,'EPA Export Aggregation'!$A:$A,$B5,'EPA Export Aggregation'!$D:$D,$A$1)*IF($A5="CH4",About!$D$58,IF($A5="N2O",About!$D$59,1))</f>
        <v>3.7778451878756001</v>
      </c>
      <c r="E5">
        <f>SUMIFS('EPA Export Aggregation'!H:H,'EPA Export Aggregation'!$A:$A,$B5,'EPA Export Aggregation'!$D:$D,$A$1)*IF($A5="CH4",About!$D$58,IF($A5="N2O",About!$D$59,1))</f>
        <v>3.9108754651161002</v>
      </c>
      <c r="F5">
        <f>SUMIFS('EPA Export Aggregation'!I:I,'EPA Export Aggregation'!$A:$A,$B5,'EPA Export Aggregation'!$D:$D,$A$1)*IF($A5="CH4",About!$D$58,IF($A5="N2O",About!$D$59,1))</f>
        <v>3.8715736270236998</v>
      </c>
      <c r="G5">
        <f>SUMIFS('EPA Export Aggregation'!J:J,'EPA Export Aggregation'!$A:$A,$B5,'EPA Export Aggregation'!$D:$D,$A$1)*IF($A5="CH4",About!$D$58,IF($A5="N2O",About!$D$59,1))</f>
        <v>3.8287716398467002</v>
      </c>
      <c r="H5">
        <f>SUMIFS('EPA Export Aggregation'!K:K,'EPA Export Aggregation'!$A:$A,$B5,'EPA Export Aggregation'!$D:$D,$A$1)*IF($A5="CH4",About!$D$58,IF($A5="N2O",About!$D$59,1))</f>
        <v>3.930130137401</v>
      </c>
      <c r="I5">
        <f>SUMIFS('EPA Export Aggregation'!L:L,'EPA Export Aggregation'!$A:$A,$B5,'EPA Export Aggregation'!$D:$D,$A$1)*IF($A5="CH4",About!$D$58,IF($A5="N2O",About!$D$59,1))</f>
        <v>4.0274666832247998</v>
      </c>
      <c r="J5">
        <f>SUMIFS('EPA Export Aggregation'!M:M,'EPA Export Aggregation'!$A:$A,$B5,'EPA Export Aggregation'!$D:$D,$A$1)*IF($A5="CH4",About!$D$58,IF($A5="N2O",About!$D$59,1))</f>
        <v>4.1358840005928004</v>
      </c>
      <c r="K5">
        <f>SUMIFS('EPA Export Aggregation'!N:N,'EPA Export Aggregation'!$A:$A,$B5,'EPA Export Aggregation'!$D:$D,$A$1)*IF($A5="CH4",About!$D$58,IF($A5="N2O",About!$D$59,1))</f>
        <v>4.2642440821919001</v>
      </c>
      <c r="L5">
        <f>SUMIFS('EPA Export Aggregation'!O:O,'EPA Export Aggregation'!$A:$A,$B5,'EPA Export Aggregation'!$D:$D,$A$1)*IF($A5="CH4",About!$D$58,IF($A5="N2O",About!$D$59,1))</f>
        <v>4.5016424807558</v>
      </c>
      <c r="M5">
        <f>SUMIFS('EPA Export Aggregation'!P:P,'EPA Export Aggregation'!$A:$A,$B5,'EPA Export Aggregation'!$D:$D,$A$1)*IF($A5="CH4",About!$D$58,IF($A5="N2O",About!$D$59,1))</f>
        <v>4.5167023802535002</v>
      </c>
      <c r="N5">
        <f>SUMIFS('EPA Export Aggregation'!Q:Q,'EPA Export Aggregation'!$A:$A,$B5,'EPA Export Aggregation'!$D:$D,$A$1)*IF($A5="CH4",About!$D$58,IF($A5="N2O",About!$D$59,1))</f>
        <v>4.5395817645758996</v>
      </c>
      <c r="O5">
        <f>SUMIFS('EPA Export Aggregation'!R:R,'EPA Export Aggregation'!$A:$A,$B5,'EPA Export Aggregation'!$D:$D,$A$1)*IF($A5="CH4",About!$D$58,IF($A5="N2O",About!$D$59,1))</f>
        <v>4.4243833464644</v>
      </c>
      <c r="P5">
        <f>SUMIFS('EPA Export Aggregation'!S:S,'EPA Export Aggregation'!$A:$A,$B5,'EPA Export Aggregation'!$D:$D,$A$1)*IF($A5="CH4",About!$D$58,IF($A5="N2O",About!$D$59,1))</f>
        <v>4.4105245554058996</v>
      </c>
      <c r="Q5">
        <f>SUMIFS('EPA Export Aggregation'!T:T,'EPA Export Aggregation'!$A:$A,$B5,'EPA Export Aggregation'!$D:$D,$A$1)*IF($A5="CH4",About!$D$58,IF($A5="N2O",About!$D$59,1))</f>
        <v>4.2541303472298004</v>
      </c>
      <c r="R5">
        <f>SUMIFS('EPA Export Aggregation'!U:U,'EPA Export Aggregation'!$A:$A,$B5,'EPA Export Aggregation'!$D:$D,$A$1)*IF($A5="CH4",About!$D$58,IF($A5="N2O",About!$D$59,1))</f>
        <v>4.1920051233248001</v>
      </c>
      <c r="S5">
        <f>SUMIFS('EPA Export Aggregation'!V:V,'EPA Export Aggregation'!$A:$A,$B5,'EPA Export Aggregation'!$D:$D,$A$1)*IF($A5="CH4",About!$D$58,IF($A5="N2O",About!$D$59,1))</f>
        <v>4.2738243150799002</v>
      </c>
      <c r="T5">
        <f>SUMIFS('EPA Export Aggregation'!W:W,'EPA Export Aggregation'!$A:$A,$B5,'EPA Export Aggregation'!$D:$D,$A$1)*IF($A5="CH4",About!$D$58,IF($A5="N2O",About!$D$59,1))</f>
        <v>4.1557921300152003</v>
      </c>
      <c r="U5">
        <f>SUMIFS('EPA Export Aggregation'!X:X,'EPA Export Aggregation'!$A:$A,$B5,'EPA Export Aggregation'!$D:$D,$A$1)*IF($A5="CH4",About!$D$58,IF($A5="N2O",About!$D$59,1))</f>
        <v>4.0207736089077004</v>
      </c>
      <c r="V5">
        <f>SUMIFS('EPA Export Aggregation'!Y:Y,'EPA Export Aggregation'!$A:$A,$B5,'EPA Export Aggregation'!$D:$D,$A$1)*IF($A5="CH4",About!$D$58,IF($A5="N2O",About!$D$59,1))</f>
        <v>4.0071042286531</v>
      </c>
      <c r="W5">
        <f>SUMIFS('EPA Export Aggregation'!Z:Z,'EPA Export Aggregation'!$A:$A,$B5,'EPA Export Aggregation'!$D:$D,$A$1)*IF($A5="CH4",About!$D$58,IF($A5="N2O",About!$D$59,1))</f>
        <v>4.0348197791280001</v>
      </c>
      <c r="X5">
        <f>SUMIFS('EPA Export Aggregation'!AA:AA,'EPA Export Aggregation'!$A:$A,$B5,'EPA Export Aggregation'!$D:$D,$A$1)*IF($A5="CH4",About!$D$58,IF($A5="N2O",About!$D$59,1))</f>
        <v>3.8298071510420999</v>
      </c>
      <c r="Y5">
        <f>SUMIFS('EPA Export Aggregation'!AB:AB,'EPA Export Aggregation'!$A:$A,$B5,'EPA Export Aggregation'!$D:$D,$A$1)*IF($A5="CH4",About!$D$58,IF($A5="N2O",About!$D$59,1))</f>
        <v>3.6639016424894</v>
      </c>
      <c r="Z5">
        <f>SUMIFS('EPA Export Aggregation'!AC:AC,'EPA Export Aggregation'!$A:$A,$B5,'EPA Export Aggregation'!$D:$D,$A$1)*IF($A5="CH4",About!$D$58,IF($A5="N2O",About!$D$59,1))</f>
        <v>3.6495871326095002</v>
      </c>
      <c r="AA5">
        <f>SUMIFS('EPA Export Aggregation'!AD:AD,'EPA Export Aggregation'!$A:$A,$B5,'EPA Export Aggregation'!$D:$D,$A$1)*IF($A5="CH4",About!$D$58,IF($A5="N2O",About!$D$59,1))</f>
        <v>3.9930010148937001</v>
      </c>
      <c r="AB5">
        <f>SUMIFS('EPA Export Aggregation'!AE:AE,'EPA Export Aggregation'!$A:$A,$B5,'EPA Export Aggregation'!$D:$D,$A$1)*IF($A5="CH4",About!$D$58,IF($A5="N2O",About!$D$59,1))</f>
        <v>3.9706568860777001</v>
      </c>
      <c r="AC5">
        <f>SUMIFS('EPA Export Aggregation'!AF:AF,'EPA Export Aggregation'!$A:$A,$B5,'EPA Export Aggregation'!$D:$D,$A$1)*IF($A5="CH4",About!$D$58,IF($A5="N2O",About!$D$59,1))</f>
        <v>3.7276962829636</v>
      </c>
      <c r="AD5">
        <f>SUMIFS('EPA Export Aggregation'!AG:AG,'EPA Export Aggregation'!$A:$A,$B5,'EPA Export Aggregation'!$D:$D,$A$1)*IF($A5="CH4",About!$D$58,IF($A5="N2O",About!$D$59,1))</f>
        <v>3.8149436107820001</v>
      </c>
      <c r="AE5">
        <f>SUMIFS('EPA Export Aggregation'!AH:AH,'EPA Export Aggregation'!$A:$A,$B5,'EPA Export Aggregation'!$D:$D,$A$1)*IF($A5="CH4",About!$D$58,IF($A5="N2O",About!$D$59,1))</f>
        <v>3.9771683210144002</v>
      </c>
      <c r="AF5">
        <f>SUMIFS('EPA Export Aggregation'!AI:AI,'EPA Export Aggregation'!$A:$A,$B5,'EPA Export Aggregation'!$D:$D,$A$1)*IF($A5="CH4",About!$D$58,IF($A5="N2O",About!$D$59,1))</f>
        <v>3.9392230343949</v>
      </c>
      <c r="AG5">
        <f>SUMIFS('EPA Export Aggregation'!AJ:AJ,'EPA Export Aggregation'!$A:$A,$B5,'EPA Export Aggregation'!$D:$D,$A$1)*IF($A5="CH4",About!$D$58,IF($A5="N2O",About!$D$59,1))</f>
        <v>3.2995151992389</v>
      </c>
      <c r="AH5">
        <f>SUMIFS('EPA Export Aggregation'!AK:AK,'EPA Export Aggregation'!$A:$A,$B5,'EPA Export Aggregation'!$D:$D,$A$1)*IF($A5="CH4",About!$D$58,IF($A5="N2O",About!$D$59,1))</f>
        <v>3.6608794592930001</v>
      </c>
    </row>
    <row r="6" spans="1:34" x14ac:dyDescent="0.25">
      <c r="A6" s="119" t="s">
        <v>479</v>
      </c>
      <c r="B6" s="120" t="s">
        <v>1958</v>
      </c>
      <c r="C6">
        <f>SUMIFS('EPA Export Aggregation'!F:F,'EPA Export Aggregation'!$A:$A,$B6,'EPA Export Aggregation'!$D:$D,$A$1)*IF($A6="CH4",About!$D$58,IF($A6="N2O",About!$D$59,1))</f>
        <v>0.58590616053019995</v>
      </c>
      <c r="D6">
        <f>SUMIFS('EPA Export Aggregation'!G:G,'EPA Export Aggregation'!$A:$A,$B6,'EPA Export Aggregation'!$D:$D,$A$1)*IF($A6="CH4",About!$D$58,IF($A6="N2O",About!$D$59,1))</f>
        <v>1.7542683980128</v>
      </c>
      <c r="E6">
        <f>SUMIFS('EPA Export Aggregation'!H:H,'EPA Export Aggregation'!$A:$A,$B6,'EPA Export Aggregation'!$D:$D,$A$1)*IF($A6="CH4",About!$D$58,IF($A6="N2O",About!$D$59,1))</f>
        <v>2.9151358413046</v>
      </c>
      <c r="F6">
        <f>SUMIFS('EPA Export Aggregation'!I:I,'EPA Export Aggregation'!$A:$A,$B6,'EPA Export Aggregation'!$D:$D,$A$1)*IF($A6="CH4",About!$D$58,IF($A6="N2O",About!$D$59,1))</f>
        <v>0.92836403415309998</v>
      </c>
      <c r="G6">
        <f>SUMIFS('EPA Export Aggregation'!J:J,'EPA Export Aggregation'!$A:$A,$B6,'EPA Export Aggregation'!$D:$D,$A$1)*IF($A6="CH4",About!$D$58,IF($A6="N2O",About!$D$59,1))</f>
        <v>2.5988399676423999</v>
      </c>
      <c r="H6">
        <f>SUMIFS('EPA Export Aggregation'!K:K,'EPA Export Aggregation'!$A:$A,$B6,'EPA Export Aggregation'!$D:$D,$A$1)*IF($A6="CH4",About!$D$58,IF($A6="N2O",About!$D$59,1))</f>
        <v>2.2106708441652998</v>
      </c>
      <c r="I6">
        <f>SUMIFS('EPA Export Aggregation'!L:L,'EPA Export Aggregation'!$A:$A,$B6,'EPA Export Aggregation'!$D:$D,$A$1)*IF($A6="CH4",About!$D$58,IF($A6="N2O",About!$D$59,1))</f>
        <v>1.776046178951</v>
      </c>
      <c r="J6">
        <f>SUMIFS('EPA Export Aggregation'!M:M,'EPA Export Aggregation'!$A:$A,$B6,'EPA Export Aggregation'!$D:$D,$A$1)*IF($A6="CH4",About!$D$58,IF($A6="N2O",About!$D$59,1))</f>
        <v>1.6072465886572</v>
      </c>
      <c r="K6">
        <f>SUMIFS('EPA Export Aggregation'!N:N,'EPA Export Aggregation'!$A:$A,$B6,'EPA Export Aggregation'!$D:$D,$A$1)*IF($A6="CH4",About!$D$58,IF($A6="N2O",About!$D$59,1))</f>
        <v>2.5172414129459</v>
      </c>
      <c r="L6">
        <f>SUMIFS('EPA Export Aggregation'!O:O,'EPA Export Aggregation'!$A:$A,$B6,'EPA Export Aggregation'!$D:$D,$A$1)*IF($A6="CH4",About!$D$58,IF($A6="N2O",About!$D$59,1))</f>
        <v>2.0876345372338001</v>
      </c>
      <c r="M6">
        <f>SUMIFS('EPA Export Aggregation'!P:P,'EPA Export Aggregation'!$A:$A,$B6,'EPA Export Aggregation'!$D:$D,$A$1)*IF($A6="CH4",About!$D$58,IF($A6="N2O",About!$D$59,1))</f>
        <v>0.63722331267629995</v>
      </c>
      <c r="N6">
        <f>SUMIFS('EPA Export Aggregation'!Q:Q,'EPA Export Aggregation'!$A:$A,$B6,'EPA Export Aggregation'!$D:$D,$A$1)*IF($A6="CH4",About!$D$58,IF($A6="N2O",About!$D$59,1))</f>
        <v>0.50970129712459999</v>
      </c>
      <c r="O6">
        <f>SUMIFS('EPA Export Aggregation'!R:R,'EPA Export Aggregation'!$A:$A,$B6,'EPA Export Aggregation'!$D:$D,$A$1)*IF($A6="CH4",About!$D$58,IF($A6="N2O",About!$D$59,1))</f>
        <v>0.46714711627889999</v>
      </c>
      <c r="P6">
        <f>SUMIFS('EPA Export Aggregation'!S:S,'EPA Export Aggregation'!$A:$A,$B6,'EPA Export Aggregation'!$D:$D,$A$1)*IF($A6="CH4",About!$D$58,IF($A6="N2O",About!$D$59,1))</f>
        <v>0.53198658553269995</v>
      </c>
      <c r="Q6">
        <f>SUMIFS('EPA Export Aggregation'!T:T,'EPA Export Aggregation'!$A:$A,$B6,'EPA Export Aggregation'!$D:$D,$A$1)*IF($A6="CH4",About!$D$58,IF($A6="N2O",About!$D$59,1))</f>
        <v>0.57937074614009998</v>
      </c>
      <c r="R6">
        <f>SUMIFS('EPA Export Aggregation'!U:U,'EPA Export Aggregation'!$A:$A,$B6,'EPA Export Aggregation'!$D:$D,$A$1)*IF($A6="CH4",About!$D$58,IF($A6="N2O",About!$D$59,1))</f>
        <v>0.60890302860419998</v>
      </c>
      <c r="S6">
        <f>SUMIFS('EPA Export Aggregation'!V:V,'EPA Export Aggregation'!$A:$A,$B6,'EPA Export Aggregation'!$D:$D,$A$1)*IF($A6="CH4",About!$D$58,IF($A6="N2O",About!$D$59,1))</f>
        <v>0.63683170866060002</v>
      </c>
      <c r="T6">
        <f>SUMIFS('EPA Export Aggregation'!W:W,'EPA Export Aggregation'!$A:$A,$B6,'EPA Export Aggregation'!$D:$D,$A$1)*IF($A6="CH4",About!$D$58,IF($A6="N2O",About!$D$59,1))</f>
        <v>0.65342372785549996</v>
      </c>
      <c r="U6">
        <f>SUMIFS('EPA Export Aggregation'!X:X,'EPA Export Aggregation'!$A:$A,$B6,'EPA Export Aggregation'!$D:$D,$A$1)*IF($A6="CH4",About!$D$58,IF($A6="N2O",About!$D$59,1))</f>
        <v>0.60148123766229999</v>
      </c>
      <c r="V6">
        <f>SUMIFS('EPA Export Aggregation'!Y:Y,'EPA Export Aggregation'!$A:$A,$B6,'EPA Export Aggregation'!$D:$D,$A$1)*IF($A6="CH4",About!$D$58,IF($A6="N2O",About!$D$59,1))</f>
        <v>0.68096092257100005</v>
      </c>
      <c r="W6">
        <f>SUMIFS('EPA Export Aggregation'!Z:Z,'EPA Export Aggregation'!$A:$A,$B6,'EPA Export Aggregation'!$D:$D,$A$1)*IF($A6="CH4",About!$D$58,IF($A6="N2O",About!$D$59,1))</f>
        <v>0.60246997945320002</v>
      </c>
      <c r="X6">
        <f>SUMIFS('EPA Export Aggregation'!AA:AA,'EPA Export Aggregation'!$A:$A,$B6,'EPA Export Aggregation'!$D:$D,$A$1)*IF($A6="CH4",About!$D$58,IF($A6="N2O",About!$D$59,1))</f>
        <v>0.56522644128080002</v>
      </c>
      <c r="Y6">
        <f>SUMIFS('EPA Export Aggregation'!AB:AB,'EPA Export Aggregation'!$A:$A,$B6,'EPA Export Aggregation'!$D:$D,$A$1)*IF($A6="CH4",About!$D$58,IF($A6="N2O",About!$D$59,1))</f>
        <v>0.54273717922709996</v>
      </c>
      <c r="Z6">
        <f>SUMIFS('EPA Export Aggregation'!AC:AC,'EPA Export Aggregation'!$A:$A,$B6,'EPA Export Aggregation'!$D:$D,$A$1)*IF($A6="CH4",About!$D$58,IF($A6="N2O",About!$D$59,1))</f>
        <v>0.58501862563660001</v>
      </c>
      <c r="AA6">
        <f>SUMIFS('EPA Export Aggregation'!AD:AD,'EPA Export Aggregation'!$A:$A,$B6,'EPA Export Aggregation'!$D:$D,$A$1)*IF($A6="CH4",About!$D$58,IF($A6="N2O",About!$D$59,1))</f>
        <v>0.52690621219650002</v>
      </c>
      <c r="AB6">
        <f>SUMIFS('EPA Export Aggregation'!AE:AE,'EPA Export Aggregation'!$A:$A,$B6,'EPA Export Aggregation'!$D:$D,$A$1)*IF($A6="CH4",About!$D$58,IF($A6="N2O",About!$D$59,1))</f>
        <v>0.56180058587610004</v>
      </c>
      <c r="AC6">
        <f>SUMIFS('EPA Export Aggregation'!AF:AF,'EPA Export Aggregation'!$A:$A,$B6,'EPA Export Aggregation'!$D:$D,$A$1)*IF($A6="CH4",About!$D$58,IF($A6="N2O",About!$D$59,1))</f>
        <v>0.55611281330020002</v>
      </c>
      <c r="AD6">
        <f>SUMIFS('EPA Export Aggregation'!AG:AG,'EPA Export Aggregation'!$A:$A,$B6,'EPA Export Aggregation'!$D:$D,$A$1)*IF($A6="CH4",About!$D$58,IF($A6="N2O",About!$D$59,1))</f>
        <v>0.57281142793509998</v>
      </c>
      <c r="AE6">
        <f>SUMIFS('EPA Export Aggregation'!AH:AH,'EPA Export Aggregation'!$A:$A,$B6,'EPA Export Aggregation'!$D:$D,$A$1)*IF($A6="CH4",About!$D$58,IF($A6="N2O",About!$D$59,1))</f>
        <v>0.58650016814609995</v>
      </c>
      <c r="AF6">
        <f>SUMIFS('EPA Export Aggregation'!AI:AI,'EPA Export Aggregation'!$A:$A,$B6,'EPA Export Aggregation'!$D:$D,$A$1)*IF($A6="CH4",About!$D$58,IF($A6="N2O",About!$D$59,1))</f>
        <v>0.58925227101019995</v>
      </c>
      <c r="AG6">
        <f>SUMIFS('EPA Export Aggregation'!AJ:AJ,'EPA Export Aggregation'!$A:$A,$B6,'EPA Export Aggregation'!$D:$D,$A$1)*IF($A6="CH4",About!$D$58,IF($A6="N2O",About!$D$59,1))</f>
        <v>0.56593386770660004</v>
      </c>
      <c r="AH6">
        <f>SUMIFS('EPA Export Aggregation'!AK:AK,'EPA Export Aggregation'!$A:$A,$B6,'EPA Export Aggregation'!$D:$D,$A$1)*IF($A6="CH4",About!$D$58,IF($A6="N2O",About!$D$59,1))</f>
        <v>0.54486912577510005</v>
      </c>
    </row>
    <row r="7" spans="1:34" x14ac:dyDescent="0.25">
      <c r="A7" s="119" t="s">
        <v>479</v>
      </c>
      <c r="B7" s="120" t="s">
        <v>1959</v>
      </c>
      <c r="C7">
        <f>SUMIFS('EPA Export Aggregation'!F:F,'EPA Export Aggregation'!$A:$A,$B7,'EPA Export Aggregation'!$D:$D,$A$1)*IF($A7="CH4",About!$D$58,IF($A7="N2O",About!$D$59,1))</f>
        <v>2.3184742612807998</v>
      </c>
      <c r="D7">
        <f>SUMIFS('EPA Export Aggregation'!G:G,'EPA Export Aggregation'!$A:$A,$B7,'EPA Export Aggregation'!$D:$D,$A$1)*IF($A7="CH4",About!$D$58,IF($A7="N2O",About!$D$59,1))</f>
        <v>2.3595678984782</v>
      </c>
      <c r="E7">
        <f>SUMIFS('EPA Export Aggregation'!H:H,'EPA Export Aggregation'!$A:$A,$B7,'EPA Export Aggregation'!$D:$D,$A$1)*IF($A7="CH4",About!$D$58,IF($A7="N2O",About!$D$59,1))</f>
        <v>2.7074656822696999</v>
      </c>
      <c r="F7">
        <f>SUMIFS('EPA Export Aggregation'!I:I,'EPA Export Aggregation'!$A:$A,$B7,'EPA Export Aggregation'!$D:$D,$A$1)*IF($A7="CH4",About!$D$58,IF($A7="N2O",About!$D$59,1))</f>
        <v>2.5201346278675998</v>
      </c>
      <c r="G7">
        <f>SUMIFS('EPA Export Aggregation'!J:J,'EPA Export Aggregation'!$A:$A,$B7,'EPA Export Aggregation'!$D:$D,$A$1)*IF($A7="CH4",About!$D$58,IF($A7="N2O",About!$D$59,1))</f>
        <v>2.5333198794812</v>
      </c>
      <c r="H7">
        <f>SUMIFS('EPA Export Aggregation'!K:K,'EPA Export Aggregation'!$A:$A,$B7,'EPA Export Aggregation'!$D:$D,$A$1)*IF($A7="CH4",About!$D$58,IF($A7="N2O",About!$D$59,1))</f>
        <v>2.3168379612434</v>
      </c>
      <c r="I7">
        <f>SUMIFS('EPA Export Aggregation'!L:L,'EPA Export Aggregation'!$A:$A,$B7,'EPA Export Aggregation'!$D:$D,$A$1)*IF($A7="CH4",About!$D$58,IF($A7="N2O",About!$D$59,1))</f>
        <v>2.5346271658566999</v>
      </c>
      <c r="J7">
        <f>SUMIFS('EPA Export Aggregation'!M:M,'EPA Export Aggregation'!$A:$A,$B7,'EPA Export Aggregation'!$D:$D,$A$1)*IF($A7="CH4",About!$D$58,IF($A7="N2O",About!$D$59,1))</f>
        <v>2.4666514160502002</v>
      </c>
      <c r="K7">
        <f>SUMIFS('EPA Export Aggregation'!N:N,'EPA Export Aggregation'!$A:$A,$B7,'EPA Export Aggregation'!$D:$D,$A$1)*IF($A7="CH4",About!$D$58,IF($A7="N2O",About!$D$59,1))</f>
        <v>2.2113892014471999</v>
      </c>
      <c r="L7">
        <f>SUMIFS('EPA Export Aggregation'!O:O,'EPA Export Aggregation'!$A:$A,$B7,'EPA Export Aggregation'!$D:$D,$A$1)*IF($A7="CH4",About!$D$58,IF($A7="N2O",About!$D$59,1))</f>
        <v>2.1353606790827002</v>
      </c>
      <c r="M7">
        <f>SUMIFS('EPA Export Aggregation'!P:P,'EPA Export Aggregation'!$A:$A,$B7,'EPA Export Aggregation'!$D:$D,$A$1)*IF($A7="CH4",About!$D$58,IF($A7="N2O",About!$D$59,1))</f>
        <v>2.3400403957533</v>
      </c>
      <c r="N7">
        <f>SUMIFS('EPA Export Aggregation'!Q:Q,'EPA Export Aggregation'!$A:$A,$B7,'EPA Export Aggregation'!$D:$D,$A$1)*IF($A7="CH4",About!$D$58,IF($A7="N2O",About!$D$59,1))</f>
        <v>2.4892300507576</v>
      </c>
      <c r="O7">
        <f>SUMIFS('EPA Export Aggregation'!R:R,'EPA Export Aggregation'!$A:$A,$B7,'EPA Export Aggregation'!$D:$D,$A$1)*IF($A7="CH4",About!$D$58,IF($A7="N2O",About!$D$59,1))</f>
        <v>2.3208325918800998</v>
      </c>
      <c r="P7">
        <f>SUMIFS('EPA Export Aggregation'!S:S,'EPA Export Aggregation'!$A:$A,$B7,'EPA Export Aggregation'!$D:$D,$A$1)*IF($A7="CH4",About!$D$58,IF($A7="N2O",About!$D$59,1))</f>
        <v>2.6866285695148</v>
      </c>
      <c r="Q7">
        <f>SUMIFS('EPA Export Aggregation'!T:T,'EPA Export Aggregation'!$A:$A,$B7,'EPA Export Aggregation'!$D:$D,$A$1)*IF($A7="CH4",About!$D$58,IF($A7="N2O",About!$D$59,1))</f>
        <v>2.7299700425197999</v>
      </c>
      <c r="R7">
        <f>SUMIFS('EPA Export Aggregation'!U:U,'EPA Export Aggregation'!$A:$A,$B7,'EPA Export Aggregation'!$D:$D,$A$1)*IF($A7="CH4",About!$D$58,IF($A7="N2O",About!$D$59,1))</f>
        <v>2.5660306504008998</v>
      </c>
      <c r="S7">
        <f>SUMIFS('EPA Export Aggregation'!V:V,'EPA Export Aggregation'!$A:$A,$B7,'EPA Export Aggregation'!$D:$D,$A$1)*IF($A7="CH4",About!$D$58,IF($A7="N2O",About!$D$59,1))</f>
        <v>2.1678467550259999</v>
      </c>
      <c r="T7">
        <f>SUMIFS('EPA Export Aggregation'!W:W,'EPA Export Aggregation'!$A:$A,$B7,'EPA Export Aggregation'!$D:$D,$A$1)*IF($A7="CH4",About!$D$58,IF($A7="N2O",About!$D$59,1))</f>
        <v>2.2177605016275002</v>
      </c>
      <c r="U7">
        <f>SUMIFS('EPA Export Aggregation'!X:X,'EPA Export Aggregation'!$A:$A,$B7,'EPA Export Aggregation'!$D:$D,$A$1)*IF($A7="CH4",About!$D$58,IF($A7="N2O",About!$D$59,1))</f>
        <v>2.0287668573989999</v>
      </c>
      <c r="V7">
        <f>SUMIFS('EPA Export Aggregation'!Y:Y,'EPA Export Aggregation'!$A:$A,$B7,'EPA Export Aggregation'!$D:$D,$A$1)*IF($A7="CH4",About!$D$58,IF($A7="N2O",About!$D$59,1))</f>
        <v>2.2735628260320002</v>
      </c>
      <c r="W7">
        <f>SUMIFS('EPA Export Aggregation'!Z:Z,'EPA Export Aggregation'!$A:$A,$B7,'EPA Export Aggregation'!$D:$D,$A$1)*IF($A7="CH4",About!$D$58,IF($A7="N2O",About!$D$59,1))</f>
        <v>2.1926841636991998</v>
      </c>
      <c r="X7">
        <f>SUMIFS('EPA Export Aggregation'!AA:AA,'EPA Export Aggregation'!$A:$A,$B7,'EPA Export Aggregation'!$D:$D,$A$1)*IF($A7="CH4",About!$D$58,IF($A7="N2O",About!$D$59,1))</f>
        <v>2.1289604992622002</v>
      </c>
      <c r="Y7">
        <f>SUMIFS('EPA Export Aggregation'!AB:AB,'EPA Export Aggregation'!$A:$A,$B7,'EPA Export Aggregation'!$D:$D,$A$1)*IF($A7="CH4",About!$D$58,IF($A7="N2O",About!$D$59,1))</f>
        <v>1.9301710335550999</v>
      </c>
      <c r="Z7">
        <f>SUMIFS('EPA Export Aggregation'!AC:AC,'EPA Export Aggregation'!$A:$A,$B7,'EPA Export Aggregation'!$D:$D,$A$1)*IF($A7="CH4",About!$D$58,IF($A7="N2O",About!$D$59,1))</f>
        <v>2.1421069149702001</v>
      </c>
      <c r="AA7">
        <f>SUMIFS('EPA Export Aggregation'!AD:AD,'EPA Export Aggregation'!$A:$A,$B7,'EPA Export Aggregation'!$D:$D,$A$1)*IF($A7="CH4",About!$D$58,IF($A7="N2O",About!$D$59,1))</f>
        <v>2.2518736266081998</v>
      </c>
      <c r="AB7">
        <f>SUMIFS('EPA Export Aggregation'!AE:AE,'EPA Export Aggregation'!$A:$A,$B7,'EPA Export Aggregation'!$D:$D,$A$1)*IF($A7="CH4",About!$D$58,IF($A7="N2O",About!$D$59,1))</f>
        <v>2.2828591713476998</v>
      </c>
      <c r="AC7">
        <f>SUMIFS('EPA Export Aggregation'!AF:AF,'EPA Export Aggregation'!$A:$A,$B7,'EPA Export Aggregation'!$D:$D,$A$1)*IF($A7="CH4",About!$D$58,IF($A7="N2O",About!$D$59,1))</f>
        <v>1.6758872906325</v>
      </c>
      <c r="AD7">
        <f>SUMIFS('EPA Export Aggregation'!AG:AG,'EPA Export Aggregation'!$A:$A,$B7,'EPA Export Aggregation'!$D:$D,$A$1)*IF($A7="CH4",About!$D$58,IF($A7="N2O",About!$D$59,1))</f>
        <v>1.6597052261480001</v>
      </c>
      <c r="AE7">
        <f>SUMIFS('EPA Export Aggregation'!AH:AH,'EPA Export Aggregation'!$A:$A,$B7,'EPA Export Aggregation'!$D:$D,$A$1)*IF($A7="CH4",About!$D$58,IF($A7="N2O",About!$D$59,1))</f>
        <v>2.1427788816805</v>
      </c>
      <c r="AF7">
        <f>SUMIFS('EPA Export Aggregation'!AI:AI,'EPA Export Aggregation'!$A:$A,$B7,'EPA Export Aggregation'!$D:$D,$A$1)*IF($A7="CH4",About!$D$58,IF($A7="N2O",About!$D$59,1))</f>
        <v>1.9329758727377</v>
      </c>
      <c r="AG7">
        <f>SUMIFS('EPA Export Aggregation'!AJ:AJ,'EPA Export Aggregation'!$A:$A,$B7,'EPA Export Aggregation'!$D:$D,$A$1)*IF($A7="CH4",About!$D$58,IF($A7="N2O",About!$D$59,1))</f>
        <v>1.7474874853994</v>
      </c>
      <c r="AH7">
        <f>SUMIFS('EPA Export Aggregation'!AK:AK,'EPA Export Aggregation'!$A:$A,$B7,'EPA Export Aggregation'!$D:$D,$A$1)*IF($A7="CH4",About!$D$58,IF($A7="N2O",About!$D$59,1))</f>
        <v>1.7742217521353001</v>
      </c>
    </row>
    <row r="8" spans="1:34" x14ac:dyDescent="0.25">
      <c r="A8" s="119" t="s">
        <v>479</v>
      </c>
      <c r="B8" s="120" t="s">
        <v>1960</v>
      </c>
      <c r="C8">
        <f>SUMIFS('EPA Export Aggregation'!F:F,'EPA Export Aggregation'!$A:$A,$B8,'EPA Export Aggregation'!$D:$D,$A$1)*IF($A8="CH4",About!$D$58,IF($A8="N2O",About!$D$59,1))</f>
        <v>1.1168042082941001</v>
      </c>
      <c r="D8">
        <f>SUMIFS('EPA Export Aggregation'!G:G,'EPA Export Aggregation'!$A:$A,$B8,'EPA Export Aggregation'!$D:$D,$A$1)*IF($A8="CH4",About!$D$58,IF($A8="N2O",About!$D$59,1))</f>
        <v>1.1759636361684001</v>
      </c>
      <c r="E8">
        <f>SUMIFS('EPA Export Aggregation'!H:H,'EPA Export Aggregation'!$A:$A,$B8,'EPA Export Aggregation'!$D:$D,$A$1)*IF($A8="CH4",About!$D$58,IF($A8="N2O",About!$D$59,1))</f>
        <v>1.0741612809582</v>
      </c>
      <c r="F8">
        <f>SUMIFS('EPA Export Aggregation'!I:I,'EPA Export Aggregation'!$A:$A,$B8,'EPA Export Aggregation'!$D:$D,$A$1)*IF($A8="CH4",About!$D$58,IF($A8="N2O",About!$D$59,1))</f>
        <v>1.1097774048624001</v>
      </c>
      <c r="G8">
        <f>SUMIFS('EPA Export Aggregation'!J:J,'EPA Export Aggregation'!$A:$A,$B8,'EPA Export Aggregation'!$D:$D,$A$1)*IF($A8="CH4",About!$D$58,IF($A8="N2O",About!$D$59,1))</f>
        <v>1.3445121065417001</v>
      </c>
      <c r="H8">
        <f>SUMIFS('EPA Export Aggregation'!K:K,'EPA Export Aggregation'!$A:$A,$B8,'EPA Export Aggregation'!$D:$D,$A$1)*IF($A8="CH4",About!$D$58,IF($A8="N2O",About!$D$59,1))</f>
        <v>1.2255901163917</v>
      </c>
      <c r="I8">
        <f>SUMIFS('EPA Export Aggregation'!L:L,'EPA Export Aggregation'!$A:$A,$B8,'EPA Export Aggregation'!$D:$D,$A$1)*IF($A8="CH4",About!$D$58,IF($A8="N2O",About!$D$59,1))</f>
        <v>1.3939388586298</v>
      </c>
      <c r="J8">
        <f>SUMIFS('EPA Export Aggregation'!M:M,'EPA Export Aggregation'!$A:$A,$B8,'EPA Export Aggregation'!$D:$D,$A$1)*IF($A8="CH4",About!$D$58,IF($A8="N2O",About!$D$59,1))</f>
        <v>1.3147506434376</v>
      </c>
      <c r="K8">
        <f>SUMIFS('EPA Export Aggregation'!N:N,'EPA Export Aggregation'!$A:$A,$B8,'EPA Export Aggregation'!$D:$D,$A$1)*IF($A8="CH4",About!$D$58,IF($A8="N2O",About!$D$59,1))</f>
        <v>1.1150577197824001</v>
      </c>
      <c r="L8">
        <f>SUMIFS('EPA Export Aggregation'!O:O,'EPA Export Aggregation'!$A:$A,$B8,'EPA Export Aggregation'!$D:$D,$A$1)*IF($A8="CH4",About!$D$58,IF($A8="N2O",About!$D$59,1))</f>
        <v>1.055564774679</v>
      </c>
      <c r="M8">
        <f>SUMIFS('EPA Export Aggregation'!P:P,'EPA Export Aggregation'!$A:$A,$B8,'EPA Export Aggregation'!$D:$D,$A$1)*IF($A8="CH4",About!$D$58,IF($A8="N2O",About!$D$59,1))</f>
        <v>1.2000838143368</v>
      </c>
      <c r="N8">
        <f>SUMIFS('EPA Export Aggregation'!Q:Q,'EPA Export Aggregation'!$A:$A,$B8,'EPA Export Aggregation'!$D:$D,$A$1)*IF($A8="CH4",About!$D$58,IF($A8="N2O",About!$D$59,1))</f>
        <v>1.2457228901249</v>
      </c>
      <c r="O8">
        <f>SUMIFS('EPA Export Aggregation'!R:R,'EPA Export Aggregation'!$A:$A,$B8,'EPA Export Aggregation'!$D:$D,$A$1)*IF($A8="CH4",About!$D$58,IF($A8="N2O",About!$D$59,1))</f>
        <v>1.1421865676059</v>
      </c>
      <c r="P8">
        <f>SUMIFS('EPA Export Aggregation'!S:S,'EPA Export Aggregation'!$A:$A,$B8,'EPA Export Aggregation'!$D:$D,$A$1)*IF($A8="CH4",About!$D$58,IF($A8="N2O",About!$D$59,1))</f>
        <v>1.2712420862764999</v>
      </c>
      <c r="Q8">
        <f>SUMIFS('EPA Export Aggregation'!T:T,'EPA Export Aggregation'!$A:$A,$B8,'EPA Export Aggregation'!$D:$D,$A$1)*IF($A8="CH4",About!$D$58,IF($A8="N2O",About!$D$59,1))</f>
        <v>1.1978635488166001</v>
      </c>
      <c r="R8">
        <f>SUMIFS('EPA Export Aggregation'!U:U,'EPA Export Aggregation'!$A:$A,$B8,'EPA Export Aggregation'!$D:$D,$A$1)*IF($A8="CH4",About!$D$58,IF($A8="N2O",About!$D$59,1))</f>
        <v>1.1175972177850999</v>
      </c>
      <c r="S8">
        <f>SUMIFS('EPA Export Aggregation'!V:V,'EPA Export Aggregation'!$A:$A,$B8,'EPA Export Aggregation'!$D:$D,$A$1)*IF($A8="CH4",About!$D$58,IF($A8="N2O",About!$D$59,1))</f>
        <v>0.94827801404750001</v>
      </c>
      <c r="T8">
        <f>SUMIFS('EPA Export Aggregation'!W:W,'EPA Export Aggregation'!$A:$A,$B8,'EPA Export Aggregation'!$D:$D,$A$1)*IF($A8="CH4",About!$D$58,IF($A8="N2O",About!$D$59,1))</f>
        <v>1.0361556038977</v>
      </c>
      <c r="U8">
        <f>SUMIFS('EPA Export Aggregation'!X:X,'EPA Export Aggregation'!$A:$A,$B8,'EPA Export Aggregation'!$D:$D,$A$1)*IF($A8="CH4",About!$D$58,IF($A8="N2O",About!$D$59,1))</f>
        <v>0.9045674036261</v>
      </c>
      <c r="V8">
        <f>SUMIFS('EPA Export Aggregation'!Y:Y,'EPA Export Aggregation'!$A:$A,$B8,'EPA Export Aggregation'!$D:$D,$A$1)*IF($A8="CH4",About!$D$58,IF($A8="N2O",About!$D$59,1))</f>
        <v>1.0318660932432</v>
      </c>
      <c r="W8">
        <f>SUMIFS('EPA Export Aggregation'!Z:Z,'EPA Export Aggregation'!$A:$A,$B8,'EPA Export Aggregation'!$D:$D,$A$1)*IF($A8="CH4",About!$D$58,IF($A8="N2O",About!$D$59,1))</f>
        <v>0.91456169482060001</v>
      </c>
      <c r="X8">
        <f>SUMIFS('EPA Export Aggregation'!AA:AA,'EPA Export Aggregation'!$A:$A,$B8,'EPA Export Aggregation'!$D:$D,$A$1)*IF($A8="CH4",About!$D$58,IF($A8="N2O",About!$D$59,1))</f>
        <v>0.86679728826189995</v>
      </c>
      <c r="Y8">
        <f>SUMIFS('EPA Export Aggregation'!AB:AB,'EPA Export Aggregation'!$A:$A,$B8,'EPA Export Aggregation'!$D:$D,$A$1)*IF($A8="CH4",About!$D$58,IF($A8="N2O",About!$D$59,1))</f>
        <v>0.76901706076819998</v>
      </c>
      <c r="Z8">
        <f>SUMIFS('EPA Export Aggregation'!AC:AC,'EPA Export Aggregation'!$A:$A,$B8,'EPA Export Aggregation'!$D:$D,$A$1)*IF($A8="CH4",About!$D$58,IF($A8="N2O",About!$D$59,1))</f>
        <v>0.89232258185390001</v>
      </c>
      <c r="AA8">
        <f>SUMIFS('EPA Export Aggregation'!AD:AD,'EPA Export Aggregation'!$A:$A,$B8,'EPA Export Aggregation'!$D:$D,$A$1)*IF($A8="CH4",About!$D$58,IF($A8="N2O",About!$D$59,1))</f>
        <v>1.1056684036116</v>
      </c>
      <c r="AB8">
        <f>SUMIFS('EPA Export Aggregation'!AE:AE,'EPA Export Aggregation'!$A:$A,$B8,'EPA Export Aggregation'!$D:$D,$A$1)*IF($A8="CH4",About!$D$58,IF($A8="N2O",About!$D$59,1))</f>
        <v>0.98639404638820005</v>
      </c>
      <c r="AC8">
        <f>SUMIFS('EPA Export Aggregation'!AF:AF,'EPA Export Aggregation'!$A:$A,$B8,'EPA Export Aggregation'!$D:$D,$A$1)*IF($A8="CH4",About!$D$58,IF($A8="N2O",About!$D$59,1))</f>
        <v>0.83628665200749996</v>
      </c>
      <c r="AD8">
        <f>SUMIFS('EPA Export Aggregation'!AG:AG,'EPA Export Aggregation'!$A:$A,$B8,'EPA Export Aggregation'!$D:$D,$A$1)*IF($A8="CH4",About!$D$58,IF($A8="N2O",About!$D$59,1))</f>
        <v>0.839796789456</v>
      </c>
      <c r="AE8">
        <f>SUMIFS('EPA Export Aggregation'!AH:AH,'EPA Export Aggregation'!$A:$A,$B8,'EPA Export Aggregation'!$D:$D,$A$1)*IF($A8="CH4",About!$D$58,IF($A8="N2O",About!$D$59,1))</f>
        <v>0.93676969185680004</v>
      </c>
      <c r="AF8">
        <f>SUMIFS('EPA Export Aggregation'!AI:AI,'EPA Export Aggregation'!$A:$A,$B8,'EPA Export Aggregation'!$D:$D,$A$1)*IF($A8="CH4",About!$D$58,IF($A8="N2O",About!$D$59,1))</f>
        <v>0.90996664032209995</v>
      </c>
      <c r="AG8">
        <f>SUMIFS('EPA Export Aggregation'!AJ:AJ,'EPA Export Aggregation'!$A:$A,$B8,'EPA Export Aggregation'!$D:$D,$A$1)*IF($A8="CH4",About!$D$58,IF($A8="N2O",About!$D$59,1))</f>
        <v>0.78049789035560002</v>
      </c>
      <c r="AH8">
        <f>SUMIFS('EPA Export Aggregation'!AK:AK,'EPA Export Aggregation'!$A:$A,$B8,'EPA Export Aggregation'!$D:$D,$A$1)*IF($A8="CH4",About!$D$58,IF($A8="N2O",About!$D$59,1))</f>
        <v>0.85316612470630004</v>
      </c>
    </row>
    <row r="9" spans="1:34" x14ac:dyDescent="0.25">
      <c r="A9" s="119" t="s">
        <v>479</v>
      </c>
      <c r="B9" s="120" t="s">
        <v>1961</v>
      </c>
      <c r="C9">
        <f>SUMIFS('EPA Export Aggregation'!F:F,'EPA Export Aggregation'!$A:$A,$B9,'EPA Export Aggregation'!$D:$D,$A$1)*IF($A9="CH4",About!$D$58,IF($A9="N2O",About!$D$59,1))</f>
        <v>8.0362841236900004E-2</v>
      </c>
      <c r="D9">
        <f>SUMIFS('EPA Export Aggregation'!G:G,'EPA Export Aggregation'!$A:$A,$B9,'EPA Export Aggregation'!$D:$D,$A$1)*IF($A9="CH4",About!$D$58,IF($A9="N2O",About!$D$59,1))</f>
        <v>6.27274874664E-2</v>
      </c>
      <c r="E9">
        <f>SUMIFS('EPA Export Aggregation'!H:H,'EPA Export Aggregation'!$A:$A,$B9,'EPA Export Aggregation'!$D:$D,$A$1)*IF($A9="CH4",About!$D$58,IF($A9="N2O",About!$D$59,1))</f>
        <v>6.6600295460699996E-2</v>
      </c>
      <c r="F9">
        <f>SUMIFS('EPA Export Aggregation'!I:I,'EPA Export Aggregation'!$A:$A,$B9,'EPA Export Aggregation'!$D:$D,$A$1)*IF($A9="CH4",About!$D$58,IF($A9="N2O",About!$D$59,1))</f>
        <v>6.5408155966299994E-2</v>
      </c>
      <c r="G9">
        <f>SUMIFS('EPA Export Aggregation'!J:J,'EPA Export Aggregation'!$A:$A,$B9,'EPA Export Aggregation'!$D:$D,$A$1)*IF($A9="CH4",About!$D$58,IF($A9="N2O",About!$D$59,1))</f>
        <v>6.8556408479099995E-2</v>
      </c>
      <c r="H9">
        <f>SUMIFS('EPA Export Aggregation'!K:K,'EPA Export Aggregation'!$A:$A,$B9,'EPA Export Aggregation'!$D:$D,$A$1)*IF($A9="CH4",About!$D$58,IF($A9="N2O",About!$D$59,1))</f>
        <v>6.6504847337100007E-2</v>
      </c>
      <c r="I9">
        <f>SUMIFS('EPA Export Aggregation'!L:L,'EPA Export Aggregation'!$A:$A,$B9,'EPA Export Aggregation'!$D:$D,$A$1)*IF($A9="CH4",About!$D$58,IF($A9="N2O",About!$D$59,1))</f>
        <v>6.6370404619200005E-2</v>
      </c>
      <c r="J9">
        <f>SUMIFS('EPA Export Aggregation'!M:M,'EPA Export Aggregation'!$A:$A,$B9,'EPA Export Aggregation'!$D:$D,$A$1)*IF($A9="CH4",About!$D$58,IF($A9="N2O",About!$D$59,1))</f>
        <v>6.4048034412899996E-2</v>
      </c>
      <c r="K9">
        <f>SUMIFS('EPA Export Aggregation'!N:N,'EPA Export Aggregation'!$A:$A,$B9,'EPA Export Aggregation'!$D:$D,$A$1)*IF($A9="CH4",About!$D$58,IF($A9="N2O",About!$D$59,1))</f>
        <v>6.8132353913500004E-2</v>
      </c>
      <c r="L9">
        <f>SUMIFS('EPA Export Aggregation'!O:O,'EPA Export Aggregation'!$A:$A,$B9,'EPA Export Aggregation'!$D:$D,$A$1)*IF($A9="CH4",About!$D$58,IF($A9="N2O",About!$D$59,1))</f>
        <v>8.3737513921200005E-2</v>
      </c>
      <c r="M9">
        <f>SUMIFS('EPA Export Aggregation'!P:P,'EPA Export Aggregation'!$A:$A,$B9,'EPA Export Aggregation'!$D:$D,$A$1)*IF($A9="CH4",About!$D$58,IF($A9="N2O",About!$D$59,1))</f>
        <v>7.0474011365800004E-2</v>
      </c>
      <c r="N9">
        <f>SUMIFS('EPA Export Aggregation'!Q:Q,'EPA Export Aggregation'!$A:$A,$B9,'EPA Export Aggregation'!$D:$D,$A$1)*IF($A9="CH4",About!$D$58,IF($A9="N2O",About!$D$59,1))</f>
        <v>6.8715718950499993E-2</v>
      </c>
      <c r="O9">
        <f>SUMIFS('EPA Export Aggregation'!R:R,'EPA Export Aggregation'!$A:$A,$B9,'EPA Export Aggregation'!$D:$D,$A$1)*IF($A9="CH4",About!$D$58,IF($A9="N2O",About!$D$59,1))</f>
        <v>7.2766665864999996E-2</v>
      </c>
      <c r="P9">
        <f>SUMIFS('EPA Export Aggregation'!S:S,'EPA Export Aggregation'!$A:$A,$B9,'EPA Export Aggregation'!$D:$D,$A$1)*IF($A9="CH4",About!$D$58,IF($A9="N2O",About!$D$59,1))</f>
        <v>6.1365451674699999E-2</v>
      </c>
      <c r="Q9">
        <f>SUMIFS('EPA Export Aggregation'!T:T,'EPA Export Aggregation'!$A:$A,$B9,'EPA Export Aggregation'!$D:$D,$A$1)*IF($A9="CH4",About!$D$58,IF($A9="N2O",About!$D$59,1))</f>
        <v>5.79534338974E-2</v>
      </c>
      <c r="R9">
        <f>SUMIFS('EPA Export Aggregation'!U:U,'EPA Export Aggregation'!$A:$A,$B9,'EPA Export Aggregation'!$D:$D,$A$1)*IF($A9="CH4",About!$D$58,IF($A9="N2O",About!$D$59,1))</f>
        <v>6.3793188613299995E-2</v>
      </c>
      <c r="S9">
        <f>SUMIFS('EPA Export Aggregation'!V:V,'EPA Export Aggregation'!$A:$A,$B9,'EPA Export Aggregation'!$D:$D,$A$1)*IF($A9="CH4",About!$D$58,IF($A9="N2O",About!$D$59,1))</f>
        <v>6.4480167572800007E-2</v>
      </c>
      <c r="T9">
        <f>SUMIFS('EPA Export Aggregation'!W:W,'EPA Export Aggregation'!$A:$A,$B9,'EPA Export Aggregation'!$D:$D,$A$1)*IF($A9="CH4",About!$D$58,IF($A9="N2O",About!$D$59,1))</f>
        <v>6.1058763497500002E-2</v>
      </c>
      <c r="U9">
        <f>SUMIFS('EPA Export Aggregation'!X:X,'EPA Export Aggregation'!$A:$A,$B9,'EPA Export Aggregation'!$D:$D,$A$1)*IF($A9="CH4",About!$D$58,IF($A9="N2O",About!$D$59,1))</f>
        <v>5.8980369368699999E-2</v>
      </c>
      <c r="V9">
        <f>SUMIFS('EPA Export Aggregation'!Y:Y,'EPA Export Aggregation'!$A:$A,$B9,'EPA Export Aggregation'!$D:$D,$A$1)*IF($A9="CH4",About!$D$58,IF($A9="N2O",About!$D$59,1))</f>
        <v>5.0189351639399998E-2</v>
      </c>
      <c r="W9">
        <f>SUMIFS('EPA Export Aggregation'!Z:Z,'EPA Export Aggregation'!$A:$A,$B9,'EPA Export Aggregation'!$D:$D,$A$1)*IF($A9="CH4",About!$D$58,IF($A9="N2O",About!$D$59,1))</f>
        <v>5.3307760499400003E-2</v>
      </c>
      <c r="X9">
        <f>SUMIFS('EPA Export Aggregation'!AA:AA,'EPA Export Aggregation'!$A:$A,$B9,'EPA Export Aggregation'!$D:$D,$A$1)*IF($A9="CH4",About!$D$58,IF($A9="N2O",About!$D$59,1))</f>
        <v>4.9549563054899999E-2</v>
      </c>
      <c r="Y9">
        <f>SUMIFS('EPA Export Aggregation'!AB:AB,'EPA Export Aggregation'!$A:$A,$B9,'EPA Export Aggregation'!$D:$D,$A$1)*IF($A9="CH4",About!$D$58,IF($A9="N2O",About!$D$59,1))</f>
        <v>4.6023710409200003E-2</v>
      </c>
      <c r="Z9">
        <f>SUMIFS('EPA Export Aggregation'!AC:AC,'EPA Export Aggregation'!$A:$A,$B9,'EPA Export Aggregation'!$D:$D,$A$1)*IF($A9="CH4",About!$D$58,IF($A9="N2O",About!$D$59,1))</f>
        <v>5.2675420841799998E-2</v>
      </c>
      <c r="AA9">
        <f>SUMIFS('EPA Export Aggregation'!AD:AD,'EPA Export Aggregation'!$A:$A,$B9,'EPA Export Aggregation'!$D:$D,$A$1)*IF($A9="CH4",About!$D$58,IF($A9="N2O",About!$D$59,1))</f>
        <v>5.4823064801500003E-2</v>
      </c>
      <c r="AB9">
        <f>SUMIFS('EPA Export Aggregation'!AE:AE,'EPA Export Aggregation'!$A:$A,$B9,'EPA Export Aggregation'!$D:$D,$A$1)*IF($A9="CH4",About!$D$58,IF($A9="N2O",About!$D$59,1))</f>
        <v>5.6768157357100002E-2</v>
      </c>
      <c r="AC9">
        <f>SUMIFS('EPA Export Aggregation'!AF:AF,'EPA Export Aggregation'!$A:$A,$B9,'EPA Export Aggregation'!$D:$D,$A$1)*IF($A9="CH4",About!$D$58,IF($A9="N2O",About!$D$59,1))</f>
        <v>5.0495034493499999E-2</v>
      </c>
      <c r="AD9">
        <f>SUMIFS('EPA Export Aggregation'!AG:AG,'EPA Export Aggregation'!$A:$A,$B9,'EPA Export Aggregation'!$D:$D,$A$1)*IF($A9="CH4",About!$D$58,IF($A9="N2O",About!$D$59,1))</f>
        <v>6.1120101027200002E-2</v>
      </c>
      <c r="AE9">
        <f>SUMIFS('EPA Export Aggregation'!AH:AH,'EPA Export Aggregation'!$A:$A,$B9,'EPA Export Aggregation'!$D:$D,$A$1)*IF($A9="CH4",About!$D$58,IF($A9="N2O",About!$D$59,1))</f>
        <v>5.4834055243699997E-2</v>
      </c>
      <c r="AF9">
        <f>SUMIFS('EPA Export Aggregation'!AI:AI,'EPA Export Aggregation'!$A:$A,$B9,'EPA Export Aggregation'!$D:$D,$A$1)*IF($A9="CH4",About!$D$58,IF($A9="N2O",About!$D$59,1))</f>
        <v>4.76435844673E-2</v>
      </c>
      <c r="AG9">
        <f>SUMIFS('EPA Export Aggregation'!AJ:AJ,'EPA Export Aggregation'!$A:$A,$B9,'EPA Export Aggregation'!$D:$D,$A$1)*IF($A9="CH4",About!$D$58,IF($A9="N2O",About!$D$59,1))</f>
        <v>4.3096813819199997E-2</v>
      </c>
      <c r="AH9">
        <f>SUMIFS('EPA Export Aggregation'!AK:AK,'EPA Export Aggregation'!$A:$A,$B9,'EPA Export Aggregation'!$D:$D,$A$1)*IF($A9="CH4",About!$D$58,IF($A9="N2O",About!$D$59,1))</f>
        <v>4.6026325359299999E-2</v>
      </c>
    </row>
    <row r="10" spans="1:34" x14ac:dyDescent="0.25">
      <c r="A10" s="119" t="s">
        <v>479</v>
      </c>
      <c r="B10" s="120" t="s">
        <v>1962</v>
      </c>
      <c r="C10">
        <f>SUMIFS('EPA Export Aggregation'!F:F,'EPA Export Aggregation'!$A:$A,$B10,'EPA Export Aggregation'!$D:$D,$A$1)*IF($A10="CH4",About!$D$58,IF($A10="N2O",About!$D$59,1))</f>
        <v>4.3836685630000002E-4</v>
      </c>
      <c r="D10">
        <f>SUMIFS('EPA Export Aggregation'!G:G,'EPA Export Aggregation'!$A:$A,$B10,'EPA Export Aggregation'!$D:$D,$A$1)*IF($A10="CH4",About!$D$58,IF($A10="N2O",About!$D$59,1))</f>
        <v>4.2539517149999998E-4</v>
      </c>
      <c r="E10">
        <f>SUMIFS('EPA Export Aggregation'!H:H,'EPA Export Aggregation'!$A:$A,$B10,'EPA Export Aggregation'!$D:$D,$A$1)*IF($A10="CH4",About!$D$58,IF($A10="N2O",About!$D$59,1))</f>
        <v>4.1438718369999998E-4</v>
      </c>
      <c r="F10">
        <f>SUMIFS('EPA Export Aggregation'!I:I,'EPA Export Aggregation'!$A:$A,$B10,'EPA Export Aggregation'!$D:$D,$A$1)*IF($A10="CH4",About!$D$58,IF($A10="N2O",About!$D$59,1))</f>
        <v>4.03952667E-4</v>
      </c>
      <c r="G10">
        <f>SUMIFS('EPA Export Aggregation'!J:J,'EPA Export Aggregation'!$A:$A,$B10,'EPA Export Aggregation'!$D:$D,$A$1)*IF($A10="CH4",About!$D$58,IF($A10="N2O",About!$D$59,1))</f>
        <v>4.0114170170000001E-4</v>
      </c>
      <c r="H10">
        <f>SUMIFS('EPA Export Aggregation'!K:K,'EPA Export Aggregation'!$A:$A,$B10,'EPA Export Aggregation'!$D:$D,$A$1)*IF($A10="CH4",About!$D$58,IF($A10="N2O",About!$D$59,1))</f>
        <v>3.5874297990000001E-4</v>
      </c>
      <c r="I10">
        <f>SUMIFS('EPA Export Aggregation'!L:L,'EPA Export Aggregation'!$A:$A,$B10,'EPA Export Aggregation'!$D:$D,$A$1)*IF($A10="CH4",About!$D$58,IF($A10="N2O",About!$D$59,1))</f>
        <v>3.4344223020000002E-4</v>
      </c>
      <c r="J10">
        <f>SUMIFS('EPA Export Aggregation'!M:M,'EPA Export Aggregation'!$A:$A,$B10,'EPA Export Aggregation'!$D:$D,$A$1)*IF($A10="CH4",About!$D$58,IF($A10="N2O",About!$D$59,1))</f>
        <v>3.2440374400000003E-4</v>
      </c>
      <c r="K10">
        <f>SUMIFS('EPA Export Aggregation'!N:N,'EPA Export Aggregation'!$A:$A,$B10,'EPA Export Aggregation'!$D:$D,$A$1)*IF($A10="CH4",About!$D$58,IF($A10="N2O",About!$D$59,1))</f>
        <v>3.1026673309999999E-4</v>
      </c>
      <c r="L10">
        <f>SUMIFS('EPA Export Aggregation'!O:O,'EPA Export Aggregation'!$A:$A,$B10,'EPA Export Aggregation'!$D:$D,$A$1)*IF($A10="CH4",About!$D$58,IF($A10="N2O",About!$D$59,1))</f>
        <v>2.9691840419999999E-4</v>
      </c>
      <c r="M10">
        <f>SUMIFS('EPA Export Aggregation'!P:P,'EPA Export Aggregation'!$A:$A,$B10,'EPA Export Aggregation'!$D:$D,$A$1)*IF($A10="CH4",About!$D$58,IF($A10="N2O",About!$D$59,1))</f>
        <v>2.8166997060000002E-4</v>
      </c>
      <c r="N10">
        <f>SUMIFS('EPA Export Aggregation'!Q:Q,'EPA Export Aggregation'!$A:$A,$B10,'EPA Export Aggregation'!$D:$D,$A$1)*IF($A10="CH4",About!$D$58,IF($A10="N2O",About!$D$59,1))</f>
        <v>2.7083964670000002E-4</v>
      </c>
      <c r="O10">
        <f>SUMIFS('EPA Export Aggregation'!R:R,'EPA Export Aggregation'!$A:$A,$B10,'EPA Export Aggregation'!$D:$D,$A$1)*IF($A10="CH4",About!$D$58,IF($A10="N2O",About!$D$59,1))</f>
        <v>2.6040817409999999E-4</v>
      </c>
      <c r="P10">
        <f>SUMIFS('EPA Export Aggregation'!S:S,'EPA Export Aggregation'!$A:$A,$B10,'EPA Export Aggregation'!$D:$D,$A$1)*IF($A10="CH4",About!$D$58,IF($A10="N2O",About!$D$59,1))</f>
        <v>2.3936472090000001E-4</v>
      </c>
      <c r="Q10">
        <f>SUMIFS('EPA Export Aggregation'!T:T,'EPA Export Aggregation'!$A:$A,$B10,'EPA Export Aggregation'!$D:$D,$A$1)*IF($A10="CH4",About!$D$58,IF($A10="N2O",About!$D$59,1))</f>
        <v>2.295150894E-4</v>
      </c>
      <c r="R10">
        <f>SUMIFS('EPA Export Aggregation'!U:U,'EPA Export Aggregation'!$A:$A,$B10,'EPA Export Aggregation'!$D:$D,$A$1)*IF($A10="CH4",About!$D$58,IF($A10="N2O",About!$D$59,1))</f>
        <v>2.2197622900000001E-4</v>
      </c>
      <c r="S10">
        <f>SUMIFS('EPA Export Aggregation'!V:V,'EPA Export Aggregation'!$A:$A,$B10,'EPA Export Aggregation'!$D:$D,$A$1)*IF($A10="CH4",About!$D$58,IF($A10="N2O",About!$D$59,1))</f>
        <v>2.166815958E-4</v>
      </c>
      <c r="T10">
        <f>SUMIFS('EPA Export Aggregation'!W:W,'EPA Export Aggregation'!$A:$A,$B10,'EPA Export Aggregation'!$D:$D,$A$1)*IF($A10="CH4",About!$D$58,IF($A10="N2O",About!$D$59,1))</f>
        <v>2.0458971439999999E-4</v>
      </c>
      <c r="U10">
        <f>SUMIFS('EPA Export Aggregation'!X:X,'EPA Export Aggregation'!$A:$A,$B10,'EPA Export Aggregation'!$D:$D,$A$1)*IF($A10="CH4",About!$D$58,IF($A10="N2O",About!$D$59,1))</f>
        <v>2.0121189420000001E-4</v>
      </c>
      <c r="V10">
        <f>SUMIFS('EPA Export Aggregation'!Y:Y,'EPA Export Aggregation'!$A:$A,$B10,'EPA Export Aggregation'!$D:$D,$A$1)*IF($A10="CH4",About!$D$58,IF($A10="N2O",About!$D$59,1))</f>
        <v>1.932391922E-4</v>
      </c>
      <c r="W10">
        <f>SUMIFS('EPA Export Aggregation'!Z:Z,'EPA Export Aggregation'!$A:$A,$B10,'EPA Export Aggregation'!$D:$D,$A$1)*IF($A10="CH4",About!$D$58,IF($A10="N2O",About!$D$59,1))</f>
        <v>1.859624849E-4</v>
      </c>
      <c r="X10">
        <f>SUMIFS('EPA Export Aggregation'!AA:AA,'EPA Export Aggregation'!$A:$A,$B10,'EPA Export Aggregation'!$D:$D,$A$1)*IF($A10="CH4",About!$D$58,IF($A10="N2O",About!$D$59,1))</f>
        <v>1.7852508589999999E-4</v>
      </c>
      <c r="Y10">
        <f>SUMIFS('EPA Export Aggregation'!AB:AB,'EPA Export Aggregation'!$A:$A,$B10,'EPA Export Aggregation'!$D:$D,$A$1)*IF($A10="CH4",About!$D$58,IF($A10="N2O",About!$D$59,1))</f>
        <v>1.792638031E-4</v>
      </c>
      <c r="Z10">
        <f>SUMIFS('EPA Export Aggregation'!AC:AC,'EPA Export Aggregation'!$A:$A,$B10,'EPA Export Aggregation'!$D:$D,$A$1)*IF($A10="CH4",About!$D$58,IF($A10="N2O",About!$D$59,1))</f>
        <v>1.7579194410000001E-4</v>
      </c>
      <c r="AA10">
        <f>SUMIFS('EPA Export Aggregation'!AD:AD,'EPA Export Aggregation'!$A:$A,$B10,'EPA Export Aggregation'!$D:$D,$A$1)*IF($A10="CH4",About!$D$58,IF($A10="N2O",About!$D$59,1))</f>
        <v>1.7529567389999999E-4</v>
      </c>
      <c r="AB10">
        <f>SUMIFS('EPA Export Aggregation'!AE:AE,'EPA Export Aggregation'!$A:$A,$B10,'EPA Export Aggregation'!$D:$D,$A$1)*IF($A10="CH4",About!$D$58,IF($A10="N2O",About!$D$59,1))</f>
        <v>1.756634232E-4</v>
      </c>
      <c r="AC10">
        <f>SUMIFS('EPA Export Aggregation'!AF:AF,'EPA Export Aggregation'!$A:$A,$B10,'EPA Export Aggregation'!$D:$D,$A$1)*IF($A10="CH4",About!$D$58,IF($A10="N2O",About!$D$59,1))</f>
        <v>2.096203867E-4</v>
      </c>
      <c r="AD10">
        <f>SUMIFS('EPA Export Aggregation'!AG:AG,'EPA Export Aggregation'!$A:$A,$B10,'EPA Export Aggregation'!$D:$D,$A$1)*IF($A10="CH4",About!$D$58,IF($A10="N2O",About!$D$59,1))</f>
        <v>2.5717523070000001E-4</v>
      </c>
      <c r="AE10">
        <f>SUMIFS('EPA Export Aggregation'!AH:AH,'EPA Export Aggregation'!$A:$A,$B10,'EPA Export Aggregation'!$D:$D,$A$1)*IF($A10="CH4",About!$D$58,IF($A10="N2O",About!$D$59,1))</f>
        <v>2.7102131430000001E-4</v>
      </c>
      <c r="AF10">
        <f>SUMIFS('EPA Export Aggregation'!AI:AI,'EPA Export Aggregation'!$A:$A,$B10,'EPA Export Aggregation'!$D:$D,$A$1)*IF($A10="CH4",About!$D$58,IF($A10="N2O",About!$D$59,1))</f>
        <v>4.8484588010000001E-4</v>
      </c>
      <c r="AG10">
        <f>SUMIFS('EPA Export Aggregation'!AJ:AJ,'EPA Export Aggregation'!$A:$A,$B10,'EPA Export Aggregation'!$D:$D,$A$1)*IF($A10="CH4",About!$D$58,IF($A10="N2O",About!$D$59,1))</f>
        <v>7.4755885530000004E-4</v>
      </c>
      <c r="AH10">
        <f>SUMIFS('EPA Export Aggregation'!AK:AK,'EPA Export Aggregation'!$A:$A,$B10,'EPA Export Aggregation'!$D:$D,$A$1)*IF($A10="CH4",About!$D$58,IF($A10="N2O",About!$D$59,1))</f>
        <v>3.7764480190000002E-4</v>
      </c>
    </row>
    <row r="11" spans="1:34" x14ac:dyDescent="0.25">
      <c r="A11" s="119" t="s">
        <v>479</v>
      </c>
      <c r="B11" s="120" t="s">
        <v>1963</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119" t="s">
        <v>479</v>
      </c>
      <c r="B12" s="120" t="s">
        <v>1964</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1965</v>
      </c>
      <c r="C13">
        <f>SUMIFS('EPA Export Aggregation'!F:F,'EPA Export Aggregation'!$A:$A,$B13,'EPA Export Aggregation'!$D:$D,$A$1)*IF($A13="CH4",About!$D$58,IF($A13="N2O",About!$D$59,1))</f>
        <v>2.4737540620000002E-2</v>
      </c>
      <c r="D13">
        <f>SUMIFS('EPA Export Aggregation'!G:G,'EPA Export Aggregation'!$A:$A,$B13,'EPA Export Aggregation'!$D:$D,$A$1)*IF($A13="CH4",About!$D$58,IF($A13="N2O",About!$D$59,1))</f>
        <v>2.20741612517E-2</v>
      </c>
      <c r="E13">
        <f>SUMIFS('EPA Export Aggregation'!H:H,'EPA Export Aggregation'!$A:$A,$B13,'EPA Export Aggregation'!$D:$D,$A$1)*IF($A13="CH4",About!$D$58,IF($A13="N2O",About!$D$59,1))</f>
        <v>2.1595486674900001E-2</v>
      </c>
      <c r="F13">
        <f>SUMIFS('EPA Export Aggregation'!I:I,'EPA Export Aggregation'!$A:$A,$B13,'EPA Export Aggregation'!$D:$D,$A$1)*IF($A13="CH4",About!$D$58,IF($A13="N2O",About!$D$59,1))</f>
        <v>1.98869787093E-2</v>
      </c>
      <c r="G13">
        <f>SUMIFS('EPA Export Aggregation'!J:J,'EPA Export Aggregation'!$A:$A,$B13,'EPA Export Aggregation'!$D:$D,$A$1)*IF($A13="CH4",About!$D$58,IF($A13="N2O",About!$D$59,1))</f>
        <v>2.0731613680999999E-2</v>
      </c>
      <c r="H13">
        <f>SUMIFS('EPA Export Aggregation'!K:K,'EPA Export Aggregation'!$A:$A,$B13,'EPA Export Aggregation'!$D:$D,$A$1)*IF($A13="CH4",About!$D$58,IF($A13="N2O",About!$D$59,1))</f>
        <v>2.7647412748600001E-2</v>
      </c>
      <c r="I13">
        <f>SUMIFS('EPA Export Aggregation'!L:L,'EPA Export Aggregation'!$A:$A,$B13,'EPA Export Aggregation'!$D:$D,$A$1)*IF($A13="CH4",About!$D$58,IF($A13="N2O",About!$D$59,1))</f>
        <v>2.9701414854200001E-2</v>
      </c>
      <c r="J13">
        <f>SUMIFS('EPA Export Aggregation'!M:M,'EPA Export Aggregation'!$A:$A,$B13,'EPA Export Aggregation'!$D:$D,$A$1)*IF($A13="CH4",About!$D$58,IF($A13="N2O",About!$D$59,1))</f>
        <v>2.8497439540099999E-2</v>
      </c>
      <c r="K13">
        <f>SUMIFS('EPA Export Aggregation'!N:N,'EPA Export Aggregation'!$A:$A,$B13,'EPA Export Aggregation'!$D:$D,$A$1)*IF($A13="CH4",About!$D$58,IF($A13="N2O",About!$D$59,1))</f>
        <v>2.89046833059E-2</v>
      </c>
      <c r="L13">
        <f>SUMIFS('EPA Export Aggregation'!O:O,'EPA Export Aggregation'!$A:$A,$B13,'EPA Export Aggregation'!$D:$D,$A$1)*IF($A13="CH4",About!$D$58,IF($A13="N2O",About!$D$59,1))</f>
        <v>3.17246376779E-2</v>
      </c>
      <c r="M13">
        <f>SUMIFS('EPA Export Aggregation'!P:P,'EPA Export Aggregation'!$A:$A,$B13,'EPA Export Aggregation'!$D:$D,$A$1)*IF($A13="CH4",About!$D$58,IF($A13="N2O",About!$D$59,1))</f>
        <v>2.1134934977599999E-2</v>
      </c>
      <c r="N13">
        <f>SUMIFS('EPA Export Aggregation'!Q:Q,'EPA Export Aggregation'!$A:$A,$B13,'EPA Export Aggregation'!$D:$D,$A$1)*IF($A13="CH4",About!$D$58,IF($A13="N2O",About!$D$59,1))</f>
        <v>2.1857768410900001E-2</v>
      </c>
      <c r="O13">
        <f>SUMIFS('EPA Export Aggregation'!R:R,'EPA Export Aggregation'!$A:$A,$B13,'EPA Export Aggregation'!$D:$D,$A$1)*IF($A13="CH4",About!$D$58,IF($A13="N2O",About!$D$59,1))</f>
        <v>2.29386337099E-2</v>
      </c>
      <c r="P13">
        <f>SUMIFS('EPA Export Aggregation'!S:S,'EPA Export Aggregation'!$A:$A,$B13,'EPA Export Aggregation'!$D:$D,$A$1)*IF($A13="CH4",About!$D$58,IF($A13="N2O",About!$D$59,1))</f>
        <v>1.7718453888900001E-2</v>
      </c>
      <c r="Q13">
        <f>SUMIFS('EPA Export Aggregation'!T:T,'EPA Export Aggregation'!$A:$A,$B13,'EPA Export Aggregation'!$D:$D,$A$1)*IF($A13="CH4",About!$D$58,IF($A13="N2O",About!$D$59,1))</f>
        <v>2.4208021099399998E-2</v>
      </c>
      <c r="R13">
        <f>SUMIFS('EPA Export Aggregation'!U:U,'EPA Export Aggregation'!$A:$A,$B13,'EPA Export Aggregation'!$D:$D,$A$1)*IF($A13="CH4",About!$D$58,IF($A13="N2O",About!$D$59,1))</f>
        <v>2.6576631140000001E-2</v>
      </c>
      <c r="S13">
        <f>SUMIFS('EPA Export Aggregation'!V:V,'EPA Export Aggregation'!$A:$A,$B13,'EPA Export Aggregation'!$D:$D,$A$1)*IF($A13="CH4",About!$D$58,IF($A13="N2O",About!$D$59,1))</f>
        <v>3.0074687412699998E-2</v>
      </c>
      <c r="T13">
        <f>SUMIFS('EPA Export Aggregation'!W:W,'EPA Export Aggregation'!$A:$A,$B13,'EPA Export Aggregation'!$D:$D,$A$1)*IF($A13="CH4",About!$D$58,IF($A13="N2O",About!$D$59,1))</f>
        <v>2.7234647841899998E-2</v>
      </c>
      <c r="U13">
        <f>SUMIFS('EPA Export Aggregation'!X:X,'EPA Export Aggregation'!$A:$A,$B13,'EPA Export Aggregation'!$D:$D,$A$1)*IF($A13="CH4",About!$D$58,IF($A13="N2O",About!$D$59,1))</f>
        <v>2.2935850413599999E-2</v>
      </c>
      <c r="V13">
        <f>SUMIFS('EPA Export Aggregation'!Y:Y,'EPA Export Aggregation'!$A:$A,$B13,'EPA Export Aggregation'!$D:$D,$A$1)*IF($A13="CH4",About!$D$58,IF($A13="N2O",About!$D$59,1))</f>
        <v>2.93226230576E-2</v>
      </c>
      <c r="W13">
        <f>SUMIFS('EPA Export Aggregation'!Z:Z,'EPA Export Aggregation'!$A:$A,$B13,'EPA Export Aggregation'!$D:$D,$A$1)*IF($A13="CH4",About!$D$58,IF($A13="N2O",About!$D$59,1))</f>
        <v>3.5695067110700002E-2</v>
      </c>
      <c r="X13">
        <f>SUMIFS('EPA Export Aggregation'!AA:AA,'EPA Export Aggregation'!$A:$A,$B13,'EPA Export Aggregation'!$D:$D,$A$1)*IF($A13="CH4",About!$D$58,IF($A13="N2O",About!$D$59,1))</f>
        <v>3.2453701233800002E-2</v>
      </c>
      <c r="Y13">
        <f>SUMIFS('EPA Export Aggregation'!AB:AB,'EPA Export Aggregation'!$A:$A,$B13,'EPA Export Aggregation'!$D:$D,$A$1)*IF($A13="CH4",About!$D$58,IF($A13="N2O",About!$D$59,1))</f>
        <v>2.9659146020299999E-2</v>
      </c>
      <c r="Z13">
        <f>SUMIFS('EPA Export Aggregation'!AC:AC,'EPA Export Aggregation'!$A:$A,$B13,'EPA Export Aggregation'!$D:$D,$A$1)*IF($A13="CH4",About!$D$58,IF($A13="N2O",About!$D$59,1))</f>
        <v>3.5941066267199999E-2</v>
      </c>
      <c r="AA13">
        <f>SUMIFS('EPA Export Aggregation'!AD:AD,'EPA Export Aggregation'!$A:$A,$B13,'EPA Export Aggregation'!$D:$D,$A$1)*IF($A13="CH4",About!$D$58,IF($A13="N2O",About!$D$59,1))</f>
        <v>4.1242454301799999E-2</v>
      </c>
      <c r="AB13">
        <f>SUMIFS('EPA Export Aggregation'!AE:AE,'EPA Export Aggregation'!$A:$A,$B13,'EPA Export Aggregation'!$D:$D,$A$1)*IF($A13="CH4",About!$D$58,IF($A13="N2O",About!$D$59,1))</f>
        <v>3.95405063345E-2</v>
      </c>
      <c r="AC13">
        <f>SUMIFS('EPA Export Aggregation'!AF:AF,'EPA Export Aggregation'!$A:$A,$B13,'EPA Export Aggregation'!$D:$D,$A$1)*IF($A13="CH4",About!$D$58,IF($A13="N2O",About!$D$59,1))</f>
        <v>3.4993899166900003E-2</v>
      </c>
      <c r="AD13">
        <f>SUMIFS('EPA Export Aggregation'!AG:AG,'EPA Export Aggregation'!$A:$A,$B13,'EPA Export Aggregation'!$D:$D,$A$1)*IF($A13="CH4",About!$D$58,IF($A13="N2O",About!$D$59,1))</f>
        <v>3.1709644664200003E-2</v>
      </c>
      <c r="AE13">
        <f>SUMIFS('EPA Export Aggregation'!AH:AH,'EPA Export Aggregation'!$A:$A,$B13,'EPA Export Aggregation'!$D:$D,$A$1)*IF($A13="CH4",About!$D$58,IF($A13="N2O",About!$D$59,1))</f>
        <v>2.35698948677E-2</v>
      </c>
      <c r="AF13">
        <f>SUMIFS('EPA Export Aggregation'!AI:AI,'EPA Export Aggregation'!$A:$A,$B13,'EPA Export Aggregation'!$D:$D,$A$1)*IF($A13="CH4",About!$D$58,IF($A13="N2O",About!$D$59,1))</f>
        <v>2.68499470496E-2</v>
      </c>
      <c r="AG13">
        <f>SUMIFS('EPA Export Aggregation'!AJ:AJ,'EPA Export Aggregation'!$A:$A,$B13,'EPA Export Aggregation'!$D:$D,$A$1)*IF($A13="CH4",About!$D$58,IF($A13="N2O",About!$D$59,1))</f>
        <v>2.7472207577600001E-2</v>
      </c>
      <c r="AH13">
        <f>SUMIFS('EPA Export Aggregation'!AK:AK,'EPA Export Aggregation'!$A:$A,$B13,'EPA Export Aggregation'!$D:$D,$A$1)*IF($A13="CH4",About!$D$58,IF($A13="N2O",About!$D$59,1))</f>
        <v>2.5963697499800001E-2</v>
      </c>
    </row>
    <row r="14" spans="1:34" x14ac:dyDescent="0.25">
      <c r="A14" s="119" t="s">
        <v>479</v>
      </c>
      <c r="B14" s="120" t="s">
        <v>1966</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5.8413087068000004E-3</v>
      </c>
      <c r="D16">
        <f>SUMIFS('EPA Export Aggregation'!G:G,'EPA Export Aggregation'!$A:$A,$B16,'EPA Export Aggregation'!$D:$D,$A$1)*IF($A16="CH4",About!$D$58,IF($A16="N2O",About!$D$59,1))</f>
        <v>5.7810688888000001E-3</v>
      </c>
      <c r="E16">
        <f>SUMIFS('EPA Export Aggregation'!H:H,'EPA Export Aggregation'!$A:$A,$B16,'EPA Export Aggregation'!$D:$D,$A$1)*IF($A16="CH4",About!$D$58,IF($A16="N2O",About!$D$59,1))</f>
        <v>5.6874191536999998E-3</v>
      </c>
      <c r="F16">
        <f>SUMIFS('EPA Export Aggregation'!I:I,'EPA Export Aggregation'!$A:$A,$B16,'EPA Export Aggregation'!$D:$D,$A$1)*IF($A16="CH4",About!$D$58,IF($A16="N2O",About!$D$59,1))</f>
        <v>5.6547114690999999E-3</v>
      </c>
      <c r="G16">
        <f>SUMIFS('EPA Export Aggregation'!J:J,'EPA Export Aggregation'!$A:$A,$B16,'EPA Export Aggregation'!$D:$D,$A$1)*IF($A16="CH4",About!$D$58,IF($A16="N2O",About!$D$59,1))</f>
        <v>5.6156552747000004E-3</v>
      </c>
      <c r="H16">
        <f>SUMIFS('EPA Export Aggregation'!K:K,'EPA Export Aggregation'!$A:$A,$B16,'EPA Export Aggregation'!$D:$D,$A$1)*IF($A16="CH4",About!$D$58,IF($A16="N2O",About!$D$59,1))</f>
        <v>5.5587661247999999E-3</v>
      </c>
      <c r="I16">
        <f>SUMIFS('EPA Export Aggregation'!L:L,'EPA Export Aggregation'!$A:$A,$B16,'EPA Export Aggregation'!$D:$D,$A$1)*IF($A16="CH4",About!$D$58,IF($A16="N2O",About!$D$59,1))</f>
        <v>5.5472823074000002E-3</v>
      </c>
      <c r="J16">
        <f>SUMIFS('EPA Export Aggregation'!M:M,'EPA Export Aggregation'!$A:$A,$B16,'EPA Export Aggregation'!$D:$D,$A$1)*IF($A16="CH4",About!$D$58,IF($A16="N2O",About!$D$59,1))</f>
        <v>5.4988986918000004E-3</v>
      </c>
      <c r="K16">
        <f>SUMIFS('EPA Export Aggregation'!N:N,'EPA Export Aggregation'!$A:$A,$B16,'EPA Export Aggregation'!$D:$D,$A$1)*IF($A16="CH4",About!$D$58,IF($A16="N2O",About!$D$59,1))</f>
        <v>5.4552921401999997E-3</v>
      </c>
      <c r="L16">
        <f>SUMIFS('EPA Export Aggregation'!O:O,'EPA Export Aggregation'!$A:$A,$B16,'EPA Export Aggregation'!$D:$D,$A$1)*IF($A16="CH4",About!$D$58,IF($A16="N2O",About!$D$59,1))</f>
        <v>5.4339523879999999E-3</v>
      </c>
      <c r="M16">
        <f>SUMIFS('EPA Export Aggregation'!P:P,'EPA Export Aggregation'!$A:$A,$B16,'EPA Export Aggregation'!$D:$D,$A$1)*IF($A16="CH4",About!$D$58,IF($A16="N2O",About!$D$59,1))</f>
        <v>5.4203362753000002E-3</v>
      </c>
      <c r="N16">
        <f>SUMIFS('EPA Export Aggregation'!Q:Q,'EPA Export Aggregation'!$A:$A,$B16,'EPA Export Aggregation'!$D:$D,$A$1)*IF($A16="CH4",About!$D$58,IF($A16="N2O",About!$D$59,1))</f>
        <v>3.2663865912999999E-3</v>
      </c>
      <c r="O16">
        <f>SUMIFS('EPA Export Aggregation'!R:R,'EPA Export Aggregation'!$A:$A,$B16,'EPA Export Aggregation'!$D:$D,$A$1)*IF($A16="CH4",About!$D$58,IF($A16="N2O",About!$D$59,1))</f>
        <v>3.8251798479999998E-3</v>
      </c>
      <c r="P16">
        <f>SUMIFS('EPA Export Aggregation'!S:S,'EPA Export Aggregation'!$A:$A,$B16,'EPA Export Aggregation'!$D:$D,$A$1)*IF($A16="CH4",About!$D$58,IF($A16="N2O",About!$D$59,1))</f>
        <v>4.9675522880999997E-3</v>
      </c>
      <c r="Q16">
        <f>SUMIFS('EPA Export Aggregation'!T:T,'EPA Export Aggregation'!$A:$A,$B16,'EPA Export Aggregation'!$D:$D,$A$1)*IF($A16="CH4",About!$D$58,IF($A16="N2O",About!$D$59,1))</f>
        <v>4.5561193863999996E-3</v>
      </c>
      <c r="R16">
        <f>SUMIFS('EPA Export Aggregation'!U:U,'EPA Export Aggregation'!$A:$A,$B16,'EPA Export Aggregation'!$D:$D,$A$1)*IF($A16="CH4",About!$D$58,IF($A16="N2O",About!$D$59,1))</f>
        <v>4.8983537460999997E-3</v>
      </c>
      <c r="S16">
        <f>SUMIFS('EPA Export Aggregation'!V:V,'EPA Export Aggregation'!$A:$A,$B16,'EPA Export Aggregation'!$D:$D,$A$1)*IF($A16="CH4",About!$D$58,IF($A16="N2O",About!$D$59,1))</f>
        <v>6.1771447197E-3</v>
      </c>
      <c r="T16">
        <f>SUMIFS('EPA Export Aggregation'!W:W,'EPA Export Aggregation'!$A:$A,$B16,'EPA Export Aggregation'!$D:$D,$A$1)*IF($A16="CH4",About!$D$58,IF($A16="N2O",About!$D$59,1))</f>
        <v>6.6531264297000001E-3</v>
      </c>
      <c r="U16">
        <f>SUMIFS('EPA Export Aggregation'!X:X,'EPA Export Aggregation'!$A:$A,$B16,'EPA Export Aggregation'!$D:$D,$A$1)*IF($A16="CH4",About!$D$58,IF($A16="N2O",About!$D$59,1))</f>
        <v>6.2756791177000001E-3</v>
      </c>
      <c r="V16">
        <f>SUMIFS('EPA Export Aggregation'!Y:Y,'EPA Export Aggregation'!$A:$A,$B16,'EPA Export Aggregation'!$D:$D,$A$1)*IF($A16="CH4",About!$D$58,IF($A16="N2O",About!$D$59,1))</f>
        <v>6.0825899913999996E-3</v>
      </c>
      <c r="W16">
        <f>SUMIFS('EPA Export Aggregation'!Z:Z,'EPA Export Aggregation'!$A:$A,$B16,'EPA Export Aggregation'!$D:$D,$A$1)*IF($A16="CH4",About!$D$58,IF($A16="N2O",About!$D$59,1))</f>
        <v>1.48806942365E-2</v>
      </c>
      <c r="X16">
        <f>SUMIFS('EPA Export Aggregation'!AA:AA,'EPA Export Aggregation'!$A:$A,$B16,'EPA Export Aggregation'!$D:$D,$A$1)*IF($A16="CH4",About!$D$58,IF($A16="N2O",About!$D$59,1))</f>
        <v>1.3631562699499999E-2</v>
      </c>
      <c r="Y16">
        <f>SUMIFS('EPA Export Aggregation'!AB:AB,'EPA Export Aggregation'!$A:$A,$B16,'EPA Export Aggregation'!$D:$D,$A$1)*IF($A16="CH4",About!$D$58,IF($A16="N2O",About!$D$59,1))</f>
        <v>1.33368945479E-2</v>
      </c>
      <c r="Z16">
        <f>SUMIFS('EPA Export Aggregation'!AC:AC,'EPA Export Aggregation'!$A:$A,$B16,'EPA Export Aggregation'!$D:$D,$A$1)*IF($A16="CH4",About!$D$58,IF($A16="N2O",About!$D$59,1))</f>
        <v>1.3811558516500001E-2</v>
      </c>
      <c r="AA16">
        <f>SUMIFS('EPA Export Aggregation'!AD:AD,'EPA Export Aggregation'!$A:$A,$B16,'EPA Export Aggregation'!$D:$D,$A$1)*IF($A16="CH4",About!$D$58,IF($A16="N2O",About!$D$59,1))</f>
        <v>1.46567767999E-2</v>
      </c>
      <c r="AB16">
        <f>SUMIFS('EPA Export Aggregation'!AE:AE,'EPA Export Aggregation'!$A:$A,$B16,'EPA Export Aggregation'!$D:$D,$A$1)*IF($A16="CH4",About!$D$58,IF($A16="N2O",About!$D$59,1))</f>
        <v>1.6084886000699999E-2</v>
      </c>
      <c r="AC16">
        <f>SUMIFS('EPA Export Aggregation'!AF:AF,'EPA Export Aggregation'!$A:$A,$B16,'EPA Export Aggregation'!$D:$D,$A$1)*IF($A16="CH4",About!$D$58,IF($A16="N2O",About!$D$59,1))</f>
        <v>1.5016560428E-2</v>
      </c>
      <c r="AD16">
        <f>SUMIFS('EPA Export Aggregation'!AG:AG,'EPA Export Aggregation'!$A:$A,$B16,'EPA Export Aggregation'!$D:$D,$A$1)*IF($A16="CH4",About!$D$58,IF($A16="N2O",About!$D$59,1))</f>
        <v>1.47160885588E-2</v>
      </c>
      <c r="AE16">
        <f>SUMIFS('EPA Export Aggregation'!AH:AH,'EPA Export Aggregation'!$A:$A,$B16,'EPA Export Aggregation'!$D:$D,$A$1)*IF($A16="CH4",About!$D$58,IF($A16="N2O",About!$D$59,1))</f>
        <v>1.32414024212E-2</v>
      </c>
      <c r="AF16">
        <f>SUMIFS('EPA Export Aggregation'!AI:AI,'EPA Export Aggregation'!$A:$A,$B16,'EPA Export Aggregation'!$D:$D,$A$1)*IF($A16="CH4",About!$D$58,IF($A16="N2O",About!$D$59,1))</f>
        <v>1.55265069511E-2</v>
      </c>
      <c r="AG16">
        <f>SUMIFS('EPA Export Aggregation'!AJ:AJ,'EPA Export Aggregation'!$A:$A,$B16,'EPA Export Aggregation'!$D:$D,$A$1)*IF($A16="CH4",About!$D$58,IF($A16="N2O",About!$D$59,1))</f>
        <v>1.6255856157299998E-2</v>
      </c>
      <c r="AH16">
        <f>SUMIFS('EPA Export Aggregation'!AK:AK,'EPA Export Aggregation'!$A:$A,$B16,'EPA Export Aggregation'!$D:$D,$A$1)*IF($A16="CH4",About!$D$58,IF($A16="N2O",About!$D$59,1))</f>
        <v>1.62939036529E-2</v>
      </c>
    </row>
    <row r="17" spans="1:34" x14ac:dyDescent="0.25">
      <c r="A17" s="119" t="s">
        <v>479</v>
      </c>
      <c r="B17" s="120" t="s">
        <v>1969</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6.1359611609999995E-4</v>
      </c>
      <c r="Q17">
        <f>SUMIFS('EPA Export Aggregation'!T:T,'EPA Export Aggregation'!$A:$A,$B17,'EPA Export Aggregation'!$D:$D,$A$1)*IF($A17="CH4",About!$D$58,IF($A17="N2O",About!$D$59,1))</f>
        <v>1.2251601395E-3</v>
      </c>
      <c r="R17">
        <f>SUMIFS('EPA Export Aggregation'!U:U,'EPA Export Aggregation'!$A:$A,$B17,'EPA Export Aggregation'!$D:$D,$A$1)*IF($A17="CH4",About!$D$58,IF($A17="N2O",About!$D$59,1))</f>
        <v>1.1839630473E-3</v>
      </c>
      <c r="S17">
        <f>SUMIFS('EPA Export Aggregation'!V:V,'EPA Export Aggregation'!$A:$A,$B17,'EPA Export Aggregation'!$D:$D,$A$1)*IF($A17="CH4",About!$D$58,IF($A17="N2O",About!$D$59,1))</f>
        <v>2.8052102899999999E-4</v>
      </c>
      <c r="T17">
        <f>SUMIFS('EPA Export Aggregation'!W:W,'EPA Export Aggregation'!$A:$A,$B17,'EPA Export Aggregation'!$D:$D,$A$1)*IF($A17="CH4",About!$D$58,IF($A17="N2O",About!$D$59,1))</f>
        <v>2.382957331E-4</v>
      </c>
      <c r="U17">
        <f>SUMIFS('EPA Export Aggregation'!X:X,'EPA Export Aggregation'!$A:$A,$B17,'EPA Export Aggregation'!$D:$D,$A$1)*IF($A17="CH4",About!$D$58,IF($A17="N2O",About!$D$59,1))</f>
        <v>1.9050362669999999E-4</v>
      </c>
      <c r="V17">
        <f>SUMIFS('EPA Export Aggregation'!Y:Y,'EPA Export Aggregation'!$A:$A,$B17,'EPA Export Aggregation'!$D:$D,$A$1)*IF($A17="CH4",About!$D$58,IF($A17="N2O",About!$D$59,1))</f>
        <v>1.7999037390000001E-4</v>
      </c>
      <c r="W17">
        <f>SUMIFS('EPA Export Aggregation'!Z:Z,'EPA Export Aggregation'!$A:$A,$B17,'EPA Export Aggregation'!$D:$D,$A$1)*IF($A17="CH4",About!$D$58,IF($A17="N2O",About!$D$59,1))</f>
        <v>1.6763149230000001E-4</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1.5018097273899999E-2</v>
      </c>
      <c r="D23">
        <f>SUMIFS('EPA Export Aggregation'!G:G,'EPA Export Aggregation'!$A:$A,$B23,'EPA Export Aggregation'!$D:$D,$A$1)*IF($A23="CH4",About!$D$58,IF($A23="N2O",About!$D$59,1))</f>
        <v>1.3774852050299999E-2</v>
      </c>
      <c r="E23">
        <f>SUMIFS('EPA Export Aggregation'!H:H,'EPA Export Aggregation'!$A:$A,$B23,'EPA Export Aggregation'!$D:$D,$A$1)*IF($A23="CH4",About!$D$58,IF($A23="N2O",About!$D$59,1))</f>
        <v>1.50186073983E-2</v>
      </c>
      <c r="F23">
        <f>SUMIFS('EPA Export Aggregation'!I:I,'EPA Export Aggregation'!$A:$A,$B23,'EPA Export Aggregation'!$D:$D,$A$1)*IF($A23="CH4",About!$D$58,IF($A23="N2O",About!$D$59,1))</f>
        <v>1.75748132568E-2</v>
      </c>
      <c r="G23">
        <f>SUMIFS('EPA Export Aggregation'!J:J,'EPA Export Aggregation'!$A:$A,$B23,'EPA Export Aggregation'!$D:$D,$A$1)*IF($A23="CH4",About!$D$58,IF($A23="N2O",About!$D$59,1))</f>
        <v>1.6233954173100001E-2</v>
      </c>
      <c r="H23">
        <f>SUMIFS('EPA Export Aggregation'!K:K,'EPA Export Aggregation'!$A:$A,$B23,'EPA Export Aggregation'!$D:$D,$A$1)*IF($A23="CH4",About!$D$58,IF($A23="N2O",About!$D$59,1))</f>
        <v>1.6007920404500001E-2</v>
      </c>
      <c r="I23">
        <f>SUMIFS('EPA Export Aggregation'!L:L,'EPA Export Aggregation'!$A:$A,$B23,'EPA Export Aggregation'!$D:$D,$A$1)*IF($A23="CH4",About!$D$58,IF($A23="N2O",About!$D$59,1))</f>
        <v>1.44081872975E-2</v>
      </c>
      <c r="J23">
        <f>SUMIFS('EPA Export Aggregation'!M:M,'EPA Export Aggregation'!$A:$A,$B23,'EPA Export Aggregation'!$D:$D,$A$1)*IF($A23="CH4",About!$D$58,IF($A23="N2O",About!$D$59,1))</f>
        <v>1.45655437325E-2</v>
      </c>
      <c r="K23">
        <f>SUMIFS('EPA Export Aggregation'!N:N,'EPA Export Aggregation'!$A:$A,$B23,'EPA Export Aggregation'!$D:$D,$A$1)*IF($A23="CH4",About!$D$58,IF($A23="N2O",About!$D$59,1))</f>
        <v>1.7839801029599998E-2</v>
      </c>
      <c r="L23">
        <f>SUMIFS('EPA Export Aggregation'!O:O,'EPA Export Aggregation'!$A:$A,$B23,'EPA Export Aggregation'!$D:$D,$A$1)*IF($A23="CH4",About!$D$58,IF($A23="N2O",About!$D$59,1))</f>
        <v>1.7082765588399999E-2</v>
      </c>
      <c r="M23">
        <f>SUMIFS('EPA Export Aggregation'!P:P,'EPA Export Aggregation'!$A:$A,$B23,'EPA Export Aggregation'!$D:$D,$A$1)*IF($A23="CH4",About!$D$58,IF($A23="N2O",About!$D$59,1))</f>
        <v>1.5516242781E-2</v>
      </c>
      <c r="N23">
        <f>SUMIFS('EPA Export Aggregation'!Q:Q,'EPA Export Aggregation'!$A:$A,$B23,'EPA Export Aggregation'!$D:$D,$A$1)*IF($A23="CH4",About!$D$58,IF($A23="N2O",About!$D$59,1))</f>
        <v>1.48852717923E-2</v>
      </c>
      <c r="O23">
        <f>SUMIFS('EPA Export Aggregation'!R:R,'EPA Export Aggregation'!$A:$A,$B23,'EPA Export Aggregation'!$D:$D,$A$1)*IF($A23="CH4",About!$D$58,IF($A23="N2O",About!$D$59,1))</f>
        <v>1.35147538325E-2</v>
      </c>
      <c r="P23">
        <f>SUMIFS('EPA Export Aggregation'!S:S,'EPA Export Aggregation'!$A:$A,$B23,'EPA Export Aggregation'!$D:$D,$A$1)*IF($A23="CH4",About!$D$58,IF($A23="N2O",About!$D$59,1))</f>
        <v>1.29498805025E-2</v>
      </c>
      <c r="Q23">
        <f>SUMIFS('EPA Export Aggregation'!T:T,'EPA Export Aggregation'!$A:$A,$B23,'EPA Export Aggregation'!$D:$D,$A$1)*IF($A23="CH4",About!$D$58,IF($A23="N2O",About!$D$59,1))</f>
        <v>1.3288355202900001E-2</v>
      </c>
      <c r="R23">
        <f>SUMIFS('EPA Export Aggregation'!U:U,'EPA Export Aggregation'!$A:$A,$B23,'EPA Export Aggregation'!$D:$D,$A$1)*IF($A23="CH4",About!$D$58,IF($A23="N2O",About!$D$59,1))</f>
        <v>1.3015131898399999E-2</v>
      </c>
      <c r="S23">
        <f>SUMIFS('EPA Export Aggregation'!V:V,'EPA Export Aggregation'!$A:$A,$B23,'EPA Export Aggregation'!$D:$D,$A$1)*IF($A23="CH4",About!$D$58,IF($A23="N2O",About!$D$59,1))</f>
        <v>1.23643317717E-2</v>
      </c>
      <c r="T23">
        <f>SUMIFS('EPA Export Aggregation'!W:W,'EPA Export Aggregation'!$A:$A,$B23,'EPA Export Aggregation'!$D:$D,$A$1)*IF($A23="CH4",About!$D$58,IF($A23="N2O",About!$D$59,1))</f>
        <v>1.71148636654E-2</v>
      </c>
      <c r="U23">
        <f>SUMIFS('EPA Export Aggregation'!X:X,'EPA Export Aggregation'!$A:$A,$B23,'EPA Export Aggregation'!$D:$D,$A$1)*IF($A23="CH4",About!$D$58,IF($A23="N2O",About!$D$59,1))</f>
        <v>1.3912412564900001E-2</v>
      </c>
      <c r="V23">
        <f>SUMIFS('EPA Export Aggregation'!Y:Y,'EPA Export Aggregation'!$A:$A,$B23,'EPA Export Aggregation'!$D:$D,$A$1)*IF($A23="CH4",About!$D$58,IF($A23="N2O",About!$D$59,1))</f>
        <v>1.1614417896700001E-2</v>
      </c>
      <c r="W23">
        <f>SUMIFS('EPA Export Aggregation'!Z:Z,'EPA Export Aggregation'!$A:$A,$B23,'EPA Export Aggregation'!$D:$D,$A$1)*IF($A23="CH4",About!$D$58,IF($A23="N2O",About!$D$59,1))</f>
        <v>1.5905971864400001E-2</v>
      </c>
      <c r="X23">
        <f>SUMIFS('EPA Export Aggregation'!AA:AA,'EPA Export Aggregation'!$A:$A,$B23,'EPA Export Aggregation'!$D:$D,$A$1)*IF($A23="CH4",About!$D$58,IF($A23="N2O",About!$D$59,1))</f>
        <v>1.7004409916899998E-2</v>
      </c>
      <c r="Y23">
        <f>SUMIFS('EPA Export Aggregation'!AB:AB,'EPA Export Aggregation'!$A:$A,$B23,'EPA Export Aggregation'!$D:$D,$A$1)*IF($A23="CH4",About!$D$58,IF($A23="N2O",About!$D$59,1))</f>
        <v>1.5993601028100001E-2</v>
      </c>
      <c r="Z23">
        <f>SUMIFS('EPA Export Aggregation'!AC:AC,'EPA Export Aggregation'!$A:$A,$B23,'EPA Export Aggregation'!$D:$D,$A$1)*IF($A23="CH4",About!$D$58,IF($A23="N2O",About!$D$59,1))</f>
        <v>1.50283062646E-2</v>
      </c>
      <c r="AA23">
        <f>SUMIFS('EPA Export Aggregation'!AD:AD,'EPA Export Aggregation'!$A:$A,$B23,'EPA Export Aggregation'!$D:$D,$A$1)*IF($A23="CH4",About!$D$58,IF($A23="N2O",About!$D$59,1))</f>
        <v>5.9292934901000001E-3</v>
      </c>
      <c r="AB23">
        <f>SUMIFS('EPA Export Aggregation'!AE:AE,'EPA Export Aggregation'!$A:$A,$B23,'EPA Export Aggregation'!$D:$D,$A$1)*IF($A23="CH4",About!$D$58,IF($A23="N2O",About!$D$59,1))</f>
        <v>1.5064207528100001E-2</v>
      </c>
      <c r="AC23">
        <f>SUMIFS('EPA Export Aggregation'!AF:AF,'EPA Export Aggregation'!$A:$A,$B23,'EPA Export Aggregation'!$D:$D,$A$1)*IF($A23="CH4",About!$D$58,IF($A23="N2O",About!$D$59,1))</f>
        <v>1.7117554052300001E-2</v>
      </c>
      <c r="AD23">
        <f>SUMIFS('EPA Export Aggregation'!AG:AG,'EPA Export Aggregation'!$A:$A,$B23,'EPA Export Aggregation'!$D:$D,$A$1)*IF($A23="CH4",About!$D$58,IF($A23="N2O",About!$D$59,1))</f>
        <v>1.65827630723E-2</v>
      </c>
      <c r="AE23">
        <f>SUMIFS('EPA Export Aggregation'!AH:AH,'EPA Export Aggregation'!$A:$A,$B23,'EPA Export Aggregation'!$D:$D,$A$1)*IF($A23="CH4",About!$D$58,IF($A23="N2O",About!$D$59,1))</f>
        <v>1.9591484175799999E-2</v>
      </c>
      <c r="AF23">
        <f>SUMIFS('EPA Export Aggregation'!AI:AI,'EPA Export Aggregation'!$A:$A,$B23,'EPA Export Aggregation'!$D:$D,$A$1)*IF($A23="CH4",About!$D$58,IF($A23="N2O",About!$D$59,1))</f>
        <v>1.96196182992E-2</v>
      </c>
      <c r="AG23">
        <f>SUMIFS('EPA Export Aggregation'!AJ:AJ,'EPA Export Aggregation'!$A:$A,$B23,'EPA Export Aggregation'!$D:$D,$A$1)*IF($A23="CH4",About!$D$58,IF($A23="N2O",About!$D$59,1))</f>
        <v>1.9017308758399999E-2</v>
      </c>
      <c r="AH23">
        <f>SUMIFS('EPA Export Aggregation'!AK:AK,'EPA Export Aggregation'!$A:$A,$B23,'EPA Export Aggregation'!$D:$D,$A$1)*IF($A23="CH4",About!$D$58,IF($A23="N2O",About!$D$59,1))</f>
        <v>1.62914634274E-2</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2.890856621E-4</v>
      </c>
      <c r="D26">
        <f>SUMIFS('EPA Export Aggregation'!G:G,'EPA Export Aggregation'!$A:$A,$B26,'EPA Export Aggregation'!$D:$D,$A$1)*IF($A26="CH4",About!$D$58,IF($A26="N2O",About!$D$59,1))</f>
        <v>2.1365408820000001E-4</v>
      </c>
      <c r="E26">
        <f>SUMIFS('EPA Export Aggregation'!H:H,'EPA Export Aggregation'!$A:$A,$B26,'EPA Export Aggregation'!$D:$D,$A$1)*IF($A26="CH4",About!$D$58,IF($A26="N2O",About!$D$59,1))</f>
        <v>2.578533751E-4</v>
      </c>
      <c r="F26">
        <f>SUMIFS('EPA Export Aggregation'!I:I,'EPA Export Aggregation'!$A:$A,$B26,'EPA Export Aggregation'!$D:$D,$A$1)*IF($A26="CH4",About!$D$58,IF($A26="N2O",About!$D$59,1))</f>
        <v>2.8264596079999999E-4</v>
      </c>
      <c r="G26">
        <f>SUMIFS('EPA Export Aggregation'!J:J,'EPA Export Aggregation'!$A:$A,$B26,'EPA Export Aggregation'!$D:$D,$A$1)*IF($A26="CH4",About!$D$58,IF($A26="N2O",About!$D$59,1))</f>
        <v>2.9147277489999999E-4</v>
      </c>
      <c r="H26">
        <f>SUMIFS('EPA Export Aggregation'!K:K,'EPA Export Aggregation'!$A:$A,$B26,'EPA Export Aggregation'!$D:$D,$A$1)*IF($A26="CH4",About!$D$58,IF($A26="N2O",About!$D$59,1))</f>
        <v>3.8897406640000002E-4</v>
      </c>
      <c r="I26">
        <f>SUMIFS('EPA Export Aggregation'!L:L,'EPA Export Aggregation'!$A:$A,$B26,'EPA Export Aggregation'!$D:$D,$A$1)*IF($A26="CH4",About!$D$58,IF($A26="N2O",About!$D$59,1))</f>
        <v>4.3046422050000002E-4</v>
      </c>
      <c r="J26">
        <f>SUMIFS('EPA Export Aggregation'!M:M,'EPA Export Aggregation'!$A:$A,$B26,'EPA Export Aggregation'!$D:$D,$A$1)*IF($A26="CH4",About!$D$58,IF($A26="N2O",About!$D$59,1))</f>
        <v>5.3151793380000001E-4</v>
      </c>
      <c r="K26">
        <f>SUMIFS('EPA Export Aggregation'!N:N,'EPA Export Aggregation'!$A:$A,$B26,'EPA Export Aggregation'!$D:$D,$A$1)*IF($A26="CH4",About!$D$58,IF($A26="N2O",About!$D$59,1))</f>
        <v>6.0209606929999997E-4</v>
      </c>
      <c r="L26">
        <f>SUMIFS('EPA Export Aggregation'!O:O,'EPA Export Aggregation'!$A:$A,$B26,'EPA Export Aggregation'!$D:$D,$A$1)*IF($A26="CH4",About!$D$58,IF($A26="N2O",About!$D$59,1))</f>
        <v>3.9093876579999998E-4</v>
      </c>
      <c r="M26">
        <f>SUMIFS('EPA Export Aggregation'!P:P,'EPA Export Aggregation'!$A:$A,$B26,'EPA Export Aggregation'!$D:$D,$A$1)*IF($A26="CH4",About!$D$58,IF($A26="N2O",About!$D$59,1))</f>
        <v>4.277236241E-4</v>
      </c>
      <c r="N26">
        <f>SUMIFS('EPA Export Aggregation'!Q:Q,'EPA Export Aggregation'!$A:$A,$B26,'EPA Export Aggregation'!$D:$D,$A$1)*IF($A26="CH4",About!$D$58,IF($A26="N2O",About!$D$59,1))</f>
        <v>3.107543164E-4</v>
      </c>
      <c r="O26">
        <f>SUMIFS('EPA Export Aggregation'!R:R,'EPA Export Aggregation'!$A:$A,$B26,'EPA Export Aggregation'!$D:$D,$A$1)*IF($A26="CH4",About!$D$58,IF($A26="N2O",About!$D$59,1))</f>
        <v>3.639425475E-4</v>
      </c>
      <c r="P26">
        <f>SUMIFS('EPA Export Aggregation'!S:S,'EPA Export Aggregation'!$A:$A,$B26,'EPA Export Aggregation'!$D:$D,$A$1)*IF($A26="CH4",About!$D$58,IF($A26="N2O",About!$D$59,1))</f>
        <v>3.8199728500000002E-4</v>
      </c>
      <c r="Q26">
        <f>SUMIFS('EPA Export Aggregation'!T:T,'EPA Export Aggregation'!$A:$A,$B26,'EPA Export Aggregation'!$D:$D,$A$1)*IF($A26="CH4",About!$D$58,IF($A26="N2O",About!$D$59,1))</f>
        <v>4.5695450890000002E-4</v>
      </c>
      <c r="R26">
        <f>SUMIFS('EPA Export Aggregation'!U:U,'EPA Export Aggregation'!$A:$A,$B26,'EPA Export Aggregation'!$D:$D,$A$1)*IF($A26="CH4",About!$D$58,IF($A26="N2O",About!$D$59,1))</f>
        <v>4.3132197190000001E-4</v>
      </c>
      <c r="S26">
        <f>SUMIFS('EPA Export Aggregation'!V:V,'EPA Export Aggregation'!$A:$A,$B26,'EPA Export Aggregation'!$D:$D,$A$1)*IF($A26="CH4",About!$D$58,IF($A26="N2O",About!$D$59,1))</f>
        <v>3.8627860269999998E-4</v>
      </c>
      <c r="T26">
        <f>SUMIFS('EPA Export Aggregation'!W:W,'EPA Export Aggregation'!$A:$A,$B26,'EPA Export Aggregation'!$D:$D,$A$1)*IF($A26="CH4",About!$D$58,IF($A26="N2O",About!$D$59,1))</f>
        <v>3.4216800680000002E-4</v>
      </c>
      <c r="U26">
        <f>SUMIFS('EPA Export Aggregation'!X:X,'EPA Export Aggregation'!$A:$A,$B26,'EPA Export Aggregation'!$D:$D,$A$1)*IF($A26="CH4",About!$D$58,IF($A26="N2O",About!$D$59,1))</f>
        <v>2.7275199020000002E-4</v>
      </c>
      <c r="V26">
        <f>SUMIFS('EPA Export Aggregation'!Y:Y,'EPA Export Aggregation'!$A:$A,$B26,'EPA Export Aggregation'!$D:$D,$A$1)*IF($A26="CH4",About!$D$58,IF($A26="N2O",About!$D$59,1))</f>
        <v>1.71961817E-4</v>
      </c>
      <c r="W26">
        <f>SUMIFS('EPA Export Aggregation'!Z:Z,'EPA Export Aggregation'!$A:$A,$B26,'EPA Export Aggregation'!$D:$D,$A$1)*IF($A26="CH4",About!$D$58,IF($A26="N2O",About!$D$59,1))</f>
        <v>2.8574320230000003E-4</v>
      </c>
      <c r="X26">
        <f>SUMIFS('EPA Export Aggregation'!AA:AA,'EPA Export Aggregation'!$A:$A,$B26,'EPA Export Aggregation'!$D:$D,$A$1)*IF($A26="CH4",About!$D$58,IF($A26="N2O",About!$D$59,1))</f>
        <v>2.5006574209999999E-4</v>
      </c>
      <c r="Y26">
        <f>SUMIFS('EPA Export Aggregation'!AB:AB,'EPA Export Aggregation'!$A:$A,$B26,'EPA Export Aggregation'!$D:$D,$A$1)*IF($A26="CH4",About!$D$58,IF($A26="N2O",About!$D$59,1))</f>
        <v>2.08483008E-4</v>
      </c>
      <c r="Z26">
        <f>SUMIFS('EPA Export Aggregation'!AC:AC,'EPA Export Aggregation'!$A:$A,$B26,'EPA Export Aggregation'!$D:$D,$A$1)*IF($A26="CH4",About!$D$58,IF($A26="N2O",About!$D$59,1))</f>
        <v>2.4310609390000001E-4</v>
      </c>
      <c r="AA26">
        <f>SUMIFS('EPA Export Aggregation'!AD:AD,'EPA Export Aggregation'!$A:$A,$B26,'EPA Export Aggregation'!$D:$D,$A$1)*IF($A26="CH4",About!$D$58,IF($A26="N2O",About!$D$59,1))</f>
        <v>2.5364663659999999E-4</v>
      </c>
      <c r="AB26">
        <f>SUMIFS('EPA Export Aggregation'!AE:AE,'EPA Export Aggregation'!$A:$A,$B26,'EPA Export Aggregation'!$D:$D,$A$1)*IF($A26="CH4",About!$D$58,IF($A26="N2O",About!$D$59,1))</f>
        <v>2.7475290349999998E-4</v>
      </c>
      <c r="AC26">
        <f>SUMIFS('EPA Export Aggregation'!AF:AF,'EPA Export Aggregation'!$A:$A,$B26,'EPA Export Aggregation'!$D:$D,$A$1)*IF($A26="CH4",About!$D$58,IF($A26="N2O",About!$D$59,1))</f>
        <v>2.5285448790000003E-4</v>
      </c>
      <c r="AD26">
        <f>SUMIFS('EPA Export Aggregation'!AG:AG,'EPA Export Aggregation'!$A:$A,$B26,'EPA Export Aggregation'!$D:$D,$A$1)*IF($A26="CH4",About!$D$58,IF($A26="N2O",About!$D$59,1))</f>
        <v>2.8882323549999999E-4</v>
      </c>
      <c r="AE26">
        <f>SUMIFS('EPA Export Aggregation'!AH:AH,'EPA Export Aggregation'!$A:$A,$B26,'EPA Export Aggregation'!$D:$D,$A$1)*IF($A26="CH4",About!$D$58,IF($A26="N2O",About!$D$59,1))</f>
        <v>2.9706684339999998E-4</v>
      </c>
      <c r="AF26">
        <f>SUMIFS('EPA Export Aggregation'!AI:AI,'EPA Export Aggregation'!$A:$A,$B26,'EPA Export Aggregation'!$D:$D,$A$1)*IF($A26="CH4",About!$D$58,IF($A26="N2O",About!$D$59,1))</f>
        <v>2.671562482E-4</v>
      </c>
      <c r="AG26">
        <f>SUMIFS('EPA Export Aggregation'!AJ:AJ,'EPA Export Aggregation'!$A:$A,$B26,'EPA Export Aggregation'!$D:$D,$A$1)*IF($A26="CH4",About!$D$58,IF($A26="N2O",About!$D$59,1))</f>
        <v>2.0456059970000001E-4</v>
      </c>
      <c r="AH26">
        <f>SUMIFS('EPA Export Aggregation'!AK:AK,'EPA Export Aggregation'!$A:$A,$B26,'EPA Export Aggregation'!$D:$D,$A$1)*IF($A26="CH4",About!$D$58,IF($A26="N2O",About!$D$59,1))</f>
        <v>2.6266144710000001E-4</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119" t="s">
        <v>479</v>
      </c>
      <c r="B30" s="120" t="s">
        <v>1982</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1985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8.2500831600000002E-5</v>
      </c>
      <c r="D34">
        <f>SUMIFS('EPA Export Aggregation'!G:G,'EPA Export Aggregation'!$A:$A,$B34,'EPA Export Aggregation'!$D:$D,$A$1)*IF($A34="CH4",About!$D$58,IF($A34="N2O",About!$D$59,1))</f>
        <v>2.227728688E-4</v>
      </c>
      <c r="E34">
        <f>SUMIFS('EPA Export Aggregation'!H:H,'EPA Export Aggregation'!$A:$A,$B34,'EPA Export Aggregation'!$D:$D,$A$1)*IF($A34="CH4",About!$D$58,IF($A34="N2O",About!$D$59,1))</f>
        <v>2.2951117964999999E-3</v>
      </c>
      <c r="F34">
        <f>SUMIFS('EPA Export Aggregation'!I:I,'EPA Export Aggregation'!$A:$A,$B34,'EPA Export Aggregation'!$D:$D,$A$1)*IF($A34="CH4",About!$D$58,IF($A34="N2O",About!$D$59,1))</f>
        <v>3.9745881641000003E-3</v>
      </c>
      <c r="G34">
        <f>SUMIFS('EPA Export Aggregation'!J:J,'EPA Export Aggregation'!$A:$A,$B34,'EPA Export Aggregation'!$D:$D,$A$1)*IF($A34="CH4",About!$D$58,IF($A34="N2O",About!$D$59,1))</f>
        <v>5.4352221109999995E-4</v>
      </c>
      <c r="H34">
        <f>SUMIFS('EPA Export Aggregation'!K:K,'EPA Export Aggregation'!$A:$A,$B34,'EPA Export Aggregation'!$D:$D,$A$1)*IF($A34="CH4",About!$D$58,IF($A34="N2O",About!$D$59,1))</f>
        <v>1.09085246E-4</v>
      </c>
      <c r="I34">
        <f>SUMIFS('EPA Export Aggregation'!L:L,'EPA Export Aggregation'!$A:$A,$B34,'EPA Export Aggregation'!$D:$D,$A$1)*IF($A34="CH4",About!$D$58,IF($A34="N2O",About!$D$59,1))</f>
        <v>2.401645045E-4</v>
      </c>
      <c r="J34">
        <f>SUMIFS('EPA Export Aggregation'!M:M,'EPA Export Aggregation'!$A:$A,$B34,'EPA Export Aggregation'!$D:$D,$A$1)*IF($A34="CH4",About!$D$58,IF($A34="N2O",About!$D$59,1))</f>
        <v>2.7290005750000001E-4</v>
      </c>
      <c r="K34">
        <f>SUMIFS('EPA Export Aggregation'!N:N,'EPA Export Aggregation'!$A:$A,$B34,'EPA Export Aggregation'!$D:$D,$A$1)*IF($A34="CH4",About!$D$58,IF($A34="N2O",About!$D$59,1))</f>
        <v>3.9033717379999999E-4</v>
      </c>
      <c r="L34">
        <f>SUMIFS('EPA Export Aggregation'!O:O,'EPA Export Aggregation'!$A:$A,$B34,'EPA Export Aggregation'!$D:$D,$A$1)*IF($A34="CH4",About!$D$58,IF($A34="N2O",About!$D$59,1))</f>
        <v>5.2035864399999998E-4</v>
      </c>
      <c r="M34">
        <f>SUMIFS('EPA Export Aggregation'!P:P,'EPA Export Aggregation'!$A:$A,$B34,'EPA Export Aggregation'!$D:$D,$A$1)*IF($A34="CH4",About!$D$58,IF($A34="N2O",About!$D$59,1))</f>
        <v>5.9539375249999997E-4</v>
      </c>
      <c r="N34">
        <f>SUMIFS('EPA Export Aggregation'!Q:Q,'EPA Export Aggregation'!$A:$A,$B34,'EPA Export Aggregation'!$D:$D,$A$1)*IF($A34="CH4",About!$D$58,IF($A34="N2O",About!$D$59,1))</f>
        <v>5.4399588739999997E-4</v>
      </c>
      <c r="O34">
        <f>SUMIFS('EPA Export Aggregation'!R:R,'EPA Export Aggregation'!$A:$A,$B34,'EPA Export Aggregation'!$D:$D,$A$1)*IF($A34="CH4",About!$D$58,IF($A34="N2O",About!$D$59,1))</f>
        <v>2.5333563159999999E-4</v>
      </c>
      <c r="P34">
        <f>SUMIFS('EPA Export Aggregation'!S:S,'EPA Export Aggregation'!$A:$A,$B34,'EPA Export Aggregation'!$D:$D,$A$1)*IF($A34="CH4",About!$D$58,IF($A34="N2O",About!$D$59,1))</f>
        <v>7.3721854299999999E-5</v>
      </c>
      <c r="Q34">
        <f>SUMIFS('EPA Export Aggregation'!T:T,'EPA Export Aggregation'!$A:$A,$B34,'EPA Export Aggregation'!$D:$D,$A$1)*IF($A34="CH4",About!$D$58,IF($A34="N2O",About!$D$59,1))</f>
        <v>5.1013335799999997E-5</v>
      </c>
      <c r="R34">
        <f>SUMIFS('EPA Export Aggregation'!U:U,'EPA Export Aggregation'!$A:$A,$B34,'EPA Export Aggregation'!$D:$D,$A$1)*IF($A34="CH4",About!$D$58,IF($A34="N2O",About!$D$59,1))</f>
        <v>5.40775953E-5</v>
      </c>
      <c r="S34">
        <f>SUMIFS('EPA Export Aggregation'!V:V,'EPA Export Aggregation'!$A:$A,$B34,'EPA Export Aggregation'!$D:$D,$A$1)*IF($A34="CH4",About!$D$58,IF($A34="N2O",About!$D$59,1))</f>
        <v>8.5907042799999997E-5</v>
      </c>
      <c r="T34">
        <f>SUMIFS('EPA Export Aggregation'!W:W,'EPA Export Aggregation'!$A:$A,$B34,'EPA Export Aggregation'!$D:$D,$A$1)*IF($A34="CH4",About!$D$58,IF($A34="N2O",About!$D$59,1))</f>
        <v>2.8242281299999998E-5</v>
      </c>
      <c r="U34">
        <f>SUMIFS('EPA Export Aggregation'!X:X,'EPA Export Aggregation'!$A:$A,$B34,'EPA Export Aggregation'!$D:$D,$A$1)*IF($A34="CH4",About!$D$58,IF($A34="N2O",About!$D$59,1))</f>
        <v>8.5551785699999997E-5</v>
      </c>
      <c r="V34">
        <f>SUMIFS('EPA Export Aggregation'!Y:Y,'EPA Export Aggregation'!$A:$A,$B34,'EPA Export Aggregation'!$D:$D,$A$1)*IF($A34="CH4",About!$D$58,IF($A34="N2O",About!$D$59,1))</f>
        <v>1.275958753E-4</v>
      </c>
      <c r="W34">
        <f>SUMIFS('EPA Export Aggregation'!Z:Z,'EPA Export Aggregation'!$A:$A,$B34,'EPA Export Aggregation'!$D:$D,$A$1)*IF($A34="CH4",About!$D$58,IF($A34="N2O",About!$D$59,1))</f>
        <v>6.3854486100000003E-5</v>
      </c>
      <c r="X34">
        <f>SUMIFS('EPA Export Aggregation'!AA:AA,'EPA Export Aggregation'!$A:$A,$B34,'EPA Export Aggregation'!$D:$D,$A$1)*IF($A34="CH4",About!$D$58,IF($A34="N2O",About!$D$59,1))</f>
        <v>7.4211497200000001E-5</v>
      </c>
      <c r="Y34">
        <f>SUMIFS('EPA Export Aggregation'!AB:AB,'EPA Export Aggregation'!$A:$A,$B34,'EPA Export Aggregation'!$D:$D,$A$1)*IF($A34="CH4",About!$D$58,IF($A34="N2O",About!$D$59,1))</f>
        <v>8.1715806300000006E-5</v>
      </c>
      <c r="Z34">
        <f>SUMIFS('EPA Export Aggregation'!AC:AC,'EPA Export Aggregation'!$A:$A,$B34,'EPA Export Aggregation'!$D:$D,$A$1)*IF($A34="CH4",About!$D$58,IF($A34="N2O",About!$D$59,1))</f>
        <v>5.2369167500000001E-5</v>
      </c>
      <c r="AA34">
        <f>SUMIFS('EPA Export Aggregation'!AD:AD,'EPA Export Aggregation'!$A:$A,$B34,'EPA Export Aggregation'!$D:$D,$A$1)*IF($A34="CH4",About!$D$58,IF($A34="N2O",About!$D$59,1))</f>
        <v>1.0071075630000001E-4</v>
      </c>
      <c r="AB34">
        <f>SUMIFS('EPA Export Aggregation'!AE:AE,'EPA Export Aggregation'!$A:$A,$B34,'EPA Export Aggregation'!$D:$D,$A$1)*IF($A34="CH4",About!$D$58,IF($A34="N2O",About!$D$59,1))</f>
        <v>1.076495812E-4</v>
      </c>
      <c r="AC34">
        <f>SUMIFS('EPA Export Aggregation'!AF:AF,'EPA Export Aggregation'!$A:$A,$B34,'EPA Export Aggregation'!$D:$D,$A$1)*IF($A34="CH4",About!$D$58,IF($A34="N2O",About!$D$59,1))</f>
        <v>8.3949801899999994E-5</v>
      </c>
      <c r="AD34">
        <f>SUMIFS('EPA Export Aggregation'!AG:AG,'EPA Export Aggregation'!$A:$A,$B34,'EPA Export Aggregation'!$D:$D,$A$1)*IF($A34="CH4",About!$D$58,IF($A34="N2O",About!$D$59,1))</f>
        <v>2.0734589629999999E-4</v>
      </c>
      <c r="AE34">
        <f>SUMIFS('EPA Export Aggregation'!AH:AH,'EPA Export Aggregation'!$A:$A,$B34,'EPA Export Aggregation'!$D:$D,$A$1)*IF($A34="CH4",About!$D$58,IF($A34="N2O",About!$D$59,1))</f>
        <v>2.1472943309999999E-4</v>
      </c>
      <c r="AF34">
        <f>SUMIFS('EPA Export Aggregation'!AI:AI,'EPA Export Aggregation'!$A:$A,$B34,'EPA Export Aggregation'!$D:$D,$A$1)*IF($A34="CH4",About!$D$58,IF($A34="N2O",About!$D$59,1))</f>
        <v>2.4112810580000001E-4</v>
      </c>
      <c r="AG34">
        <f>SUMIFS('EPA Export Aggregation'!AJ:AJ,'EPA Export Aggregation'!$A:$A,$B34,'EPA Export Aggregation'!$D:$D,$A$1)*IF($A34="CH4",About!$D$58,IF($A34="N2O",About!$D$59,1))</f>
        <v>2.6752677839999997E-4</v>
      </c>
      <c r="AH34">
        <f>SUMIFS('EPA Export Aggregation'!AK:AK,'EPA Export Aggregation'!$A:$A,$B34,'EPA Export Aggregation'!$D:$D,$A$1)*IF($A34="CH4",About!$D$58,IF($A34="N2O",About!$D$59,1))</f>
        <v>2.9392545110000002E-4</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1.0030529944E-3</v>
      </c>
      <c r="D74">
        <f>SUMIFS('EPA Export Aggregation'!G:G,'EPA Export Aggregation'!$A:$A,$B74,'EPA Export Aggregation'!$D:$D,$A$1)*IF($A74="CH4",About!$D$58,IF($A74="N2O",About!$D$59,1))</f>
        <v>2.0923338896E-3</v>
      </c>
      <c r="E74">
        <f>SUMIFS('EPA Export Aggregation'!H:H,'EPA Export Aggregation'!$A:$A,$B74,'EPA Export Aggregation'!$D:$D,$A$1)*IF($A74="CH4",About!$D$58,IF($A74="N2O",About!$D$59,1))</f>
        <v>5.6037353146000009E-3</v>
      </c>
      <c r="F74">
        <f>SUMIFS('EPA Export Aggregation'!I:I,'EPA Export Aggregation'!$A:$A,$B74,'EPA Export Aggregation'!$D:$D,$A$1)*IF($A74="CH4",About!$D$58,IF($A74="N2O",About!$D$59,1))</f>
        <v>1.8074828955E-2</v>
      </c>
      <c r="G74">
        <f>SUMIFS('EPA Export Aggregation'!J:J,'EPA Export Aggregation'!$A:$A,$B74,'EPA Export Aggregation'!$D:$D,$A$1)*IF($A74="CH4",About!$D$58,IF($A74="N2O",About!$D$59,1))</f>
        <v>4.34625328172E-2</v>
      </c>
      <c r="H74">
        <f>SUMIFS('EPA Export Aggregation'!K:K,'EPA Export Aggregation'!$A:$A,$B74,'EPA Export Aggregation'!$D:$D,$A$1)*IF($A74="CH4",About!$D$58,IF($A74="N2O",About!$D$59,1))</f>
        <v>9.4835472150000016E-2</v>
      </c>
      <c r="I74">
        <f>SUMIFS('EPA Export Aggregation'!L:L,'EPA Export Aggregation'!$A:$A,$B74,'EPA Export Aggregation'!$D:$D,$A$1)*IF($A74="CH4",About!$D$58,IF($A74="N2O",About!$D$59,1))</f>
        <v>0.13270988726089999</v>
      </c>
      <c r="J74">
        <f>SUMIFS('EPA Export Aggregation'!M:M,'EPA Export Aggregation'!$A:$A,$B74,'EPA Export Aggregation'!$D:$D,$A$1)*IF($A74="CH4",About!$D$58,IF($A74="N2O",About!$D$59,1))</f>
        <v>0.16813895693869998</v>
      </c>
      <c r="K74">
        <f>SUMIFS('EPA Export Aggregation'!N:N,'EPA Export Aggregation'!$A:$A,$B74,'EPA Export Aggregation'!$D:$D,$A$1)*IF($A74="CH4",About!$D$58,IF($A74="N2O",About!$D$59,1))</f>
        <v>0.1936010489935</v>
      </c>
      <c r="L74">
        <f>SUMIFS('EPA Export Aggregation'!O:O,'EPA Export Aggregation'!$A:$A,$B74,'EPA Export Aggregation'!$D:$D,$A$1)*IF($A74="CH4",About!$D$58,IF($A74="N2O",About!$D$59,1))</f>
        <v>0.22036661923140002</v>
      </c>
      <c r="M74">
        <f>SUMIFS('EPA Export Aggregation'!P:P,'EPA Export Aggregation'!$A:$A,$B74,'EPA Export Aggregation'!$D:$D,$A$1)*IF($A74="CH4",About!$D$58,IF($A74="N2O",About!$D$59,1))</f>
        <v>0.24307745802190003</v>
      </c>
      <c r="N74">
        <f>SUMIFS('EPA Export Aggregation'!Q:Q,'EPA Export Aggregation'!$A:$A,$B74,'EPA Export Aggregation'!$D:$D,$A$1)*IF($A74="CH4",About!$D$58,IF($A74="N2O",About!$D$59,1))</f>
        <v>0.26462944255259996</v>
      </c>
      <c r="O74">
        <f>SUMIFS('EPA Export Aggregation'!R:R,'EPA Export Aggregation'!$A:$A,$B74,'EPA Export Aggregation'!$D:$D,$A$1)*IF($A74="CH4",About!$D$58,IF($A74="N2O",About!$D$59,1))</f>
        <v>0.28135454685229999</v>
      </c>
      <c r="P74">
        <f>SUMIFS('EPA Export Aggregation'!S:S,'EPA Export Aggregation'!$A:$A,$B74,'EPA Export Aggregation'!$D:$D,$A$1)*IF($A74="CH4",About!$D$58,IF($A74="N2O",About!$D$59,1))</f>
        <v>0.29621724067740007</v>
      </c>
      <c r="Q74">
        <f>SUMIFS('EPA Export Aggregation'!T:T,'EPA Export Aggregation'!$A:$A,$B74,'EPA Export Aggregation'!$D:$D,$A$1)*IF($A74="CH4",About!$D$58,IF($A74="N2O",About!$D$59,1))</f>
        <v>0.30858807693340001</v>
      </c>
      <c r="R74">
        <f>SUMIFS('EPA Export Aggregation'!U:U,'EPA Export Aggregation'!$A:$A,$B74,'EPA Export Aggregation'!$D:$D,$A$1)*IF($A74="CH4",About!$D$58,IF($A74="N2O",About!$D$59,1))</f>
        <v>0.32066169399000005</v>
      </c>
      <c r="S74">
        <f>SUMIFS('EPA Export Aggregation'!V:V,'EPA Export Aggregation'!$A:$A,$B74,'EPA Export Aggregation'!$D:$D,$A$1)*IF($A74="CH4",About!$D$58,IF($A74="N2O",About!$D$59,1))</f>
        <v>0.33884352871619988</v>
      </c>
      <c r="T74">
        <f>SUMIFS('EPA Export Aggregation'!W:W,'EPA Export Aggregation'!$A:$A,$B74,'EPA Export Aggregation'!$D:$D,$A$1)*IF($A74="CH4",About!$D$58,IF($A74="N2O",About!$D$59,1))</f>
        <v>0.35919014097789997</v>
      </c>
      <c r="U74">
        <f>SUMIFS('EPA Export Aggregation'!X:X,'EPA Export Aggregation'!$A:$A,$B74,'EPA Export Aggregation'!$D:$D,$A$1)*IF($A74="CH4",About!$D$58,IF($A74="N2O",About!$D$59,1))</f>
        <v>0.38230165040600006</v>
      </c>
      <c r="V74">
        <f>SUMIFS('EPA Export Aggregation'!Y:Y,'EPA Export Aggregation'!$A:$A,$B74,'EPA Export Aggregation'!$D:$D,$A$1)*IF($A74="CH4",About!$D$58,IF($A74="N2O",About!$D$59,1))</f>
        <v>0.39397548837559998</v>
      </c>
      <c r="W74">
        <f>SUMIFS('EPA Export Aggregation'!Z:Z,'EPA Export Aggregation'!$A:$A,$B74,'EPA Export Aggregation'!$D:$D,$A$1)*IF($A74="CH4",About!$D$58,IF($A74="N2O",About!$D$59,1))</f>
        <v>0.36085856610180006</v>
      </c>
      <c r="X74">
        <f>SUMIFS('EPA Export Aggregation'!AA:AA,'EPA Export Aggregation'!$A:$A,$B74,'EPA Export Aggregation'!$D:$D,$A$1)*IF($A74="CH4",About!$D$58,IF($A74="N2O",About!$D$59,1))</f>
        <v>0.37831021470069998</v>
      </c>
      <c r="Y74">
        <f>SUMIFS('EPA Export Aggregation'!AB:AB,'EPA Export Aggregation'!$A:$A,$B74,'EPA Export Aggregation'!$D:$D,$A$1)*IF($A74="CH4",About!$D$58,IF($A74="N2O",About!$D$59,1))</f>
        <v>0.40987107676020007</v>
      </c>
      <c r="Z74">
        <f>SUMIFS('EPA Export Aggregation'!AC:AC,'EPA Export Aggregation'!$A:$A,$B74,'EPA Export Aggregation'!$D:$D,$A$1)*IF($A74="CH4",About!$D$58,IF($A74="N2O",About!$D$59,1))</f>
        <v>0.48058431332149998</v>
      </c>
      <c r="AA74">
        <f>SUMIFS('EPA Export Aggregation'!AD:AD,'EPA Export Aggregation'!$A:$A,$B74,'EPA Export Aggregation'!$D:$D,$A$1)*IF($A74="CH4",About!$D$58,IF($A74="N2O",About!$D$59,1))</f>
        <v>0.5414072862260999</v>
      </c>
      <c r="AB74">
        <f>SUMIFS('EPA Export Aggregation'!AE:AE,'EPA Export Aggregation'!$A:$A,$B74,'EPA Export Aggregation'!$D:$D,$A$1)*IF($A74="CH4",About!$D$58,IF($A74="N2O",About!$D$59,1))</f>
        <v>0.52109344110620004</v>
      </c>
      <c r="AC74">
        <f>SUMIFS('EPA Export Aggregation'!AF:AF,'EPA Export Aggregation'!$A:$A,$B74,'EPA Export Aggregation'!$D:$D,$A$1)*IF($A74="CH4",About!$D$58,IF($A74="N2O",About!$D$59,1))</f>
        <v>0.52617709305070004</v>
      </c>
      <c r="AD74">
        <f>SUMIFS('EPA Export Aggregation'!AG:AG,'EPA Export Aggregation'!$A:$A,$B74,'EPA Export Aggregation'!$D:$D,$A$1)*IF($A74="CH4",About!$D$58,IF($A74="N2O",About!$D$59,1))</f>
        <v>0.45092965102909993</v>
      </c>
      <c r="AE74">
        <f>SUMIFS('EPA Export Aggregation'!AH:AH,'EPA Export Aggregation'!$A:$A,$B74,'EPA Export Aggregation'!$D:$D,$A$1)*IF($A74="CH4",About!$D$58,IF($A74="N2O",About!$D$59,1))</f>
        <v>0.50561230595119999</v>
      </c>
      <c r="AF74">
        <f>SUMIFS('EPA Export Aggregation'!AI:AI,'EPA Export Aggregation'!$A:$A,$B74,'EPA Export Aggregation'!$D:$D,$A$1)*IF($A74="CH4",About!$D$58,IF($A74="N2O",About!$D$59,1))</f>
        <v>0.48326965172080011</v>
      </c>
      <c r="AG74">
        <f>SUMIFS('EPA Export Aggregation'!AJ:AJ,'EPA Export Aggregation'!$A:$A,$B74,'EPA Export Aggregation'!$D:$D,$A$1)*IF($A74="CH4",About!$D$58,IF($A74="N2O",About!$D$59,1))</f>
        <v>0.54005275444879985</v>
      </c>
      <c r="AH74">
        <f>SUMIFS('EPA Export Aggregation'!AK:AK,'EPA Export Aggregation'!$A:$A,$B74,'EPA Export Aggregation'!$D:$D,$A$1)*IF($A74="CH4",About!$D$58,IF($A74="N2O",About!$D$59,1))</f>
        <v>0.56441682683099992</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2025-11-06T19:50:18Z</dcterms:modified>
</cp:coreProperties>
</file>