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TN\elec\SYTaDC\"/>
    </mc:Choice>
  </mc:AlternateContent>
  <xr:revisionPtr revIDLastSave="0" documentId="8_{EC72D9B9-92A0-48DA-B3F0-CC774806E60B}" xr6:coauthVersionLast="47" xr6:coauthVersionMax="47" xr10:uidLastSave="{00000000-0000-0000-0000-000000000000}"/>
  <bookViews>
    <workbookView xWindow="-90" yWindow="-90" windowWidth="19380" windowHeight="10260" xr2:uid="{00000000-000D-0000-FFFF-FFFF00000000}"/>
  </bookViews>
  <sheets>
    <sheet name="About" sheetId="1" r:id="rId1"/>
    <sheet name="HIFLD Outputs" sheetId="8" r:id="rId2"/>
    <sheet name="Data National" sheetId="9" r:id="rId3"/>
    <sheet name="SYTaDC-Transmission OM" sheetId="3" r:id="rId4"/>
    <sheet name="SYTaDC-Distribution OM" sheetId="5" r:id="rId5"/>
    <sheet name="SYTaDC-Transmission Capital" sheetId="6" r:id="rId6"/>
    <sheet name="SYTaDC-Distribution Capital" sheetId="7" r:id="rId7"/>
  </sheets>
  <definedNames>
    <definedName name="Acadia" localSheetId="2" hidden="1">{"calspreads",#N/A,FALSE,"Sheet1";"curves",#N/A,FALSE,"Sheet1";"libor",#N/A,FALSE,"Sheet1"}</definedName>
    <definedName name="Acadia" localSheetId="1" hidden="1">{"calspreads",#N/A,FALSE,"Sheet1";"curves",#N/A,FALSE,"Sheet1";"libor",#N/A,FALSE,"Sheet1"}</definedName>
    <definedName name="Acadia" hidden="1">{"calspreads",#N/A,FALSE,"Sheet1";"curves",#N/A,FALSE,"Sheet1";"libor",#N/A,FALSE,"Sheet1"}</definedName>
    <definedName name="afdasdfa" localSheetId="2" hidden="1">{"calspreads",#N/A,FALSE,"Sheet1";"curves",#N/A,FALSE,"Sheet1";"libor",#N/A,FALSE,"Sheet1"}</definedName>
    <definedName name="afdasdfa" localSheetId="1" hidden="1">{"calspreads",#N/A,FALSE,"Sheet1";"curves",#N/A,FALSE,"Sheet1";"libor",#N/A,FALSE,"Sheet1"}</definedName>
    <definedName name="afdasdfa" hidden="1">{"calspreads",#N/A,FALSE,"Sheet1";"curves",#N/A,FALSE,"Sheet1";"libor",#N/A,FALSE,"Sheet1"}</definedName>
    <definedName name="as" localSheetId="2" hidden="1">{"calspreads",#N/A,FALSE,"Sheet1";"curves",#N/A,FALSE,"Sheet1";"libor",#N/A,FALSE,"Sheet1"}</definedName>
    <definedName name="as" localSheetId="1" hidden="1">{"calspreads",#N/A,FALSE,"Sheet1";"curves",#N/A,FALSE,"Sheet1";"libor",#N/A,FALSE,"Sheet1"}</definedName>
    <definedName name="as" hidden="1">{"calspreads",#N/A,FALSE,"Sheet1";"curves",#N/A,FALSE,"Sheet1";"libor",#N/A,FALSE,"Sheet1"}</definedName>
    <definedName name="d" localSheetId="2" hidden="1">{"calspreads",#N/A,FALSE,"Sheet1";"curves",#N/A,FALSE,"Sheet1";"libor",#N/A,FALSE,"Sheet1"}</definedName>
    <definedName name="d" localSheetId="1" hidden="1">{"calspreads",#N/A,FALSE,"Sheet1";"curves",#N/A,FALSE,"Sheet1";"libor",#N/A,FALSE,"Sheet1"}</definedName>
    <definedName name="d" hidden="1">{"calspreads",#N/A,FALSE,"Sheet1";"curves",#N/A,FALSE,"Sheet1";"libor",#N/A,FALSE,"Sheet1"}</definedName>
    <definedName name="fds" localSheetId="2" hidden="1">{"calspreads",#N/A,FALSE,"Sheet1";"curves",#N/A,FALSE,"Sheet1";"libor",#N/A,FALSE,"Sheet1"}</definedName>
    <definedName name="fds" localSheetId="1" hidden="1">{"calspreads",#N/A,FALSE,"Sheet1";"curves",#N/A,FALSE,"Sheet1";"libor",#N/A,FALSE,"Sheet1"}</definedName>
    <definedName name="fds" hidden="1">{"calspreads",#N/A,FALSE,"Sheet1";"curves",#N/A,FALSE,"Sheet1";"libor",#N/A,FALSE,"Sheet1"}</definedName>
    <definedName name="HTML_CodePage" hidden="1">437</definedName>
    <definedName name="HTML_Control" localSheetId="2" hidden="1">{"'Sheet1'!$C$6:$L$107"}</definedName>
    <definedName name="HTML_Control" localSheetId="1" hidden="1">{"'Sheet1'!$C$6:$L$107"}</definedName>
    <definedName name="HTML_Control" hidden="1">{"'Sheet1'!$C$6:$L$107"}</definedName>
    <definedName name="HTML_Description" hidden="1">""</definedName>
    <definedName name="HTML_Email" hidden="1">""</definedName>
    <definedName name="HTML_Header" hidden="1">"Sheet1"</definedName>
    <definedName name="HTML_LastUpdate" hidden="1">"7/18/00"</definedName>
    <definedName name="HTML_LineAfter" hidden="1">FALSE</definedName>
    <definedName name="HTML_LineBefore" hidden="1">FALSE</definedName>
    <definedName name="HTML_Name" hidden="1">"KWest"</definedName>
    <definedName name="HTML_OBDlg2" hidden="1">TRUE</definedName>
    <definedName name="HTML_OBDlg4" hidden="1">TRUE</definedName>
    <definedName name="HTML_OS" hidden="1">0</definedName>
    <definedName name="HTML_PathFile" hidden="1">"S:\Shared\Monthly Ld Report\DPL\JunePrelim.htm"</definedName>
    <definedName name="HTML_Title" hidden="1">"DPL_June_Prelim"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  <definedName name="ok" localSheetId="2" hidden="1">{"calspreads",#N/A,FALSE,"Sheet1";"curves",#N/A,FALSE,"Sheet1";"libor",#N/A,FALSE,"Sheet1"}</definedName>
    <definedName name="ok" localSheetId="1" hidden="1">{"calspreads",#N/A,FALSE,"Sheet1";"curves",#N/A,FALSE,"Sheet1";"libor",#N/A,FALSE,"Sheet1"}</definedName>
    <definedName name="ok" hidden="1">{"calspreads",#N/A,FALSE,"Sheet1";"curves",#N/A,FALSE,"Sheet1";"libor",#N/A,FALSE,"Sheet1"}</definedName>
    <definedName name="wrn.Output." localSheetId="2" hidden="1">{"calspreads",#N/A,FALSE,"Sheet1";"curves",#N/A,FALSE,"Sheet1";"libor",#N/A,FALSE,"Sheet1"}</definedName>
    <definedName name="wrn.Output." localSheetId="1" hidden="1">{"calspreads",#N/A,FALSE,"Sheet1";"curves",#N/A,FALSE,"Sheet1";"libor",#N/A,FALSE,"Sheet1"}</definedName>
    <definedName name="wrn.Output." hidden="1">{"calspreads",#N/A,FALSE,"Sheet1";"curves",#N/A,FALSE,"Sheet1";"libor",#N/A,FALSE,"Sheet1"}</definedName>
    <definedName name="wrn2.output" localSheetId="2" hidden="1">{"calspreads",#N/A,FALSE,"Sheet1";"curves",#N/A,FALSE,"Sheet1";"libor",#N/A,FALSE,"Sheet1"}</definedName>
    <definedName name="wrn2.output" localSheetId="1" hidden="1">{"calspreads",#N/A,FALSE,"Sheet1";"curves",#N/A,FALSE,"Sheet1";"libor",#N/A,FALSE,"Sheet1"}</definedName>
    <definedName name="wrn2.output" hidden="1">{"calspreads",#N/A,FALSE,"Sheet1";"curves",#N/A,FALSE,"Sheet1";"libor",#N/A,FALSE,"Sheet1"}</definedName>
    <definedName name="wrn3.output" localSheetId="2" hidden="1">{"calspreads",#N/A,FALSE,"Sheet1";"curves",#N/A,FALSE,"Sheet1";"libor",#N/A,FALSE,"Sheet1"}</definedName>
    <definedName name="wrn3.output" localSheetId="1" hidden="1">{"calspreads",#N/A,FALSE,"Sheet1";"curves",#N/A,FALSE,"Sheet1";"libor",#N/A,FALSE,"Sheet1"}</definedName>
    <definedName name="wrn3.output" hidden="1">{"calspreads",#N/A,FALSE,"Sheet1";"curves",#N/A,FALSE,"Sheet1";"libor",#N/A,FALSE,"Sheet1"}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0" i="9" l="1"/>
  <c r="B39" i="9"/>
  <c r="B38" i="9"/>
  <c r="B37" i="9"/>
  <c r="A43" i="9"/>
  <c r="B47" i="9" s="1"/>
  <c r="B2" i="6" s="1"/>
  <c r="B17" i="9"/>
  <c r="B12" i="9"/>
  <c r="B34" i="9" s="1"/>
  <c r="B11" i="9"/>
  <c r="B10" i="9"/>
  <c r="D53" i="8"/>
  <c r="F51" i="8" s="1"/>
  <c r="F45" i="8"/>
  <c r="F44" i="8"/>
  <c r="F43" i="8"/>
  <c r="F42" i="8"/>
  <c r="F41" i="8"/>
  <c r="F40" i="8"/>
  <c r="F39" i="8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  <c r="F3" i="8"/>
  <c r="F2" i="8"/>
  <c r="B2" i="1"/>
  <c r="B48" i="9" l="1"/>
  <c r="B2" i="7" s="1"/>
  <c r="B45" i="9"/>
  <c r="B2" i="3" s="1"/>
  <c r="B46" i="9"/>
  <c r="B2" i="5" s="1"/>
  <c r="B44" i="9"/>
  <c r="C44" i="9"/>
  <c r="K44" i="9"/>
  <c r="D44" i="9"/>
  <c r="L44" i="9"/>
  <c r="C34" i="9"/>
  <c r="D34" i="9" s="1"/>
  <c r="E34" i="9" s="1"/>
  <c r="F34" i="9" s="1"/>
  <c r="G34" i="9" s="1"/>
  <c r="H34" i="9" s="1"/>
  <c r="I34" i="9" s="1"/>
  <c r="J34" i="9" s="1"/>
  <c r="K34" i="9" s="1"/>
  <c r="L34" i="9" s="1"/>
  <c r="M34" i="9" s="1"/>
  <c r="F53" i="8"/>
  <c r="F46" i="8"/>
  <c r="F47" i="8"/>
  <c r="F48" i="8"/>
  <c r="F49" i="8"/>
  <c r="F50" i="8"/>
  <c r="G44" i="9" l="1"/>
  <c r="H44" i="9"/>
  <c r="F44" i="9"/>
  <c r="N34" i="9"/>
  <c r="M44" i="9"/>
  <c r="E44" i="9"/>
  <c r="J44" i="9"/>
  <c r="I44" i="9"/>
  <c r="O34" i="9" l="1"/>
  <c r="N44" i="9"/>
  <c r="P34" i="9" l="1"/>
  <c r="O44" i="9"/>
  <c r="Q34" i="9" l="1"/>
  <c r="P44" i="9"/>
  <c r="R34" i="9" l="1"/>
  <c r="Q44" i="9"/>
  <c r="S34" i="9" l="1"/>
  <c r="R44" i="9"/>
  <c r="T34" i="9" l="1"/>
  <c r="S44" i="9"/>
  <c r="U34" i="9" l="1"/>
  <c r="T44" i="9"/>
  <c r="V34" i="9" l="1"/>
  <c r="U44" i="9"/>
  <c r="W34" i="9" l="1"/>
  <c r="V44" i="9"/>
  <c r="X34" i="9" l="1"/>
  <c r="W44" i="9"/>
  <c r="Y34" i="9" l="1"/>
  <c r="X44" i="9"/>
  <c r="Z34" i="9" l="1"/>
  <c r="Y44" i="9"/>
  <c r="AA34" i="9" l="1"/>
  <c r="Z44" i="9"/>
  <c r="AB34" i="9" l="1"/>
  <c r="AA44" i="9"/>
  <c r="AC34" i="9" l="1"/>
  <c r="AB44" i="9"/>
  <c r="AD34" i="9" l="1"/>
  <c r="AC44" i="9"/>
  <c r="AE34" i="9" l="1"/>
  <c r="AD44" i="9"/>
  <c r="AF34" i="9" l="1"/>
  <c r="AE44" i="9"/>
  <c r="AG34" i="9" l="1"/>
  <c r="AF44" i="9"/>
  <c r="AH34" i="9" l="1"/>
  <c r="AG44" i="9"/>
  <c r="AI34" i="9" l="1"/>
  <c r="AH44" i="9"/>
  <c r="AJ34" i="9" l="1"/>
  <c r="AI44" i="9"/>
  <c r="AK34" i="9" l="1"/>
  <c r="AJ44" i="9"/>
  <c r="AL34" i="9" l="1"/>
  <c r="AK44" i="9"/>
  <c r="AM34" i="9" l="1"/>
  <c r="AL44" i="9"/>
  <c r="AN34" i="9" l="1"/>
  <c r="AM44" i="9"/>
  <c r="AO34" i="9" l="1"/>
  <c r="AN44" i="9"/>
  <c r="AP34" i="9" l="1"/>
  <c r="AP44" i="9" s="1"/>
  <c r="AO44" i="9"/>
</calcChain>
</file>

<file path=xl/sharedStrings.xml><?xml version="1.0" encoding="utf-8"?>
<sst xmlns="http://schemas.openxmlformats.org/spreadsheetml/2006/main" count="264" uniqueCount="144">
  <si>
    <t>Note:</t>
  </si>
  <si>
    <t>See "cpi.xlsx" in the InputData folder for source information.</t>
  </si>
  <si>
    <t>Sources:</t>
  </si>
  <si>
    <t>We adjust 2021 dollars to 2012 dollars using the following conversion factor:</t>
  </si>
  <si>
    <t>Costs ($)</t>
  </si>
  <si>
    <t>https://www.eia.gov/todayinenergy/detail.php?id=48136#:~:text=Annual%20spending%20on%20electricity%20distribution,2000%20after%20adjusting%20for%20inflation.</t>
  </si>
  <si>
    <t>U.S. Energy Information Administration</t>
  </si>
  <si>
    <t>Major utilities' spending on the electric distribution system continues to increase</t>
  </si>
  <si>
    <t>First paragraph</t>
  </si>
  <si>
    <t>Distribution O&amp;M Spending</t>
  </si>
  <si>
    <t>Transmission O&amp;M Spending</t>
  </si>
  <si>
    <t>Utilities continue to increase spending on the electric transmission system</t>
  </si>
  <si>
    <t>https://www.eia.gov/todayinenergy/detail.php?id=47316#:~:text=Utilities%20spent%20%2416.6%20billion%20on,7%25%20more%20than%20in%202018.&amp;text=Power%20plants%20are%20often%20located,power%20lines%20to%20deliver%20electricity.</t>
  </si>
  <si>
    <t>SYTaDC Start Year Transmission and Distribution Costs</t>
  </si>
  <si>
    <t>Distribution OM</t>
  </si>
  <si>
    <t>Transmission OM</t>
  </si>
  <si>
    <t>Transmission Capital</t>
  </si>
  <si>
    <t>Distribution Capital</t>
  </si>
  <si>
    <t>Arizona</t>
  </si>
  <si>
    <t>Alabama</t>
  </si>
  <si>
    <t>AL</t>
  </si>
  <si>
    <t>Alaska</t>
  </si>
  <si>
    <t>AK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</si>
  <si>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</si>
  <si>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</si>
  <si>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</si>
  <si>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</si>
  <si>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</si>
  <si>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</si>
  <si>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</si>
  <si>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</si>
  <si>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</si>
  <si>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</si>
  <si>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</si>
  <si>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</si>
  <si>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</si>
  <si>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</si>
  <si>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</si>
  <si>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</si>
  <si>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</si>
  <si>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</si>
  <si>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</si>
  <si>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</si>
  <si>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</si>
  <si>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</si>
  <si>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</si>
  <si>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</si>
  <si>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</si>
  <si>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</si>
  <si>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</si>
  <si>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</si>
  <si>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</si>
  <si>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</si>
  <si>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</si>
  <si>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</si>
  <si>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</si>
  <si>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</si>
  <si>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</si>
  <si>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</si>
  <si>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</si>
  <si>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</si>
  <si>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</si>
  <si>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</si>
  <si>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</si>
  <si>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</si>
  <si>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</si>
  <si>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</si>
  <si>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</si>
  <si>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</si>
  <si>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</si>
  <si>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</si>
  <si>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</si>
  <si>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</si>
  <si>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</si>
  <si>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</si>
  <si>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</si>
  <si>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</si>
  <si>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</si>
  <si>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</si>
  <si>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</si>
  <si>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</si>
  <si>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</si>
  <si>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</si>
  <si>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</si>
  <si>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</si>
  <si>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</si>
  <si>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</si>
  <si>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</si>
  <si>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</si>
  <si>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</si>
  <si>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</si>
  <si>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</si>
  <si>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</si>
  <si>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</si>
  <si>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</si>
  <si>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</si>
  <si>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</si>
  <si>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</si>
  <si>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</si>
  <si>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</si>
  <si>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</si>
  <si>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</si>
  <si>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</si>
  <si>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</si>
  <si>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</si>
  <si>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</si>
  <si>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</si>
  <si>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</si>
  <si>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</si>
  <si>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</si>
  <si>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</si>
  <si>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</si>
  <si>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</si>
  <si>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</si>
  <si>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</si>
  <si>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</si>
  <si>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</si>
  <si>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</si>
  <si>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Ranking by kvolt*miles</t>
  </si>
  <si>
    <t>State</t>
  </si>
  <si>
    <t>Abb</t>
  </si>
  <si>
    <t>kVolt Miles</t>
  </si>
  <si>
    <t>Miles</t>
  </si>
  <si>
    <t>Fraction kV*miles / total</t>
  </si>
  <si>
    <t>Total</t>
  </si>
  <si>
    <t>BAU transmission capacity in 2010 is given in the figure caption as</t>
  </si>
  <si>
    <t>150-200 million MW*miles.  The graph shows the additional quantity</t>
  </si>
  <si>
    <t>of transmission being built in the "baseline" scenario, which extends</t>
  </si>
  <si>
    <t>to 2050 in the RE Futures Report.  We assume the growth is linear</t>
  </si>
  <si>
    <t>and interpolate.</t>
  </si>
  <si>
    <t>Unfortunately, data are only available as a graph (not in numbers), so</t>
  </si>
  <si>
    <t>we must estimate by measuring pixels on the graph.</t>
  </si>
  <si>
    <t>2010 Transmission (low estimate):</t>
  </si>
  <si>
    <t>MW*miles</t>
  </si>
  <si>
    <t>2010 Transmission (high estimate):</t>
  </si>
  <si>
    <t>2010 Transmission:</t>
  </si>
  <si>
    <t>BAU New Transmission</t>
  </si>
  <si>
    <t>Pixels per 50 million MW*miles:</t>
  </si>
  <si>
    <t>pixels</t>
  </si>
  <si>
    <t>Pixel height of new transmission:</t>
  </si>
  <si>
    <t>New transmission quantity in 2050</t>
  </si>
  <si>
    <t>National Data</t>
  </si>
  <si>
    <t>BAU Transmission Capacity (MW*miles)</t>
  </si>
  <si>
    <t>BTC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</si>
</sst>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00"/>
    <numFmt numFmtId="165" formatCode="0.000.E+00"/>
    <numFmt numFmtId="166" formatCode="0.000E+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Protection="0">
      <alignment horizontal="left"/>
    </xf>
    <xf numFmtId="0" fontId="4" fillId="0" borderId="0" applyNumberFormat="0" applyFill="0" applyBorder="0" applyAlignment="0" applyProtection="0"/>
    <xf numFmtId="0" fontId="5" fillId="0" borderId="1" applyNumberFormat="0" applyProtection="0">
      <alignment wrapText="1"/>
    </xf>
    <xf numFmtId="0" fontId="4" fillId="0" borderId="2" applyNumberFormat="0" applyFont="0" applyProtection="0">
      <alignment wrapText="1"/>
    </xf>
    <xf numFmtId="0" fontId="5" fillId="0" borderId="3" applyNumberFormat="0" applyProtection="0">
      <alignment wrapText="1"/>
    </xf>
    <xf numFmtId="0" fontId="4" fillId="0" borderId="4" applyNumberFormat="0" applyProtection="0">
      <alignment vertical="top" wrapText="1"/>
    </xf>
    <xf numFmtId="0" fontId="6" fillId="0" borderId="0"/>
    <xf numFmtId="43" fontId="7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18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wrapText="1"/>
    </xf>
    <xf numFmtId="164" fontId="0" fillId="0" borderId="0" xfId="0" applyNumberFormat="1"/>
    <xf numFmtId="0" fontId="1" fillId="2" borderId="0" xfId="0" applyFont="1" applyFill="1"/>
    <xf numFmtId="11" fontId="0" fillId="0" borderId="0" xfId="0" applyNumberFormat="1"/>
    <xf numFmtId="0" fontId="9" fillId="0" borderId="0" xfId="0" applyFont="1"/>
    <xf numFmtId="14" fontId="0" fillId="0" borderId="0" xfId="0" applyNumberFormat="1"/>
    <xf numFmtId="1" fontId="0" fillId="0" borderId="0" xfId="0" applyNumberFormat="1"/>
    <xf numFmtId="9" fontId="0" fillId="0" borderId="0" xfId="10" applyFont="1"/>
    <xf numFmtId="0" fontId="0" fillId="3" borderId="0" xfId="0" applyFill="1"/>
    <xf numFmtId="165" fontId="0" fillId="3" borderId="0" xfId="0" applyNumberFormat="1" applyFill="1"/>
    <xf numFmtId="9" fontId="0" fillId="3" borderId="0" xfId="10" applyFont="1" applyFill="1"/>
    <xf numFmtId="166" fontId="0" fillId="0" borderId="0" xfId="0" applyNumberFormat="1"/>
    <xf numFmtId="0" fontId="0" fillId="4" borderId="0" xfId="0" applyFill="1"/>
    <xf numFmtId="11" fontId="0" fillId="4" borderId="0" xfId="0" applyNumberFormat="1" applyFill="1"/>
  </cellXfs>
  <cellStyles count="11">
    <cellStyle name="Body: normal cell" xfId="5" xr:uid="{00000000-0005-0000-0000-000000000000}"/>
    <cellStyle name="Comma 2" xfId="9" xr:uid="{E9C02DA1-2BF2-4644-855A-47DCB845F6EA}"/>
    <cellStyle name="Font: Calibri, 9pt regular" xfId="3" xr:uid="{00000000-0005-0000-0000-000001000000}"/>
    <cellStyle name="Footnotes: top row" xfId="7" xr:uid="{00000000-0005-0000-0000-000002000000}"/>
    <cellStyle name="Header: bottom row" xfId="4" xr:uid="{00000000-0005-0000-0000-000003000000}"/>
    <cellStyle name="Hyperlink" xfId="1" builtinId="8"/>
    <cellStyle name="Normal" xfId="0" builtinId="0"/>
    <cellStyle name="Normal 2" xfId="8" xr:uid="{6960A5EA-6187-4883-89DE-0E90B98A716B}"/>
    <cellStyle name="Parent row" xfId="6" xr:uid="{00000000-0005-0000-0000-000006000000}"/>
    <cellStyle name="Percent 2" xfId="10" xr:uid="{66A1C31B-74E8-492E-932D-1FAECC425F35}"/>
    <cellStyle name="Table title" xfId="2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403860</xdr:colOff>
      <xdr:row>8</xdr:row>
      <xdr:rowOff>175260</xdr:rowOff>
    </xdr:from>
    <xdr:to>
      <xdr:col>7</xdr:col>
      <xdr:colOff>144982</xdr:colOff>
      <xdr:row>28</xdr:row>
      <xdr:rowOff>137474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0D7D54D-D6D3-4ABA-A5AD-07B67414D8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37610" y="1699260"/>
          <a:ext cx="2217622" cy="3772214"/>
        </a:xfrm>
        <a:prstGeom prst="rect">
          <a:avLst/>
        </a:prstGeom>
        <a:ln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tabSelected="1" workbookViewId="0">
      <selection activeCell="D22" sqref="D22"/>
    </sheetView>
  </sheetViews>
  <sheetFormatPr defaultRowHeight="15" x14ac:dyDescent="0.25"/>
  <cols>
    <col min="2" max="2" width="44.5703125" customWidth="1"/>
  </cols>
  <sheetData>
    <row r="1" spans="1:7" x14ac:dyDescent="0.25">
      <c r="A1" s="1" t="s">
        <v>13</v>
      </c>
      <c r="B1" s="8" t="s">
        <v>100</v>
      </c>
      <c r="C1" s="9">
        <v>45294</v>
      </c>
      <c r="F1" s="8" t="s">
        <v>19</v>
      </c>
      <c r="G1" s="8" t="s">
        <v>20</v>
      </c>
    </row>
    <row r="2" spans="1:7" x14ac:dyDescent="0.25">
      <c r="B2" t="str">
        <f>LOOKUP(B1,F1:G50,G1:G50)</f>
        <v>TN</v>
      </c>
      <c r="F2" s="8" t="s">
        <v>21</v>
      </c>
      <c r="G2" s="8" t="s">
        <v>22</v>
      </c>
    </row>
    <row r="3" spans="1:7" x14ac:dyDescent="0.25">
      <c r="A3" s="1" t="s">
        <v>2</v>
      </c>
      <c r="B3" s="6" t="s">
        <v>10</v>
      </c>
      <c r="F3" s="8" t="s">
        <v>18</v>
      </c>
      <c r="G3" s="8" t="s">
        <v>23</v>
      </c>
    </row>
    <row r="4" spans="1:7" x14ac:dyDescent="0.25">
      <c r="A4" s="1"/>
      <c r="B4" t="s">
        <v>6</v>
      </c>
      <c r="F4" s="8" t="s">
        <v>24</v>
      </c>
      <c r="G4" s="8" t="s">
        <v>25</v>
      </c>
    </row>
    <row r="5" spans="1:7" x14ac:dyDescent="0.25">
      <c r="A5" s="1"/>
      <c r="B5" s="2">
        <v>2021</v>
      </c>
      <c r="F5" s="8" t="s">
        <v>26</v>
      </c>
      <c r="G5" s="8" t="s">
        <v>27</v>
      </c>
    </row>
    <row r="6" spans="1:7" ht="30" x14ac:dyDescent="0.25">
      <c r="A6" s="1"/>
      <c r="B6" s="4" t="s">
        <v>11</v>
      </c>
      <c r="F6" s="8" t="s">
        <v>28</v>
      </c>
      <c r="G6" s="8" t="s">
        <v>29</v>
      </c>
    </row>
    <row r="7" spans="1:7" x14ac:dyDescent="0.25">
      <c r="A7" s="1"/>
      <c r="B7" s="3" t="s">
        <v>12</v>
      </c>
      <c r="F7" s="8" t="s">
        <v>30</v>
      </c>
      <c r="G7" s="8" t="s">
        <v>31</v>
      </c>
    </row>
    <row r="8" spans="1:7" x14ac:dyDescent="0.25">
      <c r="A8" s="1"/>
      <c r="B8" t="s">
        <v>8</v>
      </c>
      <c r="F8" s="8" t="s">
        <v>32</v>
      </c>
      <c r="G8" s="8" t="s">
        <v>33</v>
      </c>
    </row>
    <row r="9" spans="1:7" x14ac:dyDescent="0.25">
      <c r="A9" s="1"/>
      <c r="F9" s="8" t="s">
        <v>34</v>
      </c>
      <c r="G9" s="8" t="s">
        <v>35</v>
      </c>
    </row>
    <row r="10" spans="1:7" x14ac:dyDescent="0.25">
      <c r="A10" s="1"/>
      <c r="B10" s="6" t="s">
        <v>9</v>
      </c>
      <c r="F10" s="8" t="s">
        <v>36</v>
      </c>
      <c r="G10" s="8" t="s">
        <v>37</v>
      </c>
    </row>
    <row r="11" spans="1:7" x14ac:dyDescent="0.25">
      <c r="A11" s="1"/>
      <c r="B11" t="s">
        <v>6</v>
      </c>
      <c r="F11" s="8" t="s">
        <v>38</v>
      </c>
      <c r="G11" s="8" t="s">
        <v>39</v>
      </c>
    </row>
    <row r="12" spans="1:7" x14ac:dyDescent="0.25">
      <c r="A12" s="1"/>
      <c r="B12" s="2">
        <v>2021</v>
      </c>
      <c r="F12" s="8" t="s">
        <v>40</v>
      </c>
      <c r="G12" s="8" t="s">
        <v>41</v>
      </c>
    </row>
    <row r="13" spans="1:7" ht="30" x14ac:dyDescent="0.25">
      <c r="A13" s="1"/>
      <c r="B13" s="4" t="s">
        <v>7</v>
      </c>
      <c r="F13" s="8" t="s">
        <v>42</v>
      </c>
      <c r="G13" s="8" t="s">
        <v>43</v>
      </c>
    </row>
    <row r="14" spans="1:7" x14ac:dyDescent="0.25">
      <c r="A14" s="1"/>
      <c r="B14" s="3" t="s">
        <v>5</v>
      </c>
      <c r="F14" s="8" t="s">
        <v>44</v>
      </c>
      <c r="G14" s="8" t="s">
        <v>45</v>
      </c>
    </row>
    <row r="15" spans="1:7" x14ac:dyDescent="0.25">
      <c r="A15" s="1"/>
      <c r="B15" t="s">
        <v>8</v>
      </c>
      <c r="F15" s="8" t="s">
        <v>46</v>
      </c>
      <c r="G15" s="8" t="s">
        <v>47</v>
      </c>
    </row>
    <row r="16" spans="1:7" x14ac:dyDescent="0.25">
      <c r="A16" s="1"/>
      <c r="F16" s="8" t="s">
        <v>48</v>
      </c>
      <c r="G16" s="8" t="s">
        <v>49</v>
      </c>
    </row>
    <row r="17" spans="1:7" x14ac:dyDescent="0.25">
      <c r="A17" s="1" t="s">
        <v>0</v>
      </c>
      <c r="F17" s="8" t="s">
        <v>50</v>
      </c>
      <c r="G17" s="8" t="s">
        <v>51</v>
      </c>
    </row>
    <row r="18" spans="1:7" x14ac:dyDescent="0.25">
      <c r="A18" s="1"/>
      <c r="F18" s="8" t="s">
        <v>52</v>
      </c>
      <c r="G18" s="8" t="s">
        <v>53</v>
      </c>
    </row>
    <row r="19" spans="1:7" x14ac:dyDescent="0.25">
      <c r="A19" t="s">
        <v>3</v>
      </c>
      <c r="F19" s="8" t="s">
        <v>54</v>
      </c>
      <c r="G19" s="8" t="s">
        <v>55</v>
      </c>
    </row>
    <row r="20" spans="1:7" x14ac:dyDescent="0.25">
      <c r="A20" s="5">
        <v>0.84730412960844359</v>
      </c>
      <c r="F20" s="8" t="s">
        <v>56</v>
      </c>
      <c r="G20" s="8" t="s">
        <v>57</v>
      </c>
    </row>
    <row r="21" spans="1:7" x14ac:dyDescent="0.25">
      <c r="A21" t="s">
        <v>1</v>
      </c>
      <c r="F21" s="8" t="s">
        <v>58</v>
      </c>
      <c r="G21" s="8" t="s">
        <v>59</v>
      </c>
    </row>
    <row r="22" spans="1:7" x14ac:dyDescent="0.25">
      <c r="F22" s="8" t="s">
        <v>60</v>
      </c>
      <c r="G22" s="8" t="s">
        <v>61</v>
      </c>
    </row>
    <row r="23" spans="1:7" x14ac:dyDescent="0.25">
      <c r="F23" s="8" t="s">
        <v>62</v>
      </c>
      <c r="G23" s="8" t="s">
        <v>63</v>
      </c>
    </row>
    <row r="24" spans="1:7" x14ac:dyDescent="0.25">
      <c r="F24" s="8" t="s">
        <v>64</v>
      </c>
      <c r="G24" s="8" t="s">
        <v>65</v>
      </c>
    </row>
    <row r="25" spans="1:7" x14ac:dyDescent="0.25">
      <c r="F25" s="8" t="s">
        <v>66</v>
      </c>
      <c r="G25" s="8" t="s">
        <v>67</v>
      </c>
    </row>
    <row r="26" spans="1:7" x14ac:dyDescent="0.25">
      <c r="F26" s="8" t="s">
        <v>68</v>
      </c>
      <c r="G26" s="8" t="s">
        <v>69</v>
      </c>
    </row>
    <row r="27" spans="1:7" x14ac:dyDescent="0.25">
      <c r="F27" s="8" t="s">
        <v>70</v>
      </c>
      <c r="G27" s="8" t="s">
        <v>71</v>
      </c>
    </row>
    <row r="28" spans="1:7" x14ac:dyDescent="0.25">
      <c r="F28" s="8" t="s">
        <v>72</v>
      </c>
      <c r="G28" s="8" t="s">
        <v>73</v>
      </c>
    </row>
    <row r="29" spans="1:7" x14ac:dyDescent="0.25">
      <c r="F29" s="8" t="s">
        <v>74</v>
      </c>
      <c r="G29" s="8" t="s">
        <v>75</v>
      </c>
    </row>
    <row r="30" spans="1:7" x14ac:dyDescent="0.25">
      <c r="F30" s="8" t="s">
        <v>76</v>
      </c>
      <c r="G30" s="8" t="s">
        <v>77</v>
      </c>
    </row>
    <row r="31" spans="1:7" x14ac:dyDescent="0.25">
      <c r="F31" s="8" t="s">
        <v>78</v>
      </c>
      <c r="G31" s="8" t="s">
        <v>79</v>
      </c>
    </row>
    <row r="32" spans="1:7" x14ac:dyDescent="0.25">
      <c r="F32" s="8" t="s">
        <v>80</v>
      </c>
      <c r="G32" s="8" t="s">
        <v>81</v>
      </c>
    </row>
    <row r="33" spans="6:7" x14ac:dyDescent="0.25">
      <c r="F33" s="8" t="s">
        <v>82</v>
      </c>
      <c r="G33" s="8" t="s">
        <v>83</v>
      </c>
    </row>
    <row r="34" spans="6:7" x14ac:dyDescent="0.25">
      <c r="F34" s="8" t="s">
        <v>84</v>
      </c>
      <c r="G34" s="8" t="s">
        <v>85</v>
      </c>
    </row>
    <row r="35" spans="6:7" x14ac:dyDescent="0.25">
      <c r="F35" s="8" t="s">
        <v>86</v>
      </c>
      <c r="G35" s="8" t="s">
        <v>87</v>
      </c>
    </row>
    <row r="36" spans="6:7" x14ac:dyDescent="0.25">
      <c r="F36" s="8" t="s">
        <v>88</v>
      </c>
      <c r="G36" s="8" t="s">
        <v>89</v>
      </c>
    </row>
    <row r="37" spans="6:7" x14ac:dyDescent="0.25">
      <c r="F37" s="8" t="s">
        <v>90</v>
      </c>
      <c r="G37" s="8" t="s">
        <v>91</v>
      </c>
    </row>
    <row r="38" spans="6:7" x14ac:dyDescent="0.25">
      <c r="F38" s="8" t="s">
        <v>92</v>
      </c>
      <c r="G38" s="8" t="s">
        <v>93</v>
      </c>
    </row>
    <row r="39" spans="6:7" x14ac:dyDescent="0.25">
      <c r="F39" s="8" t="s">
        <v>94</v>
      </c>
      <c r="G39" s="8" t="s">
        <v>95</v>
      </c>
    </row>
    <row r="40" spans="6:7" x14ac:dyDescent="0.25">
      <c r="F40" s="8" t="s">
        <v>96</v>
      </c>
      <c r="G40" s="8" t="s">
        <v>97</v>
      </c>
    </row>
    <row r="41" spans="6:7" x14ac:dyDescent="0.25">
      <c r="F41" s="8" t="s">
        <v>98</v>
      </c>
      <c r="G41" s="8" t="s">
        <v>99</v>
      </c>
    </row>
    <row r="42" spans="6:7" x14ac:dyDescent="0.25">
      <c r="F42" s="8" t="s">
        <v>100</v>
      </c>
      <c r="G42" s="8" t="s">
        <v>101</v>
      </c>
    </row>
    <row r="43" spans="6:7" x14ac:dyDescent="0.25">
      <c r="F43" s="8" t="s">
        <v>102</v>
      </c>
      <c r="G43" s="8" t="s">
        <v>103</v>
      </c>
    </row>
    <row r="44" spans="6:7" x14ac:dyDescent="0.25">
      <c r="F44" s="8" t="s">
        <v>104</v>
      </c>
      <c r="G44" s="8" t="s">
        <v>105</v>
      </c>
    </row>
    <row r="45" spans="6:7" x14ac:dyDescent="0.25">
      <c r="F45" s="8" t="s">
        <v>106</v>
      </c>
      <c r="G45" s="8" t="s">
        <v>107</v>
      </c>
    </row>
    <row r="46" spans="6:7" x14ac:dyDescent="0.25">
      <c r="F46" s="8" t="s">
        <v>108</v>
      </c>
      <c r="G46" s="8" t="s">
        <v>109</v>
      </c>
    </row>
    <row r="47" spans="6:7" x14ac:dyDescent="0.25">
      <c r="F47" s="8" t="s">
        <v>110</v>
      </c>
      <c r="G47" s="8" t="s">
        <v>111</v>
      </c>
    </row>
    <row r="48" spans="6:7" x14ac:dyDescent="0.25">
      <c r="F48" s="8" t="s">
        <v>112</v>
      </c>
      <c r="G48" s="8" t="s">
        <v>113</v>
      </c>
    </row>
    <row r="49" spans="6:7" x14ac:dyDescent="0.25">
      <c r="F49" s="8" t="s">
        <v>114</v>
      </c>
      <c r="G49" s="8" t="s">
        <v>115</v>
      </c>
    </row>
    <row r="50" spans="6:7" x14ac:dyDescent="0.25">
      <c r="F50" s="8" t="s">
        <v>116</v>
      </c>
      <c r="G50" s="8" t="s">
        <v>117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F3F64-B2BE-4A1B-B7C1-445B88BD547B}">
  <dimension ref="A1:F53"/>
  <sheetViews>
    <sheetView workbookViewId="0">
      <selection activeCell="F2" sqref="F2"/>
    </sheetView>
  </sheetViews>
  <sheetFormatPr defaultColWidth="11.42578125" defaultRowHeight="15" x14ac:dyDescent="0.25"/>
  <cols>
    <col min="1" max="1" width="21.28515625" customWidth="1"/>
    <col min="4" max="4" width="13.7109375" bestFit="1" customWidth="1"/>
  </cols>
  <sheetData>
    <row r="1" spans="1:6" x14ac:dyDescent="0.25">
      <c r="A1" t="s">
        <v>118</v>
      </c>
      <c r="B1" t="s">
        <v>119</v>
      </c>
      <c r="C1" t="s">
        <v>120</v>
      </c>
      <c r="D1" t="s">
        <v>121</v>
      </c>
      <c r="E1" t="s">
        <v>122</v>
      </c>
      <c r="F1" t="s">
        <v>123</v>
      </c>
    </row>
    <row r="2" spans="1:6" x14ac:dyDescent="0.25">
      <c r="A2">
        <v>1</v>
      </c>
      <c r="B2" t="s">
        <v>102</v>
      </c>
      <c r="C2" t="s">
        <v>103</v>
      </c>
      <c r="D2" s="10">
        <v>12422854.111454699</v>
      </c>
      <c r="E2">
        <v>66809.841948047804</v>
      </c>
      <c r="F2" s="11">
        <f t="shared" ref="F2:F51" si="0">D2/$D$53</f>
        <v>8.4009472481312755E-2</v>
      </c>
    </row>
    <row r="3" spans="1:6" x14ac:dyDescent="0.25">
      <c r="A3">
        <v>2</v>
      </c>
      <c r="B3" t="s">
        <v>26</v>
      </c>
      <c r="C3" t="s">
        <v>27</v>
      </c>
      <c r="D3" s="10">
        <v>10672018.0633412</v>
      </c>
      <c r="E3">
        <v>51067.8790090646</v>
      </c>
      <c r="F3" s="11">
        <f t="shared" si="0"/>
        <v>7.2169454762062754E-2</v>
      </c>
    </row>
    <row r="4" spans="1:6" x14ac:dyDescent="0.25">
      <c r="A4">
        <v>3</v>
      </c>
      <c r="B4" t="s">
        <v>90</v>
      </c>
      <c r="C4" t="s">
        <v>91</v>
      </c>
      <c r="D4" s="10">
        <v>5571798.9625337804</v>
      </c>
      <c r="E4">
        <v>20876.780604052699</v>
      </c>
      <c r="F4" s="11">
        <f t="shared" si="0"/>
        <v>3.7679255299535717E-2</v>
      </c>
    </row>
    <row r="5" spans="1:6" x14ac:dyDescent="0.25">
      <c r="A5">
        <v>4</v>
      </c>
      <c r="B5" t="s">
        <v>110</v>
      </c>
      <c r="C5" t="s">
        <v>111</v>
      </c>
      <c r="D5" s="10">
        <v>5407549.7070526201</v>
      </c>
      <c r="E5">
        <v>24875.462109545799</v>
      </c>
      <c r="F5" s="11">
        <f t="shared" si="0"/>
        <v>3.6568520746539761E-2</v>
      </c>
    </row>
    <row r="6" spans="1:6" x14ac:dyDescent="0.25">
      <c r="A6">
        <v>5</v>
      </c>
      <c r="B6" t="s">
        <v>86</v>
      </c>
      <c r="C6" t="s">
        <v>87</v>
      </c>
      <c r="D6" s="10">
        <v>4601291.7778351801</v>
      </c>
      <c r="E6">
        <v>21215.997156147099</v>
      </c>
      <c r="F6" s="11">
        <f t="shared" si="0"/>
        <v>3.1116206591535869E-2</v>
      </c>
    </row>
    <row r="7" spans="1:6" x14ac:dyDescent="0.25">
      <c r="A7">
        <v>6</v>
      </c>
      <c r="B7" t="s">
        <v>72</v>
      </c>
      <c r="C7" t="s">
        <v>73</v>
      </c>
      <c r="D7" s="10">
        <v>4475926.3619842799</v>
      </c>
      <c r="E7">
        <v>12414.922443199301</v>
      </c>
      <c r="F7" s="11">
        <f t="shared" si="0"/>
        <v>3.026842375849725E-2</v>
      </c>
    </row>
    <row r="8" spans="1:6" x14ac:dyDescent="0.25">
      <c r="A8">
        <v>7</v>
      </c>
      <c r="B8" t="s">
        <v>44</v>
      </c>
      <c r="C8" t="s">
        <v>45</v>
      </c>
      <c r="D8" s="10">
        <v>4333497.1358955503</v>
      </c>
      <c r="E8">
        <v>19235.687935015001</v>
      </c>
      <c r="F8" s="11">
        <f t="shared" si="0"/>
        <v>2.9305247016479255E-2</v>
      </c>
    </row>
    <row r="9" spans="1:6" x14ac:dyDescent="0.25">
      <c r="A9">
        <v>8</v>
      </c>
      <c r="B9" t="s">
        <v>18</v>
      </c>
      <c r="C9" t="s">
        <v>23</v>
      </c>
      <c r="D9" s="10">
        <v>4161224.3382173399</v>
      </c>
      <c r="E9">
        <v>15442.245988332401</v>
      </c>
      <c r="F9" s="11">
        <f t="shared" si="0"/>
        <v>2.8140253310042523E-2</v>
      </c>
    </row>
    <row r="10" spans="1:6" x14ac:dyDescent="0.25">
      <c r="A10">
        <v>9</v>
      </c>
      <c r="B10" t="s">
        <v>34</v>
      </c>
      <c r="C10" t="s">
        <v>35</v>
      </c>
      <c r="D10" s="10">
        <v>3803657.7179596699</v>
      </c>
      <c r="E10">
        <v>21123.460719666102</v>
      </c>
      <c r="F10" s="11">
        <f t="shared" si="0"/>
        <v>2.5722211298499074E-2</v>
      </c>
    </row>
    <row r="11" spans="1:6" x14ac:dyDescent="0.25">
      <c r="A11">
        <v>10</v>
      </c>
      <c r="B11" t="s">
        <v>36</v>
      </c>
      <c r="C11" t="s">
        <v>37</v>
      </c>
      <c r="D11" s="10">
        <v>3764607.6232756502</v>
      </c>
      <c r="E11">
        <v>19550.865452828999</v>
      </c>
      <c r="F11" s="11">
        <f t="shared" si="0"/>
        <v>2.5458135279790548E-2</v>
      </c>
    </row>
    <row r="12" spans="1:6" x14ac:dyDescent="0.25">
      <c r="A12">
        <v>11</v>
      </c>
      <c r="B12" t="s">
        <v>80</v>
      </c>
      <c r="C12" t="s">
        <v>81</v>
      </c>
      <c r="D12" s="10">
        <v>3642095.89845774</v>
      </c>
      <c r="E12">
        <v>22575.592145512001</v>
      </c>
      <c r="F12" s="11">
        <f t="shared" si="0"/>
        <v>2.4629650514342134E-2</v>
      </c>
    </row>
    <row r="13" spans="1:6" x14ac:dyDescent="0.25">
      <c r="A13">
        <v>12</v>
      </c>
      <c r="B13" t="s">
        <v>62</v>
      </c>
      <c r="C13" t="s">
        <v>63</v>
      </c>
      <c r="D13" s="10">
        <v>3603526.72769687</v>
      </c>
      <c r="E13">
        <v>20544.868315574298</v>
      </c>
      <c r="F13" s="11">
        <f t="shared" si="0"/>
        <v>2.4368826740626987E-2</v>
      </c>
    </row>
    <row r="14" spans="1:6" x14ac:dyDescent="0.25">
      <c r="A14">
        <v>13</v>
      </c>
      <c r="B14" t="s">
        <v>42</v>
      </c>
      <c r="C14" t="s">
        <v>43</v>
      </c>
      <c r="D14" s="10">
        <v>3574981.8313462301</v>
      </c>
      <c r="E14">
        <v>17204.577826763099</v>
      </c>
      <c r="F14" s="11">
        <f t="shared" si="0"/>
        <v>2.4175792059310086E-2</v>
      </c>
    </row>
    <row r="15" spans="1:6" x14ac:dyDescent="0.25">
      <c r="A15">
        <v>14</v>
      </c>
      <c r="B15" t="s">
        <v>84</v>
      </c>
      <c r="C15" t="s">
        <v>85</v>
      </c>
      <c r="D15" s="10">
        <v>3449788.8086764398</v>
      </c>
      <c r="E15">
        <v>21787.616123011499</v>
      </c>
      <c r="F15" s="11">
        <f t="shared" si="0"/>
        <v>2.3329175034070102E-2</v>
      </c>
    </row>
    <row r="16" spans="1:6" x14ac:dyDescent="0.25">
      <c r="A16">
        <v>15</v>
      </c>
      <c r="B16" t="s">
        <v>92</v>
      </c>
      <c r="C16" t="s">
        <v>93</v>
      </c>
      <c r="D16" s="10">
        <v>3448721.0721763</v>
      </c>
      <c r="E16">
        <v>16392.631592637099</v>
      </c>
      <c r="F16" s="11">
        <f t="shared" si="0"/>
        <v>2.3321954472730409E-2</v>
      </c>
    </row>
    <row r="17" spans="1:6" x14ac:dyDescent="0.25">
      <c r="A17">
        <v>16</v>
      </c>
      <c r="B17" t="s">
        <v>60</v>
      </c>
      <c r="C17" t="s">
        <v>61</v>
      </c>
      <c r="D17" s="10">
        <v>3432781.5974336802</v>
      </c>
      <c r="E17">
        <v>18572.911902052201</v>
      </c>
      <c r="F17" s="11">
        <f t="shared" si="0"/>
        <v>2.3214163875437475E-2</v>
      </c>
    </row>
    <row r="18" spans="1:6" x14ac:dyDescent="0.25">
      <c r="A18">
        <v>17</v>
      </c>
      <c r="B18" t="s">
        <v>82</v>
      </c>
      <c r="C18" t="s">
        <v>83</v>
      </c>
      <c r="D18" s="10">
        <v>3384204.1881902199</v>
      </c>
      <c r="E18">
        <v>20055.333194508101</v>
      </c>
      <c r="F18" s="11">
        <f t="shared" si="0"/>
        <v>2.2885659452183481E-2</v>
      </c>
    </row>
    <row r="19" spans="1:6" x14ac:dyDescent="0.25">
      <c r="A19">
        <v>18</v>
      </c>
      <c r="B19" t="s">
        <v>88</v>
      </c>
      <c r="C19" t="s">
        <v>89</v>
      </c>
      <c r="D19" s="10">
        <v>3376193.7674947302</v>
      </c>
      <c r="E19">
        <v>20772.032138696999</v>
      </c>
      <c r="F19" s="11">
        <f t="shared" si="0"/>
        <v>2.2831489032814151E-2</v>
      </c>
    </row>
    <row r="20" spans="1:6" x14ac:dyDescent="0.25">
      <c r="A20">
        <v>19</v>
      </c>
      <c r="B20" t="s">
        <v>108</v>
      </c>
      <c r="C20" t="s">
        <v>109</v>
      </c>
      <c r="D20" s="10">
        <v>3234315.4391075</v>
      </c>
      <c r="E20">
        <v>13599.3976775316</v>
      </c>
      <c r="F20" s="11">
        <f t="shared" si="0"/>
        <v>2.1872037733023757E-2</v>
      </c>
    </row>
    <row r="21" spans="1:6" x14ac:dyDescent="0.25">
      <c r="A21">
        <v>20</v>
      </c>
      <c r="B21" t="s">
        <v>100</v>
      </c>
      <c r="C21" t="s">
        <v>101</v>
      </c>
      <c r="D21" s="10">
        <v>3174876.9976872299</v>
      </c>
      <c r="E21">
        <v>16305.0379947248</v>
      </c>
      <c r="F21" s="11">
        <f t="shared" si="0"/>
        <v>2.1470085648258946E-2</v>
      </c>
    </row>
    <row r="22" spans="1:6" x14ac:dyDescent="0.25">
      <c r="A22">
        <v>21</v>
      </c>
      <c r="B22" t="s">
        <v>68</v>
      </c>
      <c r="C22" t="s">
        <v>69</v>
      </c>
      <c r="D22" s="10">
        <v>3143481.9686118201</v>
      </c>
      <c r="E22">
        <v>20456.817593526601</v>
      </c>
      <c r="F22" s="11">
        <f t="shared" si="0"/>
        <v>2.1257776962388706E-2</v>
      </c>
    </row>
    <row r="23" spans="1:6" x14ac:dyDescent="0.25">
      <c r="A23">
        <v>22</v>
      </c>
      <c r="B23" t="s">
        <v>28</v>
      </c>
      <c r="C23" t="s">
        <v>29</v>
      </c>
      <c r="D23" s="10">
        <v>3130636.2532365201</v>
      </c>
      <c r="E23">
        <v>18596.378973987601</v>
      </c>
      <c r="F23" s="11">
        <f t="shared" si="0"/>
        <v>2.117090789328091E-2</v>
      </c>
    </row>
    <row r="24" spans="1:6" x14ac:dyDescent="0.25">
      <c r="A24">
        <v>23</v>
      </c>
      <c r="B24" t="s">
        <v>19</v>
      </c>
      <c r="C24" t="s">
        <v>20</v>
      </c>
      <c r="D24" s="10">
        <v>3053410.75681203</v>
      </c>
      <c r="E24">
        <v>17647.020276838801</v>
      </c>
      <c r="F24" s="11">
        <f t="shared" si="0"/>
        <v>2.0648670961371129E-2</v>
      </c>
    </row>
    <row r="25" spans="1:6" x14ac:dyDescent="0.25">
      <c r="A25">
        <v>24</v>
      </c>
      <c r="B25" t="s">
        <v>66</v>
      </c>
      <c r="C25" t="s">
        <v>67</v>
      </c>
      <c r="D25" s="10">
        <v>3000586.5035626302</v>
      </c>
      <c r="E25">
        <v>18334.815648106502</v>
      </c>
      <c r="F25" s="11">
        <f t="shared" si="0"/>
        <v>2.0291447282344787E-2</v>
      </c>
    </row>
    <row r="26" spans="1:6" x14ac:dyDescent="0.25">
      <c r="A26">
        <v>25</v>
      </c>
      <c r="B26" t="s">
        <v>104</v>
      </c>
      <c r="C26" t="s">
        <v>105</v>
      </c>
      <c r="D26" s="10">
        <v>2845576.60649329</v>
      </c>
      <c r="E26">
        <v>14289.034274805201</v>
      </c>
      <c r="F26" s="11">
        <f t="shared" si="0"/>
        <v>1.9243193832264388E-2</v>
      </c>
    </row>
    <row r="27" spans="1:6" x14ac:dyDescent="0.25">
      <c r="A27">
        <v>26</v>
      </c>
      <c r="B27" t="s">
        <v>40</v>
      </c>
      <c r="C27" t="s">
        <v>41</v>
      </c>
      <c r="D27" s="10">
        <v>2792375.1495912601</v>
      </c>
      <c r="E27">
        <v>14823.252245543301</v>
      </c>
      <c r="F27" s="11">
        <f t="shared" si="0"/>
        <v>1.8883419315919088E-2</v>
      </c>
    </row>
    <row r="28" spans="1:6" x14ac:dyDescent="0.25">
      <c r="A28">
        <v>27</v>
      </c>
      <c r="B28" t="s">
        <v>50</v>
      </c>
      <c r="C28" t="s">
        <v>51</v>
      </c>
      <c r="D28" s="10">
        <v>2731526.3073408799</v>
      </c>
      <c r="E28">
        <v>17556.054236808701</v>
      </c>
      <c r="F28" s="11">
        <f t="shared" si="0"/>
        <v>1.8471929404447009E-2</v>
      </c>
    </row>
    <row r="29" spans="1:6" x14ac:dyDescent="0.25">
      <c r="A29">
        <v>28</v>
      </c>
      <c r="B29" t="s">
        <v>112</v>
      </c>
      <c r="C29" t="s">
        <v>113</v>
      </c>
      <c r="D29" s="10">
        <v>2678698.4432332199</v>
      </c>
      <c r="E29">
        <v>10787.9984835208</v>
      </c>
      <c r="F29" s="11">
        <f t="shared" si="0"/>
        <v>1.8114681307014487E-2</v>
      </c>
    </row>
    <row r="30" spans="1:6" x14ac:dyDescent="0.25">
      <c r="A30">
        <v>29</v>
      </c>
      <c r="B30" t="s">
        <v>96</v>
      </c>
      <c r="C30" t="s">
        <v>97</v>
      </c>
      <c r="D30" s="10">
        <v>2498948.3451231699</v>
      </c>
      <c r="E30">
        <v>16041.824180101299</v>
      </c>
      <c r="F30" s="11">
        <f t="shared" si="0"/>
        <v>1.6899122403624834E-2</v>
      </c>
    </row>
    <row r="31" spans="1:6" x14ac:dyDescent="0.25">
      <c r="A31">
        <v>30</v>
      </c>
      <c r="B31" t="s">
        <v>48</v>
      </c>
      <c r="C31" t="s">
        <v>49</v>
      </c>
      <c r="D31" s="10">
        <v>2421458.4219004898</v>
      </c>
      <c r="E31">
        <v>13667.797136561399</v>
      </c>
      <c r="F31" s="11">
        <f t="shared" si="0"/>
        <v>1.6375097287162084E-2</v>
      </c>
    </row>
    <row r="32" spans="1:6" x14ac:dyDescent="0.25">
      <c r="A32">
        <v>31</v>
      </c>
      <c r="B32" t="s">
        <v>114</v>
      </c>
      <c r="C32" t="s">
        <v>115</v>
      </c>
      <c r="D32" s="10">
        <v>2404820.2784235198</v>
      </c>
      <c r="E32">
        <v>17248.131184878399</v>
      </c>
      <c r="F32" s="11">
        <f t="shared" si="0"/>
        <v>1.6262581946965036E-2</v>
      </c>
    </row>
    <row r="33" spans="1:6" x14ac:dyDescent="0.25">
      <c r="A33">
        <v>32</v>
      </c>
      <c r="B33" t="s">
        <v>78</v>
      </c>
      <c r="C33" t="s">
        <v>79</v>
      </c>
      <c r="D33" s="10">
        <v>2378512.9078499498</v>
      </c>
      <c r="E33">
        <v>11817.0163941134</v>
      </c>
      <c r="F33" s="11">
        <f t="shared" si="0"/>
        <v>1.6084678519586122E-2</v>
      </c>
    </row>
    <row r="34" spans="1:6" x14ac:dyDescent="0.25">
      <c r="A34">
        <v>33</v>
      </c>
      <c r="B34" t="s">
        <v>70</v>
      </c>
      <c r="C34" t="s">
        <v>71</v>
      </c>
      <c r="D34" s="10">
        <v>2322839.5768645699</v>
      </c>
      <c r="E34">
        <v>12753.5219628249</v>
      </c>
      <c r="F34" s="11">
        <f t="shared" si="0"/>
        <v>1.570818797036147E-2</v>
      </c>
    </row>
    <row r="35" spans="1:6" x14ac:dyDescent="0.25">
      <c r="A35">
        <v>34</v>
      </c>
      <c r="B35" t="s">
        <v>116</v>
      </c>
      <c r="C35" t="s">
        <v>117</v>
      </c>
      <c r="D35" s="10">
        <v>2306013.4656453901</v>
      </c>
      <c r="E35">
        <v>13615.7362840152</v>
      </c>
      <c r="F35" s="11">
        <f t="shared" si="0"/>
        <v>1.5594401499494698E-2</v>
      </c>
    </row>
    <row r="36" spans="1:6" x14ac:dyDescent="0.25">
      <c r="A36">
        <v>35</v>
      </c>
      <c r="B36" t="s">
        <v>98</v>
      </c>
      <c r="C36" t="s">
        <v>99</v>
      </c>
      <c r="D36" s="10">
        <v>2246414.6806418402</v>
      </c>
      <c r="E36">
        <v>13231.192121706799</v>
      </c>
      <c r="F36" s="11">
        <f t="shared" si="0"/>
        <v>1.5191365092260491E-2</v>
      </c>
    </row>
    <row r="37" spans="1:6" x14ac:dyDescent="0.25">
      <c r="A37">
        <v>36</v>
      </c>
      <c r="B37" t="s">
        <v>64</v>
      </c>
      <c r="C37" t="s">
        <v>65</v>
      </c>
      <c r="D37" s="10">
        <v>2164216.9808982098</v>
      </c>
      <c r="E37">
        <v>11731.9855370933</v>
      </c>
      <c r="F37" s="11">
        <f t="shared" si="0"/>
        <v>1.4635503666803319E-2</v>
      </c>
    </row>
    <row r="38" spans="1:6" x14ac:dyDescent="0.25">
      <c r="A38">
        <v>37</v>
      </c>
      <c r="B38" t="s">
        <v>24</v>
      </c>
      <c r="C38" t="s">
        <v>25</v>
      </c>
      <c r="D38" s="10">
        <v>2059792.19569977</v>
      </c>
      <c r="E38">
        <v>11571.5393347232</v>
      </c>
      <c r="F38" s="11">
        <f t="shared" si="0"/>
        <v>1.3929331716316808E-2</v>
      </c>
    </row>
    <row r="39" spans="1:6" x14ac:dyDescent="0.25">
      <c r="A39">
        <v>38</v>
      </c>
      <c r="B39" t="s">
        <v>46</v>
      </c>
      <c r="C39" t="s">
        <v>47</v>
      </c>
      <c r="D39" s="10">
        <v>1987989.8463600599</v>
      </c>
      <c r="E39">
        <v>11082.832368944801</v>
      </c>
      <c r="F39" s="11">
        <f t="shared" si="0"/>
        <v>1.3443768782321954E-2</v>
      </c>
    </row>
    <row r="40" spans="1:6" x14ac:dyDescent="0.25">
      <c r="A40">
        <v>39</v>
      </c>
      <c r="B40" t="s">
        <v>52</v>
      </c>
      <c r="C40" t="s">
        <v>53</v>
      </c>
      <c r="D40" s="10">
        <v>1954175.40883131</v>
      </c>
      <c r="E40">
        <v>10843.938308278201</v>
      </c>
      <c r="F40" s="11">
        <f t="shared" si="0"/>
        <v>1.3215098862063996E-2</v>
      </c>
    </row>
    <row r="41" spans="1:6" x14ac:dyDescent="0.25">
      <c r="A41">
        <v>40</v>
      </c>
      <c r="B41" t="s">
        <v>56</v>
      </c>
      <c r="C41" t="s">
        <v>57</v>
      </c>
      <c r="D41" s="10">
        <v>1216649.50396187</v>
      </c>
      <c r="E41">
        <v>5859.2600983329103</v>
      </c>
      <c r="F41" s="11">
        <f t="shared" si="0"/>
        <v>8.2275845876869005E-3</v>
      </c>
    </row>
    <row r="42" spans="1:6" x14ac:dyDescent="0.25">
      <c r="A42">
        <v>41</v>
      </c>
      <c r="B42" t="s">
        <v>76</v>
      </c>
      <c r="C42" t="s">
        <v>77</v>
      </c>
      <c r="D42" s="10">
        <v>1056553.2098617</v>
      </c>
      <c r="E42">
        <v>4148.3719617584502</v>
      </c>
      <c r="F42" s="11">
        <f t="shared" si="0"/>
        <v>7.1449344098049143E-3</v>
      </c>
    </row>
    <row r="43" spans="1:6" x14ac:dyDescent="0.25">
      <c r="A43">
        <v>42</v>
      </c>
      <c r="B43" t="s">
        <v>58</v>
      </c>
      <c r="C43" t="s">
        <v>59</v>
      </c>
      <c r="D43" s="10">
        <v>942458.37322869</v>
      </c>
      <c r="E43">
        <v>5222.9083002118796</v>
      </c>
      <c r="F43" s="11">
        <f t="shared" si="0"/>
        <v>6.3733687975562224E-3</v>
      </c>
    </row>
    <row r="44" spans="1:6" x14ac:dyDescent="0.25">
      <c r="A44">
        <v>43</v>
      </c>
      <c r="B44" t="s">
        <v>54</v>
      </c>
      <c r="C44" t="s">
        <v>55</v>
      </c>
      <c r="D44" s="10">
        <v>734512.96912216698</v>
      </c>
      <c r="E44">
        <v>4294.7116231662303</v>
      </c>
      <c r="F44" s="11">
        <f t="shared" si="0"/>
        <v>4.9671393154121423E-3</v>
      </c>
    </row>
    <row r="45" spans="1:6" x14ac:dyDescent="0.25">
      <c r="A45">
        <v>44</v>
      </c>
      <c r="B45" t="s">
        <v>74</v>
      </c>
      <c r="C45" t="s">
        <v>75</v>
      </c>
      <c r="D45" s="10">
        <v>577792.24348974298</v>
      </c>
      <c r="E45">
        <v>2684.04144977342</v>
      </c>
      <c r="F45" s="11">
        <f t="shared" si="0"/>
        <v>3.9073163979773682E-3</v>
      </c>
    </row>
    <row r="46" spans="1:6" x14ac:dyDescent="0.25">
      <c r="A46">
        <v>45</v>
      </c>
      <c r="B46" t="s">
        <v>21</v>
      </c>
      <c r="C46" t="s">
        <v>22</v>
      </c>
      <c r="D46">
        <v>492649.38179999997</v>
      </c>
      <c r="E46">
        <v>3653.9770239999998</v>
      </c>
      <c r="F46" s="11">
        <f t="shared" si="0"/>
        <v>3.3315383334576124E-3</v>
      </c>
    </row>
    <row r="47" spans="1:6" x14ac:dyDescent="0.25">
      <c r="A47">
        <v>46</v>
      </c>
      <c r="B47" t="s">
        <v>30</v>
      </c>
      <c r="C47" t="s">
        <v>31</v>
      </c>
      <c r="D47" s="10">
        <v>440233.48334806802</v>
      </c>
      <c r="E47">
        <v>2559.1269825299</v>
      </c>
      <c r="F47" s="11">
        <f t="shared" si="0"/>
        <v>2.9770761511704836E-3</v>
      </c>
    </row>
    <row r="48" spans="1:6" x14ac:dyDescent="0.25">
      <c r="A48">
        <v>47</v>
      </c>
      <c r="B48" t="s">
        <v>106</v>
      </c>
      <c r="C48" t="s">
        <v>107</v>
      </c>
      <c r="D48" s="10">
        <v>350970.586871501</v>
      </c>
      <c r="E48">
        <v>2220.8070052262301</v>
      </c>
      <c r="F48" s="11">
        <f t="shared" si="0"/>
        <v>2.3734363774218798E-3</v>
      </c>
    </row>
    <row r="49" spans="1:6" x14ac:dyDescent="0.25">
      <c r="A49">
        <v>48</v>
      </c>
      <c r="B49" t="s">
        <v>32</v>
      </c>
      <c r="C49" t="s">
        <v>33</v>
      </c>
      <c r="D49" s="10">
        <v>227548.00002227901</v>
      </c>
      <c r="E49">
        <v>1177.9693384387499</v>
      </c>
      <c r="F49" s="11">
        <f t="shared" si="0"/>
        <v>1.5387919132386014E-3</v>
      </c>
    </row>
    <row r="50" spans="1:6" x14ac:dyDescent="0.25">
      <c r="A50">
        <v>49</v>
      </c>
      <c r="B50" t="s">
        <v>94</v>
      </c>
      <c r="C50" t="s">
        <v>95</v>
      </c>
      <c r="D50" s="10">
        <v>109707.69381484399</v>
      </c>
      <c r="E50">
        <v>632.596160062904</v>
      </c>
      <c r="F50" s="11">
        <f t="shared" si="0"/>
        <v>7.4189758664461878E-4</v>
      </c>
    </row>
    <row r="51" spans="1:6" x14ac:dyDescent="0.25">
      <c r="A51">
        <v>50</v>
      </c>
      <c r="B51" t="s">
        <v>38</v>
      </c>
      <c r="C51" t="s">
        <v>39</v>
      </c>
      <c r="D51">
        <v>67983.252619999999</v>
      </c>
      <c r="E51">
        <v>773.50390630000004</v>
      </c>
      <c r="F51" s="11">
        <f t="shared" si="0"/>
        <v>4.5973631654451145E-4</v>
      </c>
    </row>
    <row r="53" spans="1:6" x14ac:dyDescent="0.25">
      <c r="A53" s="12" t="s">
        <v>124</v>
      </c>
      <c r="B53" s="12"/>
      <c r="C53" s="12"/>
      <c r="D53" s="13">
        <f>SUM(D2:D51)</f>
        <v>147874444.92307776</v>
      </c>
      <c r="E53" s="12"/>
      <c r="F53" s="14">
        <f>SUM(F1:F51)</f>
        <v>0.99999999999999956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D76D1-75EC-479D-A713-706A670B206A}">
  <dimension ref="A1:AP48"/>
  <sheetViews>
    <sheetView topLeftCell="A19" workbookViewId="0">
      <selection activeCell="F59" sqref="F59"/>
    </sheetView>
  </sheetViews>
  <sheetFormatPr defaultColWidth="8.85546875" defaultRowHeight="15" x14ac:dyDescent="0.25"/>
  <cols>
    <col min="1" max="1" width="31.140625" bestFit="1" customWidth="1"/>
    <col min="2" max="2" width="9.5703125" bestFit="1" customWidth="1"/>
    <col min="3" max="42" width="9.28515625" bestFit="1" customWidth="1"/>
  </cols>
  <sheetData>
    <row r="1" spans="1:3" x14ac:dyDescent="0.25">
      <c r="A1" t="s">
        <v>125</v>
      </c>
    </row>
    <row r="2" spans="1:3" x14ac:dyDescent="0.25">
      <c r="A2" t="s">
        <v>126</v>
      </c>
    </row>
    <row r="3" spans="1:3" x14ac:dyDescent="0.25">
      <c r="A3" t="s">
        <v>127</v>
      </c>
    </row>
    <row r="4" spans="1:3" x14ac:dyDescent="0.25">
      <c r="A4" t="s">
        <v>128</v>
      </c>
    </row>
    <row r="5" spans="1:3" x14ac:dyDescent="0.25">
      <c r="A5" t="s">
        <v>129</v>
      </c>
    </row>
    <row r="7" spans="1:3" x14ac:dyDescent="0.25">
      <c r="A7" t="s">
        <v>130</v>
      </c>
    </row>
    <row r="8" spans="1:3" x14ac:dyDescent="0.25">
      <c r="A8" t="s">
        <v>131</v>
      </c>
    </row>
    <row r="10" spans="1:3" x14ac:dyDescent="0.25">
      <c r="A10" t="s">
        <v>132</v>
      </c>
      <c r="B10" s="7">
        <f>150*10^6</f>
        <v>150000000</v>
      </c>
      <c r="C10" t="s">
        <v>133</v>
      </c>
    </row>
    <row r="11" spans="1:3" x14ac:dyDescent="0.25">
      <c r="A11" t="s">
        <v>134</v>
      </c>
      <c r="B11" s="7">
        <f>200*10^6</f>
        <v>200000000</v>
      </c>
      <c r="C11" t="s">
        <v>133</v>
      </c>
    </row>
    <row r="12" spans="1:3" x14ac:dyDescent="0.25">
      <c r="A12" t="s">
        <v>135</v>
      </c>
      <c r="B12" s="7">
        <f>AVERAGE(B10:B11)</f>
        <v>175000000</v>
      </c>
      <c r="C12" t="s">
        <v>133</v>
      </c>
    </row>
    <row r="14" spans="1:3" x14ac:dyDescent="0.25">
      <c r="A14" t="s">
        <v>136</v>
      </c>
    </row>
    <row r="15" spans="1:3" x14ac:dyDescent="0.25">
      <c r="A15" t="s">
        <v>137</v>
      </c>
      <c r="B15">
        <v>141</v>
      </c>
      <c r="C15" t="s">
        <v>138</v>
      </c>
    </row>
    <row r="16" spans="1:3" x14ac:dyDescent="0.25">
      <c r="A16" t="s">
        <v>139</v>
      </c>
      <c r="B16">
        <v>15</v>
      </c>
      <c r="C16" t="s">
        <v>138</v>
      </c>
    </row>
    <row r="17" spans="1:3" x14ac:dyDescent="0.25">
      <c r="A17" t="s">
        <v>140</v>
      </c>
      <c r="B17" s="7">
        <f>B16/B15*50*10^6</f>
        <v>5319148.9361702129</v>
      </c>
      <c r="C17" t="s">
        <v>133</v>
      </c>
    </row>
    <row r="32" spans="1:3" x14ac:dyDescent="0.25">
      <c r="A32" s="1" t="s">
        <v>141</v>
      </c>
    </row>
    <row r="33" spans="1:42" x14ac:dyDescent="0.25">
      <c r="B33">
        <v>2010</v>
      </c>
      <c r="C33">
        <v>2011</v>
      </c>
      <c r="D33">
        <v>2012</v>
      </c>
      <c r="E33">
        <v>2013</v>
      </c>
      <c r="F33">
        <v>2014</v>
      </c>
      <c r="G33">
        <v>2015</v>
      </c>
      <c r="H33">
        <v>2016</v>
      </c>
      <c r="I33">
        <v>2017</v>
      </c>
      <c r="J33">
        <v>2018</v>
      </c>
      <c r="K33">
        <v>2019</v>
      </c>
      <c r="L33">
        <v>2020</v>
      </c>
      <c r="M33">
        <v>2021</v>
      </c>
      <c r="N33">
        <v>2022</v>
      </c>
      <c r="O33">
        <v>2023</v>
      </c>
      <c r="P33">
        <v>2024</v>
      </c>
      <c r="Q33">
        <v>2025</v>
      </c>
      <c r="R33">
        <v>2026</v>
      </c>
      <c r="S33">
        <v>2027</v>
      </c>
      <c r="T33">
        <v>2028</v>
      </c>
      <c r="U33">
        <v>2029</v>
      </c>
      <c r="V33">
        <v>2030</v>
      </c>
      <c r="W33">
        <v>2031</v>
      </c>
      <c r="X33">
        <v>2032</v>
      </c>
      <c r="Y33">
        <v>2033</v>
      </c>
      <c r="Z33">
        <v>2034</v>
      </c>
      <c r="AA33">
        <v>2035</v>
      </c>
      <c r="AB33">
        <v>2036</v>
      </c>
      <c r="AC33">
        <v>2037</v>
      </c>
      <c r="AD33">
        <v>2038</v>
      </c>
      <c r="AE33">
        <v>2039</v>
      </c>
      <c r="AF33">
        <v>2040</v>
      </c>
      <c r="AG33">
        <v>2041</v>
      </c>
      <c r="AH33">
        <v>2042</v>
      </c>
      <c r="AI33">
        <v>2043</v>
      </c>
      <c r="AJ33">
        <v>2044</v>
      </c>
      <c r="AK33">
        <v>2045</v>
      </c>
      <c r="AL33">
        <v>2046</v>
      </c>
      <c r="AM33">
        <v>2047</v>
      </c>
      <c r="AN33">
        <v>2048</v>
      </c>
      <c r="AO33">
        <v>2049</v>
      </c>
      <c r="AP33">
        <v>2050</v>
      </c>
    </row>
    <row r="34" spans="1:42" x14ac:dyDescent="0.25">
      <c r="A34" t="s">
        <v>142</v>
      </c>
      <c r="B34" s="15">
        <f>B12</f>
        <v>175000000</v>
      </c>
      <c r="C34" s="15">
        <f>B34+'Data National'!$B$17/(2050-2010)</f>
        <v>175132978.72340426</v>
      </c>
      <c r="D34" s="15">
        <f>C34+'Data National'!$B$17/(2050-2010)</f>
        <v>175265957.44680852</v>
      </c>
      <c r="E34" s="15">
        <f>D34+'Data National'!$B$17/(2050-2010)</f>
        <v>175398936.17021278</v>
      </c>
      <c r="F34" s="15">
        <f>E34+'Data National'!$B$17/(2050-2010)</f>
        <v>175531914.89361703</v>
      </c>
      <c r="G34" s="15">
        <f>F34+'Data National'!$B$17/(2050-2010)</f>
        <v>175664893.61702129</v>
      </c>
      <c r="H34" s="15">
        <f>G34+'Data National'!$B$17/(2050-2010)</f>
        <v>175797872.34042555</v>
      </c>
      <c r="I34" s="15">
        <f>H34+'Data National'!$B$17/(2050-2010)</f>
        <v>175930851.06382981</v>
      </c>
      <c r="J34" s="15">
        <f>I34+'Data National'!$B$17/(2050-2010)</f>
        <v>176063829.78723407</v>
      </c>
      <c r="K34" s="15">
        <f>J34+'Data National'!$B$17/(2050-2010)</f>
        <v>176196808.51063833</v>
      </c>
      <c r="L34" s="15">
        <f>K34+'Data National'!$B$17/(2050-2010)</f>
        <v>176329787.23404258</v>
      </c>
      <c r="M34" s="15">
        <f>L34+'Data National'!$B$17/(2050-2010)</f>
        <v>176462765.95744684</v>
      </c>
      <c r="N34" s="15">
        <f>M34+'Data National'!$B$17/(2050-2010)</f>
        <v>176595744.6808511</v>
      </c>
      <c r="O34" s="15">
        <f>N34+'Data National'!$B$17/(2050-2010)</f>
        <v>176728723.40425536</v>
      </c>
      <c r="P34" s="15">
        <f>O34+'Data National'!$B$17/(2050-2010)</f>
        <v>176861702.12765962</v>
      </c>
      <c r="Q34" s="15">
        <f>P34+'Data National'!$B$17/(2050-2010)</f>
        <v>176994680.85106388</v>
      </c>
      <c r="R34" s="15">
        <f>Q34+'Data National'!$B$17/(2050-2010)</f>
        <v>177127659.57446814</v>
      </c>
      <c r="S34" s="15">
        <f>R34+'Data National'!$B$17/(2050-2010)</f>
        <v>177260638.29787239</v>
      </c>
      <c r="T34" s="15">
        <f>S34+'Data National'!$B$17/(2050-2010)</f>
        <v>177393617.02127665</v>
      </c>
      <c r="U34" s="15">
        <f>T34+'Data National'!$B$17/(2050-2010)</f>
        <v>177526595.74468091</v>
      </c>
      <c r="V34" s="15">
        <f>U34+'Data National'!$B$17/(2050-2010)</f>
        <v>177659574.46808517</v>
      </c>
      <c r="W34" s="15">
        <f>V34+'Data National'!$B$17/(2050-2010)</f>
        <v>177792553.19148943</v>
      </c>
      <c r="X34" s="15">
        <f>W34+'Data National'!$B$17/(2050-2010)</f>
        <v>177925531.91489369</v>
      </c>
      <c r="Y34" s="15">
        <f>X34+'Data National'!$B$17/(2050-2010)</f>
        <v>178058510.63829795</v>
      </c>
      <c r="Z34" s="15">
        <f>Y34+'Data National'!$B$17/(2050-2010)</f>
        <v>178191489.3617022</v>
      </c>
      <c r="AA34" s="15">
        <f>Z34+'Data National'!$B$17/(2050-2010)</f>
        <v>178324468.08510646</v>
      </c>
      <c r="AB34" s="15">
        <f>AA34+'Data National'!$B$17/(2050-2010)</f>
        <v>178457446.80851072</v>
      </c>
      <c r="AC34" s="15">
        <f>AB34+'Data National'!$B$17/(2050-2010)</f>
        <v>178590425.53191498</v>
      </c>
      <c r="AD34" s="15">
        <f>AC34+'Data National'!$B$17/(2050-2010)</f>
        <v>178723404.25531924</v>
      </c>
      <c r="AE34" s="15">
        <f>AD34+'Data National'!$B$17/(2050-2010)</f>
        <v>178856382.9787235</v>
      </c>
      <c r="AF34" s="15">
        <f>AE34+'Data National'!$B$17/(2050-2010)</f>
        <v>178989361.70212775</v>
      </c>
      <c r="AG34" s="15">
        <f>AF34+'Data National'!$B$17/(2050-2010)</f>
        <v>179122340.42553201</v>
      </c>
      <c r="AH34" s="15">
        <f>AG34+'Data National'!$B$17/(2050-2010)</f>
        <v>179255319.14893627</v>
      </c>
      <c r="AI34" s="15">
        <f>AH34+'Data National'!$B$17/(2050-2010)</f>
        <v>179388297.87234053</v>
      </c>
      <c r="AJ34" s="15">
        <f>AI34+'Data National'!$B$17/(2050-2010)</f>
        <v>179521276.59574479</v>
      </c>
      <c r="AK34" s="15">
        <f>AJ34+'Data National'!$B$17/(2050-2010)</f>
        <v>179654255.31914905</v>
      </c>
      <c r="AL34" s="15">
        <f>AK34+'Data National'!$B$17/(2050-2010)</f>
        <v>179787234.04255331</v>
      </c>
      <c r="AM34" s="15">
        <f>AL34+'Data National'!$B$17/(2050-2010)</f>
        <v>179920212.76595756</v>
      </c>
      <c r="AN34" s="15">
        <f>AM34+'Data National'!$B$17/(2050-2010)</f>
        <v>180053191.48936182</v>
      </c>
      <c r="AO34" s="15">
        <f>AN34+'Data National'!$B$17/(2050-2010)</f>
        <v>180186170.21276608</v>
      </c>
      <c r="AP34" s="15">
        <f>AO34+'Data National'!$B$17/(2050-2010)</f>
        <v>180319148.93617034</v>
      </c>
    </row>
    <row r="35" spans="1:42" x14ac:dyDescent="0.25"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</row>
    <row r="36" spans="1:42" x14ac:dyDescent="0.25">
      <c r="B36" t="s">
        <v>4</v>
      </c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</row>
    <row r="37" spans="1:42" x14ac:dyDescent="0.25">
      <c r="A37" t="s">
        <v>15</v>
      </c>
      <c r="B37" s="7">
        <f>16600000000*About!A20</f>
        <v>14065248551.500164</v>
      </c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</row>
    <row r="38" spans="1:42" x14ac:dyDescent="0.25">
      <c r="A38" t="s">
        <v>14</v>
      </c>
      <c r="B38" s="7">
        <f>26100000000*About!A20</f>
        <v>22114637782.780376</v>
      </c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</row>
    <row r="39" spans="1:42" x14ac:dyDescent="0.25">
      <c r="A39" t="s">
        <v>16</v>
      </c>
      <c r="B39" s="7">
        <f>23500000000*About!A20</f>
        <v>19911647045.798424</v>
      </c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</row>
    <row r="40" spans="1:42" x14ac:dyDescent="0.25">
      <c r="A40" t="s">
        <v>17</v>
      </c>
      <c r="B40" s="7">
        <f>31400000000*About!A20</f>
        <v>26605349669.705128</v>
      </c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</row>
    <row r="42" spans="1:42" x14ac:dyDescent="0.25">
      <c r="A42" s="1" t="s">
        <v>119</v>
      </c>
    </row>
    <row r="43" spans="1:42" x14ac:dyDescent="0.25">
      <c r="A43" t="str">
        <f>About!B1</f>
        <v>Tennessee</v>
      </c>
    </row>
    <row r="44" spans="1:42" x14ac:dyDescent="0.25">
      <c r="A44" t="s">
        <v>143</v>
      </c>
      <c r="B44" s="15">
        <f>SUMIFS('HIFLD Outputs'!$F$2:$F$49,'HIFLD Outputs'!$B$2:$B$49,'Data National'!$A$43)*B34</f>
        <v>3757264.9884453155</v>
      </c>
      <c r="C44" s="15">
        <f>SUMIFS('HIFLD Outputs'!$F$2:$F$49,'HIFLD Outputs'!$B$2:$B$49,'Data National'!$A$43)*C34</f>
        <v>3760120.0530262012</v>
      </c>
      <c r="D44" s="15">
        <f>SUMIFS('HIFLD Outputs'!$F$2:$F$49,'HIFLD Outputs'!$B$2:$B$49,'Data National'!$A$43)*D34</f>
        <v>3762975.1176070869</v>
      </c>
      <c r="E44" s="15">
        <f>SUMIFS('HIFLD Outputs'!$F$2:$F$49,'HIFLD Outputs'!$B$2:$B$49,'Data National'!$A$43)*E34</f>
        <v>3765830.1821879721</v>
      </c>
      <c r="F44" s="15">
        <f>SUMIFS('HIFLD Outputs'!$F$2:$F$49,'HIFLD Outputs'!$B$2:$B$49,'Data National'!$A$43)*F34</f>
        <v>3768685.2467688578</v>
      </c>
      <c r="G44" s="15">
        <f>SUMIFS('HIFLD Outputs'!$F$2:$F$49,'HIFLD Outputs'!$B$2:$B$49,'Data National'!$A$43)*G34</f>
        <v>3771540.3113497435</v>
      </c>
      <c r="H44" s="15">
        <f>SUMIFS('HIFLD Outputs'!$F$2:$F$49,'HIFLD Outputs'!$B$2:$B$49,'Data National'!$A$43)*H34</f>
        <v>3774395.3759306292</v>
      </c>
      <c r="I44" s="15">
        <f>SUMIFS('HIFLD Outputs'!$F$2:$F$49,'HIFLD Outputs'!$B$2:$B$49,'Data National'!$A$43)*I34</f>
        <v>3777250.4405115144</v>
      </c>
      <c r="J44" s="15">
        <f>SUMIFS('HIFLD Outputs'!$F$2:$F$49,'HIFLD Outputs'!$B$2:$B$49,'Data National'!$A$43)*J34</f>
        <v>3780105.5050924001</v>
      </c>
      <c r="K44" s="15">
        <f>SUMIFS('HIFLD Outputs'!$F$2:$F$49,'HIFLD Outputs'!$B$2:$B$49,'Data National'!$A$43)*K34</f>
        <v>3782960.5696732858</v>
      </c>
      <c r="L44" s="15">
        <f>SUMIFS('HIFLD Outputs'!$F$2:$F$49,'HIFLD Outputs'!$B$2:$B$49,'Data National'!$A$43)*L34</f>
        <v>3785815.6342541715</v>
      </c>
      <c r="M44" s="15">
        <f>SUMIFS('HIFLD Outputs'!$F$2:$F$49,'HIFLD Outputs'!$B$2:$B$49,'Data National'!$A$43)*M34</f>
        <v>3788670.6988350567</v>
      </c>
      <c r="N44" s="15">
        <f>SUMIFS('HIFLD Outputs'!$F$2:$F$49,'HIFLD Outputs'!$B$2:$B$49,'Data National'!$A$43)*N34</f>
        <v>3791525.7634159424</v>
      </c>
      <c r="O44" s="15">
        <f>SUMIFS('HIFLD Outputs'!$F$2:$F$49,'HIFLD Outputs'!$B$2:$B$49,'Data National'!$A$43)*O34</f>
        <v>3794380.8279968281</v>
      </c>
      <c r="P44" s="15">
        <f>SUMIFS('HIFLD Outputs'!$F$2:$F$49,'HIFLD Outputs'!$B$2:$B$49,'Data National'!$A$43)*P34</f>
        <v>3797235.8925777134</v>
      </c>
      <c r="Q44" s="15">
        <f>SUMIFS('HIFLD Outputs'!$F$2:$F$49,'HIFLD Outputs'!$B$2:$B$49,'Data National'!$A$43)*Q34</f>
        <v>3800090.957158599</v>
      </c>
      <c r="R44" s="15">
        <f>SUMIFS('HIFLD Outputs'!$F$2:$F$49,'HIFLD Outputs'!$B$2:$B$49,'Data National'!$A$43)*R34</f>
        <v>3802946.0217394847</v>
      </c>
      <c r="S44" s="15">
        <f>SUMIFS('HIFLD Outputs'!$F$2:$F$49,'HIFLD Outputs'!$B$2:$B$49,'Data National'!$A$43)*S34</f>
        <v>3805801.0863203704</v>
      </c>
      <c r="T44" s="15">
        <f>SUMIFS('HIFLD Outputs'!$F$2:$F$49,'HIFLD Outputs'!$B$2:$B$49,'Data National'!$A$43)*T34</f>
        <v>3808656.1509012557</v>
      </c>
      <c r="U44" s="15">
        <f>SUMIFS('HIFLD Outputs'!$F$2:$F$49,'HIFLD Outputs'!$B$2:$B$49,'Data National'!$A$43)*U34</f>
        <v>3811511.2154821414</v>
      </c>
      <c r="V44" s="15">
        <f>SUMIFS('HIFLD Outputs'!$F$2:$F$49,'HIFLD Outputs'!$B$2:$B$49,'Data National'!$A$43)*V34</f>
        <v>3814366.2800630271</v>
      </c>
      <c r="W44" s="15">
        <f>SUMIFS('HIFLD Outputs'!$F$2:$F$49,'HIFLD Outputs'!$B$2:$B$49,'Data National'!$A$43)*W34</f>
        <v>3817221.3446439123</v>
      </c>
      <c r="X44" s="15">
        <f>SUMIFS('HIFLD Outputs'!$F$2:$F$49,'HIFLD Outputs'!$B$2:$B$49,'Data National'!$A$43)*X34</f>
        <v>3820076.409224798</v>
      </c>
      <c r="Y44" s="15">
        <f>SUMIFS('HIFLD Outputs'!$F$2:$F$49,'HIFLD Outputs'!$B$2:$B$49,'Data National'!$A$43)*Y34</f>
        <v>3822931.4738056837</v>
      </c>
      <c r="Z44" s="15">
        <f>SUMIFS('HIFLD Outputs'!$F$2:$F$49,'HIFLD Outputs'!$B$2:$B$49,'Data National'!$A$43)*Z34</f>
        <v>3825786.5383865694</v>
      </c>
      <c r="AA44" s="15">
        <f>SUMIFS('HIFLD Outputs'!$F$2:$F$49,'HIFLD Outputs'!$B$2:$B$49,'Data National'!$A$43)*AA34</f>
        <v>3828641.6029674546</v>
      </c>
      <c r="AB44" s="15">
        <f>SUMIFS('HIFLD Outputs'!$F$2:$F$49,'HIFLD Outputs'!$B$2:$B$49,'Data National'!$A$43)*AB34</f>
        <v>3831496.6675483403</v>
      </c>
      <c r="AC44" s="15">
        <f>SUMIFS('HIFLD Outputs'!$F$2:$F$49,'HIFLD Outputs'!$B$2:$B$49,'Data National'!$A$43)*AC34</f>
        <v>3834351.732129226</v>
      </c>
      <c r="AD44" s="15">
        <f>SUMIFS('HIFLD Outputs'!$F$2:$F$49,'HIFLD Outputs'!$B$2:$B$49,'Data National'!$A$43)*AD34</f>
        <v>3837206.7967101117</v>
      </c>
      <c r="AE44" s="15">
        <f>SUMIFS('HIFLD Outputs'!$F$2:$F$49,'HIFLD Outputs'!$B$2:$B$49,'Data National'!$A$43)*AE34</f>
        <v>3840061.8612909969</v>
      </c>
      <c r="AF44" s="15">
        <f>SUMIFS('HIFLD Outputs'!$F$2:$F$49,'HIFLD Outputs'!$B$2:$B$49,'Data National'!$A$43)*AF34</f>
        <v>3842916.9258718826</v>
      </c>
      <c r="AG44" s="15">
        <f>SUMIFS('HIFLD Outputs'!$F$2:$F$49,'HIFLD Outputs'!$B$2:$B$49,'Data National'!$A$43)*AG34</f>
        <v>3845771.9904527683</v>
      </c>
      <c r="AH44" s="15">
        <f>SUMIFS('HIFLD Outputs'!$F$2:$F$49,'HIFLD Outputs'!$B$2:$B$49,'Data National'!$A$43)*AH34</f>
        <v>3848627.0550336535</v>
      </c>
      <c r="AI44" s="15">
        <f>SUMIFS('HIFLD Outputs'!$F$2:$F$49,'HIFLD Outputs'!$B$2:$B$49,'Data National'!$A$43)*AI34</f>
        <v>3851482.1196145392</v>
      </c>
      <c r="AJ44" s="15">
        <f>SUMIFS('HIFLD Outputs'!$F$2:$F$49,'HIFLD Outputs'!$B$2:$B$49,'Data National'!$A$43)*AJ34</f>
        <v>3854337.1841954249</v>
      </c>
      <c r="AK44" s="15">
        <f>SUMIFS('HIFLD Outputs'!$F$2:$F$49,'HIFLD Outputs'!$B$2:$B$49,'Data National'!$A$43)*AK34</f>
        <v>3857192.2487763106</v>
      </c>
      <c r="AL44" s="15">
        <f>SUMIFS('HIFLD Outputs'!$F$2:$F$49,'HIFLD Outputs'!$B$2:$B$49,'Data National'!$A$43)*AL34</f>
        <v>3860047.3133571958</v>
      </c>
      <c r="AM44" s="15">
        <f>SUMIFS('HIFLD Outputs'!$F$2:$F$49,'HIFLD Outputs'!$B$2:$B$49,'Data National'!$A$43)*AM34</f>
        <v>3862902.3779380815</v>
      </c>
      <c r="AN44" s="15">
        <f>SUMIFS('HIFLD Outputs'!$F$2:$F$49,'HIFLD Outputs'!$B$2:$B$49,'Data National'!$A$43)*AN34</f>
        <v>3865757.4425189672</v>
      </c>
      <c r="AO44" s="15">
        <f>SUMIFS('HIFLD Outputs'!$F$2:$F$49,'HIFLD Outputs'!$B$2:$B$49,'Data National'!$A$43)*AO34</f>
        <v>3868612.5070998529</v>
      </c>
      <c r="AP44" s="15">
        <f>SUMIFS('HIFLD Outputs'!$F$2:$F$49,'HIFLD Outputs'!$B$2:$B$49,'Data National'!$A$43)*AP34</f>
        <v>3871467.5716807381</v>
      </c>
    </row>
    <row r="45" spans="1:42" x14ac:dyDescent="0.25">
      <c r="A45" s="16" t="s">
        <v>15</v>
      </c>
      <c r="B45" s="17">
        <f>B37*SUMIFS('HIFLD Outputs'!$F$2:$F$49,'HIFLD Outputs'!$B$2:$B$49,$A$43)</f>
        <v>301982091.0647586</v>
      </c>
    </row>
    <row r="46" spans="1:42" x14ac:dyDescent="0.25">
      <c r="A46" s="16" t="s">
        <v>14</v>
      </c>
      <c r="B46" s="17">
        <f>B38*SUMIFS('HIFLD Outputs'!$F$2:$F$49,'HIFLD Outputs'!$B$2:$B$49,$A$43)</f>
        <v>474803167.27651799</v>
      </c>
    </row>
    <row r="47" spans="1:42" x14ac:dyDescent="0.25">
      <c r="A47" s="16" t="s">
        <v>16</v>
      </c>
      <c r="B47" s="17">
        <f>B39*SUMIFS('HIFLD Outputs'!$F$2:$F$49,'HIFLD Outputs'!$B$2:$B$49,$A$43)</f>
        <v>427504767.47119439</v>
      </c>
    </row>
    <row r="48" spans="1:42" x14ac:dyDescent="0.25">
      <c r="A48" s="16" t="s">
        <v>17</v>
      </c>
      <c r="B48" s="17">
        <f>B40*SUMIFS('HIFLD Outputs'!$F$2:$F$49,'HIFLD Outputs'!$B$2:$B$49,$A$43)</f>
        <v>571219136.11044693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"/>
  <sheetViews>
    <sheetView workbookViewId="0">
      <selection activeCell="B2" sqref="B2"/>
    </sheetView>
  </sheetViews>
  <sheetFormatPr defaultRowHeight="15" x14ac:dyDescent="0.25"/>
  <cols>
    <col min="1" max="1" width="24.85546875" customWidth="1"/>
    <col min="2" max="2" width="24.5703125" customWidth="1"/>
  </cols>
  <sheetData>
    <row r="1" spans="1:2" x14ac:dyDescent="0.25">
      <c r="B1" t="s">
        <v>4</v>
      </c>
    </row>
    <row r="2" spans="1:2" x14ac:dyDescent="0.25">
      <c r="A2" t="s">
        <v>15</v>
      </c>
      <c r="B2" s="7">
        <f>'Data National'!B45</f>
        <v>301982091.0647586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5CB18-3EEA-4181-9915-24EB06CDAE8E}">
  <sheetPr>
    <tabColor theme="3"/>
  </sheetPr>
  <dimension ref="A1:B2"/>
  <sheetViews>
    <sheetView workbookViewId="0">
      <selection activeCell="B2" sqref="B2"/>
    </sheetView>
  </sheetViews>
  <sheetFormatPr defaultRowHeight="15" x14ac:dyDescent="0.25"/>
  <cols>
    <col min="1" max="1" width="24.85546875" customWidth="1"/>
    <col min="2" max="2" width="24.5703125" customWidth="1"/>
  </cols>
  <sheetData>
    <row r="1" spans="1:2" x14ac:dyDescent="0.25">
      <c r="B1" t="s">
        <v>4</v>
      </c>
    </row>
    <row r="2" spans="1:2" x14ac:dyDescent="0.25">
      <c r="A2" t="s">
        <v>14</v>
      </c>
      <c r="B2" s="7">
        <f>'Data National'!B46</f>
        <v>474803167.27651799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898DC-3FD4-4EA9-B8D0-813EA4869E76}">
  <sheetPr>
    <tabColor theme="3"/>
  </sheetPr>
  <dimension ref="A1:B2"/>
  <sheetViews>
    <sheetView workbookViewId="0">
      <selection activeCell="B2" sqref="B2"/>
    </sheetView>
  </sheetViews>
  <sheetFormatPr defaultRowHeight="15" x14ac:dyDescent="0.25"/>
  <cols>
    <col min="1" max="1" width="24.85546875" customWidth="1"/>
    <col min="2" max="2" width="24.5703125" customWidth="1"/>
  </cols>
  <sheetData>
    <row r="1" spans="1:2" x14ac:dyDescent="0.25">
      <c r="B1" t="s">
        <v>4</v>
      </c>
    </row>
    <row r="2" spans="1:2" x14ac:dyDescent="0.25">
      <c r="A2" t="s">
        <v>16</v>
      </c>
      <c r="B2" s="7">
        <f>'Data National'!B47</f>
        <v>427504767.47119439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FB148-5E21-45E7-A319-850AFFF6AEB4}">
  <sheetPr>
    <tabColor theme="3"/>
  </sheetPr>
  <dimension ref="A1:B2"/>
  <sheetViews>
    <sheetView workbookViewId="0">
      <selection activeCell="B2" sqref="B2"/>
    </sheetView>
  </sheetViews>
  <sheetFormatPr defaultRowHeight="15" x14ac:dyDescent="0.25"/>
  <cols>
    <col min="1" max="1" width="24.85546875" customWidth="1"/>
    <col min="2" max="2" width="24.5703125" customWidth="1"/>
  </cols>
  <sheetData>
    <row r="1" spans="1:2" x14ac:dyDescent="0.25">
      <c r="B1" t="s">
        <v>4</v>
      </c>
    </row>
    <row r="2" spans="1:2" x14ac:dyDescent="0.25">
      <c r="A2" t="s">
        <v>17</v>
      </c>
      <c r="B2" s="7">
        <f>'Data National'!B48</f>
        <v>571219136.11044693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HIFLD Outputs</vt:lpstr>
      <vt:lpstr>Data National</vt:lpstr>
      <vt:lpstr>SYTaDC-Transmission OM</vt:lpstr>
      <vt:lpstr>SYTaDC-Distribution OM</vt:lpstr>
      <vt:lpstr>SYTaDC-Transmission Capital</vt:lpstr>
      <vt:lpstr>SYTaDC-Distribution Capital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2015-07-06T21:06:03Z</dcterms:created>
  <dcterms:modified xsi:type="dcterms:W3CDTF">2024-01-03T20:50:19Z</dcterms:modified>
</cp:coreProperties>
</file>